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4\01 JANUARI\"/>
    </mc:Choice>
  </mc:AlternateContent>
  <bookViews>
    <workbookView xWindow="240" yWindow="105" windowWidth="14805" windowHeight="8010" tabRatio="548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N845" i="1" l="1"/>
  <c r="P839" i="1"/>
  <c r="N838" i="1"/>
  <c r="B786" i="1" l="1"/>
  <c r="B787" i="1"/>
  <c r="C787" i="1" s="1"/>
  <c r="B788" i="1"/>
  <c r="C786" i="1"/>
  <c r="C788" i="1"/>
  <c r="X786" i="1"/>
  <c r="Y786" i="1" s="1"/>
  <c r="X788" i="1"/>
  <c r="Y788" i="1" s="1"/>
  <c r="AG786" i="1"/>
  <c r="AP786" i="1" s="1"/>
  <c r="AG788" i="1"/>
  <c r="AP788" i="1" s="1"/>
  <c r="AH786" i="1"/>
  <c r="AH787" i="1"/>
  <c r="X787" i="1" s="1"/>
  <c r="AH788" i="1"/>
  <c r="AN786" i="1"/>
  <c r="AN787" i="1"/>
  <c r="AN788" i="1"/>
  <c r="AO786" i="1"/>
  <c r="AO788" i="1"/>
  <c r="AQ786" i="1"/>
  <c r="AR786" i="1" s="1"/>
  <c r="AQ787" i="1"/>
  <c r="AQ788" i="1"/>
  <c r="AR788" i="1" s="1"/>
  <c r="AR787" i="1"/>
  <c r="AS786" i="1"/>
  <c r="AS788" i="1"/>
  <c r="AT786" i="1"/>
  <c r="AT787" i="1"/>
  <c r="AT788" i="1"/>
  <c r="AO787" i="1" l="1"/>
  <c r="Z786" i="1"/>
  <c r="AB786" i="1"/>
  <c r="AC786" i="1" s="1"/>
  <c r="Y787" i="1"/>
  <c r="Z787" i="1" s="1"/>
  <c r="Z788" i="1"/>
  <c r="AB788" i="1" s="1"/>
  <c r="AC788" i="1" s="1"/>
  <c r="AS787" i="1"/>
  <c r="AG787" i="1"/>
  <c r="AP787" i="1" s="1"/>
  <c r="AA788" i="1"/>
  <c r="AA786" i="1"/>
  <c r="N725" i="1"/>
  <c r="N724" i="1"/>
  <c r="B720" i="1"/>
  <c r="C720" i="1" s="1"/>
  <c r="D720" i="1"/>
  <c r="AF720" i="1" s="1"/>
  <c r="AG720" i="1"/>
  <c r="AH720" i="1"/>
  <c r="X720" i="1" s="1"/>
  <c r="AJ720" i="1"/>
  <c r="AM720" i="1" s="1"/>
  <c r="AN720" i="1"/>
  <c r="AO720" i="1" s="1"/>
  <c r="AQ720" i="1"/>
  <c r="AR720" i="1" s="1"/>
  <c r="AT720" i="1"/>
  <c r="N716" i="1"/>
  <c r="V657" i="1"/>
  <c r="AB787" i="1" l="1"/>
  <c r="AC787" i="1" s="1"/>
  <c r="AA787" i="1"/>
  <c r="AS720" i="1"/>
  <c r="AP720" i="1"/>
  <c r="Y720" i="1"/>
  <c r="Z720" i="1"/>
  <c r="AB720" i="1"/>
  <c r="AE720" i="1"/>
  <c r="AU720" i="1"/>
  <c r="AK720" i="1"/>
  <c r="AI720" i="1"/>
  <c r="AW720" i="1"/>
  <c r="AC720" i="1"/>
  <c r="AA720" i="1"/>
  <c r="B621" i="1"/>
  <c r="C621" i="1" s="1"/>
  <c r="AH621" i="1"/>
  <c r="AG621" i="1" s="1"/>
  <c r="AN621" i="1"/>
  <c r="AQ621" i="1"/>
  <c r="AR621" i="1" s="1"/>
  <c r="AS621" i="1"/>
  <c r="AT621" i="1"/>
  <c r="AV720" i="1" l="1"/>
  <c r="AX720" i="1" s="1"/>
  <c r="AP621" i="1"/>
  <c r="AO621" i="1"/>
  <c r="X621" i="1"/>
  <c r="Y621" i="1" s="1"/>
  <c r="Z621" i="1" l="1"/>
  <c r="AA621" i="1" s="1"/>
  <c r="AB621" i="1" s="1"/>
  <c r="AC621" i="1" s="1"/>
  <c r="N494" i="1"/>
  <c r="P490" i="1"/>
  <c r="P489" i="1"/>
  <c r="P488" i="1"/>
  <c r="N483" i="1" l="1"/>
  <c r="K198" i="1" l="1"/>
  <c r="N316" i="1"/>
  <c r="N314" i="1" l="1"/>
  <c r="N313" i="1"/>
  <c r="N312" i="1"/>
  <c r="N311" i="1"/>
  <c r="N310" i="1"/>
  <c r="N306" i="1"/>
  <c r="N303" i="1"/>
  <c r="N279" i="1" l="1"/>
  <c r="N277" i="1"/>
  <c r="X72" i="1" l="1"/>
  <c r="X73" i="1"/>
  <c r="X75" i="1"/>
  <c r="X76" i="1"/>
  <c r="X77" i="1"/>
  <c r="X78" i="1"/>
  <c r="X80" i="1"/>
  <c r="X81" i="1"/>
  <c r="X83" i="1"/>
  <c r="X84" i="1"/>
  <c r="X85" i="1"/>
  <c r="X90" i="1"/>
  <c r="X91" i="1"/>
  <c r="X92" i="1"/>
  <c r="X93" i="1"/>
  <c r="X95" i="1"/>
  <c r="X96" i="1"/>
  <c r="X98" i="1"/>
  <c r="X99" i="1"/>
  <c r="X101" i="1"/>
  <c r="X102" i="1"/>
  <c r="X103" i="1"/>
  <c r="X104" i="1"/>
  <c r="X105" i="1"/>
  <c r="X106" i="1"/>
  <c r="X107" i="1"/>
  <c r="X108" i="1"/>
  <c r="B120" i="1" l="1"/>
  <c r="C120" i="1" s="1"/>
  <c r="AH120" i="1"/>
  <c r="X120" i="1" s="1"/>
  <c r="Y120" i="1" s="1"/>
  <c r="AN120" i="1"/>
  <c r="AQ120" i="1"/>
  <c r="AR120" i="1" s="1"/>
  <c r="AT120" i="1"/>
  <c r="AG120" i="1" l="1"/>
  <c r="AO120" i="1" s="1"/>
  <c r="Z120" i="1"/>
  <c r="B566" i="1"/>
  <c r="C566" i="1" s="1"/>
  <c r="AH566" i="1"/>
  <c r="X566" i="1" s="1"/>
  <c r="AN566" i="1"/>
  <c r="AQ566" i="1"/>
  <c r="AR566" i="1" s="1"/>
  <c r="AT566" i="1"/>
  <c r="AP120" i="1" l="1"/>
  <c r="AA120" i="1"/>
  <c r="AB120" i="1" s="1"/>
  <c r="AC120" i="1" s="1"/>
  <c r="Y566" i="1"/>
  <c r="AS566" i="1"/>
  <c r="AG566" i="1"/>
  <c r="AP566" i="1" s="1"/>
  <c r="AO566" i="1" l="1"/>
  <c r="Z566" i="1"/>
  <c r="AA566" i="1" l="1"/>
  <c r="AB566" i="1" s="1"/>
  <c r="AC566" i="1" s="1"/>
  <c r="B4" i="1" l="1"/>
  <c r="C4" i="1" s="1"/>
  <c r="B5" i="1"/>
  <c r="C5" i="1" s="1"/>
  <c r="B6" i="1"/>
  <c r="C6" i="1" s="1"/>
  <c r="B9" i="1"/>
  <c r="C9" i="1" s="1"/>
  <c r="B11" i="1"/>
  <c r="C11" i="1" s="1"/>
  <c r="B16" i="1"/>
  <c r="C16" i="1" s="1"/>
  <c r="B18" i="1"/>
  <c r="C18" i="1" s="1"/>
  <c r="B22" i="1"/>
  <c r="C22" i="1" s="1"/>
  <c r="B24" i="1"/>
  <c r="C24" i="1" s="1"/>
  <c r="B26" i="1"/>
  <c r="C26" i="1" s="1"/>
  <c r="B28" i="1"/>
  <c r="C28" i="1" s="1"/>
  <c r="B29" i="1"/>
  <c r="C29" i="1" s="1"/>
  <c r="B30" i="1"/>
  <c r="C30" i="1" s="1"/>
  <c r="B31" i="1"/>
  <c r="C31" i="1" s="1"/>
  <c r="B34" i="1"/>
  <c r="C34" i="1" s="1"/>
  <c r="B36" i="1"/>
  <c r="C36" i="1" s="1"/>
  <c r="B37" i="1"/>
  <c r="C37" i="1" s="1"/>
  <c r="B39" i="1"/>
  <c r="C39" i="1" s="1"/>
  <c r="B41" i="1"/>
  <c r="C41" i="1" s="1"/>
  <c r="B43" i="1"/>
  <c r="C43" i="1" s="1"/>
  <c r="B45" i="1"/>
  <c r="C45" i="1" s="1"/>
  <c r="B46" i="1"/>
  <c r="C46" i="1" s="1"/>
  <c r="B47" i="1"/>
  <c r="C47" i="1" s="1"/>
  <c r="B50" i="1"/>
  <c r="C50" i="1" s="1"/>
  <c r="B51" i="1"/>
  <c r="C51" i="1" s="1"/>
  <c r="B53" i="1"/>
  <c r="C53" i="1" s="1"/>
  <c r="B55" i="1"/>
  <c r="C55" i="1" s="1"/>
  <c r="B56" i="1"/>
  <c r="C56" i="1" s="1"/>
  <c r="B57" i="1"/>
  <c r="C57" i="1" s="1"/>
  <c r="B58" i="1"/>
  <c r="C58" i="1" s="1"/>
  <c r="B60" i="1"/>
  <c r="C60" i="1" s="1"/>
  <c r="B61" i="1"/>
  <c r="C61" i="1" s="1"/>
  <c r="B65" i="1"/>
  <c r="C65" i="1" s="1"/>
  <c r="B67" i="1"/>
  <c r="C67" i="1" s="1"/>
  <c r="B68" i="1"/>
  <c r="C68" i="1" s="1"/>
  <c r="B71" i="1"/>
  <c r="C71" i="1" s="1"/>
  <c r="B73" i="1"/>
  <c r="C73" i="1" s="1"/>
  <c r="B74" i="1"/>
  <c r="C74" i="1" s="1"/>
  <c r="B76" i="1"/>
  <c r="C76" i="1" s="1"/>
  <c r="B77" i="1"/>
  <c r="C77" i="1" s="1"/>
  <c r="B78" i="1"/>
  <c r="C78" i="1" s="1"/>
  <c r="B79" i="1"/>
  <c r="C79" i="1" s="1"/>
  <c r="B81" i="1"/>
  <c r="C81" i="1" s="1"/>
  <c r="B84" i="1"/>
  <c r="C84" i="1" s="1"/>
  <c r="B86" i="1"/>
  <c r="C86" i="1" s="1"/>
  <c r="B91" i="1"/>
  <c r="C91" i="1" s="1"/>
  <c r="B92" i="1"/>
  <c r="C92" i="1" s="1"/>
  <c r="B93" i="1"/>
  <c r="C93" i="1" s="1"/>
  <c r="B94" i="1"/>
  <c r="C94" i="1" s="1"/>
  <c r="B97" i="1"/>
  <c r="C97" i="1" s="1"/>
  <c r="B99" i="1"/>
  <c r="C99" i="1" s="1"/>
  <c r="B102" i="1"/>
  <c r="C102" i="1" s="1"/>
  <c r="B103" i="1"/>
  <c r="C103" i="1" s="1"/>
  <c r="B104" i="1"/>
  <c r="C104" i="1" s="1"/>
  <c r="B105" i="1"/>
  <c r="C105" i="1" s="1"/>
  <c r="B106" i="1"/>
  <c r="C106" i="1" s="1"/>
  <c r="B108" i="1"/>
  <c r="C108" i="1" s="1"/>
  <c r="B109" i="1"/>
  <c r="C109" i="1" s="1"/>
  <c r="B111" i="1"/>
  <c r="C111" i="1" s="1"/>
  <c r="B117" i="1"/>
  <c r="C117" i="1" s="1"/>
  <c r="B118" i="1"/>
  <c r="C118" i="1" s="1"/>
  <c r="B121" i="1"/>
  <c r="C121" i="1" s="1"/>
  <c r="B122" i="1"/>
  <c r="C122" i="1" s="1"/>
  <c r="B123" i="1"/>
  <c r="C123" i="1" s="1"/>
  <c r="B124" i="1"/>
  <c r="C124" i="1" s="1"/>
  <c r="B126" i="1"/>
  <c r="C126" i="1" s="1"/>
  <c r="B127" i="1"/>
  <c r="C127" i="1" s="1"/>
  <c r="B132" i="1"/>
  <c r="C132" i="1" s="1"/>
  <c r="B135" i="1"/>
  <c r="C135" i="1" s="1"/>
  <c r="B136" i="1"/>
  <c r="C136" i="1" s="1"/>
  <c r="B138" i="1"/>
  <c r="C138" i="1" s="1"/>
  <c r="B139" i="1"/>
  <c r="C139" i="1" s="1"/>
  <c r="B142" i="1"/>
  <c r="C142" i="1" s="1"/>
  <c r="B143" i="1"/>
  <c r="C143" i="1" s="1"/>
  <c r="B144" i="1"/>
  <c r="C144" i="1" s="1"/>
  <c r="B145" i="1"/>
  <c r="C145" i="1" s="1"/>
  <c r="B147" i="1"/>
  <c r="C147" i="1" s="1"/>
  <c r="B148" i="1"/>
  <c r="C148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3" i="1"/>
  <c r="C163" i="1" s="1"/>
  <c r="B165" i="1"/>
  <c r="C165" i="1" s="1"/>
  <c r="B171" i="1"/>
  <c r="C171" i="1" s="1"/>
  <c r="B173" i="1"/>
  <c r="C173" i="1" s="1"/>
  <c r="B174" i="1"/>
  <c r="C174" i="1" s="1"/>
  <c r="B175" i="1"/>
  <c r="C175" i="1" s="1"/>
  <c r="B178" i="1"/>
  <c r="C178" i="1" s="1"/>
  <c r="B181" i="1"/>
  <c r="C181" i="1" s="1"/>
  <c r="B183" i="1"/>
  <c r="C183" i="1" s="1"/>
  <c r="B186" i="1"/>
  <c r="C186" i="1" s="1"/>
  <c r="B187" i="1"/>
  <c r="C187" i="1" s="1"/>
  <c r="B188" i="1"/>
  <c r="C188" i="1" s="1"/>
  <c r="B190" i="1"/>
  <c r="C190" i="1" s="1"/>
  <c r="B194" i="1"/>
  <c r="C194" i="1" s="1"/>
  <c r="B196" i="1"/>
  <c r="C196" i="1" s="1"/>
  <c r="B197" i="1"/>
  <c r="C197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7" i="1"/>
  <c r="C207" i="1" s="1"/>
  <c r="B209" i="1"/>
  <c r="C209" i="1" s="1"/>
  <c r="B213" i="1"/>
  <c r="C213" i="1" s="1"/>
  <c r="B217" i="1"/>
  <c r="C217" i="1" s="1"/>
  <c r="B219" i="1"/>
  <c r="C219" i="1" s="1"/>
  <c r="B220" i="1"/>
  <c r="C220" i="1" s="1"/>
  <c r="B222" i="1"/>
  <c r="C222" i="1" s="1"/>
  <c r="B226" i="1"/>
  <c r="C226" i="1" s="1"/>
  <c r="B227" i="1"/>
  <c r="C227" i="1" s="1"/>
  <c r="B228" i="1"/>
  <c r="C228" i="1" s="1"/>
  <c r="B229" i="1"/>
  <c r="C229" i="1" s="1"/>
  <c r="B233" i="1"/>
  <c r="C233" i="1" s="1"/>
  <c r="B234" i="1"/>
  <c r="C234" i="1" s="1"/>
  <c r="B236" i="1"/>
  <c r="C236" i="1" s="1"/>
  <c r="B237" i="1"/>
  <c r="C237" i="1" s="1"/>
  <c r="B238" i="1"/>
  <c r="C238" i="1" s="1"/>
  <c r="B240" i="1"/>
  <c r="C240" i="1" s="1"/>
  <c r="B242" i="1"/>
  <c r="C242" i="1" s="1"/>
  <c r="B243" i="1"/>
  <c r="C243" i="1" s="1"/>
  <c r="B245" i="1"/>
  <c r="C245" i="1" s="1"/>
  <c r="B247" i="1"/>
  <c r="C247" i="1" s="1"/>
  <c r="B251" i="1"/>
  <c r="C251" i="1" s="1"/>
  <c r="B253" i="1"/>
  <c r="C253" i="1" s="1"/>
  <c r="B255" i="1"/>
  <c r="C255" i="1" s="1"/>
  <c r="B256" i="1"/>
  <c r="C256" i="1" s="1"/>
  <c r="B257" i="1"/>
  <c r="C257" i="1" s="1"/>
  <c r="B258" i="1"/>
  <c r="C258" i="1" s="1"/>
  <c r="B262" i="1"/>
  <c r="C262" i="1" s="1"/>
  <c r="B265" i="1"/>
  <c r="C265" i="1" s="1"/>
  <c r="B267" i="1"/>
  <c r="C267" i="1" s="1"/>
  <c r="B268" i="1"/>
  <c r="C268" i="1" s="1"/>
  <c r="B271" i="1"/>
  <c r="C271" i="1" s="1"/>
  <c r="B272" i="1"/>
  <c r="C272" i="1" s="1"/>
  <c r="B273" i="1"/>
  <c r="C273" i="1" s="1"/>
  <c r="B274" i="1"/>
  <c r="C274" i="1" s="1"/>
  <c r="B276" i="1"/>
  <c r="C276" i="1" s="1"/>
  <c r="B278" i="1"/>
  <c r="C278" i="1" s="1"/>
  <c r="B280" i="1"/>
  <c r="C280" i="1" s="1"/>
  <c r="B282" i="1"/>
  <c r="C282" i="1" s="1"/>
  <c r="B283" i="1"/>
  <c r="C283" i="1" s="1"/>
  <c r="B284" i="1"/>
  <c r="C284" i="1" s="1"/>
  <c r="B286" i="1"/>
  <c r="C286" i="1" s="1"/>
  <c r="B288" i="1"/>
  <c r="C288" i="1" s="1"/>
  <c r="B289" i="1"/>
  <c r="C289" i="1" s="1"/>
  <c r="B290" i="1"/>
  <c r="C290" i="1" s="1"/>
  <c r="B292" i="1"/>
  <c r="C292" i="1" s="1"/>
  <c r="B294" i="1"/>
  <c r="C294" i="1" s="1"/>
  <c r="B295" i="1"/>
  <c r="C295" i="1" s="1"/>
  <c r="B297" i="1"/>
  <c r="C297" i="1" s="1"/>
  <c r="B298" i="1"/>
  <c r="C298" i="1" s="1"/>
  <c r="B299" i="1"/>
  <c r="C299" i="1" s="1"/>
  <c r="B301" i="1"/>
  <c r="C301" i="1" s="1"/>
  <c r="B302" i="1"/>
  <c r="C302" i="1" s="1"/>
  <c r="B305" i="1"/>
  <c r="C305" i="1" s="1"/>
  <c r="B307" i="1"/>
  <c r="C307" i="1" s="1"/>
  <c r="B311" i="1"/>
  <c r="C311" i="1" s="1"/>
  <c r="B313" i="1"/>
  <c r="C313" i="1" s="1"/>
  <c r="B317" i="1"/>
  <c r="C317" i="1" s="1"/>
  <c r="B320" i="1"/>
  <c r="C320" i="1" s="1"/>
  <c r="B321" i="1"/>
  <c r="C321" i="1" s="1"/>
  <c r="B323" i="1"/>
  <c r="C323" i="1" s="1"/>
  <c r="B324" i="1"/>
  <c r="C324" i="1" s="1"/>
  <c r="B326" i="1"/>
  <c r="C326" i="1" s="1"/>
  <c r="B327" i="1"/>
  <c r="C327" i="1" s="1"/>
  <c r="B328" i="1"/>
  <c r="C328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9" i="1"/>
  <c r="C339" i="1" s="1"/>
  <c r="B342" i="1"/>
  <c r="C342" i="1" s="1"/>
  <c r="B343" i="1"/>
  <c r="C343" i="1" s="1"/>
  <c r="B344" i="1"/>
  <c r="C344" i="1" s="1"/>
  <c r="B346" i="1"/>
  <c r="C346" i="1" s="1"/>
  <c r="B347" i="1"/>
  <c r="C347" i="1" s="1"/>
  <c r="B348" i="1"/>
  <c r="C348" i="1" s="1"/>
  <c r="B349" i="1"/>
  <c r="C349" i="1" s="1"/>
  <c r="B350" i="1"/>
  <c r="C350" i="1" s="1"/>
  <c r="B352" i="1"/>
  <c r="C352" i="1" s="1"/>
  <c r="B354" i="1"/>
  <c r="C354" i="1" s="1"/>
  <c r="B357" i="1"/>
  <c r="C357" i="1" s="1"/>
  <c r="B358" i="1"/>
  <c r="C358" i="1" s="1"/>
  <c r="B360" i="1"/>
  <c r="C360" i="1" s="1"/>
  <c r="B361" i="1"/>
  <c r="C361" i="1" s="1"/>
  <c r="B365" i="1"/>
  <c r="C365" i="1" s="1"/>
  <c r="B366" i="1"/>
  <c r="C366" i="1" s="1"/>
  <c r="B370" i="1"/>
  <c r="C370" i="1" s="1"/>
  <c r="B371" i="1"/>
  <c r="C371" i="1" s="1"/>
  <c r="B374" i="1"/>
  <c r="C374" i="1" s="1"/>
  <c r="B375" i="1"/>
  <c r="C375" i="1" s="1"/>
  <c r="B377" i="1"/>
  <c r="C377" i="1" s="1"/>
  <c r="B378" i="1"/>
  <c r="C378" i="1" s="1"/>
  <c r="B380" i="1"/>
  <c r="C380" i="1" s="1"/>
  <c r="B382" i="1"/>
  <c r="C382" i="1" s="1"/>
  <c r="B385" i="1"/>
  <c r="C385" i="1" s="1"/>
  <c r="B386" i="1"/>
  <c r="C386" i="1" s="1"/>
  <c r="B388" i="1"/>
  <c r="C388" i="1" s="1"/>
  <c r="B389" i="1"/>
  <c r="C389" i="1" s="1"/>
  <c r="B390" i="1"/>
  <c r="C390" i="1" s="1"/>
  <c r="B392" i="1"/>
  <c r="C392" i="1" s="1"/>
  <c r="B394" i="1"/>
  <c r="C394" i="1" s="1"/>
  <c r="B396" i="1"/>
  <c r="C396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5" i="1"/>
  <c r="C405" i="1" s="1"/>
  <c r="B409" i="1"/>
  <c r="C409" i="1" s="1"/>
  <c r="B410" i="1"/>
  <c r="C410" i="1" s="1"/>
  <c r="B411" i="1"/>
  <c r="C411" i="1" s="1"/>
  <c r="B412" i="1"/>
  <c r="C412" i="1" s="1"/>
  <c r="B413" i="1"/>
  <c r="C413" i="1" s="1"/>
  <c r="B415" i="1"/>
  <c r="C415" i="1" s="1"/>
  <c r="B417" i="1"/>
  <c r="C417" i="1" s="1"/>
  <c r="B419" i="1"/>
  <c r="C419" i="1" s="1"/>
  <c r="B421" i="1"/>
  <c r="C421" i="1" s="1"/>
  <c r="B422" i="1"/>
  <c r="C422" i="1" s="1"/>
  <c r="B424" i="1"/>
  <c r="C424" i="1" s="1"/>
  <c r="B426" i="1"/>
  <c r="C426" i="1" s="1"/>
  <c r="B429" i="1"/>
  <c r="C429" i="1" s="1"/>
  <c r="B430" i="1"/>
  <c r="C430" i="1" s="1"/>
  <c r="B434" i="1"/>
  <c r="C434" i="1" s="1"/>
  <c r="B435" i="1"/>
  <c r="C435" i="1" s="1"/>
  <c r="B438" i="1"/>
  <c r="C438" i="1" s="1"/>
  <c r="B439" i="1"/>
  <c r="C439" i="1" s="1"/>
  <c r="B441" i="1"/>
  <c r="C441" i="1" s="1"/>
  <c r="B445" i="1"/>
  <c r="C445" i="1" s="1"/>
  <c r="B446" i="1"/>
  <c r="C446" i="1" s="1"/>
  <c r="B447" i="1"/>
  <c r="C447" i="1" s="1"/>
  <c r="B449" i="1"/>
  <c r="C449" i="1" s="1"/>
  <c r="B451" i="1"/>
  <c r="C451" i="1" s="1"/>
  <c r="B452" i="1"/>
  <c r="C452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3" i="1"/>
  <c r="C463" i="1" s="1"/>
  <c r="B464" i="1"/>
  <c r="C464" i="1" s="1"/>
  <c r="B465" i="1"/>
  <c r="C465" i="1" s="1"/>
  <c r="B468" i="1"/>
  <c r="C468" i="1" s="1"/>
  <c r="B470" i="1"/>
  <c r="C470" i="1" s="1"/>
  <c r="B472" i="1"/>
  <c r="C472" i="1" s="1"/>
  <c r="B474" i="1"/>
  <c r="C474" i="1" s="1"/>
  <c r="B476" i="1"/>
  <c r="C476" i="1" s="1"/>
  <c r="B477" i="1"/>
  <c r="C477" i="1" s="1"/>
  <c r="B479" i="1"/>
  <c r="C479" i="1" s="1"/>
  <c r="B480" i="1"/>
  <c r="C480" i="1" s="1"/>
  <c r="B481" i="1"/>
  <c r="C481" i="1" s="1"/>
  <c r="B484" i="1"/>
  <c r="C484" i="1" s="1"/>
  <c r="B486" i="1"/>
  <c r="C486" i="1" s="1"/>
  <c r="B487" i="1"/>
  <c r="C487" i="1" s="1"/>
  <c r="B489" i="1"/>
  <c r="C489" i="1" s="1"/>
  <c r="B493" i="1"/>
  <c r="C493" i="1" s="1"/>
  <c r="B495" i="1"/>
  <c r="C495" i="1" s="1"/>
  <c r="B497" i="1"/>
  <c r="C497" i="1" s="1"/>
  <c r="B503" i="1"/>
  <c r="C503" i="1" s="1"/>
  <c r="B505" i="1"/>
  <c r="C505" i="1" s="1"/>
  <c r="B507" i="1"/>
  <c r="C507" i="1" s="1"/>
  <c r="B511" i="1"/>
  <c r="C511" i="1" s="1"/>
  <c r="B512" i="1"/>
  <c r="C512" i="1" s="1"/>
  <c r="B513" i="1"/>
  <c r="C513" i="1" s="1"/>
  <c r="B514" i="1"/>
  <c r="C514" i="1" s="1"/>
  <c r="B516" i="1"/>
  <c r="C516" i="1" s="1"/>
  <c r="B517" i="1"/>
  <c r="C517" i="1" s="1"/>
  <c r="B519" i="1"/>
  <c r="C519" i="1" s="1"/>
  <c r="B520" i="1"/>
  <c r="C520" i="1" s="1"/>
  <c r="B522" i="1"/>
  <c r="C522" i="1" s="1"/>
  <c r="B523" i="1"/>
  <c r="C523" i="1" s="1"/>
  <c r="B525" i="1"/>
  <c r="C525" i="1" s="1"/>
  <c r="B526" i="1"/>
  <c r="C526" i="1" s="1"/>
  <c r="B527" i="1"/>
  <c r="C527" i="1" s="1"/>
  <c r="B529" i="1"/>
  <c r="C529" i="1" s="1"/>
  <c r="B531" i="1"/>
  <c r="C531" i="1" s="1"/>
  <c r="B532" i="1"/>
  <c r="C532" i="1" s="1"/>
  <c r="B533" i="1"/>
  <c r="C533" i="1" s="1"/>
  <c r="B535" i="1"/>
  <c r="C535" i="1" s="1"/>
  <c r="B536" i="1"/>
  <c r="C536" i="1" s="1"/>
  <c r="B537" i="1"/>
  <c r="C537" i="1" s="1"/>
  <c r="B538" i="1"/>
  <c r="C538" i="1" s="1"/>
  <c r="B540" i="1"/>
  <c r="C540" i="1" s="1"/>
  <c r="B542" i="1"/>
  <c r="C542" i="1" s="1"/>
  <c r="B546" i="1"/>
  <c r="C546" i="1" s="1"/>
  <c r="B547" i="1"/>
  <c r="C547" i="1" s="1"/>
  <c r="B548" i="1"/>
  <c r="C548" i="1" s="1"/>
  <c r="B551" i="1"/>
  <c r="C551" i="1" s="1"/>
  <c r="B552" i="1"/>
  <c r="C552" i="1" s="1"/>
  <c r="B553" i="1"/>
  <c r="C553" i="1" s="1"/>
  <c r="B555" i="1"/>
  <c r="C555" i="1" s="1"/>
  <c r="B556" i="1"/>
  <c r="C556" i="1" s="1"/>
  <c r="B558" i="1"/>
  <c r="C558" i="1" s="1"/>
  <c r="B560" i="1"/>
  <c r="C560" i="1" s="1"/>
  <c r="B561" i="1"/>
  <c r="C561" i="1" s="1"/>
  <c r="B562" i="1"/>
  <c r="C562" i="1" s="1"/>
  <c r="B563" i="1"/>
  <c r="C563" i="1" s="1"/>
  <c r="B564" i="1"/>
  <c r="C564" i="1" s="1"/>
  <c r="B567" i="1"/>
  <c r="C567" i="1" s="1"/>
  <c r="B568" i="1"/>
  <c r="C568" i="1" s="1"/>
  <c r="B572" i="1"/>
  <c r="C572" i="1" s="1"/>
  <c r="B574" i="1"/>
  <c r="C574" i="1" s="1"/>
  <c r="B579" i="1"/>
  <c r="C579" i="1" s="1"/>
  <c r="B580" i="1"/>
  <c r="C580" i="1" s="1"/>
  <c r="B581" i="1"/>
  <c r="C581" i="1" s="1"/>
  <c r="B583" i="1"/>
  <c r="C583" i="1" s="1"/>
  <c r="B584" i="1"/>
  <c r="C584" i="1" s="1"/>
  <c r="B585" i="1"/>
  <c r="C585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4" i="1"/>
  <c r="C594" i="1" s="1"/>
  <c r="B596" i="1"/>
  <c r="C596" i="1" s="1"/>
  <c r="B598" i="1"/>
  <c r="C598" i="1" s="1"/>
  <c r="B599" i="1"/>
  <c r="C599" i="1" s="1"/>
  <c r="B600" i="1"/>
  <c r="C600" i="1" s="1"/>
  <c r="B601" i="1"/>
  <c r="C601" i="1" s="1"/>
  <c r="B602" i="1"/>
  <c r="C602" i="1" s="1"/>
  <c r="B604" i="1"/>
  <c r="C604" i="1" s="1"/>
  <c r="B605" i="1"/>
  <c r="C605" i="1" s="1"/>
  <c r="B607" i="1"/>
  <c r="C607" i="1" s="1"/>
  <c r="B609" i="1"/>
  <c r="C609" i="1" s="1"/>
  <c r="B610" i="1"/>
  <c r="C610" i="1" s="1"/>
  <c r="B611" i="1"/>
  <c r="C611" i="1" s="1"/>
  <c r="B612" i="1"/>
  <c r="C612" i="1" s="1"/>
  <c r="B615" i="1"/>
  <c r="C615" i="1" s="1"/>
  <c r="B617" i="1"/>
  <c r="C617" i="1" s="1"/>
  <c r="B620" i="1"/>
  <c r="C620" i="1" s="1"/>
  <c r="B623" i="1"/>
  <c r="C623" i="1" s="1"/>
  <c r="B626" i="1"/>
  <c r="C626" i="1" s="1"/>
  <c r="B627" i="1"/>
  <c r="C627" i="1" s="1"/>
  <c r="B629" i="1"/>
  <c r="C629" i="1" s="1"/>
  <c r="B631" i="1"/>
  <c r="C631" i="1" s="1"/>
  <c r="B634" i="1"/>
  <c r="C634" i="1" s="1"/>
  <c r="B636" i="1"/>
  <c r="C636" i="1" s="1"/>
  <c r="B637" i="1"/>
  <c r="C637" i="1" s="1"/>
  <c r="B638" i="1"/>
  <c r="C638" i="1" s="1"/>
  <c r="B640" i="1"/>
  <c r="C640" i="1" s="1"/>
  <c r="B642" i="1"/>
  <c r="C642" i="1" s="1"/>
  <c r="B643" i="1"/>
  <c r="C643" i="1" s="1"/>
  <c r="B644" i="1"/>
  <c r="C644" i="1" s="1"/>
  <c r="B646" i="1"/>
  <c r="C646" i="1" s="1"/>
  <c r="B647" i="1"/>
  <c r="C647" i="1" s="1"/>
  <c r="B648" i="1"/>
  <c r="C648" i="1" s="1"/>
  <c r="B649" i="1"/>
  <c r="C649" i="1" s="1"/>
  <c r="B653" i="1"/>
  <c r="C653" i="1" s="1"/>
  <c r="B654" i="1"/>
  <c r="C654" i="1" s="1"/>
  <c r="B655" i="1"/>
  <c r="C655" i="1" s="1"/>
  <c r="B658" i="1"/>
  <c r="C658" i="1" s="1"/>
  <c r="B660" i="1"/>
  <c r="C660" i="1" s="1"/>
  <c r="B661" i="1"/>
  <c r="C661" i="1" s="1"/>
  <c r="B664" i="1"/>
  <c r="C664" i="1" s="1"/>
  <c r="B666" i="1"/>
  <c r="C666" i="1" s="1"/>
  <c r="B667" i="1"/>
  <c r="C667" i="1" s="1"/>
  <c r="B668" i="1"/>
  <c r="C668" i="1" s="1"/>
  <c r="B669" i="1"/>
  <c r="C669" i="1" s="1"/>
  <c r="B670" i="1"/>
  <c r="C670" i="1" s="1"/>
  <c r="B672" i="1"/>
  <c r="C672" i="1" s="1"/>
  <c r="B674" i="1"/>
  <c r="C674" i="1" s="1"/>
  <c r="B675" i="1"/>
  <c r="C675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7" i="1"/>
  <c r="C687" i="1" s="1"/>
  <c r="B689" i="1"/>
  <c r="C689" i="1" s="1"/>
  <c r="B690" i="1"/>
  <c r="C690" i="1" s="1"/>
  <c r="B692" i="1"/>
  <c r="C692" i="1" s="1"/>
  <c r="B693" i="1"/>
  <c r="C693" i="1" s="1"/>
  <c r="B695" i="1"/>
  <c r="C695" i="1" s="1"/>
  <c r="B697" i="1"/>
  <c r="C697" i="1" s="1"/>
  <c r="B698" i="1"/>
  <c r="C698" i="1" s="1"/>
  <c r="B700" i="1"/>
  <c r="C700" i="1" s="1"/>
  <c r="B701" i="1"/>
  <c r="C701" i="1" s="1"/>
  <c r="B702" i="1"/>
  <c r="C702" i="1" s="1"/>
  <c r="B703" i="1"/>
  <c r="C703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5" i="1"/>
  <c r="C715" i="1" s="1"/>
  <c r="B717" i="1"/>
  <c r="C717" i="1" s="1"/>
  <c r="B718" i="1"/>
  <c r="C718" i="1" s="1"/>
  <c r="B721" i="1"/>
  <c r="C721" i="1" s="1"/>
  <c r="B722" i="1"/>
  <c r="C722" i="1" s="1"/>
  <c r="B723" i="1"/>
  <c r="C723" i="1" s="1"/>
  <c r="B725" i="1"/>
  <c r="C725" i="1" s="1"/>
  <c r="B726" i="1"/>
  <c r="C726" i="1" s="1"/>
  <c r="B728" i="1"/>
  <c r="C728" i="1" s="1"/>
  <c r="B729" i="1"/>
  <c r="C729" i="1" s="1"/>
  <c r="B730" i="1"/>
  <c r="C730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3" i="1"/>
  <c r="C743" i="1" s="1"/>
  <c r="B745" i="1"/>
  <c r="C745" i="1" s="1"/>
  <c r="B746" i="1"/>
  <c r="C746" i="1" s="1"/>
  <c r="B747" i="1"/>
  <c r="C747" i="1" s="1"/>
  <c r="B749" i="1"/>
  <c r="C749" i="1" s="1"/>
  <c r="B750" i="1"/>
  <c r="C750" i="1" s="1"/>
  <c r="B751" i="1"/>
  <c r="C751" i="1" s="1"/>
  <c r="B752" i="1"/>
  <c r="C752" i="1" s="1"/>
  <c r="B754" i="1"/>
  <c r="C754" i="1" s="1"/>
  <c r="B755" i="1"/>
  <c r="C755" i="1" s="1"/>
  <c r="B756" i="1"/>
  <c r="C756" i="1" s="1"/>
  <c r="B757" i="1"/>
  <c r="C757" i="1" s="1"/>
  <c r="B759" i="1"/>
  <c r="C759" i="1" s="1"/>
  <c r="B760" i="1"/>
  <c r="C760" i="1" s="1"/>
  <c r="B762" i="1"/>
  <c r="C762" i="1" s="1"/>
  <c r="B763" i="1"/>
  <c r="C763" i="1" s="1"/>
  <c r="B765" i="1"/>
  <c r="C765" i="1" s="1"/>
  <c r="B766" i="1"/>
  <c r="C766" i="1" s="1"/>
  <c r="B768" i="1"/>
  <c r="C768" i="1" s="1"/>
  <c r="B769" i="1"/>
  <c r="C769" i="1" s="1"/>
  <c r="B770" i="1"/>
  <c r="C770" i="1" s="1"/>
  <c r="B771" i="1"/>
  <c r="C771" i="1" s="1"/>
  <c r="B773" i="1"/>
  <c r="C773" i="1" s="1"/>
  <c r="B774" i="1"/>
  <c r="C774" i="1" s="1"/>
  <c r="B775" i="1"/>
  <c r="C775" i="1" s="1"/>
  <c r="B777" i="1"/>
  <c r="C777" i="1" s="1"/>
  <c r="B778" i="1"/>
  <c r="C778" i="1" s="1"/>
  <c r="B780" i="1"/>
  <c r="C780" i="1" s="1"/>
  <c r="B781" i="1"/>
  <c r="C781" i="1" s="1"/>
  <c r="B783" i="1"/>
  <c r="C783" i="1" s="1"/>
  <c r="B784" i="1"/>
  <c r="C784" i="1" s="1"/>
  <c r="B789" i="1"/>
  <c r="C789" i="1" s="1"/>
  <c r="B791" i="1"/>
  <c r="C791" i="1" s="1"/>
  <c r="B792" i="1"/>
  <c r="C792" i="1" s="1"/>
  <c r="B794" i="1"/>
  <c r="C794" i="1" s="1"/>
  <c r="B795" i="1"/>
  <c r="C795" i="1" s="1"/>
  <c r="B796" i="1"/>
  <c r="C796" i="1" s="1"/>
  <c r="B797" i="1"/>
  <c r="C797" i="1" s="1"/>
  <c r="B798" i="1"/>
  <c r="C798" i="1" s="1"/>
  <c r="B800" i="1"/>
  <c r="C800" i="1" s="1"/>
  <c r="B802" i="1"/>
  <c r="C802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1" i="1"/>
  <c r="C811" i="1" s="1"/>
  <c r="B812" i="1"/>
  <c r="C812" i="1" s="1"/>
  <c r="B813" i="1"/>
  <c r="C813" i="1" s="1"/>
  <c r="B815" i="1"/>
  <c r="C815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30" i="1"/>
  <c r="C830" i="1" s="1"/>
  <c r="B831" i="1"/>
  <c r="C831" i="1" s="1"/>
  <c r="B833" i="1"/>
  <c r="C833" i="1" s="1"/>
  <c r="B835" i="1"/>
  <c r="C835" i="1" s="1"/>
  <c r="B836" i="1"/>
  <c r="C836" i="1" s="1"/>
  <c r="B837" i="1"/>
  <c r="C837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6" i="1"/>
  <c r="C846" i="1" s="1"/>
  <c r="B847" i="1"/>
  <c r="C847" i="1" s="1"/>
  <c r="B849" i="1"/>
  <c r="C849" i="1" s="1"/>
  <c r="B851" i="1"/>
  <c r="C851" i="1" s="1"/>
  <c r="B852" i="1"/>
  <c r="C852" i="1" s="1"/>
  <c r="B853" i="1"/>
  <c r="C853" i="1" s="1"/>
  <c r="B855" i="1"/>
  <c r="C855" i="1" s="1"/>
  <c r="B856" i="1"/>
  <c r="C856" i="1" s="1"/>
  <c r="B857" i="1"/>
  <c r="C857" i="1" s="1"/>
  <c r="B859" i="1"/>
  <c r="C859" i="1" s="1"/>
  <c r="B860" i="1"/>
  <c r="C860" i="1" s="1"/>
  <c r="B861" i="1"/>
  <c r="C861" i="1" s="1"/>
  <c r="B862" i="1"/>
  <c r="C862" i="1" s="1"/>
  <c r="B864" i="1"/>
  <c r="C864" i="1" s="1"/>
  <c r="B865" i="1"/>
  <c r="C865" i="1" s="1"/>
  <c r="B866" i="1"/>
  <c r="C866" i="1" s="1"/>
  <c r="B867" i="1"/>
  <c r="C867" i="1" s="1"/>
  <c r="B869" i="1"/>
  <c r="C869" i="1" s="1"/>
  <c r="B871" i="1"/>
  <c r="C871" i="1" s="1"/>
  <c r="B872" i="1"/>
  <c r="C872" i="1" s="1"/>
  <c r="B873" i="1"/>
  <c r="C873" i="1" s="1"/>
  <c r="B874" i="1"/>
  <c r="C874" i="1" s="1"/>
  <c r="B876" i="1"/>
  <c r="C876" i="1" s="1"/>
  <c r="B877" i="1"/>
  <c r="C877" i="1" s="1"/>
  <c r="B878" i="1"/>
  <c r="C878" i="1" s="1"/>
  <c r="B879" i="1"/>
  <c r="C879" i="1" s="1"/>
  <c r="B881" i="1"/>
  <c r="C881" i="1" s="1"/>
  <c r="B882" i="1"/>
  <c r="C882" i="1" s="1"/>
  <c r="B883" i="1"/>
  <c r="C883" i="1" s="1"/>
  <c r="B884" i="1"/>
  <c r="C884" i="1" s="1"/>
  <c r="B886" i="1"/>
  <c r="C886" i="1" s="1"/>
  <c r="B887" i="1"/>
  <c r="C887" i="1" s="1"/>
  <c r="B888" i="1"/>
  <c r="C888" i="1" s="1"/>
  <c r="B890" i="1"/>
  <c r="C890" i="1" s="1"/>
  <c r="B891" i="1"/>
  <c r="C891" i="1" s="1"/>
  <c r="B892" i="1"/>
  <c r="C892" i="1" s="1"/>
  <c r="B893" i="1"/>
  <c r="C893" i="1" s="1"/>
  <c r="B894" i="1"/>
  <c r="C894" i="1" s="1"/>
  <c r="B896" i="1"/>
  <c r="C896" i="1" s="1"/>
  <c r="B897" i="1"/>
  <c r="C897" i="1" s="1"/>
  <c r="B899" i="1"/>
  <c r="C899" i="1" s="1"/>
  <c r="B900" i="1"/>
  <c r="C900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9" i="1"/>
  <c r="C909" i="1" s="1"/>
  <c r="B910" i="1"/>
  <c r="C910" i="1" s="1"/>
  <c r="B911" i="1"/>
  <c r="C911" i="1" s="1"/>
  <c r="B912" i="1"/>
  <c r="C912" i="1" s="1"/>
  <c r="B914" i="1"/>
  <c r="C914" i="1" s="1"/>
  <c r="B915" i="1"/>
  <c r="C915" i="1" s="1"/>
  <c r="B917" i="1"/>
  <c r="C917" i="1" s="1"/>
  <c r="B918" i="1"/>
  <c r="C918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AH46" i="1" l="1"/>
  <c r="X46" i="1" s="1"/>
  <c r="AH47" i="1"/>
  <c r="X47" i="1" s="1"/>
  <c r="AN46" i="1"/>
  <c r="AN47" i="1"/>
  <c r="AQ46" i="1"/>
  <c r="AR46" i="1" s="1"/>
  <c r="AQ47" i="1"/>
  <c r="AR47" i="1" s="1"/>
  <c r="AT46" i="1"/>
  <c r="AT47" i="1"/>
  <c r="AG46" i="1" l="1"/>
  <c r="AO46" i="1" s="1"/>
  <c r="AG47" i="1"/>
  <c r="AO47" i="1" s="1"/>
  <c r="Y47" i="1"/>
  <c r="Z47" i="1" s="1"/>
  <c r="AA47" i="1" s="1"/>
  <c r="Y46" i="1"/>
  <c r="Z46" i="1" s="1"/>
  <c r="AA46" i="1" s="1"/>
  <c r="AP46" i="1" l="1"/>
  <c r="AB46" i="1"/>
  <c r="AC46" i="1" s="1"/>
  <c r="AB47" i="1"/>
  <c r="AC47" i="1" s="1"/>
  <c r="AP47" i="1"/>
  <c r="AH329" i="1" l="1"/>
  <c r="X329" i="1" s="1"/>
  <c r="AN329" i="1"/>
  <c r="AT329" i="1"/>
  <c r="AQ329" i="1" l="1"/>
  <c r="AR329" i="1" s="1"/>
  <c r="AG329" i="1"/>
  <c r="AO329" i="1" s="1"/>
  <c r="Y329" i="1"/>
  <c r="AP329" i="1" l="1"/>
  <c r="Z329" i="1"/>
  <c r="AA329" i="1" l="1"/>
  <c r="AB329" i="1" s="1"/>
  <c r="AC329" i="1" s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H136" i="1" l="1"/>
  <c r="X136" i="1" s="1"/>
  <c r="AN136" i="1"/>
  <c r="AQ136" i="1"/>
  <c r="AR136" i="1" s="1"/>
  <c r="Y136" i="1" l="1"/>
  <c r="AG136" i="1"/>
  <c r="AP136" i="1" s="1"/>
  <c r="AH425" i="1"/>
  <c r="AN425" i="1"/>
  <c r="AQ425" i="1" l="1"/>
  <c r="AR425" i="1" s="1"/>
  <c r="AO136" i="1"/>
  <c r="AG425" i="1"/>
  <c r="AO425" i="1" s="1"/>
  <c r="X425" i="1"/>
  <c r="AP425" i="1"/>
  <c r="Z136" i="1"/>
  <c r="AA136" i="1" s="1"/>
  <c r="AB136" i="1" l="1"/>
  <c r="AC136" i="1" s="1"/>
  <c r="Y425" i="1"/>
  <c r="Z425" i="1" l="1"/>
  <c r="AA425" i="1" s="1"/>
  <c r="G1" i="17"/>
  <c r="G14" i="3"/>
  <c r="AB425" i="1" l="1"/>
  <c r="AC425" i="1" s="1"/>
  <c r="AH135" i="1"/>
  <c r="X135" i="1" s="1"/>
  <c r="AN135" i="1"/>
  <c r="AQ135" i="1"/>
  <c r="AR135" i="1" s="1"/>
  <c r="AH112" i="1"/>
  <c r="X112" i="1" s="1"/>
  <c r="AN112" i="1"/>
  <c r="AQ112" i="1" l="1"/>
  <c r="AR112" i="1" s="1"/>
  <c r="AO112" i="1"/>
  <c r="Y135" i="1"/>
  <c r="Z135" i="1" s="1"/>
  <c r="AG135" i="1"/>
  <c r="AP135" i="1" s="1"/>
  <c r="Y112" i="1"/>
  <c r="Z112" i="1" s="1"/>
  <c r="AG112" i="1"/>
  <c r="AP112" i="1" s="1"/>
  <c r="AO135" i="1" l="1"/>
  <c r="AA135" i="1"/>
  <c r="AB135" i="1" s="1"/>
  <c r="AC135" i="1" s="1"/>
  <c r="AA112" i="1"/>
  <c r="AB112" i="1" s="1"/>
  <c r="AC112" i="1" s="1"/>
  <c r="AH113" i="1"/>
  <c r="X113" i="1" s="1"/>
  <c r="Y113" i="1" l="1"/>
  <c r="Z113" i="1" s="1"/>
  <c r="AG113" i="1"/>
  <c r="AN113" i="1"/>
  <c r="AH89" i="1"/>
  <c r="X89" i="1" s="1"/>
  <c r="AN89" i="1"/>
  <c r="AQ89" i="1" l="1"/>
  <c r="AR89" i="1" s="1"/>
  <c r="AO89" i="1"/>
  <c r="AQ113" i="1"/>
  <c r="AR113" i="1" s="1"/>
  <c r="AO113" i="1"/>
  <c r="AG89" i="1"/>
  <c r="AP89" i="1" s="1"/>
  <c r="Y89" i="1"/>
  <c r="AP113" i="1"/>
  <c r="AA113" i="1"/>
  <c r="AB113" i="1" s="1"/>
  <c r="AC113" i="1" s="1"/>
  <c r="AH50" i="1"/>
  <c r="X50" i="1" s="1"/>
  <c r="AN50" i="1"/>
  <c r="AQ50" i="1"/>
  <c r="AR50" i="1" s="1"/>
  <c r="AG50" i="1" l="1"/>
  <c r="AP50" i="1" s="1"/>
  <c r="Y50" i="1"/>
  <c r="Z89" i="1"/>
  <c r="AA89" i="1" s="1"/>
  <c r="AB89" i="1" s="1"/>
  <c r="AC89" i="1" s="1"/>
  <c r="Z50" i="1"/>
  <c r="AA50" i="1" s="1"/>
  <c r="AQ4" i="1"/>
  <c r="AR4" i="1" s="1"/>
  <c r="AQ6" i="1"/>
  <c r="AR6" i="1" s="1"/>
  <c r="AQ9" i="1"/>
  <c r="AR9" i="1" s="1"/>
  <c r="AQ11" i="1"/>
  <c r="AR11" i="1" s="1"/>
  <c r="AQ22" i="1"/>
  <c r="AR22" i="1" s="1"/>
  <c r="AQ24" i="1"/>
  <c r="AR24" i="1" s="1"/>
  <c r="AQ26" i="1"/>
  <c r="AR26" i="1" s="1"/>
  <c r="AQ28" i="1"/>
  <c r="AR28" i="1" s="1"/>
  <c r="AQ29" i="1"/>
  <c r="AR29" i="1" s="1"/>
  <c r="AQ30" i="1"/>
  <c r="AR30" i="1" s="1"/>
  <c r="AQ36" i="1"/>
  <c r="AR36" i="1" s="1"/>
  <c r="AQ37" i="1"/>
  <c r="AR37" i="1" s="1"/>
  <c r="AQ39" i="1"/>
  <c r="AR39" i="1" s="1"/>
  <c r="AQ41" i="1"/>
  <c r="AR41" i="1" s="1"/>
  <c r="AQ43" i="1"/>
  <c r="AR43" i="1" s="1"/>
  <c r="AQ51" i="1"/>
  <c r="AR51" i="1" s="1"/>
  <c r="AQ53" i="1"/>
  <c r="AR53" i="1" s="1"/>
  <c r="AQ55" i="1"/>
  <c r="AR55" i="1" s="1"/>
  <c r="AQ58" i="1"/>
  <c r="AR58" i="1" s="1"/>
  <c r="AQ60" i="1"/>
  <c r="AR60" i="1" s="1"/>
  <c r="AQ61" i="1"/>
  <c r="AR61" i="1" s="1"/>
  <c r="AQ67" i="1"/>
  <c r="AR67" i="1" s="1"/>
  <c r="AQ68" i="1"/>
  <c r="AR68" i="1" s="1"/>
  <c r="AQ71" i="1"/>
  <c r="AR71" i="1" s="1"/>
  <c r="AQ74" i="1"/>
  <c r="AR74" i="1" s="1"/>
  <c r="AQ76" i="1"/>
  <c r="AR76" i="1" s="1"/>
  <c r="AQ77" i="1"/>
  <c r="AR77" i="1" s="1"/>
  <c r="AQ78" i="1"/>
  <c r="AR78" i="1" s="1"/>
  <c r="AQ79" i="1"/>
  <c r="AR79" i="1" s="1"/>
  <c r="AQ81" i="1"/>
  <c r="AR81" i="1" s="1"/>
  <c r="AQ84" i="1"/>
  <c r="AR84" i="1" s="1"/>
  <c r="AQ86" i="1"/>
  <c r="AR86" i="1" s="1"/>
  <c r="AQ91" i="1"/>
  <c r="AR91" i="1" s="1"/>
  <c r="AQ92" i="1"/>
  <c r="AR92" i="1" s="1"/>
  <c r="AQ93" i="1"/>
  <c r="AR93" i="1" s="1"/>
  <c r="AQ94" i="1"/>
  <c r="AR94" i="1" s="1"/>
  <c r="AQ97" i="1"/>
  <c r="AR97" i="1" s="1"/>
  <c r="AQ102" i="1"/>
  <c r="AR102" i="1" s="1"/>
  <c r="AQ105" i="1"/>
  <c r="AR105" i="1" s="1"/>
  <c r="AQ108" i="1"/>
  <c r="AR108" i="1" s="1"/>
  <c r="AQ109" i="1"/>
  <c r="AR109" i="1" s="1"/>
  <c r="AQ111" i="1"/>
  <c r="AR111" i="1" s="1"/>
  <c r="AQ117" i="1"/>
  <c r="AR117" i="1" s="1"/>
  <c r="AQ118" i="1"/>
  <c r="AR118" i="1" s="1"/>
  <c r="AQ121" i="1"/>
  <c r="AR121" i="1" s="1"/>
  <c r="AQ122" i="1"/>
  <c r="AR122" i="1" s="1"/>
  <c r="AQ123" i="1"/>
  <c r="AR123" i="1" s="1"/>
  <c r="AQ124" i="1"/>
  <c r="AR124" i="1" s="1"/>
  <c r="AQ126" i="1"/>
  <c r="AR126" i="1" s="1"/>
  <c r="AQ127" i="1"/>
  <c r="AR127" i="1" s="1"/>
  <c r="AQ132" i="1"/>
  <c r="AR132" i="1" s="1"/>
  <c r="AQ138" i="1"/>
  <c r="AR138" i="1" s="1"/>
  <c r="AQ139" i="1"/>
  <c r="AR139" i="1" s="1"/>
  <c r="AQ144" i="1"/>
  <c r="AR144" i="1" s="1"/>
  <c r="AQ145" i="1"/>
  <c r="AR145" i="1" s="1"/>
  <c r="AQ155" i="1"/>
  <c r="AR155" i="1" s="1"/>
  <c r="AQ157" i="1"/>
  <c r="AR157" i="1" s="1"/>
  <c r="AQ158" i="1"/>
  <c r="AR158" i="1" s="1"/>
  <c r="AQ159" i="1"/>
  <c r="AR159" i="1" s="1"/>
  <c r="AQ160" i="1"/>
  <c r="AR160" i="1" s="1"/>
  <c r="AQ173" i="1"/>
  <c r="AR173" i="1" s="1"/>
  <c r="AQ174" i="1"/>
  <c r="AR174" i="1" s="1"/>
  <c r="AQ178" i="1"/>
  <c r="AR178" i="1" s="1"/>
  <c r="AQ181" i="1"/>
  <c r="AR181" i="1" s="1"/>
  <c r="AQ187" i="1"/>
  <c r="AR187" i="1" s="1"/>
  <c r="AQ188" i="1"/>
  <c r="AR188" i="1" s="1"/>
  <c r="AQ190" i="1"/>
  <c r="AR190" i="1" s="1"/>
  <c r="AQ200" i="1"/>
  <c r="AR200" i="1" s="1"/>
  <c r="AQ202" i="1"/>
  <c r="AR202" i="1" s="1"/>
  <c r="AQ207" i="1"/>
  <c r="AR207" i="1" s="1"/>
  <c r="AQ217" i="1"/>
  <c r="AR217" i="1" s="1"/>
  <c r="AQ219" i="1"/>
  <c r="AR219" i="1" s="1"/>
  <c r="AQ226" i="1"/>
  <c r="AR226" i="1" s="1"/>
  <c r="AQ227" i="1"/>
  <c r="AR227" i="1" s="1"/>
  <c r="AQ229" i="1"/>
  <c r="AR229" i="1" s="1"/>
  <c r="AQ233" i="1"/>
  <c r="AR233" i="1" s="1"/>
  <c r="AQ237" i="1"/>
  <c r="AR237" i="1" s="1"/>
  <c r="AQ238" i="1"/>
  <c r="AR238" i="1" s="1"/>
  <c r="AQ240" i="1"/>
  <c r="AR240" i="1" s="1"/>
  <c r="AQ242" i="1"/>
  <c r="AR242" i="1" s="1"/>
  <c r="AQ243" i="1"/>
  <c r="AR243" i="1" s="1"/>
  <c r="AQ247" i="1"/>
  <c r="AR247" i="1" s="1"/>
  <c r="AQ251" i="1"/>
  <c r="AR251" i="1" s="1"/>
  <c r="AQ253" i="1"/>
  <c r="AR253" i="1" s="1"/>
  <c r="AQ255" i="1"/>
  <c r="AR255" i="1" s="1"/>
  <c r="AQ256" i="1"/>
  <c r="AR256" i="1" s="1"/>
  <c r="AQ257" i="1"/>
  <c r="AR257" i="1" s="1"/>
  <c r="AQ258" i="1"/>
  <c r="AR258" i="1" s="1"/>
  <c r="AQ265" i="1"/>
  <c r="AR265" i="1" s="1"/>
  <c r="AQ267" i="1"/>
  <c r="AR267" i="1" s="1"/>
  <c r="AQ272" i="1"/>
  <c r="AR272" i="1" s="1"/>
  <c r="AQ273" i="1"/>
  <c r="AR273" i="1" s="1"/>
  <c r="AQ274" i="1"/>
  <c r="AR274" i="1" s="1"/>
  <c r="AQ276" i="1"/>
  <c r="AR276" i="1" s="1"/>
  <c r="AQ278" i="1"/>
  <c r="AR278" i="1" s="1"/>
  <c r="AQ280" i="1"/>
  <c r="AR280" i="1" s="1"/>
  <c r="AQ282" i="1"/>
  <c r="AR282" i="1" s="1"/>
  <c r="AQ283" i="1"/>
  <c r="AR283" i="1" s="1"/>
  <c r="AQ284" i="1"/>
  <c r="AR284" i="1" s="1"/>
  <c r="AQ286" i="1"/>
  <c r="AR286" i="1" s="1"/>
  <c r="AQ288" i="1"/>
  <c r="AR288" i="1" s="1"/>
  <c r="AQ289" i="1"/>
  <c r="AR289" i="1" s="1"/>
  <c r="AQ299" i="1"/>
  <c r="AR299" i="1" s="1"/>
  <c r="AQ301" i="1"/>
  <c r="AR301" i="1" s="1"/>
  <c r="AQ302" i="1"/>
  <c r="AR302" i="1" s="1"/>
  <c r="AQ307" i="1"/>
  <c r="AR307" i="1" s="1"/>
  <c r="AQ311" i="1"/>
  <c r="AR311" i="1" s="1"/>
  <c r="AQ313" i="1"/>
  <c r="AR313" i="1" s="1"/>
  <c r="AQ317" i="1"/>
  <c r="AR317" i="1" s="1"/>
  <c r="AQ320" i="1"/>
  <c r="AR320" i="1" s="1"/>
  <c r="AQ321" i="1"/>
  <c r="AR321" i="1" s="1"/>
  <c r="AQ323" i="1"/>
  <c r="AR323" i="1" s="1"/>
  <c r="AQ326" i="1"/>
  <c r="AR326" i="1" s="1"/>
  <c r="AQ328" i="1"/>
  <c r="AR328" i="1" s="1"/>
  <c r="AQ331" i="1"/>
  <c r="AR331" i="1" s="1"/>
  <c r="AQ332" i="1"/>
  <c r="AR332" i="1" s="1"/>
  <c r="AQ334" i="1"/>
  <c r="AR334" i="1" s="1"/>
  <c r="AQ335" i="1"/>
  <c r="AR335" i="1" s="1"/>
  <c r="AQ339" i="1"/>
  <c r="AR339" i="1" s="1"/>
  <c r="AQ342" i="1"/>
  <c r="AR342" i="1" s="1"/>
  <c r="AQ344" i="1"/>
  <c r="AR344" i="1" s="1"/>
  <c r="AQ347" i="1"/>
  <c r="AR347" i="1" s="1"/>
  <c r="AQ348" i="1"/>
  <c r="AR348" i="1" s="1"/>
  <c r="AQ349" i="1"/>
  <c r="AR349" i="1" s="1"/>
  <c r="AQ350" i="1"/>
  <c r="AR350" i="1" s="1"/>
  <c r="AQ354" i="1"/>
  <c r="AR354" i="1" s="1"/>
  <c r="AQ358" i="1"/>
  <c r="AR358" i="1" s="1"/>
  <c r="AQ360" i="1"/>
  <c r="AR360" i="1" s="1"/>
  <c r="AQ361" i="1"/>
  <c r="AR361" i="1" s="1"/>
  <c r="AQ366" i="1"/>
  <c r="AR366" i="1" s="1"/>
  <c r="AQ371" i="1"/>
  <c r="AR371" i="1" s="1"/>
  <c r="AQ375" i="1"/>
  <c r="AR375" i="1" s="1"/>
  <c r="AQ377" i="1"/>
  <c r="AR377" i="1" s="1"/>
  <c r="AQ380" i="1"/>
  <c r="AR380" i="1" s="1"/>
  <c r="AQ382" i="1"/>
  <c r="AR382" i="1" s="1"/>
  <c r="AQ385" i="1"/>
  <c r="AR385" i="1" s="1"/>
  <c r="AQ386" i="1"/>
  <c r="AR386" i="1" s="1"/>
  <c r="AQ388" i="1"/>
  <c r="AR388" i="1" s="1"/>
  <c r="AQ390" i="1"/>
  <c r="AR390" i="1" s="1"/>
  <c r="AQ392" i="1"/>
  <c r="AR392" i="1" s="1"/>
  <c r="AQ394" i="1"/>
  <c r="AR394" i="1" s="1"/>
  <c r="AQ396" i="1"/>
  <c r="AR396" i="1" s="1"/>
  <c r="AQ398" i="1"/>
  <c r="AR398" i="1" s="1"/>
  <c r="AQ399" i="1"/>
  <c r="AR399" i="1" s="1"/>
  <c r="AQ400" i="1"/>
  <c r="AR400" i="1" s="1"/>
  <c r="AQ401" i="1"/>
  <c r="AR401" i="1" s="1"/>
  <c r="AQ403" i="1"/>
  <c r="AR403" i="1" s="1"/>
  <c r="AQ405" i="1"/>
  <c r="AR405" i="1" s="1"/>
  <c r="AQ410" i="1"/>
  <c r="AR410" i="1" s="1"/>
  <c r="AQ412" i="1"/>
  <c r="AR412" i="1" s="1"/>
  <c r="AQ417" i="1"/>
  <c r="AR417" i="1" s="1"/>
  <c r="AQ418" i="1"/>
  <c r="AR418" i="1" s="1"/>
  <c r="AQ421" i="1"/>
  <c r="AR421" i="1" s="1"/>
  <c r="AQ422" i="1"/>
  <c r="AR422" i="1" s="1"/>
  <c r="AQ424" i="1"/>
  <c r="AR424" i="1" s="1"/>
  <c r="AQ429" i="1"/>
  <c r="AR429" i="1" s="1"/>
  <c r="AQ430" i="1"/>
  <c r="AR430" i="1" s="1"/>
  <c r="AQ435" i="1"/>
  <c r="AR435" i="1" s="1"/>
  <c r="AQ438" i="1"/>
  <c r="AR438" i="1" s="1"/>
  <c r="AQ441" i="1"/>
  <c r="AR441" i="1" s="1"/>
  <c r="AQ443" i="1"/>
  <c r="AR443" i="1" s="1"/>
  <c r="AQ445" i="1"/>
  <c r="AR445" i="1" s="1"/>
  <c r="AQ446" i="1"/>
  <c r="AR446" i="1" s="1"/>
  <c r="AQ447" i="1"/>
  <c r="AR447" i="1" s="1"/>
  <c r="AQ451" i="1"/>
  <c r="AR451" i="1" s="1"/>
  <c r="AQ452" i="1"/>
  <c r="AR452" i="1" s="1"/>
  <c r="AQ454" i="1"/>
  <c r="AR454" i="1" s="1"/>
  <c r="AQ455" i="1"/>
  <c r="AR455" i="1" s="1"/>
  <c r="AQ457" i="1"/>
  <c r="AR457" i="1" s="1"/>
  <c r="AQ458" i="1"/>
  <c r="AR458" i="1" s="1"/>
  <c r="AQ468" i="1"/>
  <c r="AR468" i="1" s="1"/>
  <c r="AQ470" i="1"/>
  <c r="AR470" i="1" s="1"/>
  <c r="AQ474" i="1"/>
  <c r="AR474" i="1" s="1"/>
  <c r="AQ476" i="1"/>
  <c r="AR476" i="1" s="1"/>
  <c r="AQ479" i="1"/>
  <c r="AR479" i="1" s="1"/>
  <c r="AQ480" i="1"/>
  <c r="AR480" i="1" s="1"/>
  <c r="AQ486" i="1"/>
  <c r="AR486" i="1" s="1"/>
  <c r="AQ495" i="1"/>
  <c r="AR495" i="1" s="1"/>
  <c r="AQ502" i="1"/>
  <c r="AR502" i="1" s="1"/>
  <c r="AQ503" i="1"/>
  <c r="AR503" i="1" s="1"/>
  <c r="AQ505" i="1"/>
  <c r="AR505" i="1" s="1"/>
  <c r="AQ507" i="1"/>
  <c r="AR507" i="1" s="1"/>
  <c r="AQ511" i="1"/>
  <c r="AR511" i="1" s="1"/>
  <c r="AQ512" i="1"/>
  <c r="AR512" i="1" s="1"/>
  <c r="AQ513" i="1"/>
  <c r="AR513" i="1" s="1"/>
  <c r="AQ516" i="1"/>
  <c r="AR516" i="1" s="1"/>
  <c r="AQ517" i="1"/>
  <c r="AR517" i="1" s="1"/>
  <c r="AQ519" i="1"/>
  <c r="AR519" i="1" s="1"/>
  <c r="AQ520" i="1"/>
  <c r="AR520" i="1" s="1"/>
  <c r="AQ522" i="1"/>
  <c r="AR522" i="1" s="1"/>
  <c r="AQ527" i="1"/>
  <c r="AR527" i="1" s="1"/>
  <c r="AQ532" i="1"/>
  <c r="AR532" i="1" s="1"/>
  <c r="AQ533" i="1"/>
  <c r="AR533" i="1" s="1"/>
  <c r="AQ535" i="1"/>
  <c r="AR535" i="1" s="1"/>
  <c r="AQ537" i="1"/>
  <c r="AR537" i="1" s="1"/>
  <c r="AQ546" i="1"/>
  <c r="AR546" i="1" s="1"/>
  <c r="AQ547" i="1"/>
  <c r="AR547" i="1" s="1"/>
  <c r="AQ548" i="1"/>
  <c r="AR548" i="1" s="1"/>
  <c r="AQ551" i="1"/>
  <c r="AR551" i="1" s="1"/>
  <c r="AQ553" i="1"/>
  <c r="AR553" i="1" s="1"/>
  <c r="AQ555" i="1"/>
  <c r="AR555" i="1" s="1"/>
  <c r="AQ558" i="1"/>
  <c r="AR558" i="1" s="1"/>
  <c r="AQ560" i="1"/>
  <c r="AR560" i="1" s="1"/>
  <c r="AQ561" i="1"/>
  <c r="AR561" i="1" s="1"/>
  <c r="AQ562" i="1"/>
  <c r="AR562" i="1" s="1"/>
  <c r="AQ563" i="1"/>
  <c r="AR563" i="1" s="1"/>
  <c r="AQ564" i="1"/>
  <c r="AR564" i="1" s="1"/>
  <c r="AQ567" i="1"/>
  <c r="AR567" i="1" s="1"/>
  <c r="AQ568" i="1"/>
  <c r="AR568" i="1" s="1"/>
  <c r="AQ572" i="1"/>
  <c r="AR572" i="1" s="1"/>
  <c r="AQ574" i="1"/>
  <c r="AR574" i="1" s="1"/>
  <c r="AQ580" i="1"/>
  <c r="AR580" i="1" s="1"/>
  <c r="AQ583" i="1"/>
  <c r="AR583" i="1" s="1"/>
  <c r="AQ587" i="1"/>
  <c r="AR587" i="1" s="1"/>
  <c r="AQ589" i="1"/>
  <c r="AR589" i="1" s="1"/>
  <c r="AQ590" i="1"/>
  <c r="AR590" i="1" s="1"/>
  <c r="AQ591" i="1"/>
  <c r="AR591" i="1" s="1"/>
  <c r="AQ592" i="1"/>
  <c r="AR592" i="1" s="1"/>
  <c r="AQ594" i="1"/>
  <c r="AR594" i="1" s="1"/>
  <c r="AQ596" i="1"/>
  <c r="AR596" i="1" s="1"/>
  <c r="AQ598" i="1"/>
  <c r="AR598" i="1" s="1"/>
  <c r="AQ599" i="1"/>
  <c r="AR599" i="1" s="1"/>
  <c r="AQ601" i="1"/>
  <c r="AR601" i="1" s="1"/>
  <c r="AQ602" i="1"/>
  <c r="AR602" i="1" s="1"/>
  <c r="AQ604" i="1"/>
  <c r="AR604" i="1" s="1"/>
  <c r="AQ609" i="1"/>
  <c r="AR609" i="1" s="1"/>
  <c r="AQ611" i="1"/>
  <c r="AR611" i="1" s="1"/>
  <c r="AQ612" i="1"/>
  <c r="AR612" i="1" s="1"/>
  <c r="AQ617" i="1"/>
  <c r="AR617" i="1" s="1"/>
  <c r="AQ623" i="1"/>
  <c r="AR623" i="1" s="1"/>
  <c r="AQ626" i="1"/>
  <c r="AR626" i="1" s="1"/>
  <c r="AQ627" i="1"/>
  <c r="AR627" i="1" s="1"/>
  <c r="AQ629" i="1"/>
  <c r="AR629" i="1" s="1"/>
  <c r="AQ631" i="1"/>
  <c r="AR631" i="1" s="1"/>
  <c r="AQ634" i="1"/>
  <c r="AR634" i="1" s="1"/>
  <c r="AQ636" i="1"/>
  <c r="AR636" i="1" s="1"/>
  <c r="AQ637" i="1"/>
  <c r="AR637" i="1" s="1"/>
  <c r="AQ638" i="1"/>
  <c r="AR638" i="1" s="1"/>
  <c r="AQ640" i="1"/>
  <c r="AR640" i="1" s="1"/>
  <c r="AQ642" i="1"/>
  <c r="AR642" i="1" s="1"/>
  <c r="AQ643" i="1"/>
  <c r="AR643" i="1" s="1"/>
  <c r="AQ644" i="1"/>
  <c r="AR644" i="1" s="1"/>
  <c r="AQ646" i="1"/>
  <c r="AR646" i="1" s="1"/>
  <c r="AQ647" i="1"/>
  <c r="AR647" i="1" s="1"/>
  <c r="AQ648" i="1"/>
  <c r="AR648" i="1" s="1"/>
  <c r="AQ649" i="1"/>
  <c r="AR649" i="1" s="1"/>
  <c r="AQ653" i="1"/>
  <c r="AR653" i="1" s="1"/>
  <c r="AQ654" i="1"/>
  <c r="AR654" i="1" s="1"/>
  <c r="AQ655" i="1"/>
  <c r="AR655" i="1" s="1"/>
  <c r="AQ658" i="1"/>
  <c r="AR658" i="1" s="1"/>
  <c r="AQ660" i="1"/>
  <c r="AR660" i="1" s="1"/>
  <c r="AQ661" i="1"/>
  <c r="AR661" i="1" s="1"/>
  <c r="AQ664" i="1"/>
  <c r="AR664" i="1" s="1"/>
  <c r="AQ666" i="1"/>
  <c r="AR666" i="1" s="1"/>
  <c r="AQ667" i="1"/>
  <c r="AR667" i="1" s="1"/>
  <c r="AQ668" i="1"/>
  <c r="AR668" i="1" s="1"/>
  <c r="AQ669" i="1"/>
  <c r="AR669" i="1" s="1"/>
  <c r="AQ670" i="1"/>
  <c r="AR670" i="1" s="1"/>
  <c r="AQ672" i="1"/>
  <c r="AR672" i="1" s="1"/>
  <c r="AQ674" i="1"/>
  <c r="AR674" i="1" s="1"/>
  <c r="AQ675" i="1"/>
  <c r="AR675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2" i="1"/>
  <c r="AR682" i="1" s="1"/>
  <c r="AQ683" i="1"/>
  <c r="AR683" i="1" s="1"/>
  <c r="AQ684" i="1"/>
  <c r="AR684" i="1" s="1"/>
  <c r="AQ685" i="1"/>
  <c r="AR685" i="1" s="1"/>
  <c r="AQ687" i="1"/>
  <c r="AR687" i="1" s="1"/>
  <c r="AQ689" i="1"/>
  <c r="AR689" i="1" s="1"/>
  <c r="AQ690" i="1"/>
  <c r="AR690" i="1" s="1"/>
  <c r="AQ692" i="1"/>
  <c r="AR692" i="1" s="1"/>
  <c r="AQ693" i="1"/>
  <c r="AR693" i="1" s="1"/>
  <c r="AQ695" i="1"/>
  <c r="AR695" i="1" s="1"/>
  <c r="AQ697" i="1"/>
  <c r="AR697" i="1" s="1"/>
  <c r="AQ698" i="1"/>
  <c r="AR698" i="1" s="1"/>
  <c r="AQ700" i="1"/>
  <c r="AR700" i="1" s="1"/>
  <c r="AQ701" i="1"/>
  <c r="AR701" i="1" s="1"/>
  <c r="AQ702" i="1"/>
  <c r="AR702" i="1" s="1"/>
  <c r="AQ703" i="1"/>
  <c r="AR703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5" i="1"/>
  <c r="AR715" i="1" s="1"/>
  <c r="AQ717" i="1"/>
  <c r="AR717" i="1" s="1"/>
  <c r="AQ718" i="1"/>
  <c r="AR718" i="1" s="1"/>
  <c r="AQ721" i="1"/>
  <c r="AR721" i="1" s="1"/>
  <c r="AQ722" i="1"/>
  <c r="AR722" i="1" s="1"/>
  <c r="AQ723" i="1"/>
  <c r="AR723" i="1" s="1"/>
  <c r="AQ725" i="1"/>
  <c r="AR725" i="1" s="1"/>
  <c r="AQ726" i="1"/>
  <c r="AR726" i="1" s="1"/>
  <c r="AQ728" i="1"/>
  <c r="AR728" i="1" s="1"/>
  <c r="AQ729" i="1"/>
  <c r="AR729" i="1" s="1"/>
  <c r="AQ730" i="1"/>
  <c r="AR730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3" i="1"/>
  <c r="AR743" i="1" s="1"/>
  <c r="AQ745" i="1"/>
  <c r="AR745" i="1" s="1"/>
  <c r="AQ746" i="1"/>
  <c r="AR746" i="1" s="1"/>
  <c r="AQ747" i="1"/>
  <c r="AR747" i="1" s="1"/>
  <c r="AQ749" i="1"/>
  <c r="AR749" i="1" s="1"/>
  <c r="AQ750" i="1"/>
  <c r="AR750" i="1" s="1"/>
  <c r="AQ751" i="1"/>
  <c r="AR751" i="1" s="1"/>
  <c r="AQ752" i="1"/>
  <c r="AR752" i="1" s="1"/>
  <c r="AQ754" i="1"/>
  <c r="AR754" i="1" s="1"/>
  <c r="AQ755" i="1"/>
  <c r="AR755" i="1" s="1"/>
  <c r="AQ756" i="1"/>
  <c r="AR756" i="1" s="1"/>
  <c r="AQ757" i="1"/>
  <c r="AR757" i="1" s="1"/>
  <c r="AQ759" i="1"/>
  <c r="AR759" i="1" s="1"/>
  <c r="AQ760" i="1"/>
  <c r="AR760" i="1" s="1"/>
  <c r="AQ762" i="1"/>
  <c r="AR762" i="1" s="1"/>
  <c r="AQ763" i="1"/>
  <c r="AR763" i="1" s="1"/>
  <c r="AQ765" i="1"/>
  <c r="AR765" i="1" s="1"/>
  <c r="AQ766" i="1"/>
  <c r="AR766" i="1" s="1"/>
  <c r="AQ768" i="1"/>
  <c r="AR768" i="1" s="1"/>
  <c r="AQ769" i="1"/>
  <c r="AR769" i="1" s="1"/>
  <c r="AQ770" i="1"/>
  <c r="AR770" i="1" s="1"/>
  <c r="AQ771" i="1"/>
  <c r="AR771" i="1" s="1"/>
  <c r="AQ773" i="1"/>
  <c r="AR773" i="1" s="1"/>
  <c r="AQ774" i="1"/>
  <c r="AR774" i="1" s="1"/>
  <c r="AQ775" i="1"/>
  <c r="AR775" i="1" s="1"/>
  <c r="AQ777" i="1"/>
  <c r="AR777" i="1" s="1"/>
  <c r="AQ778" i="1"/>
  <c r="AR778" i="1" s="1"/>
  <c r="AQ780" i="1"/>
  <c r="AR780" i="1" s="1"/>
  <c r="AQ781" i="1"/>
  <c r="AR781" i="1" s="1"/>
  <c r="AQ783" i="1"/>
  <c r="AR783" i="1" s="1"/>
  <c r="AQ784" i="1"/>
  <c r="AR784" i="1" s="1"/>
  <c r="AQ789" i="1"/>
  <c r="AR789" i="1" s="1"/>
  <c r="AQ791" i="1"/>
  <c r="AR791" i="1" s="1"/>
  <c r="AQ792" i="1"/>
  <c r="AR792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5" i="1"/>
  <c r="AR815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30" i="1"/>
  <c r="AR830" i="1" s="1"/>
  <c r="AQ831" i="1"/>
  <c r="AR831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6" i="1"/>
  <c r="AR846" i="1" s="1"/>
  <c r="AQ847" i="1"/>
  <c r="AR847" i="1" s="1"/>
  <c r="AQ849" i="1"/>
  <c r="AR849" i="1" s="1"/>
  <c r="AQ851" i="1"/>
  <c r="AR851" i="1" s="1"/>
  <c r="AQ852" i="1"/>
  <c r="AR852" i="1" s="1"/>
  <c r="AQ853" i="1"/>
  <c r="AR853" i="1" s="1"/>
  <c r="AQ855" i="1"/>
  <c r="AR855" i="1" s="1"/>
  <c r="AQ856" i="1"/>
  <c r="AR856" i="1" s="1"/>
  <c r="AQ857" i="1"/>
  <c r="AR857" i="1" s="1"/>
  <c r="AQ859" i="1"/>
  <c r="AR859" i="1" s="1"/>
  <c r="AQ860" i="1"/>
  <c r="AR860" i="1" s="1"/>
  <c r="AQ861" i="1"/>
  <c r="AR861" i="1" s="1"/>
  <c r="AQ862" i="1"/>
  <c r="AR862" i="1" s="1"/>
  <c r="AQ864" i="1"/>
  <c r="AR864" i="1" s="1"/>
  <c r="AQ865" i="1"/>
  <c r="AR865" i="1" s="1"/>
  <c r="AQ866" i="1"/>
  <c r="AR866" i="1" s="1"/>
  <c r="AQ867" i="1"/>
  <c r="AR867" i="1" s="1"/>
  <c r="AQ869" i="1"/>
  <c r="AR869" i="1" s="1"/>
  <c r="AQ871" i="1"/>
  <c r="AR871" i="1" s="1"/>
  <c r="AQ872" i="1"/>
  <c r="AR872" i="1" s="1"/>
  <c r="AQ873" i="1"/>
  <c r="AR873" i="1" s="1"/>
  <c r="AQ874" i="1"/>
  <c r="AR874" i="1" s="1"/>
  <c r="AQ876" i="1"/>
  <c r="AR876" i="1" s="1"/>
  <c r="AQ877" i="1"/>
  <c r="AR877" i="1" s="1"/>
  <c r="AQ878" i="1"/>
  <c r="AR878" i="1" s="1"/>
  <c r="AQ879" i="1"/>
  <c r="AR879" i="1" s="1"/>
  <c r="AQ881" i="1"/>
  <c r="AR881" i="1" s="1"/>
  <c r="AQ882" i="1"/>
  <c r="AR882" i="1" s="1"/>
  <c r="AQ883" i="1"/>
  <c r="AR883" i="1" s="1"/>
  <c r="AQ884" i="1"/>
  <c r="AR884" i="1" s="1"/>
  <c r="AQ886" i="1"/>
  <c r="AR886" i="1" s="1"/>
  <c r="AQ887" i="1"/>
  <c r="AR887" i="1" s="1"/>
  <c r="AQ888" i="1"/>
  <c r="AR888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6" i="1"/>
  <c r="AR896" i="1" s="1"/>
  <c r="AQ897" i="1"/>
  <c r="AR897" i="1" s="1"/>
  <c r="AQ899" i="1"/>
  <c r="AR899" i="1" s="1"/>
  <c r="AQ900" i="1"/>
  <c r="AR900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9" i="1"/>
  <c r="AR909" i="1" s="1"/>
  <c r="AQ910" i="1"/>
  <c r="AR910" i="1" s="1"/>
  <c r="AQ911" i="1"/>
  <c r="AR911" i="1" s="1"/>
  <c r="AQ912" i="1"/>
  <c r="AR912" i="1" s="1"/>
  <c r="AQ914" i="1"/>
  <c r="AR914" i="1" s="1"/>
  <c r="AQ915" i="1"/>
  <c r="AR915" i="1" s="1"/>
  <c r="AQ917" i="1"/>
  <c r="AR917" i="1" s="1"/>
  <c r="AQ918" i="1"/>
  <c r="AR918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Q925" i="1"/>
  <c r="AR925" i="1" s="1"/>
  <c r="AQ926" i="1"/>
  <c r="AR926" i="1" s="1"/>
  <c r="AQ927" i="1"/>
  <c r="AR927" i="1" s="1"/>
  <c r="AQ928" i="1"/>
  <c r="AR928" i="1" s="1"/>
  <c r="AQ929" i="1"/>
  <c r="AR929" i="1" s="1"/>
  <c r="AQ930" i="1"/>
  <c r="AR930" i="1" s="1"/>
  <c r="AQ931" i="1"/>
  <c r="AR931" i="1" s="1"/>
  <c r="AQ932" i="1"/>
  <c r="AR932" i="1" s="1"/>
  <c r="AQ933" i="1"/>
  <c r="AR933" i="1" s="1"/>
  <c r="AQ934" i="1"/>
  <c r="AR934" i="1" s="1"/>
  <c r="AQ935" i="1"/>
  <c r="AR935" i="1" s="1"/>
  <c r="AQ936" i="1"/>
  <c r="AR936" i="1" s="1"/>
  <c r="AQ937" i="1"/>
  <c r="AR937" i="1" s="1"/>
  <c r="AQ938" i="1"/>
  <c r="AR938" i="1" s="1"/>
  <c r="AQ939" i="1"/>
  <c r="AR939" i="1" s="1"/>
  <c r="AQ940" i="1"/>
  <c r="AR940" i="1" s="1"/>
  <c r="AQ941" i="1"/>
  <c r="AR941" i="1" s="1"/>
  <c r="AH3" i="1"/>
  <c r="X3" i="1" s="1"/>
  <c r="AH4" i="1"/>
  <c r="X4" i="1" s="1"/>
  <c r="AH5" i="1"/>
  <c r="X5" i="1" s="1"/>
  <c r="AH6" i="1"/>
  <c r="X6" i="1" s="1"/>
  <c r="AH7" i="1"/>
  <c r="X7" i="1" s="1"/>
  <c r="AH8" i="1"/>
  <c r="X8" i="1" s="1"/>
  <c r="AH9" i="1"/>
  <c r="X9" i="1" s="1"/>
  <c r="AH10" i="1"/>
  <c r="X10" i="1" s="1"/>
  <c r="AH11" i="1"/>
  <c r="X11" i="1" s="1"/>
  <c r="AH12" i="1"/>
  <c r="X12" i="1" s="1"/>
  <c r="AH13" i="1"/>
  <c r="X13" i="1" s="1"/>
  <c r="AH14" i="1"/>
  <c r="X14" i="1" s="1"/>
  <c r="AH15" i="1"/>
  <c r="X15" i="1" s="1"/>
  <c r="AH16" i="1"/>
  <c r="X16" i="1" s="1"/>
  <c r="AH17" i="1"/>
  <c r="X17" i="1" s="1"/>
  <c r="AH18" i="1"/>
  <c r="X18" i="1" s="1"/>
  <c r="AH19" i="1"/>
  <c r="AH20" i="1"/>
  <c r="X20" i="1" s="1"/>
  <c r="AH21" i="1"/>
  <c r="X21" i="1" s="1"/>
  <c r="AH22" i="1"/>
  <c r="X22" i="1" s="1"/>
  <c r="AH23" i="1"/>
  <c r="X23" i="1" s="1"/>
  <c r="AH24" i="1"/>
  <c r="X24" i="1" s="1"/>
  <c r="AH25" i="1"/>
  <c r="X25" i="1" s="1"/>
  <c r="AH26" i="1"/>
  <c r="X26" i="1" s="1"/>
  <c r="AH28" i="1"/>
  <c r="X28" i="1" s="1"/>
  <c r="AH29" i="1"/>
  <c r="X29" i="1" s="1"/>
  <c r="AH30" i="1"/>
  <c r="X30" i="1" s="1"/>
  <c r="AH31" i="1"/>
  <c r="X31" i="1" s="1"/>
  <c r="AH32" i="1"/>
  <c r="X32" i="1" s="1"/>
  <c r="AH33" i="1"/>
  <c r="X33" i="1" s="1"/>
  <c r="AH34" i="1"/>
  <c r="X34" i="1" s="1"/>
  <c r="AH35" i="1"/>
  <c r="X35" i="1" s="1"/>
  <c r="AH36" i="1"/>
  <c r="X36" i="1" s="1"/>
  <c r="AH37" i="1"/>
  <c r="X37" i="1" s="1"/>
  <c r="AH38" i="1"/>
  <c r="X38" i="1" s="1"/>
  <c r="AH39" i="1"/>
  <c r="X39" i="1" s="1"/>
  <c r="AH40" i="1"/>
  <c r="X40" i="1" s="1"/>
  <c r="AH41" i="1"/>
  <c r="X41" i="1" s="1"/>
  <c r="AH42" i="1"/>
  <c r="X42" i="1" s="1"/>
  <c r="AH43" i="1"/>
  <c r="X43" i="1" s="1"/>
  <c r="AH44" i="1"/>
  <c r="X44" i="1" s="1"/>
  <c r="AH45" i="1"/>
  <c r="X45" i="1" s="1"/>
  <c r="AH48" i="1"/>
  <c r="X48" i="1" s="1"/>
  <c r="AH49" i="1"/>
  <c r="X49" i="1" s="1"/>
  <c r="AH51" i="1"/>
  <c r="X51" i="1" s="1"/>
  <c r="AH52" i="1"/>
  <c r="X52" i="1" s="1"/>
  <c r="AH53" i="1"/>
  <c r="X53" i="1" s="1"/>
  <c r="AH54" i="1"/>
  <c r="X54" i="1" s="1"/>
  <c r="AH55" i="1"/>
  <c r="AH56" i="1"/>
  <c r="X56" i="1" s="1"/>
  <c r="AH57" i="1"/>
  <c r="X57" i="1" s="1"/>
  <c r="AH58" i="1"/>
  <c r="X58" i="1" s="1"/>
  <c r="AH59" i="1"/>
  <c r="X59" i="1" s="1"/>
  <c r="AH60" i="1"/>
  <c r="X60" i="1" s="1"/>
  <c r="AH61" i="1"/>
  <c r="X61" i="1" s="1"/>
  <c r="AH62" i="1"/>
  <c r="X62" i="1" s="1"/>
  <c r="AH63" i="1"/>
  <c r="X63" i="1" s="1"/>
  <c r="AH64" i="1"/>
  <c r="X64" i="1" s="1"/>
  <c r="AH65" i="1"/>
  <c r="X65" i="1" s="1"/>
  <c r="AH66" i="1"/>
  <c r="X66" i="1" s="1"/>
  <c r="AH67" i="1"/>
  <c r="X67" i="1" s="1"/>
  <c r="AH68" i="1"/>
  <c r="X68" i="1" s="1"/>
  <c r="AH69" i="1"/>
  <c r="X69" i="1" s="1"/>
  <c r="AH70" i="1"/>
  <c r="X70" i="1" s="1"/>
  <c r="AH71" i="1"/>
  <c r="X71" i="1" s="1"/>
  <c r="AH72" i="1"/>
  <c r="AH73" i="1"/>
  <c r="AH74" i="1"/>
  <c r="X74" i="1" s="1"/>
  <c r="AH75" i="1"/>
  <c r="AH76" i="1"/>
  <c r="AH77" i="1"/>
  <c r="AH78" i="1"/>
  <c r="AH79" i="1"/>
  <c r="X79" i="1" s="1"/>
  <c r="AH80" i="1"/>
  <c r="AH81" i="1"/>
  <c r="AH82" i="1"/>
  <c r="X82" i="1" s="1"/>
  <c r="AH83" i="1"/>
  <c r="AH84" i="1"/>
  <c r="AH85" i="1"/>
  <c r="AH86" i="1"/>
  <c r="X86" i="1" s="1"/>
  <c r="AH87" i="1"/>
  <c r="X87" i="1" s="1"/>
  <c r="AH88" i="1"/>
  <c r="X88" i="1" s="1"/>
  <c r="AH90" i="1"/>
  <c r="AH91" i="1"/>
  <c r="AH92" i="1"/>
  <c r="AH93" i="1"/>
  <c r="AH94" i="1"/>
  <c r="X94" i="1" s="1"/>
  <c r="AH95" i="1"/>
  <c r="AG95" i="1" s="1"/>
  <c r="AH96" i="1"/>
  <c r="AH97" i="1"/>
  <c r="X97" i="1" s="1"/>
  <c r="AH98" i="1"/>
  <c r="AG98" i="1" s="1"/>
  <c r="AH99" i="1"/>
  <c r="AH100" i="1"/>
  <c r="X100" i="1" s="1"/>
  <c r="AH101" i="1"/>
  <c r="AH102" i="1"/>
  <c r="AH103" i="1"/>
  <c r="AG103" i="1" s="1"/>
  <c r="AH104" i="1"/>
  <c r="AH105" i="1"/>
  <c r="AH106" i="1"/>
  <c r="AH107" i="1"/>
  <c r="AH108" i="1"/>
  <c r="AH109" i="1"/>
  <c r="X109" i="1" s="1"/>
  <c r="AH110" i="1"/>
  <c r="X110" i="1" s="1"/>
  <c r="AH111" i="1"/>
  <c r="X111" i="1" s="1"/>
  <c r="AH114" i="1"/>
  <c r="X114" i="1" s="1"/>
  <c r="AH115" i="1"/>
  <c r="X115" i="1" s="1"/>
  <c r="AH116" i="1"/>
  <c r="X116" i="1" s="1"/>
  <c r="AH117" i="1"/>
  <c r="X117" i="1" s="1"/>
  <c r="AH118" i="1"/>
  <c r="X118" i="1" s="1"/>
  <c r="AH119" i="1"/>
  <c r="X119" i="1" s="1"/>
  <c r="AH121" i="1"/>
  <c r="X121" i="1" s="1"/>
  <c r="AH122" i="1"/>
  <c r="X122" i="1" s="1"/>
  <c r="AH123" i="1"/>
  <c r="X123" i="1" s="1"/>
  <c r="AH124" i="1"/>
  <c r="X124" i="1" s="1"/>
  <c r="AH125" i="1"/>
  <c r="X125" i="1" s="1"/>
  <c r="AH126" i="1"/>
  <c r="X126" i="1" s="1"/>
  <c r="AH127" i="1"/>
  <c r="X127" i="1" s="1"/>
  <c r="AH128" i="1"/>
  <c r="X128" i="1" s="1"/>
  <c r="AH129" i="1"/>
  <c r="AH130" i="1"/>
  <c r="X130" i="1" s="1"/>
  <c r="AH131" i="1"/>
  <c r="X131" i="1" s="1"/>
  <c r="AH132" i="1"/>
  <c r="X132" i="1" s="1"/>
  <c r="AH133" i="1"/>
  <c r="X133" i="1" s="1"/>
  <c r="AH134" i="1"/>
  <c r="X134" i="1" s="1"/>
  <c r="AH137" i="1"/>
  <c r="X137" i="1" s="1"/>
  <c r="AH138" i="1"/>
  <c r="X138" i="1" s="1"/>
  <c r="AH139" i="1"/>
  <c r="X139" i="1" s="1"/>
  <c r="AH140" i="1"/>
  <c r="X140" i="1" s="1"/>
  <c r="AH141" i="1"/>
  <c r="X141" i="1" s="1"/>
  <c r="AH142" i="1"/>
  <c r="X142" i="1" s="1"/>
  <c r="AH143" i="1"/>
  <c r="X143" i="1" s="1"/>
  <c r="AH144" i="1"/>
  <c r="X144" i="1" s="1"/>
  <c r="AH145" i="1"/>
  <c r="X145" i="1" s="1"/>
  <c r="AH146" i="1"/>
  <c r="X146" i="1" s="1"/>
  <c r="AH147" i="1"/>
  <c r="X147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X154" i="1" s="1"/>
  <c r="AH155" i="1"/>
  <c r="AH156" i="1"/>
  <c r="X156" i="1" s="1"/>
  <c r="AH157" i="1"/>
  <c r="X157" i="1" s="1"/>
  <c r="AH158" i="1"/>
  <c r="X158" i="1" s="1"/>
  <c r="AH159" i="1"/>
  <c r="X159" i="1" s="1"/>
  <c r="AH160" i="1"/>
  <c r="X160" i="1" s="1"/>
  <c r="AH161" i="1"/>
  <c r="X161" i="1" s="1"/>
  <c r="AH162" i="1"/>
  <c r="X162" i="1" s="1"/>
  <c r="AH163" i="1"/>
  <c r="X163" i="1" s="1"/>
  <c r="AH164" i="1"/>
  <c r="X164" i="1" s="1"/>
  <c r="AH165" i="1"/>
  <c r="X165" i="1" s="1"/>
  <c r="AH166" i="1"/>
  <c r="X166" i="1" s="1"/>
  <c r="AH167" i="1"/>
  <c r="X167" i="1" s="1"/>
  <c r="AH168" i="1"/>
  <c r="X168" i="1" s="1"/>
  <c r="AH169" i="1"/>
  <c r="X169" i="1" s="1"/>
  <c r="AH170" i="1"/>
  <c r="X170" i="1" s="1"/>
  <c r="AH171" i="1"/>
  <c r="X171" i="1" s="1"/>
  <c r="AH172" i="1"/>
  <c r="X172" i="1" s="1"/>
  <c r="AH173" i="1"/>
  <c r="X173" i="1" s="1"/>
  <c r="AH174" i="1"/>
  <c r="X174" i="1" s="1"/>
  <c r="AH175" i="1"/>
  <c r="X175" i="1" s="1"/>
  <c r="AH176" i="1"/>
  <c r="X176" i="1" s="1"/>
  <c r="AH177" i="1"/>
  <c r="X177" i="1" s="1"/>
  <c r="AH178" i="1"/>
  <c r="X178" i="1" s="1"/>
  <c r="AH179" i="1"/>
  <c r="AH180" i="1"/>
  <c r="X180" i="1" s="1"/>
  <c r="AH181" i="1"/>
  <c r="X181" i="1" s="1"/>
  <c r="AH182" i="1"/>
  <c r="X182" i="1" s="1"/>
  <c r="AH183" i="1"/>
  <c r="X183" i="1" s="1"/>
  <c r="AH184" i="1"/>
  <c r="X184" i="1" s="1"/>
  <c r="AH185" i="1"/>
  <c r="X185" i="1" s="1"/>
  <c r="AH186" i="1"/>
  <c r="X186" i="1" s="1"/>
  <c r="AH187" i="1"/>
  <c r="X187" i="1" s="1"/>
  <c r="AH188" i="1"/>
  <c r="X188" i="1" s="1"/>
  <c r="AH189" i="1"/>
  <c r="X189" i="1" s="1"/>
  <c r="AH190" i="1"/>
  <c r="X190" i="1" s="1"/>
  <c r="AH191" i="1"/>
  <c r="X191" i="1" s="1"/>
  <c r="AH192" i="1"/>
  <c r="X192" i="1" s="1"/>
  <c r="AH193" i="1"/>
  <c r="X193" i="1" s="1"/>
  <c r="AH194" i="1"/>
  <c r="X194" i="1" s="1"/>
  <c r="AH195" i="1"/>
  <c r="X195" i="1" s="1"/>
  <c r="AH196" i="1"/>
  <c r="X196" i="1" s="1"/>
  <c r="AH197" i="1"/>
  <c r="X197" i="1" s="1"/>
  <c r="AH198" i="1"/>
  <c r="X198" i="1" s="1"/>
  <c r="AH199" i="1"/>
  <c r="X199" i="1" s="1"/>
  <c r="AH200" i="1"/>
  <c r="X200" i="1" s="1"/>
  <c r="AH201" i="1"/>
  <c r="X201" i="1" s="1"/>
  <c r="AH202" i="1"/>
  <c r="X202" i="1" s="1"/>
  <c r="AH203" i="1"/>
  <c r="AH204" i="1"/>
  <c r="X204" i="1" s="1"/>
  <c r="AH205" i="1"/>
  <c r="X205" i="1" s="1"/>
  <c r="AH206" i="1"/>
  <c r="X206" i="1" s="1"/>
  <c r="AH207" i="1"/>
  <c r="X207" i="1" s="1"/>
  <c r="AH208" i="1"/>
  <c r="X208" i="1" s="1"/>
  <c r="AH209" i="1"/>
  <c r="X209" i="1" s="1"/>
  <c r="AH210" i="1"/>
  <c r="X210" i="1" s="1"/>
  <c r="AH211" i="1"/>
  <c r="AH212" i="1"/>
  <c r="X212" i="1" s="1"/>
  <c r="AH213" i="1"/>
  <c r="X213" i="1" s="1"/>
  <c r="AH214" i="1"/>
  <c r="X214" i="1" s="1"/>
  <c r="AH215" i="1"/>
  <c r="X215" i="1" s="1"/>
  <c r="AH216" i="1"/>
  <c r="X216" i="1" s="1"/>
  <c r="AH217" i="1"/>
  <c r="X217" i="1" s="1"/>
  <c r="AH218" i="1"/>
  <c r="X218" i="1" s="1"/>
  <c r="AH219" i="1"/>
  <c r="AH220" i="1"/>
  <c r="X220" i="1" s="1"/>
  <c r="AH221" i="1"/>
  <c r="X221" i="1" s="1"/>
  <c r="AH222" i="1"/>
  <c r="X222" i="1" s="1"/>
  <c r="AH223" i="1"/>
  <c r="AH224" i="1"/>
  <c r="X224" i="1" s="1"/>
  <c r="AH225" i="1"/>
  <c r="X225" i="1" s="1"/>
  <c r="AH226" i="1"/>
  <c r="X226" i="1" s="1"/>
  <c r="AH227" i="1"/>
  <c r="X227" i="1" s="1"/>
  <c r="AH228" i="1"/>
  <c r="X228" i="1" s="1"/>
  <c r="AH229" i="1"/>
  <c r="X229" i="1" s="1"/>
  <c r="AH230" i="1"/>
  <c r="X230" i="1" s="1"/>
  <c r="AH231" i="1"/>
  <c r="X231" i="1" s="1"/>
  <c r="AH232" i="1"/>
  <c r="X232" i="1" s="1"/>
  <c r="AH233" i="1"/>
  <c r="X233" i="1" s="1"/>
  <c r="AH234" i="1"/>
  <c r="X234" i="1" s="1"/>
  <c r="AH235" i="1"/>
  <c r="AH236" i="1"/>
  <c r="X236" i="1" s="1"/>
  <c r="AH237" i="1"/>
  <c r="X237" i="1" s="1"/>
  <c r="AH238" i="1"/>
  <c r="X238" i="1" s="1"/>
  <c r="AH239" i="1"/>
  <c r="X239" i="1" s="1"/>
  <c r="AH240" i="1"/>
  <c r="X240" i="1" s="1"/>
  <c r="AH241" i="1"/>
  <c r="X241" i="1" s="1"/>
  <c r="AH242" i="1"/>
  <c r="X242" i="1" s="1"/>
  <c r="AH243" i="1"/>
  <c r="X243" i="1" s="1"/>
  <c r="AH244" i="1"/>
  <c r="X244" i="1" s="1"/>
  <c r="AH245" i="1"/>
  <c r="X245" i="1" s="1"/>
  <c r="AH246" i="1"/>
  <c r="X246" i="1" s="1"/>
  <c r="AH247" i="1"/>
  <c r="X247" i="1" s="1"/>
  <c r="AH248" i="1"/>
  <c r="X248" i="1" s="1"/>
  <c r="AH249" i="1"/>
  <c r="X249" i="1" s="1"/>
  <c r="AH250" i="1"/>
  <c r="X250" i="1" s="1"/>
  <c r="AH251" i="1"/>
  <c r="X251" i="1" s="1"/>
  <c r="AH252" i="1"/>
  <c r="X252" i="1" s="1"/>
  <c r="AH253" i="1"/>
  <c r="X253" i="1" s="1"/>
  <c r="AH254" i="1"/>
  <c r="X254" i="1" s="1"/>
  <c r="AH255" i="1"/>
  <c r="X255" i="1" s="1"/>
  <c r="AH256" i="1"/>
  <c r="X256" i="1" s="1"/>
  <c r="AH257" i="1"/>
  <c r="X257" i="1" s="1"/>
  <c r="AH258" i="1"/>
  <c r="X258" i="1" s="1"/>
  <c r="AH259" i="1"/>
  <c r="X259" i="1" s="1"/>
  <c r="AH260" i="1"/>
  <c r="X260" i="1" s="1"/>
  <c r="AH261" i="1"/>
  <c r="X261" i="1" s="1"/>
  <c r="AH262" i="1"/>
  <c r="X262" i="1" s="1"/>
  <c r="AH263" i="1"/>
  <c r="X263" i="1" s="1"/>
  <c r="AH264" i="1"/>
  <c r="X264" i="1" s="1"/>
  <c r="AH265" i="1"/>
  <c r="X265" i="1" s="1"/>
  <c r="AH266" i="1"/>
  <c r="X266" i="1" s="1"/>
  <c r="AH267" i="1"/>
  <c r="X267" i="1" s="1"/>
  <c r="AH268" i="1"/>
  <c r="X268" i="1" s="1"/>
  <c r="AH269" i="1"/>
  <c r="X269" i="1" s="1"/>
  <c r="AH270" i="1"/>
  <c r="X270" i="1" s="1"/>
  <c r="AH271" i="1"/>
  <c r="X271" i="1" s="1"/>
  <c r="AH272" i="1"/>
  <c r="X272" i="1" s="1"/>
  <c r="AH273" i="1"/>
  <c r="X273" i="1" s="1"/>
  <c r="AH274" i="1"/>
  <c r="X274" i="1" s="1"/>
  <c r="AH275" i="1"/>
  <c r="X275" i="1" s="1"/>
  <c r="AH276" i="1"/>
  <c r="X276" i="1" s="1"/>
  <c r="AH277" i="1"/>
  <c r="X277" i="1" s="1"/>
  <c r="AH278" i="1"/>
  <c r="X278" i="1" s="1"/>
  <c r="AH279" i="1"/>
  <c r="X279" i="1" s="1"/>
  <c r="AH280" i="1"/>
  <c r="AH281" i="1"/>
  <c r="X281" i="1" s="1"/>
  <c r="AH282" i="1"/>
  <c r="X282" i="1" s="1"/>
  <c r="AH283" i="1"/>
  <c r="X283" i="1" s="1"/>
  <c r="AH284" i="1"/>
  <c r="X284" i="1" s="1"/>
  <c r="AH285" i="1"/>
  <c r="X285" i="1" s="1"/>
  <c r="AH286" i="1"/>
  <c r="X286" i="1" s="1"/>
  <c r="AH287" i="1"/>
  <c r="X287" i="1" s="1"/>
  <c r="AH288" i="1"/>
  <c r="X288" i="1" s="1"/>
  <c r="AH289" i="1"/>
  <c r="X289" i="1" s="1"/>
  <c r="AH290" i="1"/>
  <c r="X290" i="1" s="1"/>
  <c r="AH291" i="1"/>
  <c r="AH292" i="1"/>
  <c r="X292" i="1" s="1"/>
  <c r="AH293" i="1"/>
  <c r="X293" i="1" s="1"/>
  <c r="AH294" i="1"/>
  <c r="X294" i="1" s="1"/>
  <c r="AH295" i="1"/>
  <c r="X295" i="1" s="1"/>
  <c r="AH296" i="1"/>
  <c r="X296" i="1" s="1"/>
  <c r="AH297" i="1"/>
  <c r="X297" i="1" s="1"/>
  <c r="AH298" i="1"/>
  <c r="X298" i="1" s="1"/>
  <c r="AH299" i="1"/>
  <c r="X299" i="1" s="1"/>
  <c r="AH300" i="1"/>
  <c r="X300" i="1" s="1"/>
  <c r="AH301" i="1"/>
  <c r="X301" i="1" s="1"/>
  <c r="AH302" i="1"/>
  <c r="X302" i="1" s="1"/>
  <c r="AH303" i="1"/>
  <c r="X303" i="1" s="1"/>
  <c r="AH304" i="1"/>
  <c r="X304" i="1" s="1"/>
  <c r="AH305" i="1"/>
  <c r="X305" i="1" s="1"/>
  <c r="AH306" i="1"/>
  <c r="X306" i="1" s="1"/>
  <c r="AH307" i="1"/>
  <c r="X307" i="1" s="1"/>
  <c r="AH308" i="1"/>
  <c r="X308" i="1" s="1"/>
  <c r="AH309" i="1"/>
  <c r="X309" i="1" s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AH324" i="1"/>
  <c r="X324" i="1" s="1"/>
  <c r="AH325" i="1"/>
  <c r="X325" i="1" s="1"/>
  <c r="AH326" i="1"/>
  <c r="X326" i="1" s="1"/>
  <c r="AH327" i="1"/>
  <c r="X327" i="1" s="1"/>
  <c r="AH328" i="1"/>
  <c r="X328" i="1" s="1"/>
  <c r="AH330" i="1"/>
  <c r="X330" i="1" s="1"/>
  <c r="AH331" i="1"/>
  <c r="X331" i="1" s="1"/>
  <c r="AH332" i="1"/>
  <c r="AH333" i="1"/>
  <c r="X333" i="1" s="1"/>
  <c r="AH334" i="1"/>
  <c r="X334" i="1" s="1"/>
  <c r="AH335" i="1"/>
  <c r="X335" i="1" s="1"/>
  <c r="AH336" i="1"/>
  <c r="AH337" i="1"/>
  <c r="X337" i="1" s="1"/>
  <c r="AH338" i="1"/>
  <c r="X338" i="1" s="1"/>
  <c r="AH339" i="1"/>
  <c r="X339" i="1" s="1"/>
  <c r="AH340" i="1"/>
  <c r="X340" i="1" s="1"/>
  <c r="AH341" i="1"/>
  <c r="X341" i="1" s="1"/>
  <c r="AH342" i="1"/>
  <c r="X342" i="1" s="1"/>
  <c r="AH343" i="1"/>
  <c r="X343" i="1" s="1"/>
  <c r="AH344" i="1"/>
  <c r="AH345" i="1"/>
  <c r="X345" i="1" s="1"/>
  <c r="AH346" i="1"/>
  <c r="X346" i="1" s="1"/>
  <c r="AH347" i="1"/>
  <c r="X347" i="1" s="1"/>
  <c r="AH348" i="1"/>
  <c r="X348" i="1" s="1"/>
  <c r="AH349" i="1"/>
  <c r="X349" i="1" s="1"/>
  <c r="AH350" i="1"/>
  <c r="X350" i="1" s="1"/>
  <c r="AH351" i="1"/>
  <c r="X351" i="1" s="1"/>
  <c r="AH352" i="1"/>
  <c r="X352" i="1" s="1"/>
  <c r="AH353" i="1"/>
  <c r="X353" i="1" s="1"/>
  <c r="AH354" i="1"/>
  <c r="X354" i="1" s="1"/>
  <c r="AH355" i="1"/>
  <c r="X355" i="1" s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H372" i="1"/>
  <c r="X372" i="1" s="1"/>
  <c r="AH373" i="1"/>
  <c r="X373" i="1" s="1"/>
  <c r="AH374" i="1"/>
  <c r="X374" i="1" s="1"/>
  <c r="AH375" i="1"/>
  <c r="X375" i="1" s="1"/>
  <c r="AH376" i="1"/>
  <c r="X376" i="1" s="1"/>
  <c r="AH377" i="1"/>
  <c r="X377" i="1" s="1"/>
  <c r="AH378" i="1"/>
  <c r="X378" i="1" s="1"/>
  <c r="AH379" i="1"/>
  <c r="X379" i="1" s="1"/>
  <c r="AH380" i="1"/>
  <c r="AH381" i="1"/>
  <c r="X381" i="1" s="1"/>
  <c r="AH382" i="1"/>
  <c r="X382" i="1" s="1"/>
  <c r="AH383" i="1"/>
  <c r="X383" i="1" s="1"/>
  <c r="AH384" i="1"/>
  <c r="X384" i="1" s="1"/>
  <c r="AH385" i="1"/>
  <c r="X385" i="1" s="1"/>
  <c r="AH386" i="1"/>
  <c r="AH387" i="1"/>
  <c r="X387" i="1" s="1"/>
  <c r="AH388" i="1"/>
  <c r="AH389" i="1"/>
  <c r="X389" i="1" s="1"/>
  <c r="AH390" i="1"/>
  <c r="X390" i="1" s="1"/>
  <c r="AH391" i="1"/>
  <c r="X391" i="1" s="1"/>
  <c r="AH392" i="1"/>
  <c r="AH393" i="1"/>
  <c r="X393" i="1" s="1"/>
  <c r="AH394" i="1"/>
  <c r="X394" i="1" s="1"/>
  <c r="AH395" i="1"/>
  <c r="X395" i="1" s="1"/>
  <c r="AH396" i="1"/>
  <c r="X396" i="1" s="1"/>
  <c r="AH397" i="1"/>
  <c r="X397" i="1" s="1"/>
  <c r="AH398" i="1"/>
  <c r="X398" i="1" s="1"/>
  <c r="AH399" i="1"/>
  <c r="X399" i="1" s="1"/>
  <c r="AH400" i="1"/>
  <c r="X400" i="1" s="1"/>
  <c r="AH401" i="1"/>
  <c r="X401" i="1" s="1"/>
  <c r="AH402" i="1"/>
  <c r="X402" i="1" s="1"/>
  <c r="AH403" i="1"/>
  <c r="X403" i="1" s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X416" i="1" s="1"/>
  <c r="AH417" i="1"/>
  <c r="X417" i="1" s="1"/>
  <c r="AH418" i="1"/>
  <c r="X418" i="1" s="1"/>
  <c r="AH419" i="1"/>
  <c r="X419" i="1" s="1"/>
  <c r="AH420" i="1"/>
  <c r="X420" i="1" s="1"/>
  <c r="AH421" i="1"/>
  <c r="X421" i="1" s="1"/>
  <c r="AH422" i="1"/>
  <c r="X422" i="1" s="1"/>
  <c r="AH423" i="1"/>
  <c r="X423" i="1" s="1"/>
  <c r="AH424" i="1"/>
  <c r="X424" i="1" s="1"/>
  <c r="AH426" i="1"/>
  <c r="X426" i="1" s="1"/>
  <c r="AH427" i="1"/>
  <c r="X427" i="1" s="1"/>
  <c r="AH428" i="1"/>
  <c r="X428" i="1" s="1"/>
  <c r="AH429" i="1"/>
  <c r="X429" i="1" s="1"/>
  <c r="AH430" i="1"/>
  <c r="X430" i="1" s="1"/>
  <c r="AH431" i="1"/>
  <c r="X431" i="1" s="1"/>
  <c r="AH432" i="1"/>
  <c r="X432" i="1" s="1"/>
  <c r="AH433" i="1"/>
  <c r="AH434" i="1"/>
  <c r="X434" i="1" s="1"/>
  <c r="AH435" i="1"/>
  <c r="X435" i="1" s="1"/>
  <c r="AH436" i="1"/>
  <c r="X436" i="1" s="1"/>
  <c r="AH437" i="1"/>
  <c r="X437" i="1" s="1"/>
  <c r="AH438" i="1"/>
  <c r="X438" i="1" s="1"/>
  <c r="AH439" i="1"/>
  <c r="X439" i="1" s="1"/>
  <c r="AH440" i="1"/>
  <c r="X440" i="1" s="1"/>
  <c r="AH441" i="1"/>
  <c r="X441" i="1" s="1"/>
  <c r="AH442" i="1"/>
  <c r="X442" i="1" s="1"/>
  <c r="AH443" i="1"/>
  <c r="X443" i="1" s="1"/>
  <c r="AH444" i="1"/>
  <c r="X444" i="1" s="1"/>
  <c r="AH445" i="1"/>
  <c r="AH446" i="1"/>
  <c r="X446" i="1" s="1"/>
  <c r="AH447" i="1"/>
  <c r="X447" i="1" s="1"/>
  <c r="AH448" i="1"/>
  <c r="X448" i="1" s="1"/>
  <c r="AH449" i="1"/>
  <c r="X449" i="1" s="1"/>
  <c r="AH450" i="1"/>
  <c r="X450" i="1" s="1"/>
  <c r="AH451" i="1"/>
  <c r="X451" i="1" s="1"/>
  <c r="AH452" i="1"/>
  <c r="X452" i="1" s="1"/>
  <c r="AH453" i="1"/>
  <c r="X453" i="1" s="1"/>
  <c r="AH454" i="1"/>
  <c r="X454" i="1" s="1"/>
  <c r="AH455" i="1"/>
  <c r="X455" i="1" s="1"/>
  <c r="AH456" i="1"/>
  <c r="X456" i="1" s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AH465" i="1"/>
  <c r="X465" i="1" s="1"/>
  <c r="AH466" i="1"/>
  <c r="X466" i="1" s="1"/>
  <c r="AH467" i="1"/>
  <c r="X467" i="1" s="1"/>
  <c r="AH468" i="1"/>
  <c r="AH469" i="1"/>
  <c r="X469" i="1" s="1"/>
  <c r="AH470" i="1"/>
  <c r="X470" i="1" s="1"/>
  <c r="AH471" i="1"/>
  <c r="X471" i="1" s="1"/>
  <c r="AH472" i="1"/>
  <c r="AH473" i="1"/>
  <c r="X473" i="1" s="1"/>
  <c r="AH474" i="1"/>
  <c r="X474" i="1" s="1"/>
  <c r="AH475" i="1"/>
  <c r="X475" i="1" s="1"/>
  <c r="AH476" i="1"/>
  <c r="X476" i="1" s="1"/>
  <c r="AH477" i="1"/>
  <c r="X477" i="1" s="1"/>
  <c r="AH478" i="1"/>
  <c r="X478" i="1" s="1"/>
  <c r="AH479" i="1"/>
  <c r="X479" i="1" s="1"/>
  <c r="AH480" i="1"/>
  <c r="X480" i="1" s="1"/>
  <c r="AH481" i="1"/>
  <c r="X481" i="1" s="1"/>
  <c r="AH482" i="1"/>
  <c r="X482" i="1" s="1"/>
  <c r="AH483" i="1"/>
  <c r="X483" i="1" s="1"/>
  <c r="AH484" i="1"/>
  <c r="X484" i="1" s="1"/>
  <c r="AH485" i="1"/>
  <c r="X485" i="1" s="1"/>
  <c r="AH486" i="1"/>
  <c r="X486" i="1" s="1"/>
  <c r="AH487" i="1"/>
  <c r="X487" i="1" s="1"/>
  <c r="AH488" i="1"/>
  <c r="X488" i="1" s="1"/>
  <c r="AH489" i="1"/>
  <c r="X489" i="1" s="1"/>
  <c r="AH490" i="1"/>
  <c r="X490" i="1" s="1"/>
  <c r="AH491" i="1"/>
  <c r="X491" i="1" s="1"/>
  <c r="AH492" i="1"/>
  <c r="X492" i="1" s="1"/>
  <c r="AH493" i="1"/>
  <c r="X493" i="1" s="1"/>
  <c r="AH494" i="1"/>
  <c r="X494" i="1" s="1"/>
  <c r="AH495" i="1"/>
  <c r="X495" i="1" s="1"/>
  <c r="AH496" i="1"/>
  <c r="X496" i="1" s="1"/>
  <c r="AH497" i="1"/>
  <c r="X497" i="1" s="1"/>
  <c r="AH498" i="1"/>
  <c r="X498" i="1" s="1"/>
  <c r="AH499" i="1"/>
  <c r="X499" i="1" s="1"/>
  <c r="AH500" i="1"/>
  <c r="X500" i="1" s="1"/>
  <c r="AH501" i="1"/>
  <c r="X501" i="1" s="1"/>
  <c r="AH502" i="1"/>
  <c r="X502" i="1" s="1"/>
  <c r="AH503" i="1"/>
  <c r="X503" i="1" s="1"/>
  <c r="AH504" i="1"/>
  <c r="X504" i="1" s="1"/>
  <c r="AH505" i="1"/>
  <c r="X505" i="1" s="1"/>
  <c r="AH506" i="1"/>
  <c r="X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X518" i="1" s="1"/>
  <c r="AH519" i="1"/>
  <c r="X519" i="1" s="1"/>
  <c r="AH520" i="1"/>
  <c r="X520" i="1" s="1"/>
  <c r="AH521" i="1"/>
  <c r="X521" i="1" s="1"/>
  <c r="AH522" i="1"/>
  <c r="X522" i="1" s="1"/>
  <c r="AH523" i="1"/>
  <c r="X523" i="1" s="1"/>
  <c r="AH524" i="1"/>
  <c r="X524" i="1" s="1"/>
  <c r="AH525" i="1"/>
  <c r="X525" i="1" s="1"/>
  <c r="AH526" i="1"/>
  <c r="X526" i="1" s="1"/>
  <c r="AH527" i="1"/>
  <c r="X527" i="1" s="1"/>
  <c r="AH528" i="1"/>
  <c r="X528" i="1" s="1"/>
  <c r="AH529" i="1"/>
  <c r="AH530" i="1"/>
  <c r="X530" i="1" s="1"/>
  <c r="AH531" i="1"/>
  <c r="X531" i="1" s="1"/>
  <c r="AH532" i="1"/>
  <c r="X532" i="1" s="1"/>
  <c r="AH533" i="1"/>
  <c r="X533" i="1" s="1"/>
  <c r="AH534" i="1"/>
  <c r="X534" i="1" s="1"/>
  <c r="AH535" i="1"/>
  <c r="X535" i="1" s="1"/>
  <c r="AH536" i="1"/>
  <c r="X536" i="1" s="1"/>
  <c r="AH537" i="1"/>
  <c r="X537" i="1" s="1"/>
  <c r="AH538" i="1"/>
  <c r="X538" i="1" s="1"/>
  <c r="AH539" i="1"/>
  <c r="X539" i="1" s="1"/>
  <c r="AH540" i="1"/>
  <c r="X540" i="1" s="1"/>
  <c r="AH541" i="1"/>
  <c r="X541" i="1" s="1"/>
  <c r="AH542" i="1"/>
  <c r="X542" i="1" s="1"/>
  <c r="AH543" i="1"/>
  <c r="X543" i="1" s="1"/>
  <c r="AH544" i="1"/>
  <c r="X544" i="1" s="1"/>
  <c r="AH545" i="1"/>
  <c r="X545" i="1" s="1"/>
  <c r="AH546" i="1"/>
  <c r="X546" i="1" s="1"/>
  <c r="AH547" i="1"/>
  <c r="X547" i="1" s="1"/>
  <c r="AH548" i="1"/>
  <c r="X548" i="1" s="1"/>
  <c r="AH549" i="1"/>
  <c r="X549" i="1" s="1"/>
  <c r="AH550" i="1"/>
  <c r="X550" i="1" s="1"/>
  <c r="AH551" i="1"/>
  <c r="X551" i="1" s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X558" i="1" s="1"/>
  <c r="AH559" i="1"/>
  <c r="X559" i="1" s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7" i="1"/>
  <c r="X567" i="1" s="1"/>
  <c r="AH568" i="1"/>
  <c r="X568" i="1" s="1"/>
  <c r="AH569" i="1"/>
  <c r="X569" i="1" s="1"/>
  <c r="AH570" i="1"/>
  <c r="X570" i="1" s="1"/>
  <c r="AH571" i="1"/>
  <c r="X571" i="1" s="1"/>
  <c r="AH572" i="1"/>
  <c r="X572" i="1" s="1"/>
  <c r="AH573" i="1"/>
  <c r="X573" i="1" s="1"/>
  <c r="AH574" i="1"/>
  <c r="X574" i="1" s="1"/>
  <c r="AH575" i="1"/>
  <c r="X575" i="1" s="1"/>
  <c r="AH576" i="1"/>
  <c r="X576" i="1" s="1"/>
  <c r="AH577" i="1"/>
  <c r="X577" i="1" s="1"/>
  <c r="AH578" i="1"/>
  <c r="X578" i="1" s="1"/>
  <c r="AH579" i="1"/>
  <c r="X579" i="1" s="1"/>
  <c r="AH580" i="1"/>
  <c r="X580" i="1" s="1"/>
  <c r="AH581" i="1"/>
  <c r="X581" i="1" s="1"/>
  <c r="AH582" i="1"/>
  <c r="X582" i="1" s="1"/>
  <c r="AH583" i="1"/>
  <c r="X583" i="1" s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X590" i="1" s="1"/>
  <c r="AH591" i="1"/>
  <c r="X591" i="1" s="1"/>
  <c r="AH592" i="1"/>
  <c r="X592" i="1" s="1"/>
  <c r="AH593" i="1"/>
  <c r="X593" i="1" s="1"/>
  <c r="AH594" i="1"/>
  <c r="X594" i="1" s="1"/>
  <c r="AH595" i="1"/>
  <c r="X595" i="1" s="1"/>
  <c r="AH596" i="1"/>
  <c r="X596" i="1" s="1"/>
  <c r="AH597" i="1"/>
  <c r="X597" i="1" s="1"/>
  <c r="AH598" i="1"/>
  <c r="X598" i="1" s="1"/>
  <c r="AH599" i="1"/>
  <c r="X599" i="1" s="1"/>
  <c r="AH600" i="1"/>
  <c r="X600" i="1" s="1"/>
  <c r="AH601" i="1"/>
  <c r="X601" i="1" s="1"/>
  <c r="AH602" i="1"/>
  <c r="X602" i="1" s="1"/>
  <c r="AH603" i="1"/>
  <c r="X603" i="1" s="1"/>
  <c r="AH604" i="1"/>
  <c r="X604" i="1" s="1"/>
  <c r="AH605" i="1"/>
  <c r="X605" i="1" s="1"/>
  <c r="AH606" i="1"/>
  <c r="X606" i="1" s="1"/>
  <c r="AH607" i="1"/>
  <c r="X607" i="1" s="1"/>
  <c r="AH608" i="1"/>
  <c r="X608" i="1" s="1"/>
  <c r="AH609" i="1"/>
  <c r="X609" i="1" s="1"/>
  <c r="AH610" i="1"/>
  <c r="X610" i="1" s="1"/>
  <c r="AH611" i="1"/>
  <c r="X611" i="1" s="1"/>
  <c r="AH612" i="1"/>
  <c r="AG612" i="1" s="1"/>
  <c r="AH613" i="1"/>
  <c r="X613" i="1" s="1"/>
  <c r="AH614" i="1"/>
  <c r="X614" i="1" s="1"/>
  <c r="AH615" i="1"/>
  <c r="X615" i="1" s="1"/>
  <c r="AH616" i="1"/>
  <c r="X616" i="1" s="1"/>
  <c r="AH617" i="1"/>
  <c r="AG617" i="1" s="1"/>
  <c r="AH618" i="1"/>
  <c r="X618" i="1" s="1"/>
  <c r="AH619" i="1"/>
  <c r="X619" i="1" s="1"/>
  <c r="AH620" i="1"/>
  <c r="X620" i="1" s="1"/>
  <c r="AH622" i="1"/>
  <c r="X622" i="1" s="1"/>
  <c r="AH623" i="1"/>
  <c r="X623" i="1" s="1"/>
  <c r="AH624" i="1"/>
  <c r="X624" i="1" s="1"/>
  <c r="AH625" i="1"/>
  <c r="X625" i="1" s="1"/>
  <c r="AH626" i="1"/>
  <c r="X626" i="1" s="1"/>
  <c r="AH627" i="1"/>
  <c r="X627" i="1" s="1"/>
  <c r="AH628" i="1"/>
  <c r="X628" i="1" s="1"/>
  <c r="AH629" i="1"/>
  <c r="X629" i="1" s="1"/>
  <c r="AH630" i="1"/>
  <c r="X630" i="1" s="1"/>
  <c r="AH631" i="1"/>
  <c r="AG631" i="1" s="1"/>
  <c r="AH632" i="1"/>
  <c r="X632" i="1" s="1"/>
  <c r="AH633" i="1"/>
  <c r="X633" i="1" s="1"/>
  <c r="AH634" i="1"/>
  <c r="AG634" i="1" s="1"/>
  <c r="AH635" i="1"/>
  <c r="X635" i="1" s="1"/>
  <c r="AH636" i="1"/>
  <c r="X636" i="1" s="1"/>
  <c r="AH637" i="1"/>
  <c r="X637" i="1" s="1"/>
  <c r="AH638" i="1"/>
  <c r="AG638" i="1" s="1"/>
  <c r="AH639" i="1"/>
  <c r="X639" i="1" s="1"/>
  <c r="AH640" i="1"/>
  <c r="X640" i="1" s="1"/>
  <c r="AH641" i="1"/>
  <c r="X641" i="1" s="1"/>
  <c r="AH642" i="1"/>
  <c r="X642" i="1" s="1"/>
  <c r="AH643" i="1"/>
  <c r="X643" i="1" s="1"/>
  <c r="AH644" i="1"/>
  <c r="X644" i="1" s="1"/>
  <c r="AH645" i="1"/>
  <c r="X645" i="1" s="1"/>
  <c r="AH646" i="1"/>
  <c r="X646" i="1" s="1"/>
  <c r="AH647" i="1"/>
  <c r="X647" i="1" s="1"/>
  <c r="AH648" i="1"/>
  <c r="X648" i="1" s="1"/>
  <c r="AH649" i="1"/>
  <c r="X649" i="1" s="1"/>
  <c r="AH650" i="1"/>
  <c r="AH651" i="1"/>
  <c r="X651" i="1" s="1"/>
  <c r="AH652" i="1"/>
  <c r="X652" i="1" s="1"/>
  <c r="AH653" i="1"/>
  <c r="X653" i="1" s="1"/>
  <c r="AH654" i="1"/>
  <c r="X654" i="1" s="1"/>
  <c r="AH655" i="1"/>
  <c r="AH656" i="1"/>
  <c r="X656" i="1" s="1"/>
  <c r="AH657" i="1"/>
  <c r="X657" i="1" s="1"/>
  <c r="AH658" i="1"/>
  <c r="X658" i="1" s="1"/>
  <c r="AH659" i="1"/>
  <c r="X659" i="1" s="1"/>
  <c r="AH660" i="1"/>
  <c r="X660" i="1" s="1"/>
  <c r="AH661" i="1"/>
  <c r="X661" i="1" s="1"/>
  <c r="AH662" i="1"/>
  <c r="X662" i="1" s="1"/>
  <c r="AH663" i="1"/>
  <c r="X663" i="1" s="1"/>
  <c r="AH664" i="1"/>
  <c r="X664" i="1" s="1"/>
  <c r="AH665" i="1"/>
  <c r="X665" i="1" s="1"/>
  <c r="AH666" i="1"/>
  <c r="X666" i="1" s="1"/>
  <c r="AH667" i="1"/>
  <c r="X667" i="1" s="1"/>
  <c r="AH668" i="1"/>
  <c r="X668" i="1" s="1"/>
  <c r="AH669" i="1"/>
  <c r="X669" i="1" s="1"/>
  <c r="AH670" i="1"/>
  <c r="X670" i="1" s="1"/>
  <c r="AH671" i="1"/>
  <c r="X671" i="1" s="1"/>
  <c r="AH672" i="1"/>
  <c r="X672" i="1" s="1"/>
  <c r="AH673" i="1"/>
  <c r="AH674" i="1"/>
  <c r="X674" i="1" s="1"/>
  <c r="AH675" i="1"/>
  <c r="X675" i="1" s="1"/>
  <c r="AH676" i="1"/>
  <c r="X676" i="1" s="1"/>
  <c r="AH677" i="1"/>
  <c r="X677" i="1" s="1"/>
  <c r="AH678" i="1"/>
  <c r="X678" i="1" s="1"/>
  <c r="AH679" i="1"/>
  <c r="AH680" i="1"/>
  <c r="X680" i="1" s="1"/>
  <c r="AH681" i="1"/>
  <c r="X681" i="1" s="1"/>
  <c r="AH682" i="1"/>
  <c r="X682" i="1" s="1"/>
  <c r="AH683" i="1"/>
  <c r="AH684" i="1"/>
  <c r="X684" i="1" s="1"/>
  <c r="AH685" i="1"/>
  <c r="AH686" i="1"/>
  <c r="X686" i="1" s="1"/>
  <c r="AH687" i="1"/>
  <c r="AH688" i="1"/>
  <c r="X688" i="1" s="1"/>
  <c r="AH689" i="1"/>
  <c r="X689" i="1" s="1"/>
  <c r="AH690" i="1"/>
  <c r="X690" i="1" s="1"/>
  <c r="AH691" i="1"/>
  <c r="AH692" i="1"/>
  <c r="X692" i="1" s="1"/>
  <c r="AH693" i="1"/>
  <c r="AH694" i="1"/>
  <c r="X694" i="1" s="1"/>
  <c r="AH695" i="1"/>
  <c r="AH696" i="1"/>
  <c r="X696" i="1" s="1"/>
  <c r="AH697" i="1"/>
  <c r="AH698" i="1"/>
  <c r="X698" i="1" s="1"/>
  <c r="AH699" i="1"/>
  <c r="X699" i="1" s="1"/>
  <c r="AH700" i="1"/>
  <c r="X700" i="1" s="1"/>
  <c r="AH701" i="1"/>
  <c r="AH702" i="1"/>
  <c r="X702" i="1" s="1"/>
  <c r="AH703" i="1"/>
  <c r="AH704" i="1"/>
  <c r="X704" i="1" s="1"/>
  <c r="AH705" i="1"/>
  <c r="AH706" i="1"/>
  <c r="X706" i="1" s="1"/>
  <c r="AH707" i="1"/>
  <c r="X707" i="1" s="1"/>
  <c r="AH708" i="1"/>
  <c r="X708" i="1" s="1"/>
  <c r="AH709" i="1"/>
  <c r="X709" i="1" s="1"/>
  <c r="AH710" i="1"/>
  <c r="X710" i="1" s="1"/>
  <c r="AH711" i="1"/>
  <c r="AH712" i="1"/>
  <c r="X712" i="1" s="1"/>
  <c r="AH713" i="1"/>
  <c r="X713" i="1" s="1"/>
  <c r="AH714" i="1"/>
  <c r="X714" i="1" s="1"/>
  <c r="AH715" i="1"/>
  <c r="X715" i="1" s="1"/>
  <c r="AH716" i="1"/>
  <c r="X716" i="1" s="1"/>
  <c r="AH717" i="1"/>
  <c r="X717" i="1" s="1"/>
  <c r="AH718" i="1"/>
  <c r="X718" i="1" s="1"/>
  <c r="AH719" i="1"/>
  <c r="AH721" i="1"/>
  <c r="X721" i="1" s="1"/>
  <c r="AH722" i="1"/>
  <c r="AH723" i="1"/>
  <c r="X723" i="1" s="1"/>
  <c r="AH724" i="1"/>
  <c r="X724" i="1" s="1"/>
  <c r="AH725" i="1"/>
  <c r="X725" i="1" s="1"/>
  <c r="AH726" i="1"/>
  <c r="AH727" i="1"/>
  <c r="X727" i="1" s="1"/>
  <c r="AH728" i="1"/>
  <c r="AH729" i="1"/>
  <c r="X729" i="1" s="1"/>
  <c r="AH730" i="1"/>
  <c r="AH731" i="1"/>
  <c r="X731" i="1" s="1"/>
  <c r="AH732" i="1"/>
  <c r="X732" i="1" s="1"/>
  <c r="AH733" i="1"/>
  <c r="X733" i="1" s="1"/>
  <c r="AH734" i="1"/>
  <c r="AH735" i="1"/>
  <c r="X735" i="1" s="1"/>
  <c r="AH736" i="1"/>
  <c r="AH737" i="1"/>
  <c r="X737" i="1" s="1"/>
  <c r="AH738" i="1"/>
  <c r="AH739" i="1"/>
  <c r="X739" i="1" s="1"/>
  <c r="AH740" i="1"/>
  <c r="X740" i="1" s="1"/>
  <c r="AH741" i="1"/>
  <c r="X741" i="1" s="1"/>
  <c r="AH742" i="1"/>
  <c r="X742" i="1" s="1"/>
  <c r="AH743" i="1"/>
  <c r="X743" i="1" s="1"/>
  <c r="AH744" i="1"/>
  <c r="AH745" i="1"/>
  <c r="X745" i="1" s="1"/>
  <c r="AH746" i="1"/>
  <c r="X746" i="1" s="1"/>
  <c r="AH747" i="1"/>
  <c r="X747" i="1" s="1"/>
  <c r="AH748" i="1"/>
  <c r="X748" i="1" s="1"/>
  <c r="AH749" i="1"/>
  <c r="X749" i="1" s="1"/>
  <c r="AH750" i="1"/>
  <c r="X750" i="1" s="1"/>
  <c r="AH751" i="1"/>
  <c r="X751" i="1" s="1"/>
  <c r="AH752" i="1"/>
  <c r="AH753" i="1"/>
  <c r="X753" i="1" s="1"/>
  <c r="AH754" i="1"/>
  <c r="X754" i="1" s="1"/>
  <c r="AH755" i="1"/>
  <c r="X755" i="1" s="1"/>
  <c r="AH756" i="1"/>
  <c r="X756" i="1" s="1"/>
  <c r="AH757" i="1"/>
  <c r="X757" i="1" s="1"/>
  <c r="AH758" i="1"/>
  <c r="X758" i="1" s="1"/>
  <c r="AH759" i="1"/>
  <c r="X759" i="1" s="1"/>
  <c r="AH760" i="1"/>
  <c r="AH761" i="1"/>
  <c r="X761" i="1" s="1"/>
  <c r="AH762" i="1"/>
  <c r="AH763" i="1"/>
  <c r="X763" i="1" s="1"/>
  <c r="AH764" i="1"/>
  <c r="X764" i="1" s="1"/>
  <c r="AH765" i="1"/>
  <c r="X765" i="1" s="1"/>
  <c r="AH766" i="1"/>
  <c r="AH767" i="1"/>
  <c r="X767" i="1" s="1"/>
  <c r="AH768" i="1"/>
  <c r="AH769" i="1"/>
  <c r="X769" i="1" s="1"/>
  <c r="AH770" i="1"/>
  <c r="AH771" i="1"/>
  <c r="X771" i="1" s="1"/>
  <c r="AH772" i="1"/>
  <c r="X772" i="1" s="1"/>
  <c r="AH773" i="1"/>
  <c r="X773" i="1" s="1"/>
  <c r="AH774" i="1"/>
  <c r="AH775" i="1"/>
  <c r="X775" i="1" s="1"/>
  <c r="AH776" i="1"/>
  <c r="AH777" i="1"/>
  <c r="X777" i="1" s="1"/>
  <c r="AH778" i="1"/>
  <c r="X778" i="1" s="1"/>
  <c r="AH779" i="1"/>
  <c r="X779" i="1" s="1"/>
  <c r="AH780" i="1"/>
  <c r="X780" i="1" s="1"/>
  <c r="AH781" i="1"/>
  <c r="X781" i="1" s="1"/>
  <c r="AH782" i="1"/>
  <c r="X782" i="1" s="1"/>
  <c r="AH783" i="1"/>
  <c r="X783" i="1" s="1"/>
  <c r="AH784" i="1"/>
  <c r="AH785" i="1"/>
  <c r="X785" i="1" s="1"/>
  <c r="AH789" i="1"/>
  <c r="X789" i="1" s="1"/>
  <c r="AH790" i="1"/>
  <c r="X790" i="1" s="1"/>
  <c r="AH791" i="1"/>
  <c r="X791" i="1" s="1"/>
  <c r="AH792" i="1"/>
  <c r="X792" i="1" s="1"/>
  <c r="AH793" i="1"/>
  <c r="X793" i="1" s="1"/>
  <c r="AH794" i="1"/>
  <c r="X794" i="1" s="1"/>
  <c r="AH795" i="1"/>
  <c r="AH796" i="1"/>
  <c r="X796" i="1" s="1"/>
  <c r="AH797" i="1"/>
  <c r="X797" i="1" s="1"/>
  <c r="AH798" i="1"/>
  <c r="X798" i="1" s="1"/>
  <c r="AH799" i="1"/>
  <c r="X799" i="1" s="1"/>
  <c r="AH800" i="1"/>
  <c r="X800" i="1" s="1"/>
  <c r="AH801" i="1"/>
  <c r="X801" i="1" s="1"/>
  <c r="AH802" i="1"/>
  <c r="X802" i="1" s="1"/>
  <c r="AH803" i="1"/>
  <c r="AH804" i="1"/>
  <c r="X804" i="1" s="1"/>
  <c r="AH805" i="1"/>
  <c r="AH806" i="1"/>
  <c r="X806" i="1" s="1"/>
  <c r="AH807" i="1"/>
  <c r="X807" i="1" s="1"/>
  <c r="AH808" i="1"/>
  <c r="X808" i="1" s="1"/>
  <c r="AH809" i="1"/>
  <c r="AH810" i="1"/>
  <c r="X810" i="1" s="1"/>
  <c r="AH811" i="1"/>
  <c r="AG811" i="1" s="1"/>
  <c r="AH812" i="1"/>
  <c r="X812" i="1" s="1"/>
  <c r="AH813" i="1"/>
  <c r="AH814" i="1"/>
  <c r="X814" i="1" s="1"/>
  <c r="AH815" i="1"/>
  <c r="X815" i="1" s="1"/>
  <c r="AH816" i="1"/>
  <c r="X816" i="1" s="1"/>
  <c r="AH817" i="1"/>
  <c r="X817" i="1" s="1"/>
  <c r="AH818" i="1"/>
  <c r="X818" i="1" s="1"/>
  <c r="AH819" i="1"/>
  <c r="AH820" i="1"/>
  <c r="X820" i="1" s="1"/>
  <c r="AH821" i="1"/>
  <c r="AH822" i="1"/>
  <c r="X822" i="1" s="1"/>
  <c r="AH823" i="1"/>
  <c r="X823" i="1" s="1"/>
  <c r="AH824" i="1"/>
  <c r="X824" i="1" s="1"/>
  <c r="AH825" i="1"/>
  <c r="X825" i="1" s="1"/>
  <c r="AH826" i="1"/>
  <c r="X826" i="1" s="1"/>
  <c r="AH827" i="1"/>
  <c r="AH828" i="1"/>
  <c r="X828" i="1" s="1"/>
  <c r="AH829" i="1"/>
  <c r="X829" i="1" s="1"/>
  <c r="AH830" i="1"/>
  <c r="X830" i="1" s="1"/>
  <c r="AH831" i="1"/>
  <c r="X831" i="1" s="1"/>
  <c r="AH832" i="1"/>
  <c r="X832" i="1" s="1"/>
  <c r="AH833" i="1"/>
  <c r="AH834" i="1"/>
  <c r="X834" i="1" s="1"/>
  <c r="AH835" i="1"/>
  <c r="AH836" i="1"/>
  <c r="X836" i="1" s="1"/>
  <c r="AH837" i="1"/>
  <c r="AH838" i="1"/>
  <c r="X838" i="1" s="1"/>
  <c r="AH839" i="1"/>
  <c r="X839" i="1" s="1"/>
  <c r="AH840" i="1"/>
  <c r="X840" i="1" s="1"/>
  <c r="AH841" i="1"/>
  <c r="X841" i="1" s="1"/>
  <c r="AH842" i="1"/>
  <c r="X842" i="1" s="1"/>
  <c r="AH843" i="1"/>
  <c r="AH844" i="1"/>
  <c r="X844" i="1" s="1"/>
  <c r="AH845" i="1"/>
  <c r="X845" i="1" s="1"/>
  <c r="AH846" i="1"/>
  <c r="X846" i="1" s="1"/>
  <c r="AH847" i="1"/>
  <c r="X847" i="1" s="1"/>
  <c r="AH848" i="1"/>
  <c r="X848" i="1" s="1"/>
  <c r="AH849" i="1"/>
  <c r="AH850" i="1"/>
  <c r="X850" i="1" s="1"/>
  <c r="AH851" i="1"/>
  <c r="X851" i="1" s="1"/>
  <c r="AH852" i="1"/>
  <c r="X852" i="1" s="1"/>
  <c r="AH853" i="1"/>
  <c r="AH854" i="1"/>
  <c r="X854" i="1" s="1"/>
  <c r="AH855" i="1"/>
  <c r="X855" i="1" s="1"/>
  <c r="AH856" i="1"/>
  <c r="X856" i="1" s="1"/>
  <c r="AH857" i="1"/>
  <c r="X857" i="1" s="1"/>
  <c r="AH858" i="1"/>
  <c r="X858" i="1" s="1"/>
  <c r="AH859" i="1"/>
  <c r="AH860" i="1"/>
  <c r="X860" i="1" s="1"/>
  <c r="AH861" i="1"/>
  <c r="X861" i="1" s="1"/>
  <c r="AH862" i="1"/>
  <c r="X862" i="1" s="1"/>
  <c r="AH863" i="1"/>
  <c r="X863" i="1" s="1"/>
  <c r="AH864" i="1"/>
  <c r="X864" i="1" s="1"/>
  <c r="AH865" i="1"/>
  <c r="X865" i="1" s="1"/>
  <c r="AH866" i="1"/>
  <c r="X866" i="1" s="1"/>
  <c r="AH867" i="1"/>
  <c r="X867" i="1" s="1"/>
  <c r="AH868" i="1"/>
  <c r="X868" i="1" s="1"/>
  <c r="AH869" i="1"/>
  <c r="X869" i="1" s="1"/>
  <c r="AH870" i="1"/>
  <c r="X870" i="1" s="1"/>
  <c r="AH871" i="1"/>
  <c r="X871" i="1" s="1"/>
  <c r="AH872" i="1"/>
  <c r="X872" i="1" s="1"/>
  <c r="AH873" i="1"/>
  <c r="AH874" i="1"/>
  <c r="X874" i="1" s="1"/>
  <c r="AH875" i="1"/>
  <c r="AH876" i="1"/>
  <c r="X876" i="1" s="1"/>
  <c r="AH877" i="1"/>
  <c r="AH878" i="1"/>
  <c r="X878" i="1" s="1"/>
  <c r="AH879" i="1"/>
  <c r="X879" i="1" s="1"/>
  <c r="AH880" i="1"/>
  <c r="X880" i="1" s="1"/>
  <c r="AH881" i="1"/>
  <c r="AH882" i="1"/>
  <c r="X882" i="1" s="1"/>
  <c r="AH883" i="1"/>
  <c r="X883" i="1" s="1"/>
  <c r="AH884" i="1"/>
  <c r="X884" i="1" s="1"/>
  <c r="AH885" i="1"/>
  <c r="AH886" i="1"/>
  <c r="X886" i="1" s="1"/>
  <c r="AH887" i="1"/>
  <c r="X887" i="1" s="1"/>
  <c r="AH888" i="1"/>
  <c r="X888" i="1" s="1"/>
  <c r="AH889" i="1"/>
  <c r="AH890" i="1"/>
  <c r="X890" i="1" s="1"/>
  <c r="AH891" i="1"/>
  <c r="AH892" i="1"/>
  <c r="X892" i="1" s="1"/>
  <c r="AH893" i="1"/>
  <c r="AH894" i="1"/>
  <c r="X894" i="1" s="1"/>
  <c r="AH895" i="1"/>
  <c r="X895" i="1" s="1"/>
  <c r="AH896" i="1"/>
  <c r="X896" i="1" s="1"/>
  <c r="AH897" i="1"/>
  <c r="AH898" i="1"/>
  <c r="X898" i="1" s="1"/>
  <c r="AH899" i="1"/>
  <c r="X899" i="1" s="1"/>
  <c r="AH900" i="1"/>
  <c r="X900" i="1" s="1"/>
  <c r="AH901" i="1"/>
  <c r="AH902" i="1"/>
  <c r="X902" i="1" s="1"/>
  <c r="AH903" i="1"/>
  <c r="X903" i="1" s="1"/>
  <c r="AH904" i="1"/>
  <c r="X904" i="1" s="1"/>
  <c r="AH905" i="1"/>
  <c r="AH906" i="1"/>
  <c r="X906" i="1" s="1"/>
  <c r="AH907" i="1"/>
  <c r="AH908" i="1"/>
  <c r="X908" i="1" s="1"/>
  <c r="AH909" i="1"/>
  <c r="AH910" i="1"/>
  <c r="X910" i="1" s="1"/>
  <c r="AH911" i="1"/>
  <c r="X911" i="1" s="1"/>
  <c r="AH912" i="1"/>
  <c r="X912" i="1" s="1"/>
  <c r="AH913" i="1"/>
  <c r="AH914" i="1"/>
  <c r="X914" i="1" s="1"/>
  <c r="AH915" i="1"/>
  <c r="X915" i="1" s="1"/>
  <c r="AH916" i="1"/>
  <c r="X916" i="1" s="1"/>
  <c r="AH917" i="1"/>
  <c r="AH918" i="1"/>
  <c r="X918" i="1" s="1"/>
  <c r="AH919" i="1"/>
  <c r="X919" i="1" s="1"/>
  <c r="AH920" i="1"/>
  <c r="X920" i="1" s="1"/>
  <c r="AH921" i="1"/>
  <c r="AH922" i="1"/>
  <c r="X922" i="1" s="1"/>
  <c r="AH923" i="1"/>
  <c r="AH924" i="1"/>
  <c r="X924" i="1" s="1"/>
  <c r="AH925" i="1"/>
  <c r="AH926" i="1"/>
  <c r="X926" i="1" s="1"/>
  <c r="AH927" i="1"/>
  <c r="X927" i="1" s="1"/>
  <c r="AH928" i="1"/>
  <c r="X928" i="1" s="1"/>
  <c r="AH929" i="1"/>
  <c r="AH930" i="1"/>
  <c r="X930" i="1" s="1"/>
  <c r="AH931" i="1"/>
  <c r="X931" i="1" s="1"/>
  <c r="AH932" i="1"/>
  <c r="X932" i="1" s="1"/>
  <c r="AH933" i="1"/>
  <c r="X933" i="1" s="1"/>
  <c r="AH934" i="1"/>
  <c r="X934" i="1" s="1"/>
  <c r="AH935" i="1"/>
  <c r="X935" i="1" s="1"/>
  <c r="AH936" i="1"/>
  <c r="X936" i="1" s="1"/>
  <c r="AH937" i="1"/>
  <c r="AH938" i="1"/>
  <c r="X938" i="1" s="1"/>
  <c r="AH939" i="1"/>
  <c r="AH940" i="1"/>
  <c r="X940" i="1" s="1"/>
  <c r="AH941" i="1"/>
  <c r="AG32" i="1"/>
  <c r="AG75" i="1"/>
  <c r="AG82" i="1"/>
  <c r="AG84" i="1"/>
  <c r="AG88" i="1"/>
  <c r="AG105" i="1"/>
  <c r="AG118" i="1"/>
  <c r="AG145" i="1"/>
  <c r="AG165" i="1"/>
  <c r="AG174" i="1"/>
  <c r="AG181" i="1"/>
  <c r="AG184" i="1"/>
  <c r="AG195" i="1"/>
  <c r="AG204" i="1"/>
  <c r="AG221" i="1"/>
  <c r="AG245" i="1"/>
  <c r="AG251" i="1"/>
  <c r="AG280" i="1"/>
  <c r="AG289" i="1"/>
  <c r="AG321" i="1"/>
  <c r="AG324" i="1"/>
  <c r="AG335" i="1"/>
  <c r="AG339" i="1"/>
  <c r="AG342" i="1"/>
  <c r="AG350" i="1"/>
  <c r="AG352" i="1"/>
  <c r="AG353" i="1"/>
  <c r="AG356" i="1"/>
  <c r="AG363" i="1"/>
  <c r="AG373" i="1"/>
  <c r="AG381" i="1"/>
  <c r="AG390" i="1"/>
  <c r="AG391" i="1"/>
  <c r="AG407" i="1"/>
  <c r="AG409" i="1"/>
  <c r="AG411" i="1"/>
  <c r="AG413" i="1"/>
  <c r="AG426" i="1"/>
  <c r="AG430" i="1"/>
  <c r="AG434" i="1"/>
  <c r="AG442" i="1"/>
  <c r="AG471" i="1"/>
  <c r="AG479" i="1"/>
  <c r="AG483" i="1"/>
  <c r="AG484" i="1"/>
  <c r="AG485" i="1"/>
  <c r="AG487" i="1"/>
  <c r="AG489" i="1"/>
  <c r="AG491" i="1"/>
  <c r="AG493" i="1"/>
  <c r="AG495" i="1"/>
  <c r="AG497" i="1"/>
  <c r="AG498" i="1"/>
  <c r="AG499" i="1"/>
  <c r="AG500" i="1"/>
  <c r="AG501" i="1"/>
  <c r="AG505" i="1"/>
  <c r="AG509" i="1"/>
  <c r="AG514" i="1"/>
  <c r="AG517" i="1"/>
  <c r="AG520" i="1"/>
  <c r="AG523" i="1"/>
  <c r="AG536" i="1"/>
  <c r="AG538" i="1"/>
  <c r="AG539" i="1"/>
  <c r="AG540" i="1"/>
  <c r="AG541" i="1"/>
  <c r="AG543" i="1"/>
  <c r="AG545" i="1"/>
  <c r="AG548" i="1"/>
  <c r="AG553" i="1"/>
  <c r="AG557" i="1"/>
  <c r="AG563" i="1"/>
  <c r="AG568" i="1"/>
  <c r="AG572" i="1"/>
  <c r="AG575" i="1"/>
  <c r="AG577" i="1"/>
  <c r="AG580" i="1"/>
  <c r="AG584" i="1"/>
  <c r="AG585" i="1"/>
  <c r="AG586" i="1"/>
  <c r="AG590" i="1"/>
  <c r="AG592" i="1"/>
  <c r="AG594" i="1"/>
  <c r="AG598" i="1"/>
  <c r="AG602" i="1"/>
  <c r="AG605" i="1"/>
  <c r="AG607" i="1"/>
  <c r="AG610" i="1"/>
  <c r="AG613" i="1"/>
  <c r="AG616" i="1"/>
  <c r="AG618" i="1"/>
  <c r="AG620" i="1"/>
  <c r="AG623" i="1"/>
  <c r="AG625" i="1"/>
  <c r="AG629" i="1"/>
  <c r="AG632" i="1"/>
  <c r="AG635" i="1"/>
  <c r="AG639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2" i="1"/>
  <c r="AG813" i="1"/>
  <c r="AG814" i="1"/>
  <c r="AG815" i="1"/>
  <c r="AG817" i="1"/>
  <c r="AG819" i="1"/>
  <c r="AG821" i="1"/>
  <c r="AG823" i="1"/>
  <c r="AG825" i="1"/>
  <c r="AG827" i="1"/>
  <c r="AG828" i="1"/>
  <c r="AG829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N3" i="1"/>
  <c r="AQ3" i="1" s="1"/>
  <c r="AR3" i="1" s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O16" i="1" s="1"/>
  <c r="AN17" i="1"/>
  <c r="AN18" i="1"/>
  <c r="AN19" i="1"/>
  <c r="AN20" i="1"/>
  <c r="AN21" i="1"/>
  <c r="AN22" i="1"/>
  <c r="AO22" i="1" s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O43" i="1" s="1"/>
  <c r="AN44" i="1"/>
  <c r="AN45" i="1"/>
  <c r="AN48" i="1"/>
  <c r="AN49" i="1"/>
  <c r="AN51" i="1"/>
  <c r="AN52" i="1"/>
  <c r="AN53" i="1"/>
  <c r="AO53" i="1" s="1"/>
  <c r="AN54" i="1"/>
  <c r="AN55" i="1"/>
  <c r="AN56" i="1"/>
  <c r="AN57" i="1"/>
  <c r="AN58" i="1"/>
  <c r="AO58" i="1" s="1"/>
  <c r="AN59" i="1"/>
  <c r="AN60" i="1"/>
  <c r="AN61" i="1"/>
  <c r="AN62" i="1"/>
  <c r="AN63" i="1"/>
  <c r="AN64" i="1"/>
  <c r="AN65" i="1"/>
  <c r="AN66" i="1"/>
  <c r="AN67" i="1"/>
  <c r="AN68" i="1"/>
  <c r="AO68" i="1" s="1"/>
  <c r="AN69" i="1"/>
  <c r="AN70" i="1"/>
  <c r="AN71" i="1"/>
  <c r="AO71" i="1" s="1"/>
  <c r="AN72" i="1"/>
  <c r="AQ72" i="1" s="1"/>
  <c r="AR72" i="1" s="1"/>
  <c r="AN73" i="1"/>
  <c r="AN74" i="1"/>
  <c r="AN75" i="1"/>
  <c r="AN76" i="1"/>
  <c r="AN77" i="1"/>
  <c r="AN78" i="1"/>
  <c r="AN79" i="1"/>
  <c r="AN80" i="1"/>
  <c r="AN81" i="1"/>
  <c r="AN82" i="1"/>
  <c r="AO82" i="1" s="1"/>
  <c r="AN83" i="1"/>
  <c r="AN84" i="1"/>
  <c r="AO84" i="1" s="1"/>
  <c r="AN85" i="1"/>
  <c r="AN86" i="1"/>
  <c r="AN87" i="1"/>
  <c r="AN88" i="1"/>
  <c r="AN90" i="1"/>
  <c r="AN91" i="1"/>
  <c r="AN92" i="1"/>
  <c r="AN93" i="1"/>
  <c r="AN94" i="1"/>
  <c r="AN95" i="1"/>
  <c r="AN96" i="1"/>
  <c r="AN97" i="1"/>
  <c r="AO97" i="1" s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O109" i="1" s="1"/>
  <c r="AN110" i="1"/>
  <c r="AN111" i="1"/>
  <c r="AN114" i="1"/>
  <c r="AN115" i="1"/>
  <c r="AN116" i="1"/>
  <c r="AN117" i="1"/>
  <c r="AN118" i="1"/>
  <c r="AO118" i="1" s="1"/>
  <c r="AN119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O132" i="1" s="1"/>
  <c r="AN133" i="1"/>
  <c r="AN134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O149" i="1" s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O166" i="1" s="1"/>
  <c r="AN167" i="1"/>
  <c r="AN168" i="1"/>
  <c r="AO168" i="1" s="1"/>
  <c r="AN169" i="1"/>
  <c r="AN170" i="1"/>
  <c r="AN171" i="1"/>
  <c r="AO171" i="1" s="1"/>
  <c r="AN172" i="1"/>
  <c r="AN173" i="1"/>
  <c r="AN174" i="1"/>
  <c r="AN175" i="1"/>
  <c r="AN176" i="1"/>
  <c r="AN177" i="1"/>
  <c r="AN178" i="1"/>
  <c r="AO178" i="1" s="1"/>
  <c r="AN179" i="1"/>
  <c r="AN180" i="1"/>
  <c r="AN181" i="1"/>
  <c r="AO181" i="1" s="1"/>
  <c r="AN182" i="1"/>
  <c r="AN183" i="1"/>
  <c r="AO183" i="1" s="1"/>
  <c r="AN184" i="1"/>
  <c r="AQ184" i="1" s="1"/>
  <c r="AR184" i="1" s="1"/>
  <c r="AN185" i="1"/>
  <c r="AN186" i="1"/>
  <c r="AN187" i="1"/>
  <c r="AN188" i="1"/>
  <c r="AO188" i="1" s="1"/>
  <c r="AN189" i="1"/>
  <c r="AN190" i="1"/>
  <c r="AO190" i="1" s="1"/>
  <c r="AN191" i="1"/>
  <c r="AN192" i="1"/>
  <c r="AN193" i="1"/>
  <c r="AN194" i="1"/>
  <c r="AO194" i="1" s="1"/>
  <c r="AN195" i="1"/>
  <c r="AN196" i="1"/>
  <c r="AN197" i="1"/>
  <c r="AO197" i="1" s="1"/>
  <c r="AN198" i="1"/>
  <c r="AN199" i="1"/>
  <c r="AN200" i="1"/>
  <c r="AN201" i="1"/>
  <c r="AN202" i="1"/>
  <c r="AN203" i="1"/>
  <c r="AN204" i="1"/>
  <c r="AO204" i="1" s="1"/>
  <c r="AN205" i="1"/>
  <c r="AN206" i="1"/>
  <c r="AN207" i="1"/>
  <c r="AN208" i="1"/>
  <c r="AQ208" i="1" s="1"/>
  <c r="AR208" i="1" s="1"/>
  <c r="AN209" i="1"/>
  <c r="AN210" i="1"/>
  <c r="AN211" i="1"/>
  <c r="AQ211" i="1" s="1"/>
  <c r="AR211" i="1" s="1"/>
  <c r="AN212" i="1"/>
  <c r="AN213" i="1"/>
  <c r="AN214" i="1"/>
  <c r="AN215" i="1"/>
  <c r="AN216" i="1"/>
  <c r="AN217" i="1"/>
  <c r="AO217" i="1" s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O234" i="1" s="1"/>
  <c r="AN235" i="1"/>
  <c r="AN236" i="1"/>
  <c r="AN237" i="1"/>
  <c r="AN238" i="1"/>
  <c r="AN239" i="1"/>
  <c r="AN240" i="1"/>
  <c r="AN241" i="1"/>
  <c r="AN242" i="1"/>
  <c r="AN243" i="1"/>
  <c r="AO243" i="1" s="1"/>
  <c r="AN244" i="1"/>
  <c r="AN245" i="1"/>
  <c r="AO245" i="1" s="1"/>
  <c r="AN246" i="1"/>
  <c r="AN247" i="1"/>
  <c r="AN248" i="1"/>
  <c r="AO248" i="1" s="1"/>
  <c r="AN249" i="1"/>
  <c r="AN250" i="1"/>
  <c r="AN251" i="1"/>
  <c r="AN252" i="1"/>
  <c r="AN253" i="1"/>
  <c r="AN254" i="1"/>
  <c r="AN255" i="1"/>
  <c r="AN256" i="1"/>
  <c r="AN257" i="1"/>
  <c r="AN258" i="1"/>
  <c r="AO258" i="1" s="1"/>
  <c r="AN259" i="1"/>
  <c r="AN260" i="1"/>
  <c r="AN261" i="1"/>
  <c r="AN262" i="1"/>
  <c r="AO262" i="1" s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O274" i="1" s="1"/>
  <c r="AN275" i="1"/>
  <c r="AN276" i="1"/>
  <c r="AO276" i="1" s="1"/>
  <c r="AN277" i="1"/>
  <c r="AN278" i="1"/>
  <c r="AO278" i="1" s="1"/>
  <c r="AN279" i="1"/>
  <c r="AN280" i="1"/>
  <c r="AO280" i="1" s="1"/>
  <c r="AN281" i="1"/>
  <c r="AN282" i="1"/>
  <c r="AN283" i="1"/>
  <c r="AN284" i="1"/>
  <c r="AO284" i="1" s="1"/>
  <c r="AN285" i="1"/>
  <c r="AN286" i="1"/>
  <c r="AN287" i="1"/>
  <c r="AN288" i="1"/>
  <c r="AN289" i="1"/>
  <c r="AO289" i="1" s="1"/>
  <c r="AN290" i="1"/>
  <c r="AO290" i="1" s="1"/>
  <c r="AN291" i="1"/>
  <c r="AN292" i="1"/>
  <c r="AO292" i="1" s="1"/>
  <c r="AN293" i="1"/>
  <c r="AN294" i="1"/>
  <c r="AN295" i="1"/>
  <c r="AO295" i="1" s="1"/>
  <c r="AN296" i="1"/>
  <c r="AN297" i="1"/>
  <c r="AN298" i="1"/>
  <c r="AN299" i="1"/>
  <c r="AN300" i="1"/>
  <c r="AN301" i="1"/>
  <c r="AN302" i="1"/>
  <c r="AO302" i="1" s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O315" i="1" s="1"/>
  <c r="AN316" i="1"/>
  <c r="AN317" i="1"/>
  <c r="AO317" i="1" s="1"/>
  <c r="AN318" i="1"/>
  <c r="AN319" i="1"/>
  <c r="AN320" i="1"/>
  <c r="AN321" i="1"/>
  <c r="AO321" i="1" s="1"/>
  <c r="AN322" i="1"/>
  <c r="AN323" i="1"/>
  <c r="AN324" i="1"/>
  <c r="AO324" i="1" s="1"/>
  <c r="AN325" i="1"/>
  <c r="AN326" i="1"/>
  <c r="AN327" i="1"/>
  <c r="AN328" i="1"/>
  <c r="AN330" i="1"/>
  <c r="AN331" i="1"/>
  <c r="AN332" i="1"/>
  <c r="AN333" i="1"/>
  <c r="AN334" i="1"/>
  <c r="AN335" i="1"/>
  <c r="AN336" i="1"/>
  <c r="AN337" i="1"/>
  <c r="AN338" i="1"/>
  <c r="AN339" i="1"/>
  <c r="AO339" i="1" s="1"/>
  <c r="AN340" i="1"/>
  <c r="AN341" i="1"/>
  <c r="AN342" i="1"/>
  <c r="AN343" i="1"/>
  <c r="AN344" i="1"/>
  <c r="AO344" i="1" s="1"/>
  <c r="AN345" i="1"/>
  <c r="AN346" i="1"/>
  <c r="AN347" i="1"/>
  <c r="AN348" i="1"/>
  <c r="AN349" i="1"/>
  <c r="AN350" i="1"/>
  <c r="AO350" i="1" s="1"/>
  <c r="AN351" i="1"/>
  <c r="AN352" i="1"/>
  <c r="AO352" i="1" s="1"/>
  <c r="AN353" i="1"/>
  <c r="AN354" i="1"/>
  <c r="AO354" i="1" s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O381" i="1" s="1"/>
  <c r="AN382" i="1"/>
  <c r="AO382" i="1" s="1"/>
  <c r="AN383" i="1"/>
  <c r="AN384" i="1"/>
  <c r="AN385" i="1"/>
  <c r="AN386" i="1"/>
  <c r="AN387" i="1"/>
  <c r="AN388" i="1"/>
  <c r="AN389" i="1"/>
  <c r="AN390" i="1"/>
  <c r="AO390" i="1" s="1"/>
  <c r="AN391" i="1"/>
  <c r="AO391" i="1" s="1"/>
  <c r="AN392" i="1"/>
  <c r="AN393" i="1"/>
  <c r="AN394" i="1"/>
  <c r="AO394" i="1" s="1"/>
  <c r="AN395" i="1"/>
  <c r="AN396" i="1"/>
  <c r="AN397" i="1"/>
  <c r="AN398" i="1"/>
  <c r="AN399" i="1"/>
  <c r="AN400" i="1"/>
  <c r="AN401" i="1"/>
  <c r="AN402" i="1"/>
  <c r="AN403" i="1"/>
  <c r="AN404" i="1"/>
  <c r="AN405" i="1"/>
  <c r="AO405" i="1" s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O424" i="1" s="1"/>
  <c r="AN426" i="1"/>
  <c r="AN427" i="1"/>
  <c r="AN428" i="1"/>
  <c r="AN429" i="1"/>
  <c r="AN430" i="1"/>
  <c r="AO430" i="1" s="1"/>
  <c r="AN431" i="1"/>
  <c r="AN432" i="1"/>
  <c r="AN433" i="1"/>
  <c r="AQ433" i="1" s="1"/>
  <c r="AR433" i="1" s="1"/>
  <c r="AN434" i="1"/>
  <c r="AO434" i="1" s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O447" i="1" s="1"/>
  <c r="AN448" i="1"/>
  <c r="AN449" i="1"/>
  <c r="AO449" i="1" s="1"/>
  <c r="AN450" i="1"/>
  <c r="AN451" i="1"/>
  <c r="AN452" i="1"/>
  <c r="AO452" i="1" s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O479" i="1" s="1"/>
  <c r="AN480" i="1"/>
  <c r="AN481" i="1"/>
  <c r="AN482" i="1"/>
  <c r="AN483" i="1"/>
  <c r="AN484" i="1"/>
  <c r="AO484" i="1" s="1"/>
  <c r="AN485" i="1"/>
  <c r="AN486" i="1"/>
  <c r="AN487" i="1"/>
  <c r="AN488" i="1"/>
  <c r="AN489" i="1"/>
  <c r="AN490" i="1"/>
  <c r="AN491" i="1"/>
  <c r="AN492" i="1"/>
  <c r="AN493" i="1"/>
  <c r="AO493" i="1" s="1"/>
  <c r="AN494" i="1"/>
  <c r="AN495" i="1"/>
  <c r="AO495" i="1" s="1"/>
  <c r="AN496" i="1"/>
  <c r="AN497" i="1"/>
  <c r="AO497" i="1" s="1"/>
  <c r="AN498" i="1"/>
  <c r="AO498" i="1" s="1"/>
  <c r="AN499" i="1"/>
  <c r="AN500" i="1"/>
  <c r="AQ500" i="1" s="1"/>
  <c r="AR500" i="1" s="1"/>
  <c r="AN501" i="1"/>
  <c r="AN502" i="1"/>
  <c r="AN503" i="1"/>
  <c r="AN504" i="1"/>
  <c r="AN505" i="1"/>
  <c r="AO505" i="1" s="1"/>
  <c r="AN506" i="1"/>
  <c r="AN507" i="1"/>
  <c r="AN508" i="1"/>
  <c r="AN509" i="1"/>
  <c r="AQ509" i="1" s="1"/>
  <c r="AR509" i="1" s="1"/>
  <c r="AN510" i="1"/>
  <c r="AN511" i="1"/>
  <c r="AN512" i="1"/>
  <c r="AN513" i="1"/>
  <c r="AN514" i="1"/>
  <c r="AO514" i="1" s="1"/>
  <c r="AN515" i="1"/>
  <c r="AN516" i="1"/>
  <c r="AN517" i="1"/>
  <c r="AO517" i="1" s="1"/>
  <c r="AN518" i="1"/>
  <c r="AN519" i="1"/>
  <c r="AN520" i="1"/>
  <c r="AO520" i="1" s="1"/>
  <c r="AN521" i="1"/>
  <c r="AN522" i="1"/>
  <c r="AN523" i="1"/>
  <c r="AN524" i="1"/>
  <c r="AN525" i="1"/>
  <c r="AN526" i="1"/>
  <c r="AN527" i="1"/>
  <c r="AN528" i="1"/>
  <c r="AN529" i="1"/>
  <c r="AO529" i="1" s="1"/>
  <c r="AN530" i="1"/>
  <c r="AN531" i="1"/>
  <c r="AN532" i="1"/>
  <c r="AN533" i="1"/>
  <c r="AN534" i="1"/>
  <c r="AN535" i="1"/>
  <c r="AN536" i="1"/>
  <c r="AN537" i="1"/>
  <c r="AN538" i="1"/>
  <c r="AN539" i="1"/>
  <c r="AN540" i="1"/>
  <c r="AO540" i="1" s="1"/>
  <c r="AN541" i="1"/>
  <c r="AN542" i="1"/>
  <c r="AN543" i="1"/>
  <c r="AN544" i="1"/>
  <c r="AQ544" i="1" s="1"/>
  <c r="AR544" i="1" s="1"/>
  <c r="AN545" i="1"/>
  <c r="AN546" i="1"/>
  <c r="AN547" i="1"/>
  <c r="AN548" i="1"/>
  <c r="AO548" i="1" s="1"/>
  <c r="AN549" i="1"/>
  <c r="AN550" i="1"/>
  <c r="AN551" i="1"/>
  <c r="AN552" i="1"/>
  <c r="AN553" i="1"/>
  <c r="AO553" i="1" s="1"/>
  <c r="AN554" i="1"/>
  <c r="AN555" i="1"/>
  <c r="AN556" i="1"/>
  <c r="AN557" i="1"/>
  <c r="AO557" i="1" s="1"/>
  <c r="AN558" i="1"/>
  <c r="AN559" i="1"/>
  <c r="AN560" i="1"/>
  <c r="AN561" i="1"/>
  <c r="AN562" i="1"/>
  <c r="AN563" i="1"/>
  <c r="AN564" i="1"/>
  <c r="AO564" i="1" s="1"/>
  <c r="AN565" i="1"/>
  <c r="AN567" i="1"/>
  <c r="AN568" i="1"/>
  <c r="AN569" i="1"/>
  <c r="AN570" i="1"/>
  <c r="AN571" i="1"/>
  <c r="AN572" i="1"/>
  <c r="AO572" i="1" s="1"/>
  <c r="AN573" i="1"/>
  <c r="AN574" i="1"/>
  <c r="AN575" i="1"/>
  <c r="AN576" i="1"/>
  <c r="AN577" i="1"/>
  <c r="AN578" i="1"/>
  <c r="AN579" i="1"/>
  <c r="AN580" i="1"/>
  <c r="AO580" i="1" s="1"/>
  <c r="AN581" i="1"/>
  <c r="AN582" i="1"/>
  <c r="AN583" i="1"/>
  <c r="AN584" i="1"/>
  <c r="AN585" i="1"/>
  <c r="AN586" i="1"/>
  <c r="AN587" i="1"/>
  <c r="AN588" i="1"/>
  <c r="AN589" i="1"/>
  <c r="AN590" i="1"/>
  <c r="AO590" i="1" s="1"/>
  <c r="AN591" i="1"/>
  <c r="AN592" i="1"/>
  <c r="AO592" i="1" s="1"/>
  <c r="AN593" i="1"/>
  <c r="AN594" i="1"/>
  <c r="AO594" i="1" s="1"/>
  <c r="AN595" i="1"/>
  <c r="AN596" i="1"/>
  <c r="AN597" i="1"/>
  <c r="AN598" i="1"/>
  <c r="AO598" i="1" s="1"/>
  <c r="AN599" i="1"/>
  <c r="AN600" i="1"/>
  <c r="AN601" i="1"/>
  <c r="AN602" i="1"/>
  <c r="AN603" i="1"/>
  <c r="AN604" i="1"/>
  <c r="AN605" i="1"/>
  <c r="AO605" i="1" s="1"/>
  <c r="AN606" i="1"/>
  <c r="AN607" i="1"/>
  <c r="AN608" i="1"/>
  <c r="AN609" i="1"/>
  <c r="AN610" i="1"/>
  <c r="AO610" i="1" s="1"/>
  <c r="AN611" i="1"/>
  <c r="AN612" i="1"/>
  <c r="AN613" i="1"/>
  <c r="AN614" i="1"/>
  <c r="AN615" i="1"/>
  <c r="AN616" i="1"/>
  <c r="AN617" i="1"/>
  <c r="AN618" i="1"/>
  <c r="AN619" i="1"/>
  <c r="AN620" i="1"/>
  <c r="AO620" i="1" s="1"/>
  <c r="AN622" i="1"/>
  <c r="AN623" i="1"/>
  <c r="AO623" i="1" s="1"/>
  <c r="AN624" i="1"/>
  <c r="AN625" i="1"/>
  <c r="AN626" i="1"/>
  <c r="AN627" i="1"/>
  <c r="AN628" i="1"/>
  <c r="AN629" i="1"/>
  <c r="AO629" i="1" s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O643" i="1" s="1"/>
  <c r="AN644" i="1"/>
  <c r="AO644" i="1" s="1"/>
  <c r="AN645" i="1"/>
  <c r="AO645" i="1" s="1"/>
  <c r="AN646" i="1"/>
  <c r="AO646" i="1" s="1"/>
  <c r="AN647" i="1"/>
  <c r="AO647" i="1" s="1"/>
  <c r="AN648" i="1"/>
  <c r="AO648" i="1" s="1"/>
  <c r="AN649" i="1"/>
  <c r="AO649" i="1" s="1"/>
  <c r="AN650" i="1"/>
  <c r="AO650" i="1" s="1"/>
  <c r="AN651" i="1"/>
  <c r="AN652" i="1"/>
  <c r="AO652" i="1" s="1"/>
  <c r="AN653" i="1"/>
  <c r="AO653" i="1" s="1"/>
  <c r="AN654" i="1"/>
  <c r="AO654" i="1" s="1"/>
  <c r="AN655" i="1"/>
  <c r="AO655" i="1" s="1"/>
  <c r="AN656" i="1"/>
  <c r="AN657" i="1"/>
  <c r="AO657" i="1" s="1"/>
  <c r="AN658" i="1"/>
  <c r="AO658" i="1" s="1"/>
  <c r="AN659" i="1"/>
  <c r="AO659" i="1" s="1"/>
  <c r="AN660" i="1"/>
  <c r="AO660" i="1" s="1"/>
  <c r="AN661" i="1"/>
  <c r="AO661" i="1" s="1"/>
  <c r="AN662" i="1"/>
  <c r="AO662" i="1" s="1"/>
  <c r="AN663" i="1"/>
  <c r="AN664" i="1"/>
  <c r="AO664" i="1" s="1"/>
  <c r="AN665" i="1"/>
  <c r="AN666" i="1"/>
  <c r="AO666" i="1" s="1"/>
  <c r="AN667" i="1"/>
  <c r="AO667" i="1" s="1"/>
  <c r="AN668" i="1"/>
  <c r="AO668" i="1" s="1"/>
  <c r="AN669" i="1"/>
  <c r="AO669" i="1" s="1"/>
  <c r="AN670" i="1"/>
  <c r="AO670" i="1" s="1"/>
  <c r="AN671" i="1"/>
  <c r="AN672" i="1"/>
  <c r="AO672" i="1" s="1"/>
  <c r="AN673" i="1"/>
  <c r="AO673" i="1" s="1"/>
  <c r="AN674" i="1"/>
  <c r="AO674" i="1" s="1"/>
  <c r="AN675" i="1"/>
  <c r="AO675" i="1" s="1"/>
  <c r="AN676" i="1"/>
  <c r="AO676" i="1" s="1"/>
  <c r="AN677" i="1"/>
  <c r="AO677" i="1" s="1"/>
  <c r="AN678" i="1"/>
  <c r="AO678" i="1" s="1"/>
  <c r="AN679" i="1"/>
  <c r="AO679" i="1" s="1"/>
  <c r="AN680" i="1"/>
  <c r="AO680" i="1" s="1"/>
  <c r="AN681" i="1"/>
  <c r="AO681" i="1" s="1"/>
  <c r="AN682" i="1"/>
  <c r="AO682" i="1" s="1"/>
  <c r="AN683" i="1"/>
  <c r="AO683" i="1" s="1"/>
  <c r="AN684" i="1"/>
  <c r="AO684" i="1" s="1"/>
  <c r="AN685" i="1"/>
  <c r="AO685" i="1" s="1"/>
  <c r="AN686" i="1"/>
  <c r="AO686" i="1" s="1"/>
  <c r="AN687" i="1"/>
  <c r="AO687" i="1" s="1"/>
  <c r="AN688" i="1"/>
  <c r="AO688" i="1" s="1"/>
  <c r="AN689" i="1"/>
  <c r="AO689" i="1" s="1"/>
  <c r="AN690" i="1"/>
  <c r="AO690" i="1" s="1"/>
  <c r="AN691" i="1"/>
  <c r="AO691" i="1" s="1"/>
  <c r="AN692" i="1"/>
  <c r="AO692" i="1" s="1"/>
  <c r="AN693" i="1"/>
  <c r="AO693" i="1" s="1"/>
  <c r="AN694" i="1"/>
  <c r="AO694" i="1" s="1"/>
  <c r="AN695" i="1"/>
  <c r="AO695" i="1" s="1"/>
  <c r="AN696" i="1"/>
  <c r="AO696" i="1" s="1"/>
  <c r="AN697" i="1"/>
  <c r="AO697" i="1" s="1"/>
  <c r="AN698" i="1"/>
  <c r="AO698" i="1" s="1"/>
  <c r="AN699" i="1"/>
  <c r="AO699" i="1" s="1"/>
  <c r="AN700" i="1"/>
  <c r="AO700" i="1" s="1"/>
  <c r="AN701" i="1"/>
  <c r="AO701" i="1" s="1"/>
  <c r="AN702" i="1"/>
  <c r="AO702" i="1" s="1"/>
  <c r="AN703" i="1"/>
  <c r="AO703" i="1" s="1"/>
  <c r="AN704" i="1"/>
  <c r="AO704" i="1" s="1"/>
  <c r="AN705" i="1"/>
  <c r="AO705" i="1" s="1"/>
  <c r="AN706" i="1"/>
  <c r="AO706" i="1" s="1"/>
  <c r="AN707" i="1"/>
  <c r="AO707" i="1" s="1"/>
  <c r="AN708" i="1"/>
  <c r="AO708" i="1" s="1"/>
  <c r="AN709" i="1"/>
  <c r="AO709" i="1" s="1"/>
  <c r="AN710" i="1"/>
  <c r="AO710" i="1" s="1"/>
  <c r="AN711" i="1"/>
  <c r="AO711" i="1" s="1"/>
  <c r="AN712" i="1"/>
  <c r="AO712" i="1" s="1"/>
  <c r="AN713" i="1"/>
  <c r="AO713" i="1" s="1"/>
  <c r="AN714" i="1"/>
  <c r="AO714" i="1" s="1"/>
  <c r="AN715" i="1"/>
  <c r="AO715" i="1" s="1"/>
  <c r="AN716" i="1"/>
  <c r="AO716" i="1" s="1"/>
  <c r="AN717" i="1"/>
  <c r="AO717" i="1" s="1"/>
  <c r="AN718" i="1"/>
  <c r="AO718" i="1" s="1"/>
  <c r="AN719" i="1"/>
  <c r="AO719" i="1" s="1"/>
  <c r="AN721" i="1"/>
  <c r="AO721" i="1" s="1"/>
  <c r="AN722" i="1"/>
  <c r="AO722" i="1" s="1"/>
  <c r="AN723" i="1"/>
  <c r="AO723" i="1" s="1"/>
  <c r="AN724" i="1"/>
  <c r="AO724" i="1" s="1"/>
  <c r="AN725" i="1"/>
  <c r="AO725" i="1" s="1"/>
  <c r="AN726" i="1"/>
  <c r="AO726" i="1" s="1"/>
  <c r="AN727" i="1"/>
  <c r="AO727" i="1" s="1"/>
  <c r="AN728" i="1"/>
  <c r="AO728" i="1" s="1"/>
  <c r="AN729" i="1"/>
  <c r="AO729" i="1" s="1"/>
  <c r="AN730" i="1"/>
  <c r="AO730" i="1" s="1"/>
  <c r="AN731" i="1"/>
  <c r="AO731" i="1" s="1"/>
  <c r="AN732" i="1"/>
  <c r="AO732" i="1" s="1"/>
  <c r="AN733" i="1"/>
  <c r="AO733" i="1" s="1"/>
  <c r="AN734" i="1"/>
  <c r="AO734" i="1" s="1"/>
  <c r="AN735" i="1"/>
  <c r="AO735" i="1" s="1"/>
  <c r="AN736" i="1"/>
  <c r="AO736" i="1" s="1"/>
  <c r="AN737" i="1"/>
  <c r="AO737" i="1" s="1"/>
  <c r="AN738" i="1"/>
  <c r="AO738" i="1" s="1"/>
  <c r="AN739" i="1"/>
  <c r="AO739" i="1" s="1"/>
  <c r="AN740" i="1"/>
  <c r="AO740" i="1" s="1"/>
  <c r="AN741" i="1"/>
  <c r="AO741" i="1" s="1"/>
  <c r="AN742" i="1"/>
  <c r="AO742" i="1" s="1"/>
  <c r="AN743" i="1"/>
  <c r="AO743" i="1" s="1"/>
  <c r="AN744" i="1"/>
  <c r="AO744" i="1" s="1"/>
  <c r="AN745" i="1"/>
  <c r="AO745" i="1" s="1"/>
  <c r="AN746" i="1"/>
  <c r="AO746" i="1" s="1"/>
  <c r="AN747" i="1"/>
  <c r="AO747" i="1" s="1"/>
  <c r="AN748" i="1"/>
  <c r="AO748" i="1" s="1"/>
  <c r="AN749" i="1"/>
  <c r="AO749" i="1" s="1"/>
  <c r="AN750" i="1"/>
  <c r="AO750" i="1" s="1"/>
  <c r="AN751" i="1"/>
  <c r="AO751" i="1" s="1"/>
  <c r="AN752" i="1"/>
  <c r="AO752" i="1" s="1"/>
  <c r="AN753" i="1"/>
  <c r="AO753" i="1" s="1"/>
  <c r="AN754" i="1"/>
  <c r="AO754" i="1" s="1"/>
  <c r="AN755" i="1"/>
  <c r="AO755" i="1" s="1"/>
  <c r="AN756" i="1"/>
  <c r="AO756" i="1" s="1"/>
  <c r="AN757" i="1"/>
  <c r="AO757" i="1" s="1"/>
  <c r="AN758" i="1"/>
  <c r="AO758" i="1" s="1"/>
  <c r="AN759" i="1"/>
  <c r="AO759" i="1" s="1"/>
  <c r="AN760" i="1"/>
  <c r="AO760" i="1" s="1"/>
  <c r="AN761" i="1"/>
  <c r="AO761" i="1" s="1"/>
  <c r="AN762" i="1"/>
  <c r="AO762" i="1" s="1"/>
  <c r="AN763" i="1"/>
  <c r="AO763" i="1" s="1"/>
  <c r="AN764" i="1"/>
  <c r="AO764" i="1" s="1"/>
  <c r="AN765" i="1"/>
  <c r="AO765" i="1" s="1"/>
  <c r="AN766" i="1"/>
  <c r="AO766" i="1" s="1"/>
  <c r="AN767" i="1"/>
  <c r="AO767" i="1" s="1"/>
  <c r="AN768" i="1"/>
  <c r="AO768" i="1" s="1"/>
  <c r="AN769" i="1"/>
  <c r="AO769" i="1" s="1"/>
  <c r="AN770" i="1"/>
  <c r="AO770" i="1" s="1"/>
  <c r="AN771" i="1"/>
  <c r="AO771" i="1" s="1"/>
  <c r="AN772" i="1"/>
  <c r="AO772" i="1" s="1"/>
  <c r="AN773" i="1"/>
  <c r="AO773" i="1" s="1"/>
  <c r="AN774" i="1"/>
  <c r="AO774" i="1" s="1"/>
  <c r="AN775" i="1"/>
  <c r="AO775" i="1" s="1"/>
  <c r="AN776" i="1"/>
  <c r="AO776" i="1" s="1"/>
  <c r="AN777" i="1"/>
  <c r="AO777" i="1" s="1"/>
  <c r="AN778" i="1"/>
  <c r="AO778" i="1" s="1"/>
  <c r="AN779" i="1"/>
  <c r="AO779" i="1" s="1"/>
  <c r="AN780" i="1"/>
  <c r="AO780" i="1" s="1"/>
  <c r="AN781" i="1"/>
  <c r="AO781" i="1" s="1"/>
  <c r="AN782" i="1"/>
  <c r="AO782" i="1" s="1"/>
  <c r="AN783" i="1"/>
  <c r="AO783" i="1" s="1"/>
  <c r="AN784" i="1"/>
  <c r="AO784" i="1" s="1"/>
  <c r="AN785" i="1"/>
  <c r="AO785" i="1" s="1"/>
  <c r="AN789" i="1"/>
  <c r="AO789" i="1" s="1"/>
  <c r="AN790" i="1"/>
  <c r="AO790" i="1" s="1"/>
  <c r="AN791" i="1"/>
  <c r="AO791" i="1" s="1"/>
  <c r="AN792" i="1"/>
  <c r="AO792" i="1" s="1"/>
  <c r="AN793" i="1"/>
  <c r="AO793" i="1" s="1"/>
  <c r="AN794" i="1"/>
  <c r="AO794" i="1" s="1"/>
  <c r="AN795" i="1"/>
  <c r="AO795" i="1" s="1"/>
  <c r="AN796" i="1"/>
  <c r="AO796" i="1" s="1"/>
  <c r="AN797" i="1"/>
  <c r="AO797" i="1" s="1"/>
  <c r="AN798" i="1"/>
  <c r="AO798" i="1" s="1"/>
  <c r="AN799" i="1"/>
  <c r="AO799" i="1" s="1"/>
  <c r="AN800" i="1"/>
  <c r="AO800" i="1" s="1"/>
  <c r="AN801" i="1"/>
  <c r="AO801" i="1" s="1"/>
  <c r="AN802" i="1"/>
  <c r="AO802" i="1" s="1"/>
  <c r="AN803" i="1"/>
  <c r="AO803" i="1" s="1"/>
  <c r="AN804" i="1"/>
  <c r="AO804" i="1" s="1"/>
  <c r="AN805" i="1"/>
  <c r="AO805" i="1" s="1"/>
  <c r="AN806" i="1"/>
  <c r="AO806" i="1" s="1"/>
  <c r="AN807" i="1"/>
  <c r="AO807" i="1" s="1"/>
  <c r="AN808" i="1"/>
  <c r="AO808" i="1" s="1"/>
  <c r="AN809" i="1"/>
  <c r="AO809" i="1" s="1"/>
  <c r="AN810" i="1"/>
  <c r="AO810" i="1" s="1"/>
  <c r="AN811" i="1"/>
  <c r="AN812" i="1"/>
  <c r="AO812" i="1" s="1"/>
  <c r="AN813" i="1"/>
  <c r="AO813" i="1" s="1"/>
  <c r="AN814" i="1"/>
  <c r="AO814" i="1" s="1"/>
  <c r="AN815" i="1"/>
  <c r="AO815" i="1" s="1"/>
  <c r="AN816" i="1"/>
  <c r="AN817" i="1"/>
  <c r="AO817" i="1" s="1"/>
  <c r="AN818" i="1"/>
  <c r="AN819" i="1"/>
  <c r="AO819" i="1" s="1"/>
  <c r="AN820" i="1"/>
  <c r="AN821" i="1"/>
  <c r="AO821" i="1" s="1"/>
  <c r="AN822" i="1"/>
  <c r="AN823" i="1"/>
  <c r="AO823" i="1" s="1"/>
  <c r="AN824" i="1"/>
  <c r="AN825" i="1"/>
  <c r="AO825" i="1" s="1"/>
  <c r="AN826" i="1"/>
  <c r="AN827" i="1"/>
  <c r="AO827" i="1" s="1"/>
  <c r="AN828" i="1"/>
  <c r="AO828" i="1" s="1"/>
  <c r="AN829" i="1"/>
  <c r="AO829" i="1" s="1"/>
  <c r="AN830" i="1"/>
  <c r="AN831" i="1"/>
  <c r="AO831" i="1" s="1"/>
  <c r="AN832" i="1"/>
  <c r="AO832" i="1" s="1"/>
  <c r="AN833" i="1"/>
  <c r="AO833" i="1" s="1"/>
  <c r="AN834" i="1"/>
  <c r="AO834" i="1" s="1"/>
  <c r="AN835" i="1"/>
  <c r="AO835" i="1" s="1"/>
  <c r="AN836" i="1"/>
  <c r="AO836" i="1" s="1"/>
  <c r="AN837" i="1"/>
  <c r="AO837" i="1" s="1"/>
  <c r="AN838" i="1"/>
  <c r="AO838" i="1" s="1"/>
  <c r="AN839" i="1"/>
  <c r="AO839" i="1" s="1"/>
  <c r="AN840" i="1"/>
  <c r="AO840" i="1" s="1"/>
  <c r="AN841" i="1"/>
  <c r="AO841" i="1" s="1"/>
  <c r="AN842" i="1"/>
  <c r="AO842" i="1" s="1"/>
  <c r="AN843" i="1"/>
  <c r="AO843" i="1" s="1"/>
  <c r="AN844" i="1"/>
  <c r="AO844" i="1" s="1"/>
  <c r="AN845" i="1"/>
  <c r="AO845" i="1" s="1"/>
  <c r="AN846" i="1"/>
  <c r="AO846" i="1" s="1"/>
  <c r="AN847" i="1"/>
  <c r="AO847" i="1" s="1"/>
  <c r="AN848" i="1"/>
  <c r="AO848" i="1" s="1"/>
  <c r="AN849" i="1"/>
  <c r="AO849" i="1" s="1"/>
  <c r="AN850" i="1"/>
  <c r="AO850" i="1" s="1"/>
  <c r="AN851" i="1"/>
  <c r="AO851" i="1" s="1"/>
  <c r="AN852" i="1"/>
  <c r="AO852" i="1" s="1"/>
  <c r="AN853" i="1"/>
  <c r="AO853" i="1" s="1"/>
  <c r="AN854" i="1"/>
  <c r="AO854" i="1" s="1"/>
  <c r="AN855" i="1"/>
  <c r="AO855" i="1" s="1"/>
  <c r="AN856" i="1"/>
  <c r="AO856" i="1" s="1"/>
  <c r="AN857" i="1"/>
  <c r="AO857" i="1" s="1"/>
  <c r="AN858" i="1"/>
  <c r="AO858" i="1" s="1"/>
  <c r="AN859" i="1"/>
  <c r="AO859" i="1" s="1"/>
  <c r="AN860" i="1"/>
  <c r="AO860" i="1" s="1"/>
  <c r="AN861" i="1"/>
  <c r="AO861" i="1" s="1"/>
  <c r="AN862" i="1"/>
  <c r="AO862" i="1" s="1"/>
  <c r="AN863" i="1"/>
  <c r="AO863" i="1" s="1"/>
  <c r="AN864" i="1"/>
  <c r="AO864" i="1" s="1"/>
  <c r="AN865" i="1"/>
  <c r="AO865" i="1" s="1"/>
  <c r="AN866" i="1"/>
  <c r="AO866" i="1" s="1"/>
  <c r="AN867" i="1"/>
  <c r="AO867" i="1" s="1"/>
  <c r="AN868" i="1"/>
  <c r="AO868" i="1" s="1"/>
  <c r="AN869" i="1"/>
  <c r="AO869" i="1" s="1"/>
  <c r="AN870" i="1"/>
  <c r="AO870" i="1" s="1"/>
  <c r="AN871" i="1"/>
  <c r="AO871" i="1" s="1"/>
  <c r="AN872" i="1"/>
  <c r="AO872" i="1" s="1"/>
  <c r="AN873" i="1"/>
  <c r="AO873" i="1" s="1"/>
  <c r="AN874" i="1"/>
  <c r="AO874" i="1" s="1"/>
  <c r="AN875" i="1"/>
  <c r="AO875" i="1" s="1"/>
  <c r="AN876" i="1"/>
  <c r="AO876" i="1" s="1"/>
  <c r="AN877" i="1"/>
  <c r="AO877" i="1" s="1"/>
  <c r="AN878" i="1"/>
  <c r="AO878" i="1" s="1"/>
  <c r="AN879" i="1"/>
  <c r="AO879" i="1" s="1"/>
  <c r="AN880" i="1"/>
  <c r="AO880" i="1" s="1"/>
  <c r="AN881" i="1"/>
  <c r="AO881" i="1" s="1"/>
  <c r="AN882" i="1"/>
  <c r="AO882" i="1" s="1"/>
  <c r="AN883" i="1"/>
  <c r="AO883" i="1" s="1"/>
  <c r="AN884" i="1"/>
  <c r="AO884" i="1" s="1"/>
  <c r="AN885" i="1"/>
  <c r="AO885" i="1" s="1"/>
  <c r="AN886" i="1"/>
  <c r="AO886" i="1" s="1"/>
  <c r="AN887" i="1"/>
  <c r="AO887" i="1" s="1"/>
  <c r="AN888" i="1"/>
  <c r="AO888" i="1" s="1"/>
  <c r="AN889" i="1"/>
  <c r="AO889" i="1" s="1"/>
  <c r="AN890" i="1"/>
  <c r="AO890" i="1" s="1"/>
  <c r="AN891" i="1"/>
  <c r="AO891" i="1" s="1"/>
  <c r="AN892" i="1"/>
  <c r="AO892" i="1" s="1"/>
  <c r="AN893" i="1"/>
  <c r="AO893" i="1" s="1"/>
  <c r="AN894" i="1"/>
  <c r="AO894" i="1" s="1"/>
  <c r="AN895" i="1"/>
  <c r="AO895" i="1" s="1"/>
  <c r="AN896" i="1"/>
  <c r="AO896" i="1" s="1"/>
  <c r="AN897" i="1"/>
  <c r="AO897" i="1" s="1"/>
  <c r="AN898" i="1"/>
  <c r="AO898" i="1" s="1"/>
  <c r="AN899" i="1"/>
  <c r="AO899" i="1" s="1"/>
  <c r="AN900" i="1"/>
  <c r="AO900" i="1" s="1"/>
  <c r="AN901" i="1"/>
  <c r="AO901" i="1" s="1"/>
  <c r="AN902" i="1"/>
  <c r="AO902" i="1" s="1"/>
  <c r="AN903" i="1"/>
  <c r="AO903" i="1" s="1"/>
  <c r="AN904" i="1"/>
  <c r="AO904" i="1" s="1"/>
  <c r="AN905" i="1"/>
  <c r="AO905" i="1" s="1"/>
  <c r="AN906" i="1"/>
  <c r="AO906" i="1" s="1"/>
  <c r="AN907" i="1"/>
  <c r="AO907" i="1" s="1"/>
  <c r="AN908" i="1"/>
  <c r="AO908" i="1" s="1"/>
  <c r="AN909" i="1"/>
  <c r="AO909" i="1" s="1"/>
  <c r="AN910" i="1"/>
  <c r="AO910" i="1" s="1"/>
  <c r="AN911" i="1"/>
  <c r="AO911" i="1" s="1"/>
  <c r="AN912" i="1"/>
  <c r="AO912" i="1" s="1"/>
  <c r="AN913" i="1"/>
  <c r="AO913" i="1" s="1"/>
  <c r="AN914" i="1"/>
  <c r="AO914" i="1" s="1"/>
  <c r="AN915" i="1"/>
  <c r="AO915" i="1" s="1"/>
  <c r="AN916" i="1"/>
  <c r="AO916" i="1" s="1"/>
  <c r="AN917" i="1"/>
  <c r="AO917" i="1" s="1"/>
  <c r="AN918" i="1"/>
  <c r="AO918" i="1" s="1"/>
  <c r="AN919" i="1"/>
  <c r="AO919" i="1" s="1"/>
  <c r="AN920" i="1"/>
  <c r="AO920" i="1" s="1"/>
  <c r="AN921" i="1"/>
  <c r="AO921" i="1" s="1"/>
  <c r="AN922" i="1"/>
  <c r="AO922" i="1" s="1"/>
  <c r="AN923" i="1"/>
  <c r="AO923" i="1" s="1"/>
  <c r="AN924" i="1"/>
  <c r="AO924" i="1" s="1"/>
  <c r="AN925" i="1"/>
  <c r="AO925" i="1" s="1"/>
  <c r="AN926" i="1"/>
  <c r="AO926" i="1" s="1"/>
  <c r="AN927" i="1"/>
  <c r="AO927" i="1" s="1"/>
  <c r="AN928" i="1"/>
  <c r="AO928" i="1" s="1"/>
  <c r="AN929" i="1"/>
  <c r="AO929" i="1" s="1"/>
  <c r="AN930" i="1"/>
  <c r="AO930" i="1" s="1"/>
  <c r="AN931" i="1"/>
  <c r="AO931" i="1" s="1"/>
  <c r="AN932" i="1"/>
  <c r="AO932" i="1" s="1"/>
  <c r="AN933" i="1"/>
  <c r="AO933" i="1" s="1"/>
  <c r="AN934" i="1"/>
  <c r="AO934" i="1" s="1"/>
  <c r="AN935" i="1"/>
  <c r="AO935" i="1" s="1"/>
  <c r="AN936" i="1"/>
  <c r="AO936" i="1" s="1"/>
  <c r="AN937" i="1"/>
  <c r="AO937" i="1" s="1"/>
  <c r="AN938" i="1"/>
  <c r="AO938" i="1" s="1"/>
  <c r="AN939" i="1"/>
  <c r="AO939" i="1" s="1"/>
  <c r="AN940" i="1"/>
  <c r="AO940" i="1" s="1"/>
  <c r="AN941" i="1"/>
  <c r="AO941" i="1" s="1"/>
  <c r="D672" i="1"/>
  <c r="D675" i="1"/>
  <c r="D685" i="1"/>
  <c r="D687" i="1"/>
  <c r="D690" i="1"/>
  <c r="D693" i="1"/>
  <c r="D695" i="1"/>
  <c r="D698" i="1"/>
  <c r="D703" i="1"/>
  <c r="D713" i="1"/>
  <c r="D715" i="1"/>
  <c r="D718" i="1"/>
  <c r="D723" i="1"/>
  <c r="D726" i="1"/>
  <c r="D730" i="1"/>
  <c r="D741" i="1"/>
  <c r="D743" i="1"/>
  <c r="D747" i="1"/>
  <c r="D752" i="1"/>
  <c r="D757" i="1"/>
  <c r="D760" i="1"/>
  <c r="D763" i="1"/>
  <c r="D766" i="1"/>
  <c r="D771" i="1"/>
  <c r="D775" i="1"/>
  <c r="D778" i="1"/>
  <c r="D781" i="1"/>
  <c r="D784" i="1"/>
  <c r="D789" i="1"/>
  <c r="D792" i="1"/>
  <c r="D798" i="1"/>
  <c r="D800" i="1"/>
  <c r="D802" i="1"/>
  <c r="D809" i="1"/>
  <c r="D813" i="1"/>
  <c r="D815" i="1"/>
  <c r="D828" i="1"/>
  <c r="D831" i="1"/>
  <c r="D833" i="1"/>
  <c r="D837" i="1"/>
  <c r="D844" i="1"/>
  <c r="D847" i="1"/>
  <c r="D849" i="1"/>
  <c r="D853" i="1"/>
  <c r="D857" i="1"/>
  <c r="D862" i="1"/>
  <c r="D867" i="1"/>
  <c r="D869" i="1"/>
  <c r="D874" i="1"/>
  <c r="D879" i="1"/>
  <c r="D884" i="1"/>
  <c r="D888" i="1"/>
  <c r="D894" i="1"/>
  <c r="D897" i="1"/>
  <c r="D900" i="1"/>
  <c r="D907" i="1"/>
  <c r="D912" i="1"/>
  <c r="D915" i="1"/>
  <c r="D918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AJ672" i="1"/>
  <c r="AJ675" i="1"/>
  <c r="AJ685" i="1"/>
  <c r="AJ687" i="1"/>
  <c r="AJ690" i="1"/>
  <c r="AJ693" i="1"/>
  <c r="AJ695" i="1"/>
  <c r="AJ698" i="1"/>
  <c r="AJ703" i="1"/>
  <c r="AJ713" i="1"/>
  <c r="AJ715" i="1"/>
  <c r="AJ718" i="1"/>
  <c r="AJ723" i="1"/>
  <c r="AJ726" i="1"/>
  <c r="AJ730" i="1"/>
  <c r="AJ741" i="1"/>
  <c r="AJ743" i="1"/>
  <c r="AJ747" i="1"/>
  <c r="AJ752" i="1"/>
  <c r="AJ757" i="1"/>
  <c r="AJ760" i="1"/>
  <c r="AJ763" i="1"/>
  <c r="AJ766" i="1"/>
  <c r="AJ771" i="1"/>
  <c r="AJ775" i="1"/>
  <c r="AJ778" i="1"/>
  <c r="AJ781" i="1"/>
  <c r="AJ784" i="1"/>
  <c r="AJ789" i="1"/>
  <c r="AJ792" i="1"/>
  <c r="AJ798" i="1"/>
  <c r="AJ800" i="1"/>
  <c r="AJ802" i="1"/>
  <c r="AJ809" i="1"/>
  <c r="AJ813" i="1"/>
  <c r="AJ815" i="1"/>
  <c r="AJ828" i="1"/>
  <c r="AJ831" i="1"/>
  <c r="AJ833" i="1"/>
  <c r="AJ837" i="1"/>
  <c r="AJ844" i="1"/>
  <c r="AJ847" i="1"/>
  <c r="AJ849" i="1"/>
  <c r="AJ853" i="1"/>
  <c r="AJ857" i="1"/>
  <c r="AJ862" i="1"/>
  <c r="AJ867" i="1"/>
  <c r="AJ869" i="1"/>
  <c r="AJ874" i="1"/>
  <c r="AJ879" i="1"/>
  <c r="AJ884" i="1"/>
  <c r="AJ888" i="1"/>
  <c r="AJ894" i="1"/>
  <c r="AJ897" i="1"/>
  <c r="AJ900" i="1"/>
  <c r="AJ907" i="1"/>
  <c r="AJ912" i="1"/>
  <c r="AJ915" i="1"/>
  <c r="AJ918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Q919" i="1" l="1"/>
  <c r="AR919" i="1" s="1"/>
  <c r="AQ916" i="1"/>
  <c r="AR916" i="1" s="1"/>
  <c r="AQ913" i="1"/>
  <c r="AR913" i="1" s="1"/>
  <c r="AQ908" i="1"/>
  <c r="AR908" i="1" s="1"/>
  <c r="AQ901" i="1"/>
  <c r="AR901" i="1" s="1"/>
  <c r="AQ898" i="1"/>
  <c r="AR898" i="1" s="1"/>
  <c r="AQ895" i="1"/>
  <c r="AR895" i="1" s="1"/>
  <c r="AQ889" i="1"/>
  <c r="AR889" i="1" s="1"/>
  <c r="AQ885" i="1"/>
  <c r="AR885" i="1" s="1"/>
  <c r="AQ880" i="1"/>
  <c r="AR880" i="1" s="1"/>
  <c r="AQ875" i="1"/>
  <c r="AR875" i="1" s="1"/>
  <c r="AQ870" i="1"/>
  <c r="AR870" i="1" s="1"/>
  <c r="AQ868" i="1"/>
  <c r="AR868" i="1" s="1"/>
  <c r="AQ863" i="1"/>
  <c r="AR863" i="1" s="1"/>
  <c r="AQ858" i="1"/>
  <c r="AR858" i="1" s="1"/>
  <c r="AQ854" i="1"/>
  <c r="AR854" i="1" s="1"/>
  <c r="AQ850" i="1"/>
  <c r="AR850" i="1" s="1"/>
  <c r="AQ848" i="1"/>
  <c r="AR848" i="1" s="1"/>
  <c r="AQ845" i="1"/>
  <c r="AR845" i="1" s="1"/>
  <c r="AQ838" i="1"/>
  <c r="AR838" i="1" s="1"/>
  <c r="AQ832" i="1"/>
  <c r="AR832" i="1" s="1"/>
  <c r="AQ829" i="1"/>
  <c r="AR829" i="1" s="1"/>
  <c r="AO830" i="1"/>
  <c r="AG830" i="1"/>
  <c r="AG826" i="1"/>
  <c r="AO826" i="1" s="1"/>
  <c r="AG824" i="1"/>
  <c r="AO824" i="1" s="1"/>
  <c r="AG822" i="1"/>
  <c r="AO822" i="1" s="1"/>
  <c r="AG820" i="1"/>
  <c r="AO820" i="1" s="1"/>
  <c r="AG818" i="1"/>
  <c r="AO818" i="1" s="1"/>
  <c r="AG816" i="1"/>
  <c r="AO816" i="1" s="1"/>
  <c r="AQ816" i="1"/>
  <c r="AR816" i="1" s="1"/>
  <c r="AQ814" i="1"/>
  <c r="AR814" i="1" s="1"/>
  <c r="AO811" i="1"/>
  <c r="AQ793" i="1"/>
  <c r="AR793" i="1" s="1"/>
  <c r="AO631" i="1"/>
  <c r="AO612" i="1"/>
  <c r="AQ776" i="1"/>
  <c r="AR776" i="1" s="1"/>
  <c r="AO411" i="1"/>
  <c r="AO373" i="1"/>
  <c r="AO335" i="1"/>
  <c r="AO174" i="1"/>
  <c r="AO105" i="1"/>
  <c r="AG641" i="1"/>
  <c r="AG637" i="1"/>
  <c r="AO637" i="1" s="1"/>
  <c r="AG633" i="1"/>
  <c r="AO633" i="1" s="1"/>
  <c r="AG627" i="1"/>
  <c r="AO627" i="1" s="1"/>
  <c r="AG614" i="1"/>
  <c r="AO614" i="1" s="1"/>
  <c r="AG608" i="1"/>
  <c r="AG606" i="1"/>
  <c r="AO606" i="1" s="1"/>
  <c r="AG604" i="1"/>
  <c r="AO604" i="1" s="1"/>
  <c r="AG600" i="1"/>
  <c r="AO600" i="1" s="1"/>
  <c r="AG596" i="1"/>
  <c r="AO596" i="1" s="1"/>
  <c r="AG588" i="1"/>
  <c r="AO588" i="1" s="1"/>
  <c r="AG582" i="1"/>
  <c r="AO582" i="1" s="1"/>
  <c r="AG578" i="1"/>
  <c r="AO578" i="1" s="1"/>
  <c r="AG576" i="1"/>
  <c r="AO576" i="1" s="1"/>
  <c r="AG574" i="1"/>
  <c r="AO574" i="1" s="1"/>
  <c r="AG570" i="1"/>
  <c r="AO570" i="1" s="1"/>
  <c r="AG565" i="1"/>
  <c r="AO565" i="1" s="1"/>
  <c r="AG561" i="1"/>
  <c r="AO561" i="1" s="1"/>
  <c r="AG555" i="1"/>
  <c r="AG551" i="1"/>
  <c r="AG547" i="1"/>
  <c r="AG527" i="1"/>
  <c r="AG507" i="1"/>
  <c r="AG503" i="1"/>
  <c r="AG481" i="1"/>
  <c r="AG477" i="1"/>
  <c r="AG414" i="1"/>
  <c r="AO414" i="1" s="1"/>
  <c r="AG412" i="1"/>
  <c r="AG410" i="1"/>
  <c r="AO410" i="1" s="1"/>
  <c r="AG408" i="1"/>
  <c r="AG366" i="1"/>
  <c r="AG358" i="1"/>
  <c r="AG299" i="1"/>
  <c r="AG191" i="1"/>
  <c r="AO191" i="1" s="1"/>
  <c r="AG169" i="1"/>
  <c r="AO169" i="1" s="1"/>
  <c r="AG153" i="1"/>
  <c r="AG79" i="1"/>
  <c r="AG34" i="1"/>
  <c r="AG15" i="1"/>
  <c r="AQ785" i="1"/>
  <c r="AR785" i="1" s="1"/>
  <c r="AQ790" i="1"/>
  <c r="AR790" i="1" s="1"/>
  <c r="AQ782" i="1"/>
  <c r="AR782" i="1" s="1"/>
  <c r="AQ779" i="1"/>
  <c r="AR779" i="1" s="1"/>
  <c r="AQ772" i="1"/>
  <c r="AR772" i="1" s="1"/>
  <c r="AQ767" i="1"/>
  <c r="AR767" i="1" s="1"/>
  <c r="AQ764" i="1"/>
  <c r="AR764" i="1" s="1"/>
  <c r="AQ761" i="1"/>
  <c r="AR761" i="1" s="1"/>
  <c r="AO412" i="1"/>
  <c r="AO153" i="1"/>
  <c r="AO98" i="1"/>
  <c r="AG630" i="1"/>
  <c r="AG628" i="1"/>
  <c r="AG626" i="1"/>
  <c r="AG624" i="1"/>
  <c r="AG622" i="1"/>
  <c r="AG619" i="1"/>
  <c r="AG615" i="1"/>
  <c r="AG611" i="1"/>
  <c r="AG609" i="1"/>
  <c r="AG603" i="1"/>
  <c r="AG601" i="1"/>
  <c r="AG599" i="1"/>
  <c r="AG597" i="1"/>
  <c r="AG595" i="1"/>
  <c r="AG593" i="1"/>
  <c r="AG591" i="1"/>
  <c r="AG589" i="1"/>
  <c r="AG587" i="1"/>
  <c r="AG583" i="1"/>
  <c r="AG581" i="1"/>
  <c r="AG579" i="1"/>
  <c r="AG573" i="1"/>
  <c r="AG571" i="1"/>
  <c r="AG558" i="1"/>
  <c r="AG556" i="1"/>
  <c r="AG554" i="1"/>
  <c r="AG552" i="1"/>
  <c r="AG550" i="1"/>
  <c r="AG532" i="1"/>
  <c r="AQ731" i="1"/>
  <c r="AR731" i="1" s="1"/>
  <c r="AQ724" i="1"/>
  <c r="AR724" i="1" s="1"/>
  <c r="AO626" i="1"/>
  <c r="AO624" i="1"/>
  <c r="AO619" i="1"/>
  <c r="AO617" i="1"/>
  <c r="AO609" i="1"/>
  <c r="AO603" i="1"/>
  <c r="AO601" i="1"/>
  <c r="AO599" i="1"/>
  <c r="AO597" i="1"/>
  <c r="AO595" i="1"/>
  <c r="AO591" i="1"/>
  <c r="AO589" i="1"/>
  <c r="AO587" i="1"/>
  <c r="AO583" i="1"/>
  <c r="AO573" i="1"/>
  <c r="AO558" i="1"/>
  <c r="AO554" i="1"/>
  <c r="AQ753" i="1"/>
  <c r="AR753" i="1" s="1"/>
  <c r="AQ758" i="1"/>
  <c r="AR758" i="1" s="1"/>
  <c r="AQ748" i="1"/>
  <c r="AR748" i="1" s="1"/>
  <c r="AQ744" i="1"/>
  <c r="AR744" i="1" s="1"/>
  <c r="AQ742" i="1"/>
  <c r="AR742" i="1" s="1"/>
  <c r="AQ727" i="1"/>
  <c r="AR727" i="1" s="1"/>
  <c r="AQ716" i="1"/>
  <c r="AR716" i="1" s="1"/>
  <c r="AQ714" i="1"/>
  <c r="AR714" i="1" s="1"/>
  <c r="AQ704" i="1"/>
  <c r="AR704" i="1" s="1"/>
  <c r="AQ696" i="1"/>
  <c r="AR696" i="1" s="1"/>
  <c r="AQ719" i="1"/>
  <c r="AR719" i="1" s="1"/>
  <c r="AQ699" i="1"/>
  <c r="AR699" i="1" s="1"/>
  <c r="AQ652" i="1"/>
  <c r="AR652" i="1" s="1"/>
  <c r="AQ694" i="1"/>
  <c r="AR694" i="1" s="1"/>
  <c r="AQ691" i="1"/>
  <c r="AR691" i="1" s="1"/>
  <c r="AQ688" i="1"/>
  <c r="AR688" i="1" s="1"/>
  <c r="AQ686" i="1"/>
  <c r="AR686" i="1" s="1"/>
  <c r="AQ676" i="1"/>
  <c r="AR676" i="1" s="1"/>
  <c r="AQ673" i="1"/>
  <c r="AR673" i="1" s="1"/>
  <c r="AQ662" i="1"/>
  <c r="AR662" i="1" s="1"/>
  <c r="AQ659" i="1"/>
  <c r="AR659" i="1" s="1"/>
  <c r="AQ657" i="1"/>
  <c r="AR657" i="1" s="1"/>
  <c r="AQ650" i="1"/>
  <c r="AR650" i="1" s="1"/>
  <c r="AQ645" i="1"/>
  <c r="AR645" i="1" s="1"/>
  <c r="AO638" i="1"/>
  <c r="AO634" i="1"/>
  <c r="AG642" i="1"/>
  <c r="AO642" i="1" s="1"/>
  <c r="AG640" i="1"/>
  <c r="AO640" i="1" s="1"/>
  <c r="AG636" i="1"/>
  <c r="AO636" i="1" s="1"/>
  <c r="AQ633" i="1"/>
  <c r="AR633" i="1" s="1"/>
  <c r="AQ619" i="1"/>
  <c r="AR619" i="1" s="1"/>
  <c r="AO568" i="1"/>
  <c r="AO547" i="1"/>
  <c r="AO358" i="1"/>
  <c r="AO356" i="1"/>
  <c r="AO342" i="1"/>
  <c r="AO221" i="1"/>
  <c r="AO195" i="1"/>
  <c r="AO165" i="1"/>
  <c r="AO145" i="1"/>
  <c r="AO34" i="1"/>
  <c r="AG546" i="1"/>
  <c r="AG544" i="1"/>
  <c r="AG542" i="1"/>
  <c r="AO542" i="1" s="1"/>
  <c r="AG534" i="1"/>
  <c r="AG530" i="1"/>
  <c r="AG438" i="1"/>
  <c r="AO438" i="1" s="1"/>
  <c r="AG403" i="1"/>
  <c r="AO403" i="1" s="1"/>
  <c r="AG377" i="1"/>
  <c r="AO377" i="1" s="1"/>
  <c r="AG359" i="1"/>
  <c r="AG357" i="1"/>
  <c r="AG355" i="1"/>
  <c r="AG345" i="1"/>
  <c r="AO345" i="1" s="1"/>
  <c r="AG316" i="1"/>
  <c r="AO316" i="1" s="1"/>
  <c r="AG270" i="1"/>
  <c r="AG212" i="1"/>
  <c r="AO212" i="1" s="1"/>
  <c r="AG200" i="1"/>
  <c r="AO200" i="1" s="1"/>
  <c r="AG86" i="1"/>
  <c r="AQ614" i="1"/>
  <c r="AR614" i="1" s="1"/>
  <c r="AQ606" i="1"/>
  <c r="AR606" i="1" s="1"/>
  <c r="AQ595" i="1"/>
  <c r="AR595" i="1" s="1"/>
  <c r="AQ578" i="1"/>
  <c r="AR578" i="1" s="1"/>
  <c r="AQ576" i="1"/>
  <c r="AR576" i="1" s="1"/>
  <c r="AQ565" i="1"/>
  <c r="AR565" i="1" s="1"/>
  <c r="AO563" i="1"/>
  <c r="AQ554" i="1"/>
  <c r="AR554" i="1" s="1"/>
  <c r="AG549" i="1"/>
  <c r="AO549" i="1" s="1"/>
  <c r="AO546" i="1"/>
  <c r="AO544" i="1"/>
  <c r="AO536" i="1"/>
  <c r="AO534" i="1"/>
  <c r="AO532" i="1"/>
  <c r="AO530" i="1"/>
  <c r="AG537" i="1"/>
  <c r="AO537" i="1" s="1"/>
  <c r="AG535" i="1"/>
  <c r="AO535" i="1" s="1"/>
  <c r="AG533" i="1"/>
  <c r="AO533" i="1" s="1"/>
  <c r="AG531" i="1"/>
  <c r="AO531" i="1" s="1"/>
  <c r="AQ530" i="1"/>
  <c r="AR530" i="1" s="1"/>
  <c r="AO527" i="1"/>
  <c r="AO523" i="1"/>
  <c r="AG525" i="1"/>
  <c r="AO525" i="1" s="1"/>
  <c r="AG521" i="1"/>
  <c r="AO521" i="1" s="1"/>
  <c r="AG519" i="1"/>
  <c r="AO519" i="1" s="1"/>
  <c r="AG515" i="1"/>
  <c r="AO515" i="1" s="1"/>
  <c r="AG513" i="1"/>
  <c r="AO513" i="1" s="1"/>
  <c r="AG511" i="1"/>
  <c r="AO511" i="1" s="1"/>
  <c r="AO507" i="1"/>
  <c r="AO503" i="1"/>
  <c r="AQ498" i="1"/>
  <c r="AR498" i="1" s="1"/>
  <c r="AO481" i="1"/>
  <c r="AO471" i="1"/>
  <c r="AG474" i="1"/>
  <c r="AO474" i="1" s="1"/>
  <c r="AG470" i="1"/>
  <c r="AP470" i="1" s="1"/>
  <c r="AG460" i="1"/>
  <c r="AO460" i="1" s="1"/>
  <c r="AO86" i="1"/>
  <c r="AG418" i="1"/>
  <c r="AO418" i="1" s="1"/>
  <c r="AO426" i="1"/>
  <c r="AQ414" i="1"/>
  <c r="AR414" i="1" s="1"/>
  <c r="AG421" i="1"/>
  <c r="AO421" i="1" s="1"/>
  <c r="AG415" i="1"/>
  <c r="AP415" i="1" s="1"/>
  <c r="AQ383" i="1"/>
  <c r="AR383" i="1" s="1"/>
  <c r="AQ373" i="1"/>
  <c r="AR373" i="1" s="1"/>
  <c r="AO366" i="1"/>
  <c r="AG369" i="1"/>
  <c r="AO369" i="1" s="1"/>
  <c r="AQ369" i="1"/>
  <c r="AR369" i="1" s="1"/>
  <c r="AQ345" i="1"/>
  <c r="AR345" i="1" s="1"/>
  <c r="AQ318" i="1"/>
  <c r="AR318" i="1" s="1"/>
  <c r="AQ316" i="1"/>
  <c r="AR316" i="1" s="1"/>
  <c r="AQ310" i="1"/>
  <c r="AR310" i="1" s="1"/>
  <c r="AG311" i="1"/>
  <c r="AO311" i="1" s="1"/>
  <c r="AO299" i="1"/>
  <c r="AQ291" i="1"/>
  <c r="AR291" i="1" s="1"/>
  <c r="AQ285" i="1"/>
  <c r="AR285" i="1" s="1"/>
  <c r="AQ277" i="1"/>
  <c r="AR277" i="1" s="1"/>
  <c r="AO270" i="1"/>
  <c r="AQ270" i="1"/>
  <c r="AR270" i="1" s="1"/>
  <c r="AG267" i="1"/>
  <c r="AO267" i="1" s="1"/>
  <c r="AQ263" i="1"/>
  <c r="AR263" i="1" s="1"/>
  <c r="AQ259" i="1"/>
  <c r="AR259" i="1" s="1"/>
  <c r="AQ656" i="1"/>
  <c r="AR656" i="1" s="1"/>
  <c r="AO656" i="1"/>
  <c r="AQ632" i="1"/>
  <c r="AR632" i="1" s="1"/>
  <c r="AO632" i="1"/>
  <c r="AQ630" i="1"/>
  <c r="AR630" i="1" s="1"/>
  <c r="AO630" i="1"/>
  <c r="AQ628" i="1"/>
  <c r="AR628" i="1" s="1"/>
  <c r="AO628" i="1"/>
  <c r="AS622" i="1"/>
  <c r="AO622" i="1"/>
  <c r="AS615" i="1"/>
  <c r="AO615" i="1"/>
  <c r="AS613" i="1"/>
  <c r="AO613" i="1"/>
  <c r="AS611" i="1"/>
  <c r="AO611" i="1"/>
  <c r="AS607" i="1"/>
  <c r="AO607" i="1"/>
  <c r="AQ593" i="1"/>
  <c r="AR593" i="1" s="1"/>
  <c r="AO593" i="1"/>
  <c r="AS585" i="1"/>
  <c r="AO585" i="1"/>
  <c r="AQ581" i="1"/>
  <c r="AR581" i="1" s="1"/>
  <c r="AO581" i="1"/>
  <c r="AQ579" i="1"/>
  <c r="AR579" i="1" s="1"/>
  <c r="AO579" i="1"/>
  <c r="AQ577" i="1"/>
  <c r="AR577" i="1" s="1"/>
  <c r="AO577" i="1"/>
  <c r="AQ575" i="1"/>
  <c r="AR575" i="1" s="1"/>
  <c r="AO575" i="1"/>
  <c r="AQ571" i="1"/>
  <c r="AR571" i="1" s="1"/>
  <c r="AO571" i="1"/>
  <c r="AQ569" i="1"/>
  <c r="AR569" i="1" s="1"/>
  <c r="AO569" i="1"/>
  <c r="AQ556" i="1"/>
  <c r="AR556" i="1" s="1"/>
  <c r="AO556" i="1"/>
  <c r="AQ552" i="1"/>
  <c r="AR552" i="1" s="1"/>
  <c r="AO552" i="1"/>
  <c r="AQ550" i="1"/>
  <c r="AR550" i="1" s="1"/>
  <c r="AO550" i="1"/>
  <c r="AS538" i="1"/>
  <c r="AO538" i="1"/>
  <c r="AQ528" i="1"/>
  <c r="AR528" i="1" s="1"/>
  <c r="AQ524" i="1"/>
  <c r="AR524" i="1" s="1"/>
  <c r="AQ518" i="1"/>
  <c r="AR518" i="1" s="1"/>
  <c r="AQ504" i="1"/>
  <c r="AR504" i="1" s="1"/>
  <c r="AS500" i="1"/>
  <c r="AO500" i="1"/>
  <c r="AQ496" i="1"/>
  <c r="AR496" i="1" s="1"/>
  <c r="AQ494" i="1"/>
  <c r="AR494" i="1" s="1"/>
  <c r="AQ492" i="1"/>
  <c r="AR492" i="1" s="1"/>
  <c r="AQ488" i="1"/>
  <c r="AR488" i="1" s="1"/>
  <c r="AQ482" i="1"/>
  <c r="AR482" i="1" s="1"/>
  <c r="AO482" i="1"/>
  <c r="AQ472" i="1"/>
  <c r="AR472" i="1" s="1"/>
  <c r="AQ450" i="1"/>
  <c r="AR450" i="1" s="1"/>
  <c r="AQ448" i="1"/>
  <c r="AR448" i="1" s="1"/>
  <c r="AS443" i="1"/>
  <c r="AQ437" i="1"/>
  <c r="AR437" i="1" s="1"/>
  <c r="AQ427" i="1"/>
  <c r="AR427" i="1" s="1"/>
  <c r="AQ420" i="1"/>
  <c r="AR420" i="1" s="1"/>
  <c r="AQ416" i="1"/>
  <c r="AR416" i="1" s="1"/>
  <c r="AQ408" i="1"/>
  <c r="AR408" i="1" s="1"/>
  <c r="AO408" i="1"/>
  <c r="AQ374" i="1"/>
  <c r="AR374" i="1" s="1"/>
  <c r="AQ372" i="1"/>
  <c r="AR372" i="1" s="1"/>
  <c r="AO372" i="1"/>
  <c r="AQ370" i="1"/>
  <c r="AR370" i="1" s="1"/>
  <c r="AQ368" i="1"/>
  <c r="AR368" i="1" s="1"/>
  <c r="AO368" i="1"/>
  <c r="AQ364" i="1"/>
  <c r="AR364" i="1" s="1"/>
  <c r="AQ362" i="1"/>
  <c r="AR362" i="1" s="1"/>
  <c r="AQ346" i="1"/>
  <c r="AR346" i="1" s="1"/>
  <c r="AQ336" i="1"/>
  <c r="AR336" i="1" s="1"/>
  <c r="AQ319" i="1"/>
  <c r="AR319" i="1" s="1"/>
  <c r="AQ309" i="1"/>
  <c r="AR309" i="1" s="1"/>
  <c r="AO309" i="1"/>
  <c r="AQ303" i="1"/>
  <c r="AR303" i="1" s="1"/>
  <c r="AQ293" i="1"/>
  <c r="AR293" i="1" s="1"/>
  <c r="AQ287" i="1"/>
  <c r="AR287" i="1" s="1"/>
  <c r="AQ275" i="1"/>
  <c r="AR275" i="1" s="1"/>
  <c r="AQ269" i="1"/>
  <c r="AR269" i="1" s="1"/>
  <c r="AO269" i="1"/>
  <c r="AQ261" i="1"/>
  <c r="AR261" i="1" s="1"/>
  <c r="AS251" i="1"/>
  <c r="AO251" i="1"/>
  <c r="AQ241" i="1"/>
  <c r="AR241" i="1" s="1"/>
  <c r="AQ235" i="1"/>
  <c r="AR235" i="1" s="1"/>
  <c r="AQ231" i="1"/>
  <c r="AR231" i="1" s="1"/>
  <c r="AQ225" i="1"/>
  <c r="AR225" i="1" s="1"/>
  <c r="AQ223" i="1"/>
  <c r="AR223" i="1" s="1"/>
  <c r="AO223" i="1"/>
  <c r="AQ215" i="1"/>
  <c r="AR215" i="1" s="1"/>
  <c r="AQ193" i="1"/>
  <c r="AR193" i="1" s="1"/>
  <c r="AQ179" i="1"/>
  <c r="AR179" i="1" s="1"/>
  <c r="AQ147" i="1"/>
  <c r="AR147" i="1" s="1"/>
  <c r="AQ143" i="1"/>
  <c r="AR143" i="1" s="1"/>
  <c r="AQ141" i="1"/>
  <c r="AR141" i="1" s="1"/>
  <c r="AQ137" i="1"/>
  <c r="AR137" i="1" s="1"/>
  <c r="AQ131" i="1"/>
  <c r="AR131" i="1" s="1"/>
  <c r="AQ129" i="1"/>
  <c r="AR129" i="1" s="1"/>
  <c r="AQ125" i="1"/>
  <c r="AR125" i="1" s="1"/>
  <c r="AQ116" i="1"/>
  <c r="AR116" i="1" s="1"/>
  <c r="AQ114" i="1"/>
  <c r="AR114" i="1" s="1"/>
  <c r="AQ110" i="1"/>
  <c r="AR110" i="1" s="1"/>
  <c r="AQ106" i="1"/>
  <c r="AR106" i="1" s="1"/>
  <c r="AQ104" i="1"/>
  <c r="AR104" i="1" s="1"/>
  <c r="AQ96" i="1"/>
  <c r="AR96" i="1" s="1"/>
  <c r="AQ90" i="1"/>
  <c r="AR90" i="1" s="1"/>
  <c r="AQ87" i="1"/>
  <c r="AR87" i="1" s="1"/>
  <c r="AQ85" i="1"/>
  <c r="AR85" i="1" s="1"/>
  <c r="AQ83" i="1"/>
  <c r="AR83" i="1" s="1"/>
  <c r="AS79" i="1"/>
  <c r="AO79" i="1"/>
  <c r="AQ75" i="1"/>
  <c r="AR75" i="1" s="1"/>
  <c r="AO75" i="1"/>
  <c r="AQ73" i="1"/>
  <c r="AR73" i="1" s="1"/>
  <c r="AQ69" i="1"/>
  <c r="AR69" i="1" s="1"/>
  <c r="AQ65" i="1"/>
  <c r="AR65" i="1" s="1"/>
  <c r="AQ63" i="1"/>
  <c r="AR63" i="1" s="1"/>
  <c r="AQ59" i="1"/>
  <c r="AR59" i="1" s="1"/>
  <c r="AQ57" i="1"/>
  <c r="AR57" i="1" s="1"/>
  <c r="AQ44" i="1"/>
  <c r="AR44" i="1" s="1"/>
  <c r="AQ42" i="1"/>
  <c r="AR42" i="1" s="1"/>
  <c r="AQ40" i="1"/>
  <c r="AR40" i="1" s="1"/>
  <c r="AQ38" i="1"/>
  <c r="AR38" i="1" s="1"/>
  <c r="AS32" i="1"/>
  <c r="AO32" i="1"/>
  <c r="AQ18" i="1"/>
  <c r="AR18" i="1" s="1"/>
  <c r="AQ14" i="1"/>
  <c r="AR14" i="1" s="1"/>
  <c r="AQ12" i="1"/>
  <c r="AR12" i="1" s="1"/>
  <c r="AQ10" i="1"/>
  <c r="AR10" i="1" s="1"/>
  <c r="AQ8" i="1"/>
  <c r="AR8" i="1" s="1"/>
  <c r="AQ98" i="1"/>
  <c r="AR98" i="1" s="1"/>
  <c r="AQ671" i="1"/>
  <c r="AR671" i="1" s="1"/>
  <c r="AO671" i="1"/>
  <c r="AQ665" i="1"/>
  <c r="AR665" i="1" s="1"/>
  <c r="AO665" i="1"/>
  <c r="AQ663" i="1"/>
  <c r="AR663" i="1" s="1"/>
  <c r="AO663" i="1"/>
  <c r="AQ651" i="1"/>
  <c r="AR651" i="1" s="1"/>
  <c r="AO651" i="1"/>
  <c r="AQ641" i="1"/>
  <c r="AR641" i="1" s="1"/>
  <c r="AO641" i="1"/>
  <c r="AQ639" i="1"/>
  <c r="AR639" i="1" s="1"/>
  <c r="AO639" i="1"/>
  <c r="AQ635" i="1"/>
  <c r="AR635" i="1" s="1"/>
  <c r="AO635" i="1"/>
  <c r="AQ625" i="1"/>
  <c r="AR625" i="1" s="1"/>
  <c r="AO625" i="1"/>
  <c r="AS618" i="1"/>
  <c r="AO618" i="1"/>
  <c r="AS616" i="1"/>
  <c r="AO616" i="1"/>
  <c r="AQ608" i="1"/>
  <c r="AR608" i="1" s="1"/>
  <c r="AO608" i="1"/>
  <c r="AS602" i="1"/>
  <c r="AO602" i="1"/>
  <c r="AQ586" i="1"/>
  <c r="AR586" i="1" s="1"/>
  <c r="AO586" i="1"/>
  <c r="AQ584" i="1"/>
  <c r="AR584" i="1" s="1"/>
  <c r="AO584" i="1"/>
  <c r="AQ559" i="1"/>
  <c r="AR559" i="1" s="1"/>
  <c r="AS555" i="1"/>
  <c r="AO555" i="1"/>
  <c r="AS551" i="1"/>
  <c r="AO551" i="1"/>
  <c r="AQ545" i="1"/>
  <c r="AR545" i="1" s="1"/>
  <c r="AO545" i="1"/>
  <c r="AQ543" i="1"/>
  <c r="AR543" i="1" s="1"/>
  <c r="AO543" i="1"/>
  <c r="AQ541" i="1"/>
  <c r="AR541" i="1" s="1"/>
  <c r="AO541" i="1"/>
  <c r="AQ539" i="1"/>
  <c r="AR539" i="1" s="1"/>
  <c r="AO539" i="1"/>
  <c r="AQ521" i="1"/>
  <c r="AR521" i="1" s="1"/>
  <c r="AQ515" i="1"/>
  <c r="AR515" i="1" s="1"/>
  <c r="AS509" i="1"/>
  <c r="AO509" i="1"/>
  <c r="AQ501" i="1"/>
  <c r="AR501" i="1" s="1"/>
  <c r="AO501" i="1"/>
  <c r="AQ499" i="1"/>
  <c r="AR499" i="1" s="1"/>
  <c r="AO499" i="1"/>
  <c r="AQ491" i="1"/>
  <c r="AR491" i="1" s="1"/>
  <c r="AO491" i="1"/>
  <c r="AQ489" i="1"/>
  <c r="AR489" i="1" s="1"/>
  <c r="AO489" i="1"/>
  <c r="AQ487" i="1"/>
  <c r="AR487" i="1" s="1"/>
  <c r="AO487" i="1"/>
  <c r="AQ485" i="1"/>
  <c r="AR485" i="1" s="1"/>
  <c r="AO485" i="1"/>
  <c r="AQ483" i="1"/>
  <c r="AR483" i="1" s="1"/>
  <c r="AO483" i="1"/>
  <c r="AQ477" i="1"/>
  <c r="AR477" i="1" s="1"/>
  <c r="AO477" i="1"/>
  <c r="AQ473" i="1"/>
  <c r="AR473" i="1" s="1"/>
  <c r="AQ467" i="1"/>
  <c r="AR467" i="1" s="1"/>
  <c r="AQ465" i="1"/>
  <c r="AR465" i="1" s="1"/>
  <c r="AO465" i="1"/>
  <c r="AQ463" i="1"/>
  <c r="AR463" i="1" s="1"/>
  <c r="AQ461" i="1"/>
  <c r="AR461" i="1" s="1"/>
  <c r="AQ459" i="1"/>
  <c r="AR459" i="1" s="1"/>
  <c r="AQ453" i="1"/>
  <c r="AR453" i="1" s="1"/>
  <c r="AQ444" i="1"/>
  <c r="AR444" i="1" s="1"/>
  <c r="AQ442" i="1"/>
  <c r="AR442" i="1" s="1"/>
  <c r="AO442" i="1"/>
  <c r="AQ440" i="1"/>
  <c r="AR440" i="1" s="1"/>
  <c r="AQ436" i="1"/>
  <c r="AR436" i="1" s="1"/>
  <c r="AQ432" i="1"/>
  <c r="AR432" i="1" s="1"/>
  <c r="AO432" i="1"/>
  <c r="AQ428" i="1"/>
  <c r="AR428" i="1" s="1"/>
  <c r="AQ419" i="1"/>
  <c r="AR419" i="1" s="1"/>
  <c r="AQ413" i="1"/>
  <c r="AR413" i="1" s="1"/>
  <c r="AO413" i="1"/>
  <c r="AQ409" i="1"/>
  <c r="AR409" i="1" s="1"/>
  <c r="AO409" i="1"/>
  <c r="AQ407" i="1"/>
  <c r="AR407" i="1" s="1"/>
  <c r="AO407" i="1"/>
  <c r="AQ397" i="1"/>
  <c r="AR397" i="1" s="1"/>
  <c r="AQ395" i="1"/>
  <c r="AR395" i="1" s="1"/>
  <c r="AQ379" i="1"/>
  <c r="AR379" i="1" s="1"/>
  <c r="AQ367" i="1"/>
  <c r="AR367" i="1" s="1"/>
  <c r="AQ363" i="1"/>
  <c r="AR363" i="1" s="1"/>
  <c r="AO363" i="1"/>
  <c r="AQ359" i="1"/>
  <c r="AR359" i="1" s="1"/>
  <c r="AO359" i="1"/>
  <c r="AQ357" i="1"/>
  <c r="AR357" i="1" s="1"/>
  <c r="AO357" i="1"/>
  <c r="AQ355" i="1"/>
  <c r="AR355" i="1" s="1"/>
  <c r="AO355" i="1"/>
  <c r="AQ353" i="1"/>
  <c r="AR353" i="1" s="1"/>
  <c r="AO353" i="1"/>
  <c r="AQ341" i="1"/>
  <c r="AR341" i="1" s="1"/>
  <c r="AQ314" i="1"/>
  <c r="AR314" i="1" s="1"/>
  <c r="AQ312" i="1"/>
  <c r="AR312" i="1" s="1"/>
  <c r="AQ308" i="1"/>
  <c r="AR308" i="1" s="1"/>
  <c r="AQ306" i="1"/>
  <c r="AR306" i="1" s="1"/>
  <c r="AQ304" i="1"/>
  <c r="AR304" i="1" s="1"/>
  <c r="AQ264" i="1"/>
  <c r="AR264" i="1" s="1"/>
  <c r="AQ260" i="1"/>
  <c r="AR260" i="1" s="1"/>
  <c r="AQ250" i="1"/>
  <c r="AR250" i="1" s="1"/>
  <c r="AQ244" i="1"/>
  <c r="AR244" i="1" s="1"/>
  <c r="AQ232" i="1"/>
  <c r="AR232" i="1" s="1"/>
  <c r="AQ230" i="1"/>
  <c r="AR230" i="1" s="1"/>
  <c r="AQ218" i="1"/>
  <c r="AR218" i="1" s="1"/>
  <c r="AQ216" i="1"/>
  <c r="AR216" i="1" s="1"/>
  <c r="AQ214" i="1"/>
  <c r="AR214" i="1" s="1"/>
  <c r="AQ210" i="1"/>
  <c r="AR210" i="1" s="1"/>
  <c r="AO210" i="1"/>
  <c r="AQ206" i="1"/>
  <c r="AR206" i="1" s="1"/>
  <c r="AS184" i="1"/>
  <c r="AO184" i="1"/>
  <c r="AQ176" i="1"/>
  <c r="AR176" i="1" s="1"/>
  <c r="AO176" i="1"/>
  <c r="AQ164" i="1"/>
  <c r="AR164" i="1" s="1"/>
  <c r="AQ162" i="1"/>
  <c r="AR162" i="1" s="1"/>
  <c r="AQ156" i="1"/>
  <c r="AR156" i="1" s="1"/>
  <c r="AQ154" i="1"/>
  <c r="AR154" i="1" s="1"/>
  <c r="AQ152" i="1"/>
  <c r="AR152" i="1" s="1"/>
  <c r="AQ150" i="1"/>
  <c r="AR150" i="1" s="1"/>
  <c r="AQ148" i="1"/>
  <c r="AR148" i="1" s="1"/>
  <c r="AQ146" i="1"/>
  <c r="AR146" i="1" s="1"/>
  <c r="AQ142" i="1"/>
  <c r="AR142" i="1" s="1"/>
  <c r="AQ140" i="1"/>
  <c r="AR140" i="1" s="1"/>
  <c r="AQ134" i="1"/>
  <c r="AR134" i="1" s="1"/>
  <c r="AQ128" i="1"/>
  <c r="AR128" i="1" s="1"/>
  <c r="AQ119" i="1"/>
  <c r="AR119" i="1" s="1"/>
  <c r="AQ115" i="1"/>
  <c r="AR115" i="1" s="1"/>
  <c r="AO115" i="1"/>
  <c r="AQ107" i="1"/>
  <c r="AR107" i="1" s="1"/>
  <c r="AQ103" i="1"/>
  <c r="AR103" i="1" s="1"/>
  <c r="AO103" i="1"/>
  <c r="AQ101" i="1"/>
  <c r="AR101" i="1" s="1"/>
  <c r="AQ99" i="1"/>
  <c r="AR99" i="1" s="1"/>
  <c r="AQ95" i="1"/>
  <c r="AR95" i="1" s="1"/>
  <c r="AO95" i="1"/>
  <c r="AQ88" i="1"/>
  <c r="AR88" i="1" s="1"/>
  <c r="AO88" i="1"/>
  <c r="AQ80" i="1"/>
  <c r="AR80" i="1" s="1"/>
  <c r="AQ70" i="1"/>
  <c r="AR70" i="1" s="1"/>
  <c r="AQ66" i="1"/>
  <c r="AR66" i="1" s="1"/>
  <c r="AQ64" i="1"/>
  <c r="AR64" i="1" s="1"/>
  <c r="AQ54" i="1"/>
  <c r="AR54" i="1" s="1"/>
  <c r="AQ52" i="1"/>
  <c r="AR52" i="1" s="1"/>
  <c r="AQ49" i="1"/>
  <c r="AR49" i="1" s="1"/>
  <c r="AQ45" i="1"/>
  <c r="AR45" i="1" s="1"/>
  <c r="AQ35" i="1"/>
  <c r="AR35" i="1" s="1"/>
  <c r="AQ33" i="1"/>
  <c r="AR33" i="1" s="1"/>
  <c r="AQ31" i="1"/>
  <c r="AR31" i="1" s="1"/>
  <c r="AO31" i="1"/>
  <c r="AQ27" i="1"/>
  <c r="AR27" i="1" s="1"/>
  <c r="AQ25" i="1"/>
  <c r="AR25" i="1" s="1"/>
  <c r="AQ23" i="1"/>
  <c r="AR23" i="1" s="1"/>
  <c r="AQ21" i="1"/>
  <c r="AR21" i="1" s="1"/>
  <c r="AQ19" i="1"/>
  <c r="AR19" i="1" s="1"/>
  <c r="AQ17" i="1"/>
  <c r="AR17" i="1" s="1"/>
  <c r="AQ15" i="1"/>
  <c r="AR15" i="1" s="1"/>
  <c r="AO15" i="1"/>
  <c r="AQ5" i="1"/>
  <c r="AR5" i="1" s="1"/>
  <c r="AQ191" i="1"/>
  <c r="AR191" i="1" s="1"/>
  <c r="AQ189" i="1"/>
  <c r="AR189" i="1" s="1"/>
  <c r="AQ172" i="1"/>
  <c r="AR172" i="1" s="1"/>
  <c r="AQ133" i="1"/>
  <c r="AR133" i="1" s="1"/>
  <c r="AQ32" i="1"/>
  <c r="AR32" i="1" s="1"/>
  <c r="AO50" i="1"/>
  <c r="AQ351" i="1"/>
  <c r="AR351" i="1" s="1"/>
  <c r="AQ510" i="1"/>
  <c r="AR510" i="1" s="1"/>
  <c r="AQ506" i="1"/>
  <c r="AR506" i="1" s="1"/>
  <c r="AG318" i="1"/>
  <c r="AO318" i="1" s="1"/>
  <c r="AG300" i="1"/>
  <c r="AO300" i="1" s="1"/>
  <c r="AG271" i="1"/>
  <c r="AO271" i="1" s="1"/>
  <c r="AG265" i="1"/>
  <c r="AP265" i="1" s="1"/>
  <c r="X650" i="1"/>
  <c r="X638" i="1"/>
  <c r="X634" i="1"/>
  <c r="X617" i="1"/>
  <c r="AG472" i="1"/>
  <c r="AO472" i="1" s="1"/>
  <c r="X472" i="1"/>
  <c r="AG468" i="1"/>
  <c r="AO468" i="1" s="1"/>
  <c r="X468" i="1"/>
  <c r="AG445" i="1"/>
  <c r="AO445" i="1" s="1"/>
  <c r="X445" i="1"/>
  <c r="AG433" i="1"/>
  <c r="AP433" i="1" s="1"/>
  <c r="X433" i="1"/>
  <c r="AG392" i="1"/>
  <c r="AP392" i="1" s="1"/>
  <c r="X392" i="1"/>
  <c r="AG388" i="1"/>
  <c r="AO388" i="1" s="1"/>
  <c r="X388" i="1"/>
  <c r="AG386" i="1"/>
  <c r="AP386" i="1" s="1"/>
  <c r="X386" i="1"/>
  <c r="AG380" i="1"/>
  <c r="AO380" i="1" s="1"/>
  <c r="X380" i="1"/>
  <c r="Y380" i="1" s="1"/>
  <c r="AG364" i="1"/>
  <c r="AO364" i="1" s="1"/>
  <c r="X364" i="1"/>
  <c r="AG344" i="1"/>
  <c r="X344" i="1"/>
  <c r="Y344" i="1" s="1"/>
  <c r="AG336" i="1"/>
  <c r="X336" i="1"/>
  <c r="AG332" i="1"/>
  <c r="AO332" i="1" s="1"/>
  <c r="X332" i="1"/>
  <c r="AG323" i="1"/>
  <c r="X323" i="1"/>
  <c r="Y323" i="1" s="1"/>
  <c r="AG291" i="1"/>
  <c r="AO291" i="1" s="1"/>
  <c r="X291" i="1"/>
  <c r="AG211" i="1"/>
  <c r="X211" i="1"/>
  <c r="AG203" i="1"/>
  <c r="AO203" i="1" s="1"/>
  <c r="X203" i="1"/>
  <c r="AG179" i="1"/>
  <c r="X179" i="1"/>
  <c r="AG155" i="1"/>
  <c r="AO155" i="1" s="1"/>
  <c r="X155" i="1"/>
  <c r="AG129" i="1"/>
  <c r="AO129" i="1" s="1"/>
  <c r="X129" i="1"/>
  <c r="AG55" i="1"/>
  <c r="AO55" i="1" s="1"/>
  <c r="X55" i="1"/>
  <c r="AG19" i="1"/>
  <c r="AO19" i="1" s="1"/>
  <c r="X19" i="1"/>
  <c r="X941" i="1"/>
  <c r="X939" i="1"/>
  <c r="Z939" i="1" s="1"/>
  <c r="X937" i="1"/>
  <c r="X929" i="1"/>
  <c r="Z929" i="1" s="1"/>
  <c r="X925" i="1"/>
  <c r="X923" i="1"/>
  <c r="X921" i="1"/>
  <c r="X917" i="1"/>
  <c r="X913" i="1"/>
  <c r="X909" i="1"/>
  <c r="X907" i="1"/>
  <c r="X905" i="1"/>
  <c r="X901" i="1"/>
  <c r="X897" i="1"/>
  <c r="Z897" i="1" s="1"/>
  <c r="X893" i="1"/>
  <c r="X891" i="1"/>
  <c r="X889" i="1"/>
  <c r="X885" i="1"/>
  <c r="X881" i="1"/>
  <c r="X877" i="1"/>
  <c r="X875" i="1"/>
  <c r="X873" i="1"/>
  <c r="X859" i="1"/>
  <c r="X853" i="1"/>
  <c r="Z853" i="1" s="1"/>
  <c r="X849" i="1"/>
  <c r="X843" i="1"/>
  <c r="X837" i="1"/>
  <c r="X835" i="1"/>
  <c r="X833" i="1"/>
  <c r="X827" i="1"/>
  <c r="X821" i="1"/>
  <c r="X819" i="1"/>
  <c r="X813" i="1"/>
  <c r="X811" i="1"/>
  <c r="X809" i="1"/>
  <c r="X805" i="1"/>
  <c r="Z805" i="1" s="1"/>
  <c r="X803" i="1"/>
  <c r="X795" i="1"/>
  <c r="X784" i="1"/>
  <c r="X776" i="1"/>
  <c r="X774" i="1"/>
  <c r="X770" i="1"/>
  <c r="X768" i="1"/>
  <c r="Y768" i="1" s="1"/>
  <c r="X766" i="1"/>
  <c r="Z766" i="1" s="1"/>
  <c r="X762" i="1"/>
  <c r="X760" i="1"/>
  <c r="Z760" i="1" s="1"/>
  <c r="X752" i="1"/>
  <c r="Z752" i="1" s="1"/>
  <c r="X744" i="1"/>
  <c r="X738" i="1"/>
  <c r="X736" i="1"/>
  <c r="X734" i="1"/>
  <c r="X730" i="1"/>
  <c r="Z730" i="1" s="1"/>
  <c r="X728" i="1"/>
  <c r="X726" i="1"/>
  <c r="Z726" i="1" s="1"/>
  <c r="X722" i="1"/>
  <c r="X719" i="1"/>
  <c r="X711" i="1"/>
  <c r="X705" i="1"/>
  <c r="X703" i="1"/>
  <c r="Z703" i="1" s="1"/>
  <c r="X701" i="1"/>
  <c r="X697" i="1"/>
  <c r="X695" i="1"/>
  <c r="Z695" i="1" s="1"/>
  <c r="X693" i="1"/>
  <c r="X691" i="1"/>
  <c r="X687" i="1"/>
  <c r="X685" i="1"/>
  <c r="Z685" i="1" s="1"/>
  <c r="X683" i="1"/>
  <c r="X679" i="1"/>
  <c r="X673" i="1"/>
  <c r="X655" i="1"/>
  <c r="X631" i="1"/>
  <c r="X612" i="1"/>
  <c r="AG529" i="1"/>
  <c r="X529" i="1"/>
  <c r="X280" i="1"/>
  <c r="AG235" i="1"/>
  <c r="AO235" i="1" s="1"/>
  <c r="X235" i="1"/>
  <c r="Y235" i="1" s="1"/>
  <c r="AG223" i="1"/>
  <c r="X223" i="1"/>
  <c r="AG219" i="1"/>
  <c r="AO219" i="1" s="1"/>
  <c r="X219" i="1"/>
  <c r="Y219" i="1" s="1"/>
  <c r="AG202" i="1"/>
  <c r="AO202" i="1" s="1"/>
  <c r="AG185" i="1"/>
  <c r="AO185" i="1" s="1"/>
  <c r="AG183" i="1"/>
  <c r="AG167" i="1"/>
  <c r="AG149" i="1"/>
  <c r="AQ62" i="1"/>
  <c r="AR62" i="1" s="1"/>
  <c r="AG508" i="1"/>
  <c r="AO508" i="1" s="1"/>
  <c r="AG506" i="1"/>
  <c r="AO506" i="1" s="1"/>
  <c r="AG504" i="1"/>
  <c r="AO504" i="1" s="1"/>
  <c r="AG502" i="1"/>
  <c r="AO502" i="1" s="1"/>
  <c r="AG496" i="1"/>
  <c r="AO496" i="1" s="1"/>
  <c r="AG494" i="1"/>
  <c r="AP494" i="1" s="1"/>
  <c r="AG492" i="1"/>
  <c r="AP492" i="1" s="1"/>
  <c r="AG490" i="1"/>
  <c r="AO490" i="1" s="1"/>
  <c r="AG488" i="1"/>
  <c r="AO488" i="1" s="1"/>
  <c r="AG486" i="1"/>
  <c r="AO486" i="1" s="1"/>
  <c r="AG482" i="1"/>
  <c r="AG480" i="1"/>
  <c r="AP480" i="1" s="1"/>
  <c r="AG464" i="1"/>
  <c r="AP464" i="1" s="1"/>
  <c r="AG452" i="1"/>
  <c r="AQ622" i="1"/>
  <c r="AR622" i="1" s="1"/>
  <c r="AQ616" i="1"/>
  <c r="AR616" i="1" s="1"/>
  <c r="AG569" i="1"/>
  <c r="AG567" i="1"/>
  <c r="AO567" i="1" s="1"/>
  <c r="AG564" i="1"/>
  <c r="AG562" i="1"/>
  <c r="AO562" i="1" s="1"/>
  <c r="AG560" i="1"/>
  <c r="AO560" i="1" s="1"/>
  <c r="AG528" i="1"/>
  <c r="AP528" i="1" s="1"/>
  <c r="AG526" i="1"/>
  <c r="AO526" i="1" s="1"/>
  <c r="AG524" i="1"/>
  <c r="AO524" i="1" s="1"/>
  <c r="AG522" i="1"/>
  <c r="AO522" i="1" s="1"/>
  <c r="AG518" i="1"/>
  <c r="AP518" i="1" s="1"/>
  <c r="AG516" i="1"/>
  <c r="AP516" i="1" s="1"/>
  <c r="AG512" i="1"/>
  <c r="AO512" i="1" s="1"/>
  <c r="AG476" i="1"/>
  <c r="AO476" i="1" s="1"/>
  <c r="AG466" i="1"/>
  <c r="AP466" i="1" s="1"/>
  <c r="AG462" i="1"/>
  <c r="AO462" i="1" s="1"/>
  <c r="AG458" i="1"/>
  <c r="AP458" i="1" s="1"/>
  <c r="AG448" i="1"/>
  <c r="AO448" i="1" s="1"/>
  <c r="AG313" i="1"/>
  <c r="AO313" i="1" s="1"/>
  <c r="AG297" i="1"/>
  <c r="AO297" i="1" s="1"/>
  <c r="AG281" i="1"/>
  <c r="AP281" i="1" s="1"/>
  <c r="AG279" i="1"/>
  <c r="AP279" i="1" s="1"/>
  <c r="AG247" i="1"/>
  <c r="AG241" i="1"/>
  <c r="AO241" i="1" s="1"/>
  <c r="AG213" i="1"/>
  <c r="AO213" i="1" s="1"/>
  <c r="AG197" i="1"/>
  <c r="AG161" i="1"/>
  <c r="AO161" i="1" s="1"/>
  <c r="AG151" i="1"/>
  <c r="AO151" i="1" s="1"/>
  <c r="AG147" i="1"/>
  <c r="AO147" i="1" s="1"/>
  <c r="AG141" i="1"/>
  <c r="AO141" i="1" s="1"/>
  <c r="AG48" i="1"/>
  <c r="AO48" i="1" s="1"/>
  <c r="AG559" i="1"/>
  <c r="AO559" i="1" s="1"/>
  <c r="AQ356" i="1"/>
  <c r="AR356" i="1" s="1"/>
  <c r="AG399" i="1"/>
  <c r="AP399" i="1" s="1"/>
  <c r="AG395" i="1"/>
  <c r="AO395" i="1" s="1"/>
  <c r="AG389" i="1"/>
  <c r="AP389" i="1" s="1"/>
  <c r="AG385" i="1"/>
  <c r="AO385" i="1" s="1"/>
  <c r="AG354" i="1"/>
  <c r="AG351" i="1"/>
  <c r="AP351" i="1" s="1"/>
  <c r="AG349" i="1"/>
  <c r="AP349" i="1" s="1"/>
  <c r="AG337" i="1"/>
  <c r="AO337" i="1" s="1"/>
  <c r="AG331" i="1"/>
  <c r="AO331" i="1" s="1"/>
  <c r="AG326" i="1"/>
  <c r="AP326" i="1" s="1"/>
  <c r="AG322" i="1"/>
  <c r="AP322" i="1" s="1"/>
  <c r="AG320" i="1"/>
  <c r="AO320" i="1" s="1"/>
  <c r="AG308" i="1"/>
  <c r="AP308" i="1" s="1"/>
  <c r="AG304" i="1"/>
  <c r="AG295" i="1"/>
  <c r="AG293" i="1"/>
  <c r="AG269" i="1"/>
  <c r="AG261" i="1"/>
  <c r="AO261" i="1" s="1"/>
  <c r="AG257" i="1"/>
  <c r="AP257" i="1" s="1"/>
  <c r="AG233" i="1"/>
  <c r="AP233" i="1" s="1"/>
  <c r="AG227" i="1"/>
  <c r="AO227" i="1" s="1"/>
  <c r="AQ221" i="1"/>
  <c r="AR221" i="1" s="1"/>
  <c r="AQ195" i="1"/>
  <c r="AR195" i="1" s="1"/>
  <c r="AG162" i="1"/>
  <c r="AO162" i="1" s="1"/>
  <c r="AQ161" i="1"/>
  <c r="AR161" i="1" s="1"/>
  <c r="AQ153" i="1"/>
  <c r="AR153" i="1" s="1"/>
  <c r="AQ151" i="1"/>
  <c r="AR151" i="1" s="1"/>
  <c r="AQ149" i="1"/>
  <c r="AR149" i="1" s="1"/>
  <c r="AG123" i="1"/>
  <c r="AO123" i="1" s="1"/>
  <c r="AG115" i="1"/>
  <c r="AG109" i="1"/>
  <c r="AQ100" i="1"/>
  <c r="AR100" i="1" s="1"/>
  <c r="AQ82" i="1"/>
  <c r="AR82" i="1" s="1"/>
  <c r="AG80" i="1"/>
  <c r="AO80" i="1" s="1"/>
  <c r="AQ48" i="1"/>
  <c r="AR48" i="1" s="1"/>
  <c r="AU941" i="1"/>
  <c r="AW941" i="1"/>
  <c r="AU939" i="1"/>
  <c r="AW939" i="1"/>
  <c r="AU937" i="1"/>
  <c r="AW937" i="1"/>
  <c r="AU935" i="1"/>
  <c r="AW935" i="1"/>
  <c r="AU933" i="1"/>
  <c r="AW933" i="1"/>
  <c r="AU931" i="1"/>
  <c r="AW931" i="1"/>
  <c r="AU929" i="1"/>
  <c r="AW929" i="1"/>
  <c r="AU927" i="1"/>
  <c r="AW927" i="1"/>
  <c r="AU915" i="1"/>
  <c r="AW915" i="1"/>
  <c r="AU907" i="1"/>
  <c r="AW907" i="1"/>
  <c r="AU897" i="1"/>
  <c r="AW897" i="1"/>
  <c r="AU879" i="1"/>
  <c r="AW879" i="1"/>
  <c r="AU869" i="1"/>
  <c r="AW869" i="1"/>
  <c r="AU867" i="1"/>
  <c r="AW867" i="1"/>
  <c r="AU857" i="1"/>
  <c r="AW857" i="1"/>
  <c r="AU853" i="1"/>
  <c r="AW853" i="1"/>
  <c r="AU849" i="1"/>
  <c r="AW849" i="1"/>
  <c r="AU847" i="1"/>
  <c r="AW847" i="1"/>
  <c r="AU837" i="1"/>
  <c r="AW837" i="1"/>
  <c r="AU833" i="1"/>
  <c r="AW833" i="1"/>
  <c r="AU831" i="1"/>
  <c r="AW831" i="1"/>
  <c r="AU815" i="1"/>
  <c r="AW815" i="1"/>
  <c r="AU813" i="1"/>
  <c r="AW813" i="1"/>
  <c r="AU809" i="1"/>
  <c r="AW809" i="1"/>
  <c r="AU789" i="1"/>
  <c r="AW789" i="1"/>
  <c r="AU784" i="1"/>
  <c r="AW784" i="1"/>
  <c r="AU778" i="1"/>
  <c r="AW778" i="1"/>
  <c r="AU766" i="1"/>
  <c r="AW766" i="1"/>
  <c r="AU760" i="1"/>
  <c r="AW760" i="1"/>
  <c r="AU752" i="1"/>
  <c r="AW752" i="1"/>
  <c r="AU730" i="1"/>
  <c r="AW730" i="1"/>
  <c r="AU726" i="1"/>
  <c r="AW726" i="1"/>
  <c r="AU715" i="1"/>
  <c r="AW715" i="1"/>
  <c r="AU713" i="1"/>
  <c r="AW713" i="1"/>
  <c r="AU703" i="1"/>
  <c r="AW703" i="1"/>
  <c r="AU695" i="1"/>
  <c r="AW695" i="1"/>
  <c r="AU693" i="1"/>
  <c r="AW693" i="1"/>
  <c r="AU687" i="1"/>
  <c r="AW687" i="1"/>
  <c r="AU685" i="1"/>
  <c r="AW685" i="1"/>
  <c r="AU675" i="1"/>
  <c r="AW675" i="1"/>
  <c r="AU940" i="1"/>
  <c r="AW940" i="1"/>
  <c r="AU938" i="1"/>
  <c r="AW938" i="1"/>
  <c r="AU936" i="1"/>
  <c r="AW936" i="1"/>
  <c r="AU934" i="1"/>
  <c r="AW934" i="1"/>
  <c r="AU932" i="1"/>
  <c r="AW932" i="1"/>
  <c r="AU930" i="1"/>
  <c r="AW930" i="1"/>
  <c r="AU928" i="1"/>
  <c r="AW928" i="1"/>
  <c r="AU926" i="1"/>
  <c r="AW926" i="1"/>
  <c r="AU918" i="1"/>
  <c r="AW918" i="1"/>
  <c r="AU912" i="1"/>
  <c r="AW912" i="1"/>
  <c r="AU900" i="1"/>
  <c r="AW900" i="1"/>
  <c r="AU894" i="1"/>
  <c r="AW894" i="1"/>
  <c r="AU888" i="1"/>
  <c r="AW888" i="1"/>
  <c r="AU884" i="1"/>
  <c r="AW884" i="1"/>
  <c r="AU874" i="1"/>
  <c r="AW874" i="1"/>
  <c r="AU862" i="1"/>
  <c r="AW862" i="1"/>
  <c r="AU844" i="1"/>
  <c r="AW844" i="1"/>
  <c r="AU828" i="1"/>
  <c r="AW828" i="1"/>
  <c r="AU802" i="1"/>
  <c r="AW802" i="1"/>
  <c r="AU800" i="1"/>
  <c r="AW800" i="1"/>
  <c r="AU798" i="1"/>
  <c r="AW798" i="1"/>
  <c r="AU792" i="1"/>
  <c r="AW792" i="1"/>
  <c r="AU781" i="1"/>
  <c r="AW781" i="1"/>
  <c r="AU775" i="1"/>
  <c r="AW775" i="1"/>
  <c r="AU771" i="1"/>
  <c r="AW771" i="1"/>
  <c r="AU763" i="1"/>
  <c r="AW763" i="1"/>
  <c r="AU757" i="1"/>
  <c r="AW757" i="1"/>
  <c r="AU747" i="1"/>
  <c r="AW747" i="1"/>
  <c r="AU743" i="1"/>
  <c r="AW743" i="1"/>
  <c r="AU741" i="1"/>
  <c r="AW741" i="1"/>
  <c r="AU723" i="1"/>
  <c r="AW723" i="1"/>
  <c r="AU718" i="1"/>
  <c r="AW718" i="1"/>
  <c r="AU698" i="1"/>
  <c r="AW698" i="1"/>
  <c r="AU690" i="1"/>
  <c r="AW690" i="1"/>
  <c r="AU672" i="1"/>
  <c r="AW672" i="1"/>
  <c r="AQ603" i="1"/>
  <c r="AR603" i="1" s="1"/>
  <c r="AQ573" i="1"/>
  <c r="AR573" i="1" s="1"/>
  <c r="AQ526" i="1"/>
  <c r="AR526" i="1" s="1"/>
  <c r="AG510" i="1"/>
  <c r="AO510" i="1" s="1"/>
  <c r="AG478" i="1"/>
  <c r="AO478" i="1" s="1"/>
  <c r="AG454" i="1"/>
  <c r="AP454" i="1" s="1"/>
  <c r="AG450" i="1"/>
  <c r="AP450" i="1" s="1"/>
  <c r="AG446" i="1"/>
  <c r="AO446" i="1" s="1"/>
  <c r="AG285" i="1"/>
  <c r="AO285" i="1" s="1"/>
  <c r="AG275" i="1"/>
  <c r="AO275" i="1" s="1"/>
  <c r="AG253" i="1"/>
  <c r="AG249" i="1"/>
  <c r="AO249" i="1" s="1"/>
  <c r="AG237" i="1"/>
  <c r="AP237" i="1" s="1"/>
  <c r="AG229" i="1"/>
  <c r="AO229" i="1" s="1"/>
  <c r="AG225" i="1"/>
  <c r="AO225" i="1" s="1"/>
  <c r="AG217" i="1"/>
  <c r="AG207" i="1"/>
  <c r="AP207" i="1" s="1"/>
  <c r="AG193" i="1"/>
  <c r="AO193" i="1" s="1"/>
  <c r="AG189" i="1"/>
  <c r="AG175" i="1"/>
  <c r="AP175" i="1" s="1"/>
  <c r="AG173" i="1"/>
  <c r="AG159" i="1"/>
  <c r="AO159" i="1" s="1"/>
  <c r="AG137" i="1"/>
  <c r="AO137" i="1" s="1"/>
  <c r="AG469" i="1"/>
  <c r="AP469" i="1" s="1"/>
  <c r="AG467" i="1"/>
  <c r="AP467" i="1" s="1"/>
  <c r="AG432" i="1"/>
  <c r="AG428" i="1"/>
  <c r="AO428" i="1" s="1"/>
  <c r="AG423" i="1"/>
  <c r="AO423" i="1" s="1"/>
  <c r="AG419" i="1"/>
  <c r="AG417" i="1"/>
  <c r="AP417" i="1" s="1"/>
  <c r="AG405" i="1"/>
  <c r="AG401" i="1"/>
  <c r="AP401" i="1" s="1"/>
  <c r="AG397" i="1"/>
  <c r="AP397" i="1" s="1"/>
  <c r="AG393" i="1"/>
  <c r="AP393" i="1" s="1"/>
  <c r="AG387" i="1"/>
  <c r="AP387" i="1" s="1"/>
  <c r="AG383" i="1"/>
  <c r="AP383" i="1" s="1"/>
  <c r="AG379" i="1"/>
  <c r="AP379" i="1" s="1"/>
  <c r="AG375" i="1"/>
  <c r="AO375" i="1" s="1"/>
  <c r="AG371" i="1"/>
  <c r="AG367" i="1"/>
  <c r="AO367" i="1" s="1"/>
  <c r="AG365" i="1"/>
  <c r="AO365" i="1" s="1"/>
  <c r="AG361" i="1"/>
  <c r="AO361" i="1" s="1"/>
  <c r="AG347" i="1"/>
  <c r="AG343" i="1"/>
  <c r="AP343" i="1" s="1"/>
  <c r="AG341" i="1"/>
  <c r="AG333" i="1"/>
  <c r="AO333" i="1" s="1"/>
  <c r="AG328" i="1"/>
  <c r="AO328" i="1" s="1"/>
  <c r="AG314" i="1"/>
  <c r="AO314" i="1" s="1"/>
  <c r="AG312" i="1"/>
  <c r="AP312" i="1" s="1"/>
  <c r="AG310" i="1"/>
  <c r="AO310" i="1" s="1"/>
  <c r="AG306" i="1"/>
  <c r="AG302" i="1"/>
  <c r="AG142" i="1"/>
  <c r="AO142" i="1" s="1"/>
  <c r="AG57" i="1"/>
  <c r="AO57" i="1" s="1"/>
  <c r="AG38" i="1"/>
  <c r="AO38" i="1" s="1"/>
  <c r="AG456" i="1"/>
  <c r="AP456" i="1" s="1"/>
  <c r="AG431" i="1"/>
  <c r="AO431" i="1" s="1"/>
  <c r="AG429" i="1"/>
  <c r="AO429" i="1" s="1"/>
  <c r="AG427" i="1"/>
  <c r="AG424" i="1"/>
  <c r="AG422" i="1"/>
  <c r="AG420" i="1"/>
  <c r="AP420" i="1" s="1"/>
  <c r="AG416" i="1"/>
  <c r="AG406" i="1"/>
  <c r="AO406" i="1" s="1"/>
  <c r="AG404" i="1"/>
  <c r="AP404" i="1" s="1"/>
  <c r="AG402" i="1"/>
  <c r="AP402" i="1" s="1"/>
  <c r="AG400" i="1"/>
  <c r="AG398" i="1"/>
  <c r="AP398" i="1" s="1"/>
  <c r="AG396" i="1"/>
  <c r="AP396" i="1" s="1"/>
  <c r="AG394" i="1"/>
  <c r="AG384" i="1"/>
  <c r="AG382" i="1"/>
  <c r="AG378" i="1"/>
  <c r="AO378" i="1" s="1"/>
  <c r="AG376" i="1"/>
  <c r="AP376" i="1" s="1"/>
  <c r="AG374" i="1"/>
  <c r="AP374" i="1" s="1"/>
  <c r="AG372" i="1"/>
  <c r="AG370" i="1"/>
  <c r="AP370" i="1" s="1"/>
  <c r="AG368" i="1"/>
  <c r="AG362" i="1"/>
  <c r="AO362" i="1" s="1"/>
  <c r="AG360" i="1"/>
  <c r="AO360" i="1" s="1"/>
  <c r="AG348" i="1"/>
  <c r="AG346" i="1"/>
  <c r="AP346" i="1" s="1"/>
  <c r="AG340" i="1"/>
  <c r="AO340" i="1" s="1"/>
  <c r="AG338" i="1"/>
  <c r="AO338" i="1" s="1"/>
  <c r="AG334" i="1"/>
  <c r="AO334" i="1" s="1"/>
  <c r="AG330" i="1"/>
  <c r="AO330" i="1" s="1"/>
  <c r="AG327" i="1"/>
  <c r="AP327" i="1" s="1"/>
  <c r="AG325" i="1"/>
  <c r="AO325" i="1" s="1"/>
  <c r="AG319" i="1"/>
  <c r="AG317" i="1"/>
  <c r="AP317" i="1" s="1"/>
  <c r="AG315" i="1"/>
  <c r="AG309" i="1"/>
  <c r="AG307" i="1"/>
  <c r="AG305" i="1"/>
  <c r="AO305" i="1" s="1"/>
  <c r="AG303" i="1"/>
  <c r="AG301" i="1"/>
  <c r="AP301" i="1" s="1"/>
  <c r="AG287" i="1"/>
  <c r="AP287" i="1" s="1"/>
  <c r="AG283" i="1"/>
  <c r="AP283" i="1" s="1"/>
  <c r="AG277" i="1"/>
  <c r="AO277" i="1" s="1"/>
  <c r="AG273" i="1"/>
  <c r="AP273" i="1" s="1"/>
  <c r="AG263" i="1"/>
  <c r="AG259" i="1"/>
  <c r="AO259" i="1" s="1"/>
  <c r="AG255" i="1"/>
  <c r="AO255" i="1" s="1"/>
  <c r="AG243" i="1"/>
  <c r="AP243" i="1" s="1"/>
  <c r="AG239" i="1"/>
  <c r="AO239" i="1" s="1"/>
  <c r="AG231" i="1"/>
  <c r="AP231" i="1" s="1"/>
  <c r="AG215" i="1"/>
  <c r="AO215" i="1" s="1"/>
  <c r="AG209" i="1"/>
  <c r="AP209" i="1" s="1"/>
  <c r="AG205" i="1"/>
  <c r="AP205" i="1" s="1"/>
  <c r="AG201" i="1"/>
  <c r="AO201" i="1" s="1"/>
  <c r="AG199" i="1"/>
  <c r="AP199" i="1" s="1"/>
  <c r="AG187" i="1"/>
  <c r="AP187" i="1" s="1"/>
  <c r="AG177" i="1"/>
  <c r="AO177" i="1" s="1"/>
  <c r="AG171" i="1"/>
  <c r="AP171" i="1" s="1"/>
  <c r="AG163" i="1"/>
  <c r="AG157" i="1"/>
  <c r="AO157" i="1" s="1"/>
  <c r="AG12" i="1"/>
  <c r="AO12" i="1" s="1"/>
  <c r="AG475" i="1"/>
  <c r="AP475" i="1" s="1"/>
  <c r="AG473" i="1"/>
  <c r="AP473" i="1" s="1"/>
  <c r="AG99" i="1"/>
  <c r="AP99" i="1" s="1"/>
  <c r="AG97" i="1"/>
  <c r="AP97" i="1" s="1"/>
  <c r="AG65" i="1"/>
  <c r="AP65" i="1" s="1"/>
  <c r="AG25" i="1"/>
  <c r="AO25" i="1" s="1"/>
  <c r="AG298" i="1"/>
  <c r="AO298" i="1" s="1"/>
  <c r="AG296" i="1"/>
  <c r="AO296" i="1" s="1"/>
  <c r="AG294" i="1"/>
  <c r="AP294" i="1" s="1"/>
  <c r="AG292" i="1"/>
  <c r="AG290" i="1"/>
  <c r="AG288" i="1"/>
  <c r="AO288" i="1" s="1"/>
  <c r="AG286" i="1"/>
  <c r="AO286" i="1" s="1"/>
  <c r="AG284" i="1"/>
  <c r="AG282" i="1"/>
  <c r="AO282" i="1" s="1"/>
  <c r="AG278" i="1"/>
  <c r="AG276" i="1"/>
  <c r="AG274" i="1"/>
  <c r="AG272" i="1"/>
  <c r="AO272" i="1" s="1"/>
  <c r="AG268" i="1"/>
  <c r="AO268" i="1" s="1"/>
  <c r="Y266" i="1"/>
  <c r="Z266" i="1" s="1"/>
  <c r="AG266" i="1"/>
  <c r="AO266" i="1" s="1"/>
  <c r="Y264" i="1"/>
  <c r="Z264" i="1" s="1"/>
  <c r="AG264" i="1"/>
  <c r="AO264" i="1" s="1"/>
  <c r="AG262" i="1"/>
  <c r="AG260" i="1"/>
  <c r="AO260" i="1" s="1"/>
  <c r="AG258" i="1"/>
  <c r="AG256" i="1"/>
  <c r="AO256" i="1" s="1"/>
  <c r="AG254" i="1"/>
  <c r="AO254" i="1" s="1"/>
  <c r="Y252" i="1"/>
  <c r="AG252" i="1"/>
  <c r="AO252" i="1" s="1"/>
  <c r="AG250" i="1"/>
  <c r="AO250" i="1" s="1"/>
  <c r="AG248" i="1"/>
  <c r="AG246" i="1"/>
  <c r="AO246" i="1" s="1"/>
  <c r="AG244" i="1"/>
  <c r="AP244" i="1" s="1"/>
  <c r="Y242" i="1"/>
  <c r="Z242" i="1" s="1"/>
  <c r="AG242" i="1"/>
  <c r="AP242" i="1" s="1"/>
  <c r="AG240" i="1"/>
  <c r="AP240" i="1" s="1"/>
  <c r="Y238" i="1"/>
  <c r="Z238" i="1" s="1"/>
  <c r="AG238" i="1"/>
  <c r="AO238" i="1" s="1"/>
  <c r="AG236" i="1"/>
  <c r="AO236" i="1" s="1"/>
  <c r="AG234" i="1"/>
  <c r="AG232" i="1"/>
  <c r="AP232" i="1" s="1"/>
  <c r="AG230" i="1"/>
  <c r="AO230" i="1" s="1"/>
  <c r="AG228" i="1"/>
  <c r="AP228" i="1" s="1"/>
  <c r="AG226" i="1"/>
  <c r="AP226" i="1" s="1"/>
  <c r="AG224" i="1"/>
  <c r="AO224" i="1" s="1"/>
  <c r="Y222" i="1"/>
  <c r="Z222" i="1" s="1"/>
  <c r="AG222" i="1"/>
  <c r="AP222" i="1" s="1"/>
  <c r="AG220" i="1"/>
  <c r="AO220" i="1" s="1"/>
  <c r="AG218" i="1"/>
  <c r="AP218" i="1" s="1"/>
  <c r="AG216" i="1"/>
  <c r="AP216" i="1" s="1"/>
  <c r="AG214" i="1"/>
  <c r="AO214" i="1" s="1"/>
  <c r="AG210" i="1"/>
  <c r="AP210" i="1" s="1"/>
  <c r="AG208" i="1"/>
  <c r="AG206" i="1"/>
  <c r="AP206" i="1" s="1"/>
  <c r="AG198" i="1"/>
  <c r="AO198" i="1" s="1"/>
  <c r="AG196" i="1"/>
  <c r="AO196" i="1" s="1"/>
  <c r="AG194" i="1"/>
  <c r="Y192" i="1"/>
  <c r="Z192" i="1" s="1"/>
  <c r="AG192" i="1"/>
  <c r="AO192" i="1" s="1"/>
  <c r="Y190" i="1"/>
  <c r="Z190" i="1" s="1"/>
  <c r="AG190" i="1"/>
  <c r="AG188" i="1"/>
  <c r="Y186" i="1"/>
  <c r="Z186" i="1" s="1"/>
  <c r="AG186" i="1"/>
  <c r="AO186" i="1" s="1"/>
  <c r="Y182" i="1"/>
  <c r="Z182" i="1" s="1"/>
  <c r="AG182" i="1"/>
  <c r="AO182" i="1" s="1"/>
  <c r="AG180" i="1"/>
  <c r="AO180" i="1" s="1"/>
  <c r="AG178" i="1"/>
  <c r="Y176" i="1"/>
  <c r="Z176" i="1" s="1"/>
  <c r="AG176" i="1"/>
  <c r="AG172" i="1"/>
  <c r="AO172" i="1" s="1"/>
  <c r="Y170" i="1"/>
  <c r="Z170" i="1" s="1"/>
  <c r="AG170" i="1"/>
  <c r="AO170" i="1" s="1"/>
  <c r="Y168" i="1"/>
  <c r="Z168" i="1" s="1"/>
  <c r="AG168" i="1"/>
  <c r="AG166" i="1"/>
  <c r="Y164" i="1"/>
  <c r="Z164" i="1" s="1"/>
  <c r="AG164" i="1"/>
  <c r="AO164" i="1" s="1"/>
  <c r="AG160" i="1"/>
  <c r="AO160" i="1" s="1"/>
  <c r="Y158" i="1"/>
  <c r="Z158" i="1" s="1"/>
  <c r="AG158" i="1"/>
  <c r="AP158" i="1" s="1"/>
  <c r="Y156" i="1"/>
  <c r="Z156" i="1" s="1"/>
  <c r="AG156" i="1"/>
  <c r="AP156" i="1" s="1"/>
  <c r="Y154" i="1"/>
  <c r="Z154" i="1" s="1"/>
  <c r="AG154" i="1"/>
  <c r="AO154" i="1" s="1"/>
  <c r="AG152" i="1"/>
  <c r="AO152" i="1" s="1"/>
  <c r="AG150" i="1"/>
  <c r="AO150" i="1" s="1"/>
  <c r="AG148" i="1"/>
  <c r="AO148" i="1" s="1"/>
  <c r="AG146" i="1"/>
  <c r="AP146" i="1" s="1"/>
  <c r="AG144" i="1"/>
  <c r="AG111" i="1"/>
  <c r="AO111" i="1" s="1"/>
  <c r="AG101" i="1"/>
  <c r="AO101" i="1" s="1"/>
  <c r="Y91" i="1"/>
  <c r="Z91" i="1" s="1"/>
  <c r="AG91" i="1"/>
  <c r="AO91" i="1" s="1"/>
  <c r="AG71" i="1"/>
  <c r="AP71" i="1" s="1"/>
  <c r="Y67" i="1"/>
  <c r="Z67" i="1" s="1"/>
  <c r="AG67" i="1"/>
  <c r="AP67" i="1" s="1"/>
  <c r="AG63" i="1"/>
  <c r="AO63" i="1" s="1"/>
  <c r="AG59" i="1"/>
  <c r="AO59" i="1" s="1"/>
  <c r="AG51" i="1"/>
  <c r="AO51" i="1" s="1"/>
  <c r="Y44" i="1"/>
  <c r="Z44" i="1" s="1"/>
  <c r="AG44" i="1"/>
  <c r="AO44" i="1" s="1"/>
  <c r="Y40" i="1"/>
  <c r="AG40" i="1"/>
  <c r="AO40" i="1" s="1"/>
  <c r="AG36" i="1"/>
  <c r="AO36" i="1" s="1"/>
  <c r="AG28" i="1"/>
  <c r="AO28" i="1" s="1"/>
  <c r="AG23" i="1"/>
  <c r="AO23" i="1" s="1"/>
  <c r="AG17" i="1"/>
  <c r="AO17" i="1" s="1"/>
  <c r="AG465" i="1"/>
  <c r="AP465" i="1" s="1"/>
  <c r="AG463" i="1"/>
  <c r="AP463" i="1" s="1"/>
  <c r="AG461" i="1"/>
  <c r="AP461" i="1" s="1"/>
  <c r="AG459" i="1"/>
  <c r="AP459" i="1" s="1"/>
  <c r="AG457" i="1"/>
  <c r="AP457" i="1" s="1"/>
  <c r="AG455" i="1"/>
  <c r="AP455" i="1" s="1"/>
  <c r="AG453" i="1"/>
  <c r="AP453" i="1" s="1"/>
  <c r="AG451" i="1"/>
  <c r="AP451" i="1" s="1"/>
  <c r="AG449" i="1"/>
  <c r="AG447" i="1"/>
  <c r="AG444" i="1"/>
  <c r="AO444" i="1" s="1"/>
  <c r="AG440" i="1"/>
  <c r="AG436" i="1"/>
  <c r="AP436" i="1" s="1"/>
  <c r="AG93" i="1"/>
  <c r="AP93" i="1" s="1"/>
  <c r="AG69" i="1"/>
  <c r="AP69" i="1" s="1"/>
  <c r="AG61" i="1"/>
  <c r="AO61" i="1" s="1"/>
  <c r="AG53" i="1"/>
  <c r="AG42" i="1"/>
  <c r="AO42" i="1" s="1"/>
  <c r="AG30" i="1"/>
  <c r="AO30" i="1" s="1"/>
  <c r="AQ449" i="1"/>
  <c r="AR449" i="1" s="1"/>
  <c r="AQ439" i="1"/>
  <c r="AR439" i="1" s="1"/>
  <c r="AG131" i="1"/>
  <c r="AO131" i="1" s="1"/>
  <c r="AG127" i="1"/>
  <c r="AO127" i="1" s="1"/>
  <c r="AG64" i="1"/>
  <c r="AO64" i="1" s="1"/>
  <c r="AQ343" i="1"/>
  <c r="AR343" i="1" s="1"/>
  <c r="AQ338" i="1"/>
  <c r="AR338" i="1" s="1"/>
  <c r="AQ330" i="1"/>
  <c r="AR330" i="1" s="1"/>
  <c r="AQ327" i="1"/>
  <c r="AR327" i="1" s="1"/>
  <c r="AQ325" i="1"/>
  <c r="AR325" i="1" s="1"/>
  <c r="AQ322" i="1"/>
  <c r="AR322" i="1" s="1"/>
  <c r="AP941" i="1"/>
  <c r="AS941" i="1"/>
  <c r="AP939" i="1"/>
  <c r="AS939" i="1"/>
  <c r="AP937" i="1"/>
  <c r="AS937" i="1"/>
  <c r="AP935" i="1"/>
  <c r="AS935" i="1"/>
  <c r="AP933" i="1"/>
  <c r="AS933" i="1"/>
  <c r="AP931" i="1"/>
  <c r="AS931" i="1"/>
  <c r="AP929" i="1"/>
  <c r="AS929" i="1"/>
  <c r="AP927" i="1"/>
  <c r="AS927" i="1"/>
  <c r="AP925" i="1"/>
  <c r="AS925" i="1"/>
  <c r="AP923" i="1"/>
  <c r="AS923" i="1"/>
  <c r="AP921" i="1"/>
  <c r="AS921" i="1"/>
  <c r="AP919" i="1"/>
  <c r="AS919" i="1"/>
  <c r="AP917" i="1"/>
  <c r="AS917" i="1"/>
  <c r="AP915" i="1"/>
  <c r="AS915" i="1"/>
  <c r="AP913" i="1"/>
  <c r="AS913" i="1"/>
  <c r="AP911" i="1"/>
  <c r="AS911" i="1"/>
  <c r="AP909" i="1"/>
  <c r="AS909" i="1"/>
  <c r="AP907" i="1"/>
  <c r="AS907" i="1"/>
  <c r="AP905" i="1"/>
  <c r="AS905" i="1"/>
  <c r="AP903" i="1"/>
  <c r="AS903" i="1"/>
  <c r="AP901" i="1"/>
  <c r="AS901" i="1"/>
  <c r="AP899" i="1"/>
  <c r="AS899" i="1"/>
  <c r="AP897" i="1"/>
  <c r="AS897" i="1"/>
  <c r="AP895" i="1"/>
  <c r="AS895" i="1"/>
  <c r="AP893" i="1"/>
  <c r="AS893" i="1"/>
  <c r="AP891" i="1"/>
  <c r="AS891" i="1"/>
  <c r="AP889" i="1"/>
  <c r="AS889" i="1"/>
  <c r="AP887" i="1"/>
  <c r="AS887" i="1"/>
  <c r="AP885" i="1"/>
  <c r="AS885" i="1"/>
  <c r="AP883" i="1"/>
  <c r="AS883" i="1"/>
  <c r="AP881" i="1"/>
  <c r="AS881" i="1"/>
  <c r="AP879" i="1"/>
  <c r="AS879" i="1"/>
  <c r="AP877" i="1"/>
  <c r="AS877" i="1"/>
  <c r="AP875" i="1"/>
  <c r="AS875" i="1"/>
  <c r="AP873" i="1"/>
  <c r="AS873" i="1"/>
  <c r="AP871" i="1"/>
  <c r="AS871" i="1"/>
  <c r="AP869" i="1"/>
  <c r="AS869" i="1"/>
  <c r="AP867" i="1"/>
  <c r="AS867" i="1"/>
  <c r="AP865" i="1"/>
  <c r="AS865" i="1"/>
  <c r="AP863" i="1"/>
  <c r="AS863" i="1"/>
  <c r="AP861" i="1"/>
  <c r="AS861" i="1"/>
  <c r="AP859" i="1"/>
  <c r="AS859" i="1"/>
  <c r="AP857" i="1"/>
  <c r="AS857" i="1"/>
  <c r="AP855" i="1"/>
  <c r="AS855" i="1"/>
  <c r="AP853" i="1"/>
  <c r="AS853" i="1"/>
  <c r="AP851" i="1"/>
  <c r="AS851" i="1"/>
  <c r="AP849" i="1"/>
  <c r="AS849" i="1"/>
  <c r="AP847" i="1"/>
  <c r="AS847" i="1"/>
  <c r="AP845" i="1"/>
  <c r="AS845" i="1"/>
  <c r="AP843" i="1"/>
  <c r="AS843" i="1"/>
  <c r="AP841" i="1"/>
  <c r="AS841" i="1"/>
  <c r="AP839" i="1"/>
  <c r="AS839" i="1"/>
  <c r="AP837" i="1"/>
  <c r="AS837" i="1"/>
  <c r="AP835" i="1"/>
  <c r="AS835" i="1"/>
  <c r="AP833" i="1"/>
  <c r="AS833" i="1"/>
  <c r="AP831" i="1"/>
  <c r="AS831" i="1"/>
  <c r="AP829" i="1"/>
  <c r="AS829" i="1"/>
  <c r="AP827" i="1"/>
  <c r="AS827" i="1"/>
  <c r="AP825" i="1"/>
  <c r="AS825" i="1"/>
  <c r="AP823" i="1"/>
  <c r="AS823" i="1"/>
  <c r="AP821" i="1"/>
  <c r="AS821" i="1"/>
  <c r="AP819" i="1"/>
  <c r="AS819" i="1"/>
  <c r="AP817" i="1"/>
  <c r="AS817" i="1"/>
  <c r="AP815" i="1"/>
  <c r="AS815" i="1"/>
  <c r="AP813" i="1"/>
  <c r="AS813" i="1"/>
  <c r="AP811" i="1"/>
  <c r="AS811" i="1"/>
  <c r="AP809" i="1"/>
  <c r="AS809" i="1"/>
  <c r="AP807" i="1"/>
  <c r="AS807" i="1"/>
  <c r="AP805" i="1"/>
  <c r="AS805" i="1"/>
  <c r="AP803" i="1"/>
  <c r="AS803" i="1"/>
  <c r="AP801" i="1"/>
  <c r="AS801" i="1"/>
  <c r="AP799" i="1"/>
  <c r="AS799" i="1"/>
  <c r="AP797" i="1"/>
  <c r="AS797" i="1"/>
  <c r="AP795" i="1"/>
  <c r="AS795" i="1"/>
  <c r="AP793" i="1"/>
  <c r="AS793" i="1"/>
  <c r="AP791" i="1"/>
  <c r="AS791" i="1"/>
  <c r="AP789" i="1"/>
  <c r="AS789" i="1"/>
  <c r="AP784" i="1"/>
  <c r="AS784" i="1"/>
  <c r="AP782" i="1"/>
  <c r="AS782" i="1"/>
  <c r="AP780" i="1"/>
  <c r="AS780" i="1"/>
  <c r="AP778" i="1"/>
  <c r="AS778" i="1"/>
  <c r="AP776" i="1"/>
  <c r="AS776" i="1"/>
  <c r="AP774" i="1"/>
  <c r="AS774" i="1"/>
  <c r="AP772" i="1"/>
  <c r="AS772" i="1"/>
  <c r="AP770" i="1"/>
  <c r="AS770" i="1"/>
  <c r="AP768" i="1"/>
  <c r="AS768" i="1"/>
  <c r="AP766" i="1"/>
  <c r="AS766" i="1"/>
  <c r="AP764" i="1"/>
  <c r="AS764" i="1"/>
  <c r="AP762" i="1"/>
  <c r="AS762" i="1"/>
  <c r="AP760" i="1"/>
  <c r="AS760" i="1"/>
  <c r="AP758" i="1"/>
  <c r="AS758" i="1"/>
  <c r="AP756" i="1"/>
  <c r="AS756" i="1"/>
  <c r="AP754" i="1"/>
  <c r="AS754" i="1"/>
  <c r="AP752" i="1"/>
  <c r="AS752" i="1"/>
  <c r="AP750" i="1"/>
  <c r="AS750" i="1"/>
  <c r="AP748" i="1"/>
  <c r="AS748" i="1"/>
  <c r="AP746" i="1"/>
  <c r="AS746" i="1"/>
  <c r="AP744" i="1"/>
  <c r="AS744" i="1"/>
  <c r="AP742" i="1"/>
  <c r="AS742" i="1"/>
  <c r="AP740" i="1"/>
  <c r="AS740" i="1"/>
  <c r="AP738" i="1"/>
  <c r="AS738" i="1"/>
  <c r="AP736" i="1"/>
  <c r="AS736" i="1"/>
  <c r="AP734" i="1"/>
  <c r="AS734" i="1"/>
  <c r="AP732" i="1"/>
  <c r="AS732" i="1"/>
  <c r="AP730" i="1"/>
  <c r="AS730" i="1"/>
  <c r="AP728" i="1"/>
  <c r="AS728" i="1"/>
  <c r="AP726" i="1"/>
  <c r="AS726" i="1"/>
  <c r="AP724" i="1"/>
  <c r="AS724" i="1"/>
  <c r="AP722" i="1"/>
  <c r="AS722" i="1"/>
  <c r="AP719" i="1"/>
  <c r="AS719" i="1"/>
  <c r="AP717" i="1"/>
  <c r="AS717" i="1"/>
  <c r="AP715" i="1"/>
  <c r="AS715" i="1"/>
  <c r="AP713" i="1"/>
  <c r="AS713" i="1"/>
  <c r="AP711" i="1"/>
  <c r="AS711" i="1"/>
  <c r="AP709" i="1"/>
  <c r="AS709" i="1"/>
  <c r="AP707" i="1"/>
  <c r="AS707" i="1"/>
  <c r="AP705" i="1"/>
  <c r="AS705" i="1"/>
  <c r="AP703" i="1"/>
  <c r="AS703" i="1"/>
  <c r="AP701" i="1"/>
  <c r="AS701" i="1"/>
  <c r="AP699" i="1"/>
  <c r="AS699" i="1"/>
  <c r="AP697" i="1"/>
  <c r="AS697" i="1"/>
  <c r="AP695" i="1"/>
  <c r="AS695" i="1"/>
  <c r="AP693" i="1"/>
  <c r="AS693" i="1"/>
  <c r="AP691" i="1"/>
  <c r="AS691" i="1"/>
  <c r="AP689" i="1"/>
  <c r="AS689" i="1"/>
  <c r="AP687" i="1"/>
  <c r="AS687" i="1"/>
  <c r="AP685" i="1"/>
  <c r="AS685" i="1"/>
  <c r="AP683" i="1"/>
  <c r="AS683" i="1"/>
  <c r="AP681" i="1"/>
  <c r="AS681" i="1"/>
  <c r="AP679" i="1"/>
  <c r="AS679" i="1"/>
  <c r="AP677" i="1"/>
  <c r="AS677" i="1"/>
  <c r="AP675" i="1"/>
  <c r="AS675" i="1"/>
  <c r="AP673" i="1"/>
  <c r="AS673" i="1"/>
  <c r="AP671" i="1"/>
  <c r="AS671" i="1"/>
  <c r="AP669" i="1"/>
  <c r="AS669" i="1"/>
  <c r="AP667" i="1"/>
  <c r="AS667" i="1"/>
  <c r="AP665" i="1"/>
  <c r="AS665" i="1"/>
  <c r="AP663" i="1"/>
  <c r="AS663" i="1"/>
  <c r="AP661" i="1"/>
  <c r="AS661" i="1"/>
  <c r="AP659" i="1"/>
  <c r="AS659" i="1"/>
  <c r="AP657" i="1"/>
  <c r="AS657" i="1"/>
  <c r="AP655" i="1"/>
  <c r="AS655" i="1"/>
  <c r="AP653" i="1"/>
  <c r="AS653" i="1"/>
  <c r="AP651" i="1"/>
  <c r="AS651" i="1"/>
  <c r="AP649" i="1"/>
  <c r="AS649" i="1"/>
  <c r="AP647" i="1"/>
  <c r="AS647" i="1"/>
  <c r="AP645" i="1"/>
  <c r="AS645" i="1"/>
  <c r="AP643" i="1"/>
  <c r="AS643" i="1"/>
  <c r="AP641" i="1"/>
  <c r="AS641" i="1"/>
  <c r="AP639" i="1"/>
  <c r="AS639" i="1"/>
  <c r="AP637" i="1"/>
  <c r="AS637" i="1"/>
  <c r="AP635" i="1"/>
  <c r="AS635" i="1"/>
  <c r="AP633" i="1"/>
  <c r="AS633" i="1"/>
  <c r="AP631" i="1"/>
  <c r="AS631" i="1"/>
  <c r="AP629" i="1"/>
  <c r="AS629" i="1"/>
  <c r="AP627" i="1"/>
  <c r="AS627" i="1"/>
  <c r="AP625" i="1"/>
  <c r="AS625" i="1"/>
  <c r="AP623" i="1"/>
  <c r="AS623" i="1"/>
  <c r="AP620" i="1"/>
  <c r="AS620" i="1"/>
  <c r="AP614" i="1"/>
  <c r="AS614" i="1"/>
  <c r="AP612" i="1"/>
  <c r="AS612" i="1"/>
  <c r="AP610" i="1"/>
  <c r="AS610" i="1"/>
  <c r="AP608" i="1"/>
  <c r="AS608" i="1"/>
  <c r="AP606" i="1"/>
  <c r="AP604" i="1"/>
  <c r="AS604" i="1"/>
  <c r="AP598" i="1"/>
  <c r="AP596" i="1"/>
  <c r="AP586" i="1"/>
  <c r="AP584" i="1"/>
  <c r="AP582" i="1"/>
  <c r="AP580" i="1"/>
  <c r="AS580" i="1"/>
  <c r="AP578" i="1"/>
  <c r="AS578" i="1"/>
  <c r="AP576" i="1"/>
  <c r="AP574" i="1"/>
  <c r="AP572" i="1"/>
  <c r="AS572" i="1"/>
  <c r="AP570" i="1"/>
  <c r="AP568" i="1"/>
  <c r="AP565" i="1"/>
  <c r="AP563" i="1"/>
  <c r="AP561" i="1"/>
  <c r="AP559" i="1"/>
  <c r="AP557" i="1"/>
  <c r="AP545" i="1"/>
  <c r="AP541" i="1"/>
  <c r="AP539" i="1"/>
  <c r="AP537" i="1"/>
  <c r="AP535" i="1"/>
  <c r="AP533" i="1"/>
  <c r="AP519" i="1"/>
  <c r="AP517" i="1"/>
  <c r="AP513" i="1"/>
  <c r="AP507" i="1"/>
  <c r="AP497" i="1"/>
  <c r="AP940" i="1"/>
  <c r="AS940" i="1"/>
  <c r="AP938" i="1"/>
  <c r="AS938" i="1"/>
  <c r="AP936" i="1"/>
  <c r="AS936" i="1"/>
  <c r="AP934" i="1"/>
  <c r="AS934" i="1"/>
  <c r="AP932" i="1"/>
  <c r="AS932" i="1"/>
  <c r="AP930" i="1"/>
  <c r="AS930" i="1"/>
  <c r="AP928" i="1"/>
  <c r="AS928" i="1"/>
  <c r="AP926" i="1"/>
  <c r="AS926" i="1"/>
  <c r="AP924" i="1"/>
  <c r="AS924" i="1"/>
  <c r="AP922" i="1"/>
  <c r="AS922" i="1"/>
  <c r="AP920" i="1"/>
  <c r="AS920" i="1"/>
  <c r="AP918" i="1"/>
  <c r="AS918" i="1"/>
  <c r="AP916" i="1"/>
  <c r="AS916" i="1"/>
  <c r="AP914" i="1"/>
  <c r="AS914" i="1"/>
  <c r="AP912" i="1"/>
  <c r="AS912" i="1"/>
  <c r="AP910" i="1"/>
  <c r="AS910" i="1"/>
  <c r="AP908" i="1"/>
  <c r="AS908" i="1"/>
  <c r="AP906" i="1"/>
  <c r="AS906" i="1"/>
  <c r="AP904" i="1"/>
  <c r="AS904" i="1"/>
  <c r="AP902" i="1"/>
  <c r="AS902" i="1"/>
  <c r="AP900" i="1"/>
  <c r="AS900" i="1"/>
  <c r="AP898" i="1"/>
  <c r="AS898" i="1"/>
  <c r="AP896" i="1"/>
  <c r="AS896" i="1"/>
  <c r="AP894" i="1"/>
  <c r="AS894" i="1"/>
  <c r="AP892" i="1"/>
  <c r="AS892" i="1"/>
  <c r="AP890" i="1"/>
  <c r="AS890" i="1"/>
  <c r="AP888" i="1"/>
  <c r="AS888" i="1"/>
  <c r="AP886" i="1"/>
  <c r="AS886" i="1"/>
  <c r="AP884" i="1"/>
  <c r="AS884" i="1"/>
  <c r="AP882" i="1"/>
  <c r="AS882" i="1"/>
  <c r="AP880" i="1"/>
  <c r="AS880" i="1"/>
  <c r="AP878" i="1"/>
  <c r="AS878" i="1"/>
  <c r="AP876" i="1"/>
  <c r="AS876" i="1"/>
  <c r="AP874" i="1"/>
  <c r="AS874" i="1"/>
  <c r="AP872" i="1"/>
  <c r="AS872" i="1"/>
  <c r="AP870" i="1"/>
  <c r="AS870" i="1"/>
  <c r="AP868" i="1"/>
  <c r="AS868" i="1"/>
  <c r="AP866" i="1"/>
  <c r="AS866" i="1"/>
  <c r="AP864" i="1"/>
  <c r="AS864" i="1"/>
  <c r="AP862" i="1"/>
  <c r="AS862" i="1"/>
  <c r="AP860" i="1"/>
  <c r="AS860" i="1"/>
  <c r="AP858" i="1"/>
  <c r="AS858" i="1"/>
  <c r="AP856" i="1"/>
  <c r="AS856" i="1"/>
  <c r="AP854" i="1"/>
  <c r="AS854" i="1"/>
  <c r="AP852" i="1"/>
  <c r="AS852" i="1"/>
  <c r="AP850" i="1"/>
  <c r="AS850" i="1"/>
  <c r="AP848" i="1"/>
  <c r="AS848" i="1"/>
  <c r="AP846" i="1"/>
  <c r="AS846" i="1"/>
  <c r="AP844" i="1"/>
  <c r="AS844" i="1"/>
  <c r="AP842" i="1"/>
  <c r="AS842" i="1"/>
  <c r="AP840" i="1"/>
  <c r="AS840" i="1"/>
  <c r="AP838" i="1"/>
  <c r="AS838" i="1"/>
  <c r="AP836" i="1"/>
  <c r="AS836" i="1"/>
  <c r="AP834" i="1"/>
  <c r="AS834" i="1"/>
  <c r="AP832" i="1"/>
  <c r="AS832" i="1"/>
  <c r="AP830" i="1"/>
  <c r="AS830" i="1"/>
  <c r="AP828" i="1"/>
  <c r="AS828" i="1"/>
  <c r="AP826" i="1"/>
  <c r="AS826" i="1"/>
  <c r="AP824" i="1"/>
  <c r="AS824" i="1"/>
  <c r="AP822" i="1"/>
  <c r="AS822" i="1"/>
  <c r="AP820" i="1"/>
  <c r="AS820" i="1"/>
  <c r="AP818" i="1"/>
  <c r="AS818" i="1"/>
  <c r="AP816" i="1"/>
  <c r="AS816" i="1"/>
  <c r="AP814" i="1"/>
  <c r="AS814" i="1"/>
  <c r="AP812" i="1"/>
  <c r="AS812" i="1"/>
  <c r="AP810" i="1"/>
  <c r="AS810" i="1"/>
  <c r="AP808" i="1"/>
  <c r="AS808" i="1"/>
  <c r="AP806" i="1"/>
  <c r="AS806" i="1"/>
  <c r="AP804" i="1"/>
  <c r="AS804" i="1"/>
  <c r="AP802" i="1"/>
  <c r="AS802" i="1"/>
  <c r="AP800" i="1"/>
  <c r="AS800" i="1"/>
  <c r="AP798" i="1"/>
  <c r="AS798" i="1"/>
  <c r="AP796" i="1"/>
  <c r="AS796" i="1"/>
  <c r="AP794" i="1"/>
  <c r="AS794" i="1"/>
  <c r="AP792" i="1"/>
  <c r="AS792" i="1"/>
  <c r="AP790" i="1"/>
  <c r="AS790" i="1"/>
  <c r="AP785" i="1"/>
  <c r="AS785" i="1"/>
  <c r="AP783" i="1"/>
  <c r="AS783" i="1"/>
  <c r="AP781" i="1"/>
  <c r="AS781" i="1"/>
  <c r="AP779" i="1"/>
  <c r="AS779" i="1"/>
  <c r="AP777" i="1"/>
  <c r="AS777" i="1"/>
  <c r="AP775" i="1"/>
  <c r="AS775" i="1"/>
  <c r="AP773" i="1"/>
  <c r="AS773" i="1"/>
  <c r="AP771" i="1"/>
  <c r="AS771" i="1"/>
  <c r="AP769" i="1"/>
  <c r="AS769" i="1"/>
  <c r="AP767" i="1"/>
  <c r="AS767" i="1"/>
  <c r="AP765" i="1"/>
  <c r="AS765" i="1"/>
  <c r="AP763" i="1"/>
  <c r="AS763" i="1"/>
  <c r="AP761" i="1"/>
  <c r="AS761" i="1"/>
  <c r="AP759" i="1"/>
  <c r="AS759" i="1"/>
  <c r="AP757" i="1"/>
  <c r="AS757" i="1"/>
  <c r="AP755" i="1"/>
  <c r="AS755" i="1"/>
  <c r="AP753" i="1"/>
  <c r="AS753" i="1"/>
  <c r="AP751" i="1"/>
  <c r="AS751" i="1"/>
  <c r="AP749" i="1"/>
  <c r="AS749" i="1"/>
  <c r="AP747" i="1"/>
  <c r="AS747" i="1"/>
  <c r="AP745" i="1"/>
  <c r="AS745" i="1"/>
  <c r="AP743" i="1"/>
  <c r="AS743" i="1"/>
  <c r="AP741" i="1"/>
  <c r="AS741" i="1"/>
  <c r="AP739" i="1"/>
  <c r="AS739" i="1"/>
  <c r="AP737" i="1"/>
  <c r="AS737" i="1"/>
  <c r="AP735" i="1"/>
  <c r="AS735" i="1"/>
  <c r="AP733" i="1"/>
  <c r="AS733" i="1"/>
  <c r="AP731" i="1"/>
  <c r="AS731" i="1"/>
  <c r="AP729" i="1"/>
  <c r="AS729" i="1"/>
  <c r="AP727" i="1"/>
  <c r="AS727" i="1"/>
  <c r="AP725" i="1"/>
  <c r="AS725" i="1"/>
  <c r="AP723" i="1"/>
  <c r="AS723" i="1"/>
  <c r="AP721" i="1"/>
  <c r="AS721" i="1"/>
  <c r="AP718" i="1"/>
  <c r="AS718" i="1"/>
  <c r="AP716" i="1"/>
  <c r="AS716" i="1"/>
  <c r="AP714" i="1"/>
  <c r="AS714" i="1"/>
  <c r="AP712" i="1"/>
  <c r="AS712" i="1"/>
  <c r="AP710" i="1"/>
  <c r="AS710" i="1"/>
  <c r="AP708" i="1"/>
  <c r="AS708" i="1"/>
  <c r="AP706" i="1"/>
  <c r="AS706" i="1"/>
  <c r="AP704" i="1"/>
  <c r="AS704" i="1"/>
  <c r="AP702" i="1"/>
  <c r="AS702" i="1"/>
  <c r="AP700" i="1"/>
  <c r="AS700" i="1"/>
  <c r="AP698" i="1"/>
  <c r="AS698" i="1"/>
  <c r="AP696" i="1"/>
  <c r="AS696" i="1"/>
  <c r="AP694" i="1"/>
  <c r="AS694" i="1"/>
  <c r="AP692" i="1"/>
  <c r="AS692" i="1"/>
  <c r="AP690" i="1"/>
  <c r="AS690" i="1"/>
  <c r="AP688" i="1"/>
  <c r="AS688" i="1"/>
  <c r="AP686" i="1"/>
  <c r="AS686" i="1"/>
  <c r="AP684" i="1"/>
  <c r="AS684" i="1"/>
  <c r="AP682" i="1"/>
  <c r="AS682" i="1"/>
  <c r="AP680" i="1"/>
  <c r="AS680" i="1"/>
  <c r="AP678" i="1"/>
  <c r="AS678" i="1"/>
  <c r="AP676" i="1"/>
  <c r="AS676" i="1"/>
  <c r="AP674" i="1"/>
  <c r="AS674" i="1"/>
  <c r="AP672" i="1"/>
  <c r="AS672" i="1"/>
  <c r="AP670" i="1"/>
  <c r="AS670" i="1"/>
  <c r="AP668" i="1"/>
  <c r="AS668" i="1"/>
  <c r="AP666" i="1"/>
  <c r="AS666" i="1"/>
  <c r="AP664" i="1"/>
  <c r="AS664" i="1"/>
  <c r="AP662" i="1"/>
  <c r="AS662" i="1"/>
  <c r="AP660" i="1"/>
  <c r="AS660" i="1"/>
  <c r="AP658" i="1"/>
  <c r="AS658" i="1"/>
  <c r="AP656" i="1"/>
  <c r="AS656" i="1"/>
  <c r="AP654" i="1"/>
  <c r="AS654" i="1"/>
  <c r="AP652" i="1"/>
  <c r="AS652" i="1"/>
  <c r="AP650" i="1"/>
  <c r="AS650" i="1"/>
  <c r="AP648" i="1"/>
  <c r="AS648" i="1"/>
  <c r="AP646" i="1"/>
  <c r="AS646" i="1"/>
  <c r="AP644" i="1"/>
  <c r="AS644" i="1"/>
  <c r="AP642" i="1"/>
  <c r="AS642" i="1"/>
  <c r="AP640" i="1"/>
  <c r="AS640" i="1"/>
  <c r="AP638" i="1"/>
  <c r="AS638" i="1"/>
  <c r="AP636" i="1"/>
  <c r="AS636" i="1"/>
  <c r="AP634" i="1"/>
  <c r="AS634" i="1"/>
  <c r="AP632" i="1"/>
  <c r="AS632" i="1"/>
  <c r="AP630" i="1"/>
  <c r="AS630" i="1"/>
  <c r="AP628" i="1"/>
  <c r="AS628" i="1"/>
  <c r="AP626" i="1"/>
  <c r="AS626" i="1"/>
  <c r="AP624" i="1"/>
  <c r="AS624" i="1"/>
  <c r="AP619" i="1"/>
  <c r="AS619" i="1"/>
  <c r="AP617" i="1"/>
  <c r="AS617" i="1"/>
  <c r="AP609" i="1"/>
  <c r="AS609" i="1"/>
  <c r="AP599" i="1"/>
  <c r="AP597" i="1"/>
  <c r="AP595" i="1"/>
  <c r="AP593" i="1"/>
  <c r="AP591" i="1"/>
  <c r="AP589" i="1"/>
  <c r="AP587" i="1"/>
  <c r="AS587" i="1"/>
  <c r="AP583" i="1"/>
  <c r="AS583" i="1"/>
  <c r="AP581" i="1"/>
  <c r="AP579" i="1"/>
  <c r="AP577" i="1"/>
  <c r="AP569" i="1"/>
  <c r="AP567" i="1"/>
  <c r="AS567" i="1"/>
  <c r="AP564" i="1"/>
  <c r="AP560" i="1"/>
  <c r="AS560" i="1"/>
  <c r="AP558" i="1"/>
  <c r="AS558" i="1"/>
  <c r="AP556" i="1"/>
  <c r="AP552" i="1"/>
  <c r="AP548" i="1"/>
  <c r="AP532" i="1"/>
  <c r="AP530" i="1"/>
  <c r="AP524" i="1"/>
  <c r="AP522" i="1"/>
  <c r="AP512" i="1"/>
  <c r="AP496" i="1"/>
  <c r="AP490" i="1"/>
  <c r="AP486" i="1"/>
  <c r="AP484" i="1"/>
  <c r="AS484" i="1"/>
  <c r="AP482" i="1"/>
  <c r="AP476" i="1"/>
  <c r="AP474" i="1"/>
  <c r="AP471" i="1"/>
  <c r="AP444" i="1"/>
  <c r="AP442" i="1"/>
  <c r="AP438" i="1"/>
  <c r="AP434" i="1"/>
  <c r="AP432" i="1"/>
  <c r="AP430" i="1"/>
  <c r="AP426" i="1"/>
  <c r="AP423" i="1"/>
  <c r="AP421" i="1"/>
  <c r="AP413" i="1"/>
  <c r="AP411" i="1"/>
  <c r="AP409" i="1"/>
  <c r="AP407" i="1"/>
  <c r="AP405" i="1"/>
  <c r="AP403" i="1"/>
  <c r="AP391" i="1"/>
  <c r="AP381" i="1"/>
  <c r="AP377" i="1"/>
  <c r="AP375" i="1"/>
  <c r="AP373" i="1"/>
  <c r="AP369" i="1"/>
  <c r="AP367" i="1"/>
  <c r="AP365" i="1"/>
  <c r="AP363" i="1"/>
  <c r="AP361" i="1"/>
  <c r="AP359" i="1"/>
  <c r="AP357" i="1"/>
  <c r="AP355" i="1"/>
  <c r="AP353" i="1"/>
  <c r="AP339" i="1"/>
  <c r="AP337" i="1"/>
  <c r="AP314" i="1"/>
  <c r="AP310" i="1"/>
  <c r="AQ212" i="1"/>
  <c r="AR212" i="1" s="1"/>
  <c r="AQ204" i="1"/>
  <c r="AR204" i="1" s="1"/>
  <c r="AQ130" i="1"/>
  <c r="AR130" i="1" s="1"/>
  <c r="AQ34" i="1"/>
  <c r="AR34" i="1" s="1"/>
  <c r="AQ20" i="1"/>
  <c r="AR20" i="1" s="1"/>
  <c r="AQ201" i="1"/>
  <c r="AR201" i="1" s="1"/>
  <c r="AP505" i="1"/>
  <c r="AP503" i="1"/>
  <c r="AS503" i="1"/>
  <c r="AP501" i="1"/>
  <c r="AP499" i="1"/>
  <c r="AP495" i="1"/>
  <c r="AP493" i="1"/>
  <c r="AP491" i="1"/>
  <c r="AP489" i="1"/>
  <c r="AP487" i="1"/>
  <c r="AP485" i="1"/>
  <c r="AP483" i="1"/>
  <c r="AP481" i="1"/>
  <c r="AP479" i="1"/>
  <c r="AP477" i="1"/>
  <c r="AP472" i="1"/>
  <c r="AP468" i="1"/>
  <c r="AP462" i="1"/>
  <c r="AP460" i="1"/>
  <c r="AP448" i="1"/>
  <c r="AP446" i="1"/>
  <c r="AP445" i="1"/>
  <c r="AP429" i="1"/>
  <c r="AP424" i="1"/>
  <c r="AP418" i="1"/>
  <c r="AP414" i="1"/>
  <c r="AP412" i="1"/>
  <c r="AP410" i="1"/>
  <c r="AP408" i="1"/>
  <c r="AP406" i="1"/>
  <c r="AP394" i="1"/>
  <c r="AP390" i="1"/>
  <c r="AP388" i="1"/>
  <c r="AP378" i="1"/>
  <c r="AP372" i="1"/>
  <c r="AP368" i="1"/>
  <c r="AP366" i="1"/>
  <c r="AP364" i="1"/>
  <c r="AP344" i="1"/>
  <c r="AP342" i="1"/>
  <c r="AP332" i="1"/>
  <c r="AP321" i="1"/>
  <c r="AQ315" i="1"/>
  <c r="AR315" i="1" s="1"/>
  <c r="AQ297" i="1"/>
  <c r="AR297" i="1" s="1"/>
  <c r="AQ295" i="1"/>
  <c r="AR295" i="1" s="1"/>
  <c r="AQ245" i="1"/>
  <c r="AR245" i="1" s="1"/>
  <c r="AQ197" i="1"/>
  <c r="AR197" i="1" s="1"/>
  <c r="AQ169" i="1"/>
  <c r="AR169" i="1" s="1"/>
  <c r="AQ167" i="1"/>
  <c r="AR167" i="1" s="1"/>
  <c r="AQ165" i="1"/>
  <c r="AR165" i="1" s="1"/>
  <c r="AQ56" i="1"/>
  <c r="AR56" i="1" s="1"/>
  <c r="AP302" i="1"/>
  <c r="AQ305" i="1"/>
  <c r="AR305" i="1" s="1"/>
  <c r="AP300" i="1"/>
  <c r="AQ300" i="1"/>
  <c r="AR300" i="1" s="1"/>
  <c r="AP298" i="1"/>
  <c r="AQ298" i="1"/>
  <c r="AR298" i="1" s="1"/>
  <c r="AQ296" i="1"/>
  <c r="AR296" i="1" s="1"/>
  <c r="AQ294" i="1"/>
  <c r="AR294" i="1" s="1"/>
  <c r="AQ292" i="1"/>
  <c r="AR292" i="1" s="1"/>
  <c r="AQ290" i="1"/>
  <c r="AR290" i="1" s="1"/>
  <c r="AQ281" i="1"/>
  <c r="AR281" i="1" s="1"/>
  <c r="AQ279" i="1"/>
  <c r="AR279" i="1" s="1"/>
  <c r="AQ271" i="1"/>
  <c r="AR271" i="1" s="1"/>
  <c r="AQ268" i="1"/>
  <c r="AR268" i="1" s="1"/>
  <c r="AQ262" i="1"/>
  <c r="AR262" i="1" s="1"/>
  <c r="AQ266" i="1"/>
  <c r="AR266" i="1" s="1"/>
  <c r="AQ254" i="1"/>
  <c r="AR254" i="1" s="1"/>
  <c r="AQ252" i="1"/>
  <c r="AR252" i="1" s="1"/>
  <c r="AQ249" i="1"/>
  <c r="AR249" i="1" s="1"/>
  <c r="AQ248" i="1"/>
  <c r="AR248" i="1" s="1"/>
  <c r="AQ246" i="1"/>
  <c r="AR246" i="1" s="1"/>
  <c r="AQ239" i="1"/>
  <c r="AR239" i="1" s="1"/>
  <c r="AQ236" i="1"/>
  <c r="AR236" i="1" s="1"/>
  <c r="AQ234" i="1"/>
  <c r="AR234" i="1" s="1"/>
  <c r="AQ228" i="1"/>
  <c r="AR228" i="1" s="1"/>
  <c r="AQ222" i="1"/>
  <c r="AR222" i="1" s="1"/>
  <c r="AQ224" i="1"/>
  <c r="AR224" i="1" s="1"/>
  <c r="AQ220" i="1"/>
  <c r="AR220" i="1" s="1"/>
  <c r="AQ213" i="1"/>
  <c r="AR213" i="1" s="1"/>
  <c r="AQ209" i="1"/>
  <c r="AR209" i="1" s="1"/>
  <c r="AQ205" i="1"/>
  <c r="AR205" i="1" s="1"/>
  <c r="AQ203" i="1"/>
  <c r="AR203" i="1" s="1"/>
  <c r="AQ199" i="1"/>
  <c r="AR199" i="1" s="1"/>
  <c r="AQ198" i="1"/>
  <c r="AR198" i="1" s="1"/>
  <c r="AQ196" i="1"/>
  <c r="AR196" i="1" s="1"/>
  <c r="AQ194" i="1"/>
  <c r="AR194" i="1" s="1"/>
  <c r="AQ192" i="1"/>
  <c r="AR192" i="1" s="1"/>
  <c r="AQ186" i="1"/>
  <c r="AR186" i="1" s="1"/>
  <c r="AQ185" i="1"/>
  <c r="AR185" i="1" s="1"/>
  <c r="AQ183" i="1"/>
  <c r="AR183" i="1" s="1"/>
  <c r="AQ182" i="1"/>
  <c r="AR182" i="1" s="1"/>
  <c r="AQ177" i="1"/>
  <c r="AR177" i="1" s="1"/>
  <c r="AQ175" i="1"/>
  <c r="AR175" i="1" s="1"/>
  <c r="AQ180" i="1"/>
  <c r="AR180" i="1" s="1"/>
  <c r="AQ170" i="1"/>
  <c r="AR170" i="1" s="1"/>
  <c r="AQ171" i="1"/>
  <c r="AR171" i="1" s="1"/>
  <c r="AQ168" i="1"/>
  <c r="AR168" i="1" s="1"/>
  <c r="AQ166" i="1"/>
  <c r="AR166" i="1" s="1"/>
  <c r="AQ163" i="1"/>
  <c r="AR163" i="1" s="1"/>
  <c r="AG143" i="1"/>
  <c r="AO143" i="1" s="1"/>
  <c r="AG107" i="1"/>
  <c r="AO107" i="1" s="1"/>
  <c r="AG77" i="1"/>
  <c r="AP77" i="1" s="1"/>
  <c r="AG73" i="1"/>
  <c r="AO73" i="1" s="1"/>
  <c r="AG74" i="1"/>
  <c r="AO74" i="1" s="1"/>
  <c r="AG33" i="1"/>
  <c r="AO33" i="1" s="1"/>
  <c r="AG21" i="1"/>
  <c r="AO21" i="1" s="1"/>
  <c r="Y752" i="1"/>
  <c r="AG6" i="1"/>
  <c r="AO6" i="1" s="1"/>
  <c r="Z935" i="1"/>
  <c r="Z933" i="1"/>
  <c r="Z931" i="1"/>
  <c r="Z927" i="1"/>
  <c r="Z915" i="1"/>
  <c r="Z879" i="1"/>
  <c r="AC869" i="1"/>
  <c r="Z867" i="1"/>
  <c r="Z857" i="1"/>
  <c r="Y855" i="1"/>
  <c r="Y847" i="1"/>
  <c r="Z831" i="1"/>
  <c r="Z815" i="1"/>
  <c r="Y789" i="1"/>
  <c r="Z778" i="1"/>
  <c r="Y772" i="1"/>
  <c r="Y758" i="1"/>
  <c r="Z715" i="1"/>
  <c r="AC713" i="1"/>
  <c r="Y707" i="1"/>
  <c r="Z675" i="1"/>
  <c r="Y529" i="1"/>
  <c r="Z529" i="1" s="1"/>
  <c r="Y483" i="1"/>
  <c r="Y472" i="1"/>
  <c r="AG439" i="1"/>
  <c r="Y439" i="1"/>
  <c r="Z439" i="1" s="1"/>
  <c r="Y433" i="1"/>
  <c r="Y392" i="1"/>
  <c r="Y388" i="1"/>
  <c r="Y386" i="1"/>
  <c r="Y364" i="1"/>
  <c r="Y332" i="1"/>
  <c r="Y291" i="1"/>
  <c r="Y203" i="1"/>
  <c r="Y155" i="1"/>
  <c r="Y129" i="1"/>
  <c r="AG10" i="1"/>
  <c r="AO10" i="1" s="1"/>
  <c r="Y10" i="1"/>
  <c r="Z10" i="1" s="1"/>
  <c r="AG8" i="1"/>
  <c r="AO8" i="1" s="1"/>
  <c r="AG4" i="1"/>
  <c r="AP4" i="1" s="1"/>
  <c r="AB939" i="1"/>
  <c r="Y843" i="1"/>
  <c r="Y827" i="1"/>
  <c r="Y795" i="1"/>
  <c r="AB760" i="1"/>
  <c r="Y744" i="1"/>
  <c r="AB695" i="1"/>
  <c r="AC940" i="1"/>
  <c r="Z938" i="1"/>
  <c r="AC936" i="1"/>
  <c r="Z934" i="1"/>
  <c r="AC932" i="1"/>
  <c r="Z930" i="1"/>
  <c r="AC928" i="1"/>
  <c r="Z926" i="1"/>
  <c r="Z918" i="1"/>
  <c r="AC912" i="1"/>
  <c r="Z906" i="1"/>
  <c r="AC900" i="1"/>
  <c r="AC896" i="1"/>
  <c r="Z894" i="1"/>
  <c r="Z890" i="1"/>
  <c r="AC888" i="1"/>
  <c r="AC884" i="1"/>
  <c r="Z874" i="1"/>
  <c r="Z862" i="1"/>
  <c r="Z858" i="1"/>
  <c r="Z854" i="1"/>
  <c r="AC844" i="1"/>
  <c r="Z830" i="1"/>
  <c r="AC828" i="1"/>
  <c r="Z806" i="1"/>
  <c r="Z802" i="1"/>
  <c r="AC800" i="1"/>
  <c r="Z798" i="1"/>
  <c r="Z794" i="1"/>
  <c r="AC792" i="1"/>
  <c r="AC781" i="1"/>
  <c r="Z775" i="1"/>
  <c r="Z771" i="1"/>
  <c r="Z763" i="1"/>
  <c r="AC757" i="1"/>
  <c r="Z747" i="1"/>
  <c r="Z743" i="1"/>
  <c r="AC741" i="1"/>
  <c r="Z723" i="1"/>
  <c r="Z718" i="1"/>
  <c r="Z698" i="1"/>
  <c r="Z690" i="1"/>
  <c r="Z672" i="1"/>
  <c r="Y103" i="1"/>
  <c r="Y95" i="1"/>
  <c r="Y55" i="1"/>
  <c r="Y19" i="1"/>
  <c r="AG11" i="1"/>
  <c r="AP11" i="1" s="1"/>
  <c r="Y11" i="1"/>
  <c r="Z11" i="1" s="1"/>
  <c r="AG9" i="1"/>
  <c r="AP9" i="1" s="1"/>
  <c r="Y9" i="1"/>
  <c r="Z9" i="1" s="1"/>
  <c r="AG7" i="1"/>
  <c r="AO7" i="1" s="1"/>
  <c r="Y7" i="1"/>
  <c r="Z7" i="1" s="1"/>
  <c r="AG5" i="1"/>
  <c r="AO5" i="1" s="1"/>
  <c r="Y5" i="1"/>
  <c r="Z5" i="1" s="1"/>
  <c r="AG3" i="1"/>
  <c r="AO3" i="1" s="1"/>
  <c r="Y3" i="1"/>
  <c r="Z3" i="1" s="1"/>
  <c r="Y625" i="1"/>
  <c r="AQ624" i="1"/>
  <c r="AR624" i="1" s="1"/>
  <c r="Y624" i="1"/>
  <c r="AQ620" i="1"/>
  <c r="AR620" i="1" s="1"/>
  <c r="AP622" i="1"/>
  <c r="AP618" i="1"/>
  <c r="AP616" i="1"/>
  <c r="AQ618" i="1"/>
  <c r="AR618" i="1" s="1"/>
  <c r="Y615" i="1"/>
  <c r="AP615" i="1"/>
  <c r="AQ615" i="1"/>
  <c r="AR615" i="1" s="1"/>
  <c r="AP613" i="1"/>
  <c r="AQ613" i="1"/>
  <c r="AR613" i="1" s="1"/>
  <c r="AQ610" i="1"/>
  <c r="AR610" i="1" s="1"/>
  <c r="AP611" i="1"/>
  <c r="Y610" i="1"/>
  <c r="AP607" i="1"/>
  <c r="AQ607" i="1"/>
  <c r="AR607" i="1" s="1"/>
  <c r="AP605" i="1"/>
  <c r="AQ605" i="1"/>
  <c r="AR605" i="1" s="1"/>
  <c r="AP603" i="1"/>
  <c r="AP601" i="1"/>
  <c r="AP602" i="1"/>
  <c r="AP600" i="1"/>
  <c r="AQ600" i="1"/>
  <c r="AR600" i="1" s="1"/>
  <c r="AQ597" i="1"/>
  <c r="AR597" i="1" s="1"/>
  <c r="AP594" i="1"/>
  <c r="AP592" i="1"/>
  <c r="AP590" i="1"/>
  <c r="AP588" i="1"/>
  <c r="AQ588" i="1"/>
  <c r="AR588" i="1" s="1"/>
  <c r="AP585" i="1"/>
  <c r="AQ585" i="1"/>
  <c r="AR585" i="1" s="1"/>
  <c r="AQ582" i="1"/>
  <c r="AR582" i="1" s="1"/>
  <c r="AQ570" i="1"/>
  <c r="AR570" i="1" s="1"/>
  <c r="AP575" i="1"/>
  <c r="AP573" i="1"/>
  <c r="AP571" i="1"/>
  <c r="AB50" i="1"/>
  <c r="AC50" i="1" s="1"/>
  <c r="AP562" i="1"/>
  <c r="AQ557" i="1"/>
  <c r="AR557" i="1" s="1"/>
  <c r="AP555" i="1"/>
  <c r="AP554" i="1"/>
  <c r="AP553" i="1"/>
  <c r="AP551" i="1"/>
  <c r="AP550" i="1"/>
  <c r="AP549" i="1"/>
  <c r="AQ549" i="1"/>
  <c r="AR549" i="1" s="1"/>
  <c r="AP547" i="1"/>
  <c r="AP546" i="1"/>
  <c r="AP544" i="1"/>
  <c r="AP543" i="1"/>
  <c r="AP542" i="1"/>
  <c r="AQ542" i="1"/>
  <c r="AR542" i="1" s="1"/>
  <c r="AP540" i="1"/>
  <c r="AQ540" i="1"/>
  <c r="AR540" i="1" s="1"/>
  <c r="AP538" i="1"/>
  <c r="AQ538" i="1"/>
  <c r="AR538" i="1" s="1"/>
  <c r="AP536" i="1"/>
  <c r="AQ536" i="1"/>
  <c r="AR536" i="1" s="1"/>
  <c r="AP534" i="1"/>
  <c r="AQ534" i="1"/>
  <c r="AR534" i="1" s="1"/>
  <c r="AP531" i="1"/>
  <c r="AQ531" i="1"/>
  <c r="AR531" i="1" s="1"/>
  <c r="AP529" i="1"/>
  <c r="AQ529" i="1"/>
  <c r="AR529" i="1" s="1"/>
  <c r="AP527" i="1"/>
  <c r="AP526" i="1"/>
  <c r="AP525" i="1"/>
  <c r="AQ525" i="1"/>
  <c r="AR525" i="1" s="1"/>
  <c r="AP523" i="1"/>
  <c r="AQ523" i="1"/>
  <c r="AR523" i="1" s="1"/>
  <c r="AP520" i="1"/>
  <c r="AP514" i="1"/>
  <c r="AQ514" i="1"/>
  <c r="AR514" i="1" s="1"/>
  <c r="AP511" i="1"/>
  <c r="AP509" i="1"/>
  <c r="AP508" i="1"/>
  <c r="AQ508" i="1"/>
  <c r="AR508" i="1" s="1"/>
  <c r="AQ490" i="1"/>
  <c r="AR490" i="1" s="1"/>
  <c r="AQ466" i="1"/>
  <c r="AR466" i="1" s="1"/>
  <c r="AQ464" i="1"/>
  <c r="AR464" i="1" s="1"/>
  <c r="AQ462" i="1"/>
  <c r="AR462" i="1" s="1"/>
  <c r="AQ460" i="1"/>
  <c r="AR460" i="1" s="1"/>
  <c r="AQ471" i="1"/>
  <c r="AR471" i="1" s="1"/>
  <c r="AQ469" i="1"/>
  <c r="AR469" i="1" s="1"/>
  <c r="AQ497" i="1"/>
  <c r="AR497" i="1" s="1"/>
  <c r="AP506" i="1"/>
  <c r="AP502" i="1"/>
  <c r="AP500" i="1"/>
  <c r="AP498" i="1"/>
  <c r="AQ493" i="1"/>
  <c r="AR493" i="1" s="1"/>
  <c r="AQ484" i="1"/>
  <c r="AR484" i="1" s="1"/>
  <c r="AQ481" i="1"/>
  <c r="AR481" i="1" s="1"/>
  <c r="AQ478" i="1"/>
  <c r="AR478" i="1" s="1"/>
  <c r="AQ475" i="1"/>
  <c r="AR475" i="1" s="1"/>
  <c r="AQ456" i="1"/>
  <c r="AR456" i="1" s="1"/>
  <c r="AP452" i="1"/>
  <c r="AP449" i="1"/>
  <c r="AP447" i="1"/>
  <c r="AQ434" i="1"/>
  <c r="AR434" i="1" s="1"/>
  <c r="AG443" i="1"/>
  <c r="AO443" i="1" s="1"/>
  <c r="AG441" i="1"/>
  <c r="AG437" i="1"/>
  <c r="AO437" i="1" s="1"/>
  <c r="AG435" i="1"/>
  <c r="AO435" i="1" s="1"/>
  <c r="AQ431" i="1"/>
  <c r="AR431" i="1" s="1"/>
  <c r="AQ426" i="1"/>
  <c r="AR426" i="1" s="1"/>
  <c r="AQ423" i="1"/>
  <c r="AR423" i="1" s="1"/>
  <c r="AQ415" i="1"/>
  <c r="AR415" i="1" s="1"/>
  <c r="AQ402" i="1"/>
  <c r="AR402" i="1" s="1"/>
  <c r="AQ391" i="1"/>
  <c r="AR391" i="1" s="1"/>
  <c r="AQ389" i="1"/>
  <c r="AR389" i="1" s="1"/>
  <c r="AQ387" i="1"/>
  <c r="AR387" i="1" s="1"/>
  <c r="AQ378" i="1"/>
  <c r="AR378" i="1" s="1"/>
  <c r="AQ376" i="1"/>
  <c r="AR376" i="1" s="1"/>
  <c r="AG139" i="1"/>
  <c r="AO139" i="1" s="1"/>
  <c r="AG133" i="1"/>
  <c r="AP133" i="1" s="1"/>
  <c r="AG125" i="1"/>
  <c r="AO125" i="1" s="1"/>
  <c r="AG121" i="1"/>
  <c r="AO121" i="1" s="1"/>
  <c r="AG116" i="1"/>
  <c r="AP116" i="1" s="1"/>
  <c r="AG114" i="1"/>
  <c r="AO114" i="1" s="1"/>
  <c r="AG110" i="1"/>
  <c r="AO110" i="1" s="1"/>
  <c r="AG108" i="1"/>
  <c r="AO108" i="1" s="1"/>
  <c r="AG106" i="1"/>
  <c r="AP106" i="1" s="1"/>
  <c r="AG104" i="1"/>
  <c r="AO104" i="1" s="1"/>
  <c r="AG102" i="1"/>
  <c r="AP102" i="1" s="1"/>
  <c r="AG100" i="1"/>
  <c r="AP100" i="1" s="1"/>
  <c r="AG96" i="1"/>
  <c r="AP96" i="1" s="1"/>
  <c r="AG94" i="1"/>
  <c r="AO94" i="1" s="1"/>
  <c r="AG92" i="1"/>
  <c r="AP92" i="1" s="1"/>
  <c r="AG90" i="1"/>
  <c r="AO90" i="1" s="1"/>
  <c r="AG87" i="1"/>
  <c r="AP87" i="1" s="1"/>
  <c r="AG85" i="1"/>
  <c r="AO85" i="1" s="1"/>
  <c r="AG83" i="1"/>
  <c r="AP83" i="1" s="1"/>
  <c r="AG81" i="1"/>
  <c r="AO81" i="1" s="1"/>
  <c r="AG78" i="1"/>
  <c r="AO78" i="1" s="1"/>
  <c r="AG76" i="1"/>
  <c r="AP76" i="1" s="1"/>
  <c r="AG72" i="1"/>
  <c r="AO72" i="1" s="1"/>
  <c r="AG70" i="1"/>
  <c r="AP70" i="1" s="1"/>
  <c r="AG68" i="1"/>
  <c r="AP68" i="1" s="1"/>
  <c r="AG66" i="1"/>
  <c r="AP66" i="1" s="1"/>
  <c r="AG62" i="1"/>
  <c r="AP62" i="1" s="1"/>
  <c r="AG60" i="1"/>
  <c r="AP60" i="1" s="1"/>
  <c r="AG58" i="1"/>
  <c r="AG56" i="1"/>
  <c r="AO56" i="1" s="1"/>
  <c r="AG54" i="1"/>
  <c r="AO54" i="1" s="1"/>
  <c r="AG52" i="1"/>
  <c r="AP52" i="1" s="1"/>
  <c r="AG49" i="1"/>
  <c r="AO49" i="1" s="1"/>
  <c r="AG45" i="1"/>
  <c r="AO45" i="1" s="1"/>
  <c r="AG43" i="1"/>
  <c r="AP43" i="1" s="1"/>
  <c r="AG41" i="1"/>
  <c r="AO41" i="1" s="1"/>
  <c r="AG39" i="1"/>
  <c r="AP39" i="1" s="1"/>
  <c r="AG37" i="1"/>
  <c r="AO37" i="1" s="1"/>
  <c r="AG35" i="1"/>
  <c r="AO35" i="1" s="1"/>
  <c r="AG31" i="1"/>
  <c r="AG29" i="1"/>
  <c r="AP29" i="1" s="1"/>
  <c r="AG26" i="1"/>
  <c r="AO26" i="1" s="1"/>
  <c r="AG24" i="1"/>
  <c r="AO24" i="1" s="1"/>
  <c r="AG22" i="1"/>
  <c r="AG20" i="1"/>
  <c r="AP20" i="1" s="1"/>
  <c r="AG18" i="1"/>
  <c r="AO18" i="1" s="1"/>
  <c r="AQ384" i="1"/>
  <c r="AR384" i="1" s="1"/>
  <c r="AQ411" i="1"/>
  <c r="AR411" i="1" s="1"/>
  <c r="AQ406" i="1"/>
  <c r="AR406" i="1" s="1"/>
  <c r="AQ404" i="1"/>
  <c r="AR404" i="1" s="1"/>
  <c r="AQ393" i="1"/>
  <c r="AR393" i="1" s="1"/>
  <c r="AQ381" i="1"/>
  <c r="AR381" i="1" s="1"/>
  <c r="AQ365" i="1"/>
  <c r="AR365" i="1" s="1"/>
  <c r="AP360" i="1"/>
  <c r="AP358" i="1"/>
  <c r="AP356" i="1"/>
  <c r="AP354" i="1"/>
  <c r="AP352" i="1"/>
  <c r="AQ352" i="1"/>
  <c r="AR352" i="1" s="1"/>
  <c r="AP350" i="1"/>
  <c r="AQ340" i="1"/>
  <c r="AR340" i="1" s="1"/>
  <c r="AP345" i="1"/>
  <c r="AQ337" i="1"/>
  <c r="AR337" i="1" s="1"/>
  <c r="AP338" i="1"/>
  <c r="AP335" i="1"/>
  <c r="AP333" i="1"/>
  <c r="AQ333" i="1"/>
  <c r="AR333" i="1" s="1"/>
  <c r="AP331" i="1"/>
  <c r="AP324" i="1"/>
  <c r="AQ324" i="1"/>
  <c r="AR324" i="1" s="1"/>
  <c r="AP330" i="1"/>
  <c r="AP325" i="1"/>
  <c r="AP316" i="1"/>
  <c r="AG140" i="1"/>
  <c r="AO140" i="1" s="1"/>
  <c r="AG138" i="1"/>
  <c r="AO138" i="1" s="1"/>
  <c r="AG134" i="1"/>
  <c r="AO134" i="1" s="1"/>
  <c r="AG132" i="1"/>
  <c r="AP132" i="1" s="1"/>
  <c r="AG130" i="1"/>
  <c r="AO130" i="1" s="1"/>
  <c r="AG128" i="1"/>
  <c r="AP128" i="1" s="1"/>
  <c r="AG126" i="1"/>
  <c r="AO126" i="1" s="1"/>
  <c r="AG124" i="1"/>
  <c r="AO124" i="1" s="1"/>
  <c r="AG122" i="1"/>
  <c r="AO122" i="1" s="1"/>
  <c r="AG119" i="1"/>
  <c r="AP119" i="1" s="1"/>
  <c r="AG117" i="1"/>
  <c r="AO117" i="1" s="1"/>
  <c r="AG13" i="1"/>
  <c r="AP13" i="1" s="1"/>
  <c r="AB937" i="1"/>
  <c r="Y929" i="1"/>
  <c r="AB929" i="1"/>
  <c r="Y917" i="1"/>
  <c r="Y909" i="1"/>
  <c r="Y905" i="1"/>
  <c r="Y897" i="1"/>
  <c r="AB897" i="1"/>
  <c r="Y877" i="1"/>
  <c r="Y873" i="1"/>
  <c r="Y853" i="1"/>
  <c r="AB853" i="1"/>
  <c r="AB849" i="1"/>
  <c r="AB833" i="1"/>
  <c r="AB813" i="1"/>
  <c r="AB805" i="1"/>
  <c r="Y770" i="1"/>
  <c r="Y766" i="1"/>
  <c r="AB766" i="1"/>
  <c r="Y730" i="1"/>
  <c r="AB730" i="1"/>
  <c r="Y726" i="1"/>
  <c r="AB726" i="1"/>
  <c r="Y705" i="1"/>
  <c r="Y701" i="1"/>
  <c r="AB693" i="1"/>
  <c r="Y685" i="1"/>
  <c r="AB685" i="1"/>
  <c r="Y669" i="1"/>
  <c r="Z669" i="1" s="1"/>
  <c r="AA669" i="1" s="1"/>
  <c r="Y657" i="1"/>
  <c r="Z657" i="1" s="1"/>
  <c r="AA657" i="1" s="1"/>
  <c r="Y653" i="1"/>
  <c r="Z653" i="1" s="1"/>
  <c r="Y641" i="1"/>
  <c r="Z641" i="1" s="1"/>
  <c r="Y620" i="1"/>
  <c r="Y616" i="1"/>
  <c r="Y612" i="1"/>
  <c r="Y608" i="1"/>
  <c r="Z608" i="1" s="1"/>
  <c r="AA608" i="1" s="1"/>
  <c r="AB608" i="1" s="1"/>
  <c r="AC608" i="1" s="1"/>
  <c r="Y604" i="1"/>
  <c r="Z604" i="1" s="1"/>
  <c r="Y600" i="1"/>
  <c r="Z600" i="1" s="1"/>
  <c r="AA600" i="1" s="1"/>
  <c r="AB600" i="1" s="1"/>
  <c r="AC600" i="1" s="1"/>
  <c r="Y596" i="1"/>
  <c r="Z596" i="1" s="1"/>
  <c r="Y592" i="1"/>
  <c r="Z592" i="1" s="1"/>
  <c r="Y588" i="1"/>
  <c r="Z588" i="1" s="1"/>
  <c r="AA588" i="1" s="1"/>
  <c r="Y584" i="1"/>
  <c r="Z584" i="1" s="1"/>
  <c r="Y580" i="1"/>
  <c r="Z580" i="1" s="1"/>
  <c r="Y576" i="1"/>
  <c r="Z576" i="1" s="1"/>
  <c r="Y572" i="1"/>
  <c r="Z572" i="1" s="1"/>
  <c r="Y568" i="1"/>
  <c r="Z568" i="1" s="1"/>
  <c r="Y563" i="1"/>
  <c r="Z563" i="1" s="1"/>
  <c r="Y559" i="1"/>
  <c r="Z559" i="1" s="1"/>
  <c r="Y555" i="1"/>
  <c r="Z555" i="1" s="1"/>
  <c r="Y551" i="1"/>
  <c r="Z551" i="1" s="1"/>
  <c r="Y547" i="1"/>
  <c r="Z547" i="1" s="1"/>
  <c r="Y543" i="1"/>
  <c r="Z543" i="1" s="1"/>
  <c r="Y539" i="1"/>
  <c r="Z539" i="1" s="1"/>
  <c r="AA539" i="1" s="1"/>
  <c r="Y535" i="1"/>
  <c r="Z535" i="1" s="1"/>
  <c r="Y531" i="1"/>
  <c r="Z531" i="1" s="1"/>
  <c r="Y527" i="1"/>
  <c r="Z527" i="1" s="1"/>
  <c r="Y523" i="1"/>
  <c r="Z523" i="1" s="1"/>
  <c r="Y519" i="1"/>
  <c r="Z519" i="1" s="1"/>
  <c r="Y515" i="1"/>
  <c r="Z515" i="1" s="1"/>
  <c r="Y511" i="1"/>
  <c r="Z511" i="1" s="1"/>
  <c r="Y507" i="1"/>
  <c r="Z507" i="1" s="1"/>
  <c r="AA507" i="1" s="1"/>
  <c r="Y503" i="1"/>
  <c r="Z503" i="1" s="1"/>
  <c r="AA906" i="1"/>
  <c r="AA775" i="1"/>
  <c r="Y691" i="1"/>
  <c r="AB687" i="1"/>
  <c r="Y679" i="1"/>
  <c r="Y663" i="1"/>
  <c r="Z663" i="1" s="1"/>
  <c r="Y623" i="1"/>
  <c r="Z623" i="1" s="1"/>
  <c r="Y614" i="1"/>
  <c r="Z614" i="1" s="1"/>
  <c r="Y606" i="1"/>
  <c r="Z606" i="1" s="1"/>
  <c r="Y602" i="1"/>
  <c r="Z602" i="1" s="1"/>
  <c r="Y598" i="1"/>
  <c r="Y590" i="1"/>
  <c r="Z590" i="1" s="1"/>
  <c r="Y586" i="1"/>
  <c r="Z586" i="1" s="1"/>
  <c r="Y582" i="1"/>
  <c r="Y578" i="1"/>
  <c r="Z578" i="1" s="1"/>
  <c r="Y574" i="1"/>
  <c r="Y570" i="1"/>
  <c r="Z570" i="1" s="1"/>
  <c r="Y565" i="1"/>
  <c r="Y561" i="1"/>
  <c r="Z561" i="1" s="1"/>
  <c r="Y557" i="1"/>
  <c r="Y553" i="1"/>
  <c r="Z553" i="1" s="1"/>
  <c r="Y549" i="1"/>
  <c r="Z549" i="1" s="1"/>
  <c r="Y545" i="1"/>
  <c r="Z545" i="1" s="1"/>
  <c r="Y541" i="1"/>
  <c r="Z541" i="1" s="1"/>
  <c r="Y533" i="1"/>
  <c r="Y525" i="1"/>
  <c r="Z525" i="1" s="1"/>
  <c r="Y521" i="1"/>
  <c r="Z521" i="1" s="1"/>
  <c r="Y517" i="1"/>
  <c r="Z517" i="1" s="1"/>
  <c r="AA939" i="1"/>
  <c r="AA929" i="1"/>
  <c r="AA897" i="1"/>
  <c r="AA853" i="1"/>
  <c r="AA766" i="1"/>
  <c r="AA760" i="1"/>
  <c r="AA730" i="1"/>
  <c r="AA726" i="1"/>
  <c r="AA695" i="1"/>
  <c r="AA685" i="1"/>
  <c r="AG16" i="1"/>
  <c r="AP16" i="1" s="1"/>
  <c r="AG14" i="1"/>
  <c r="AO14" i="1" s="1"/>
  <c r="AP315" i="1"/>
  <c r="AP311" i="1"/>
  <c r="AP309" i="1"/>
  <c r="AP305" i="1"/>
  <c r="AP299" i="1"/>
  <c r="AP297" i="1"/>
  <c r="AP295" i="1"/>
  <c r="AP291" i="1"/>
  <c r="AP289" i="1"/>
  <c r="AP285" i="1"/>
  <c r="AP275" i="1"/>
  <c r="AP271" i="1"/>
  <c r="AP269" i="1"/>
  <c r="AP267" i="1"/>
  <c r="AP259" i="1"/>
  <c r="AP251" i="1"/>
  <c r="AP245" i="1"/>
  <c r="AP241" i="1"/>
  <c r="AP235" i="1"/>
  <c r="AP229" i="1"/>
  <c r="AP227" i="1"/>
  <c r="AP223" i="1"/>
  <c r="AP221" i="1"/>
  <c r="AP217" i="1"/>
  <c r="AP201" i="1"/>
  <c r="AP197" i="1"/>
  <c r="AP195" i="1"/>
  <c r="AP193" i="1"/>
  <c r="AP191" i="1"/>
  <c r="AP183" i="1"/>
  <c r="AP181" i="1"/>
  <c r="AP177" i="1"/>
  <c r="AP169" i="1"/>
  <c r="AP165" i="1"/>
  <c r="AP159" i="1"/>
  <c r="AP157" i="1"/>
  <c r="AP155" i="1"/>
  <c r="AP153" i="1"/>
  <c r="AP151" i="1"/>
  <c r="AP149" i="1"/>
  <c r="AP147" i="1"/>
  <c r="AP145" i="1"/>
  <c r="AP141" i="1"/>
  <c r="AP131" i="1"/>
  <c r="AP127" i="1"/>
  <c r="AP123" i="1"/>
  <c r="AP118" i="1"/>
  <c r="AP111" i="1"/>
  <c r="AP109" i="1"/>
  <c r="AP105" i="1"/>
  <c r="AP103" i="1"/>
  <c r="AP95" i="1"/>
  <c r="AP88" i="1"/>
  <c r="AP86" i="1"/>
  <c r="AP84" i="1"/>
  <c r="AP82" i="1"/>
  <c r="AP80" i="1"/>
  <c r="AP79" i="1"/>
  <c r="AP75" i="1"/>
  <c r="AP61" i="1"/>
  <c r="AP59" i="1"/>
  <c r="AP57" i="1"/>
  <c r="AP53" i="1"/>
  <c r="AP48" i="1"/>
  <c r="AP42" i="1"/>
  <c r="AP38" i="1"/>
  <c r="AP32" i="1"/>
  <c r="AP30" i="1"/>
  <c r="AP22" i="1"/>
  <c r="AQ16" i="1"/>
  <c r="AR16" i="1" s="1"/>
  <c r="AP12" i="1"/>
  <c r="AP292" i="1"/>
  <c r="AP290" i="1"/>
  <c r="AP288" i="1"/>
  <c r="AP286" i="1"/>
  <c r="AP284" i="1"/>
  <c r="AP282" i="1"/>
  <c r="AP280" i="1"/>
  <c r="AP278" i="1"/>
  <c r="AP276" i="1"/>
  <c r="AP274" i="1"/>
  <c r="AP272" i="1"/>
  <c r="AP270" i="1"/>
  <c r="AP268" i="1"/>
  <c r="AP264" i="1"/>
  <c r="AP262" i="1"/>
  <c r="AP260" i="1"/>
  <c r="AP258" i="1"/>
  <c r="AP256" i="1"/>
  <c r="AP248" i="1"/>
  <c r="AP238" i="1"/>
  <c r="AP234" i="1"/>
  <c r="AP224" i="1"/>
  <c r="AP214" i="1"/>
  <c r="AP212" i="1"/>
  <c r="AP204" i="1"/>
  <c r="AP202" i="1"/>
  <c r="AP200" i="1"/>
  <c r="AP198" i="1"/>
  <c r="AP196" i="1"/>
  <c r="AP194" i="1"/>
  <c r="AP192" i="1"/>
  <c r="AP190" i="1"/>
  <c r="AP188" i="1"/>
  <c r="AP184" i="1"/>
  <c r="AP180" i="1"/>
  <c r="AP178" i="1"/>
  <c r="AP176" i="1"/>
  <c r="AP174" i="1"/>
  <c r="AP172" i="1"/>
  <c r="AP170" i="1"/>
  <c r="AP168" i="1"/>
  <c r="AP166" i="1"/>
  <c r="AP164" i="1"/>
  <c r="AP160" i="1"/>
  <c r="AP154" i="1"/>
  <c r="AP152" i="1"/>
  <c r="AP150" i="1"/>
  <c r="AP148" i="1"/>
  <c r="AP115" i="1"/>
  <c r="AP98" i="1"/>
  <c r="AP64" i="1"/>
  <c r="AP25" i="1"/>
  <c r="AP23" i="1"/>
  <c r="AP19" i="1"/>
  <c r="AP15" i="1"/>
  <c r="AQ13" i="1"/>
  <c r="AR13" i="1" s="1"/>
  <c r="AQ7" i="1"/>
  <c r="AR7" i="1" s="1"/>
  <c r="AC939" i="1"/>
  <c r="AC933" i="1"/>
  <c r="AC927" i="1"/>
  <c r="AC915" i="1"/>
  <c r="AC907" i="1"/>
  <c r="AC857" i="1"/>
  <c r="AC815" i="1"/>
  <c r="AC778" i="1"/>
  <c r="AC760" i="1"/>
  <c r="AC703" i="1"/>
  <c r="AC695" i="1"/>
  <c r="AC675" i="1"/>
  <c r="AC926" i="1"/>
  <c r="AC894" i="1"/>
  <c r="AC862" i="1"/>
  <c r="AC798" i="1"/>
  <c r="AC763" i="1"/>
  <c r="AC747" i="1"/>
  <c r="AC698" i="1"/>
  <c r="Y510" i="1"/>
  <c r="Z510" i="1" s="1"/>
  <c r="Y508" i="1"/>
  <c r="Z508" i="1" s="1"/>
  <c r="Y506" i="1"/>
  <c r="Z506" i="1" s="1"/>
  <c r="Y504" i="1"/>
  <c r="Z504" i="1" s="1"/>
  <c r="Y502" i="1"/>
  <c r="Z502" i="1" s="1"/>
  <c r="Y500" i="1"/>
  <c r="Z500" i="1" s="1"/>
  <c r="Y498" i="1"/>
  <c r="Z498" i="1" s="1"/>
  <c r="Y496" i="1"/>
  <c r="Z496" i="1" s="1"/>
  <c r="Y494" i="1"/>
  <c r="Z494" i="1" s="1"/>
  <c r="Y492" i="1"/>
  <c r="Z492" i="1" s="1"/>
  <c r="Y490" i="1"/>
  <c r="Z490" i="1" s="1"/>
  <c r="Y488" i="1"/>
  <c r="Z488" i="1" s="1"/>
  <c r="Y486" i="1"/>
  <c r="Z486" i="1" s="1"/>
  <c r="Y484" i="1"/>
  <c r="Z484" i="1" s="1"/>
  <c r="Y482" i="1"/>
  <c r="Z482" i="1" s="1"/>
  <c r="Y480" i="1"/>
  <c r="Z480" i="1" s="1"/>
  <c r="Y478" i="1"/>
  <c r="Z478" i="1" s="1"/>
  <c r="Y476" i="1"/>
  <c r="Z476" i="1" s="1"/>
  <c r="Y474" i="1"/>
  <c r="Z474" i="1" s="1"/>
  <c r="Y471" i="1"/>
  <c r="Z471" i="1" s="1"/>
  <c r="Y469" i="1"/>
  <c r="Z469" i="1" s="1"/>
  <c r="Y467" i="1"/>
  <c r="Z467" i="1" s="1"/>
  <c r="Y465" i="1"/>
  <c r="Z465" i="1" s="1"/>
  <c r="Y463" i="1"/>
  <c r="Z463" i="1" s="1"/>
  <c r="Y461" i="1"/>
  <c r="Z461" i="1" s="1"/>
  <c r="Y459" i="1"/>
  <c r="Z459" i="1" s="1"/>
  <c r="Y457" i="1"/>
  <c r="Z457" i="1" s="1"/>
  <c r="Y455" i="1"/>
  <c r="Z455" i="1" s="1"/>
  <c r="Y453" i="1"/>
  <c r="Z453" i="1" s="1"/>
  <c r="Y451" i="1"/>
  <c r="Z451" i="1" s="1"/>
  <c r="Y449" i="1"/>
  <c r="Z449" i="1" s="1"/>
  <c r="Y447" i="1"/>
  <c r="Z447" i="1" s="1"/>
  <c r="Y444" i="1"/>
  <c r="Z444" i="1" s="1"/>
  <c r="Y442" i="1"/>
  <c r="Z442" i="1" s="1"/>
  <c r="Y440" i="1"/>
  <c r="Z440" i="1" s="1"/>
  <c r="Y438" i="1"/>
  <c r="Z438" i="1" s="1"/>
  <c r="Y436" i="1"/>
  <c r="Z436" i="1" s="1"/>
  <c r="Y434" i="1"/>
  <c r="Z434" i="1" s="1"/>
  <c r="Y432" i="1"/>
  <c r="Z432" i="1" s="1"/>
  <c r="Y430" i="1"/>
  <c r="Z430" i="1" s="1"/>
  <c r="Y428" i="1"/>
  <c r="Z428" i="1" s="1"/>
  <c r="Y426" i="1"/>
  <c r="Y423" i="1"/>
  <c r="Z423" i="1" s="1"/>
  <c r="Y421" i="1"/>
  <c r="Z421" i="1" s="1"/>
  <c r="Y419" i="1"/>
  <c r="Z419" i="1" s="1"/>
  <c r="Y417" i="1"/>
  <c r="Z417" i="1" s="1"/>
  <c r="Y415" i="1"/>
  <c r="Z415" i="1" s="1"/>
  <c r="Y413" i="1"/>
  <c r="Z413" i="1" s="1"/>
  <c r="Y411" i="1"/>
  <c r="Z411" i="1" s="1"/>
  <c r="Y409" i="1"/>
  <c r="Z409" i="1" s="1"/>
  <c r="Y407" i="1"/>
  <c r="Y405" i="1"/>
  <c r="Z405" i="1" s="1"/>
  <c r="Y403" i="1"/>
  <c r="Y401" i="1"/>
  <c r="Z401" i="1" s="1"/>
  <c r="Y399" i="1"/>
  <c r="Z399" i="1" s="1"/>
  <c r="Y397" i="1"/>
  <c r="Z397" i="1" s="1"/>
  <c r="Y395" i="1"/>
  <c r="Z395" i="1" s="1"/>
  <c r="Y393" i="1"/>
  <c r="Z393" i="1" s="1"/>
  <c r="Y391" i="1"/>
  <c r="Y389" i="1"/>
  <c r="Z389" i="1" s="1"/>
  <c r="Y387" i="1"/>
  <c r="Y385" i="1"/>
  <c r="Z385" i="1" s="1"/>
  <c r="Y383" i="1"/>
  <c r="Z383" i="1" s="1"/>
  <c r="AA383" i="1" s="1"/>
  <c r="Y381" i="1"/>
  <c r="Z381" i="1" s="1"/>
  <c r="Y379" i="1"/>
  <c r="Z379" i="1" s="1"/>
  <c r="Y377" i="1"/>
  <c r="Z377" i="1" s="1"/>
  <c r="AA377" i="1" s="1"/>
  <c r="Y375" i="1"/>
  <c r="Z375" i="1" s="1"/>
  <c r="AA375" i="1" s="1"/>
  <c r="Y373" i="1"/>
  <c r="Z373" i="1" s="1"/>
  <c r="Y371" i="1"/>
  <c r="Z371" i="1" s="1"/>
  <c r="Y369" i="1"/>
  <c r="Z369" i="1" s="1"/>
  <c r="Y367" i="1"/>
  <c r="Z367" i="1" s="1"/>
  <c r="Y365" i="1"/>
  <c r="Z365" i="1" s="1"/>
  <c r="Y363" i="1"/>
  <c r="Z363" i="1" s="1"/>
  <c r="Y361" i="1"/>
  <c r="Z361" i="1" s="1"/>
  <c r="Y359" i="1"/>
  <c r="Z359" i="1" s="1"/>
  <c r="Y357" i="1"/>
  <c r="Z357" i="1" s="1"/>
  <c r="Y355" i="1"/>
  <c r="Z355" i="1" s="1"/>
  <c r="Y353" i="1"/>
  <c r="Z353" i="1" s="1"/>
  <c r="Y351" i="1"/>
  <c r="Z351" i="1" s="1"/>
  <c r="AA351" i="1" s="1"/>
  <c r="Y349" i="1"/>
  <c r="Z349" i="1" s="1"/>
  <c r="Y347" i="1"/>
  <c r="Z347" i="1" s="1"/>
  <c r="Y345" i="1"/>
  <c r="Z345" i="1" s="1"/>
  <c r="Y343" i="1"/>
  <c r="Z343" i="1" s="1"/>
  <c r="Y341" i="1"/>
  <c r="Z341" i="1" s="1"/>
  <c r="Y339" i="1"/>
  <c r="Z339" i="1" s="1"/>
  <c r="Y337" i="1"/>
  <c r="Z337" i="1" s="1"/>
  <c r="Y335" i="1"/>
  <c r="Z335" i="1" s="1"/>
  <c r="Y333" i="1"/>
  <c r="Z333" i="1" s="1"/>
  <c r="Y331" i="1"/>
  <c r="Z331" i="1" s="1"/>
  <c r="Y328" i="1"/>
  <c r="Z328" i="1" s="1"/>
  <c r="Y326" i="1"/>
  <c r="Z326" i="1" s="1"/>
  <c r="Y324" i="1"/>
  <c r="Z324" i="1" s="1"/>
  <c r="Y322" i="1"/>
  <c r="Z322" i="1" s="1"/>
  <c r="Y320" i="1"/>
  <c r="Z320" i="1" s="1"/>
  <c r="Y318" i="1"/>
  <c r="Z318" i="1" s="1"/>
  <c r="Y316" i="1"/>
  <c r="Z316" i="1" s="1"/>
  <c r="Y314" i="1"/>
  <c r="Z314" i="1" s="1"/>
  <c r="Y312" i="1"/>
  <c r="Z312" i="1" s="1"/>
  <c r="Y310" i="1"/>
  <c r="Z310" i="1" s="1"/>
  <c r="Y308" i="1"/>
  <c r="Z308" i="1" s="1"/>
  <c r="Y306" i="1"/>
  <c r="Y304" i="1"/>
  <c r="Z304" i="1" s="1"/>
  <c r="Y302" i="1"/>
  <c r="Y300" i="1"/>
  <c r="Z300" i="1" s="1"/>
  <c r="Y298" i="1"/>
  <c r="Y296" i="1"/>
  <c r="Z296" i="1" s="1"/>
  <c r="Y294" i="1"/>
  <c r="Y292" i="1"/>
  <c r="Z292" i="1" s="1"/>
  <c r="Y290" i="1"/>
  <c r="Z290" i="1" s="1"/>
  <c r="Y288" i="1"/>
  <c r="Z288" i="1" s="1"/>
  <c r="Y286" i="1"/>
  <c r="Z286" i="1" s="1"/>
  <c r="Y284" i="1"/>
  <c r="Z284" i="1" s="1"/>
  <c r="AA284" i="1" s="1"/>
  <c r="Y282" i="1"/>
  <c r="Z282" i="1" s="1"/>
  <c r="Y280" i="1"/>
  <c r="Y278" i="1"/>
  <c r="Z278" i="1" s="1"/>
  <c r="Y276" i="1"/>
  <c r="Z276" i="1" s="1"/>
  <c r="Y274" i="1"/>
  <c r="Z274" i="1" s="1"/>
  <c r="Y272" i="1"/>
  <c r="Z272" i="1" s="1"/>
  <c r="Y270" i="1"/>
  <c r="Z270" i="1" s="1"/>
  <c r="Y268" i="1"/>
  <c r="Z268" i="1" s="1"/>
  <c r="Y262" i="1"/>
  <c r="Y260" i="1"/>
  <c r="Z260" i="1" s="1"/>
  <c r="Y258" i="1"/>
  <c r="Y256" i="1"/>
  <c r="Z256" i="1" s="1"/>
  <c r="Y254" i="1"/>
  <c r="Y250" i="1"/>
  <c r="Z250" i="1" s="1"/>
  <c r="Y248" i="1"/>
  <c r="Z248" i="1" s="1"/>
  <c r="Y246" i="1"/>
  <c r="Y244" i="1"/>
  <c r="Z244" i="1" s="1"/>
  <c r="Y240" i="1"/>
  <c r="Z240" i="1" s="1"/>
  <c r="Y236" i="1"/>
  <c r="Z236" i="1" s="1"/>
  <c r="Y234" i="1"/>
  <c r="Z234" i="1" s="1"/>
  <c r="Y232" i="1"/>
  <c r="Z232" i="1" s="1"/>
  <c r="Y230" i="1"/>
  <c r="Z230" i="1" s="1"/>
  <c r="Y228" i="1"/>
  <c r="Z228" i="1" s="1"/>
  <c r="Y226" i="1"/>
  <c r="Z226" i="1" s="1"/>
  <c r="Y224" i="1"/>
  <c r="Z224" i="1" s="1"/>
  <c r="Y220" i="1"/>
  <c r="Z220" i="1" s="1"/>
  <c r="Y218" i="1"/>
  <c r="Z218" i="1" s="1"/>
  <c r="Y216" i="1"/>
  <c r="Z216" i="1" s="1"/>
  <c r="Y214" i="1"/>
  <c r="Z214" i="1" s="1"/>
  <c r="Y212" i="1"/>
  <c r="Z212" i="1" s="1"/>
  <c r="Y210" i="1"/>
  <c r="Z210" i="1" s="1"/>
  <c r="Y208" i="1"/>
  <c r="Z208" i="1" s="1"/>
  <c r="AA208" i="1" s="1"/>
  <c r="Y206" i="1"/>
  <c r="Y204" i="1"/>
  <c r="Z204" i="1" s="1"/>
  <c r="Y202" i="1"/>
  <c r="Z202" i="1" s="1"/>
  <c r="Y200" i="1"/>
  <c r="Z200" i="1" s="1"/>
  <c r="Y198" i="1"/>
  <c r="Y196" i="1"/>
  <c r="Z196" i="1" s="1"/>
  <c r="Y194" i="1"/>
  <c r="Y188" i="1"/>
  <c r="Z188" i="1" s="1"/>
  <c r="Y184" i="1"/>
  <c r="Z184" i="1" s="1"/>
  <c r="Y180" i="1"/>
  <c r="Z180" i="1" s="1"/>
  <c r="Y178" i="1"/>
  <c r="Z178" i="1" s="1"/>
  <c r="Y174" i="1"/>
  <c r="Z174" i="1" s="1"/>
  <c r="Y172" i="1"/>
  <c r="Y166" i="1"/>
  <c r="Z166" i="1" s="1"/>
  <c r="Y162" i="1"/>
  <c r="Z162" i="1" s="1"/>
  <c r="Y160" i="1"/>
  <c r="Z160" i="1" s="1"/>
  <c r="Y152" i="1"/>
  <c r="Z152" i="1" s="1"/>
  <c r="Y150" i="1"/>
  <c r="Z150" i="1" s="1"/>
  <c r="Y148" i="1"/>
  <c r="Z148" i="1" s="1"/>
  <c r="Y146" i="1"/>
  <c r="Z146" i="1" s="1"/>
  <c r="Y144" i="1"/>
  <c r="Z144" i="1" s="1"/>
  <c r="Y142" i="1"/>
  <c r="Y140" i="1"/>
  <c r="Z140" i="1" s="1"/>
  <c r="Y138" i="1"/>
  <c r="Z138" i="1" s="1"/>
  <c r="Y134" i="1"/>
  <c r="Z134" i="1" s="1"/>
  <c r="Y132" i="1"/>
  <c r="Z132" i="1" s="1"/>
  <c r="Y130" i="1"/>
  <c r="Z130" i="1" s="1"/>
  <c r="Y128" i="1"/>
  <c r="Z128" i="1" s="1"/>
  <c r="Y126" i="1"/>
  <c r="Z126" i="1" s="1"/>
  <c r="Y124" i="1"/>
  <c r="Z124" i="1" s="1"/>
  <c r="Y122" i="1"/>
  <c r="Z122" i="1" s="1"/>
  <c r="Y119" i="1"/>
  <c r="Z119" i="1" s="1"/>
  <c r="Y117" i="1"/>
  <c r="Y115" i="1"/>
  <c r="Z115" i="1" s="1"/>
  <c r="Y110" i="1"/>
  <c r="Z110" i="1" s="1"/>
  <c r="Y108" i="1"/>
  <c r="Z108" i="1" s="1"/>
  <c r="Y106" i="1"/>
  <c r="Z106" i="1" s="1"/>
  <c r="Y104" i="1"/>
  <c r="Z104" i="1" s="1"/>
  <c r="Y102" i="1"/>
  <c r="Z102" i="1" s="1"/>
  <c r="Y100" i="1"/>
  <c r="Z100" i="1" s="1"/>
  <c r="Y98" i="1"/>
  <c r="Z98" i="1" s="1"/>
  <c r="Y96" i="1"/>
  <c r="Z96" i="1" s="1"/>
  <c r="Y94" i="1"/>
  <c r="Z94" i="1" s="1"/>
  <c r="Y92" i="1"/>
  <c r="Z92" i="1" s="1"/>
  <c r="Y90" i="1"/>
  <c r="Z90" i="1" s="1"/>
  <c r="Y87" i="1"/>
  <c r="Z87" i="1" s="1"/>
  <c r="Y85" i="1"/>
  <c r="Z85" i="1" s="1"/>
  <c r="Y83" i="1"/>
  <c r="Z83" i="1" s="1"/>
  <c r="Y81" i="1"/>
  <c r="Z81" i="1" s="1"/>
  <c r="Y78" i="1"/>
  <c r="Z78" i="1" s="1"/>
  <c r="Y76" i="1"/>
  <c r="Z76" i="1" s="1"/>
  <c r="Y74" i="1"/>
  <c r="Z74" i="1" s="1"/>
  <c r="Y72" i="1"/>
  <c r="Z72" i="1" s="1"/>
  <c r="Y70" i="1"/>
  <c r="Z70" i="1" s="1"/>
  <c r="Y68" i="1"/>
  <c r="Z68" i="1" s="1"/>
  <c r="Y66" i="1"/>
  <c r="Z66" i="1" s="1"/>
  <c r="Y64" i="1"/>
  <c r="Z64" i="1" s="1"/>
  <c r="Y62" i="1"/>
  <c r="Z62" i="1" s="1"/>
  <c r="Y60" i="1"/>
  <c r="Z60" i="1" s="1"/>
  <c r="Y58" i="1"/>
  <c r="Z58" i="1" s="1"/>
  <c r="Y56" i="1"/>
  <c r="Z56" i="1" s="1"/>
  <c r="Y54" i="1"/>
  <c r="Z54" i="1" s="1"/>
  <c r="Y52" i="1"/>
  <c r="Z52" i="1" s="1"/>
  <c r="Y49" i="1"/>
  <c r="Y45" i="1"/>
  <c r="Z45" i="1" s="1"/>
  <c r="Y43" i="1"/>
  <c r="Z43" i="1" s="1"/>
  <c r="Y41" i="1"/>
  <c r="Z41" i="1" s="1"/>
  <c r="Y39" i="1"/>
  <c r="Z39" i="1" s="1"/>
  <c r="Y37" i="1"/>
  <c r="Z37" i="1" s="1"/>
  <c r="Y35" i="1"/>
  <c r="Z35" i="1" s="1"/>
  <c r="Y33" i="1"/>
  <c r="Z33" i="1" s="1"/>
  <c r="AA33" i="1" s="1"/>
  <c r="Y31" i="1"/>
  <c r="Z31" i="1" s="1"/>
  <c r="Y29" i="1"/>
  <c r="Z29" i="1" s="1"/>
  <c r="Y25" i="1"/>
  <c r="Z25" i="1" s="1"/>
  <c r="Y23" i="1"/>
  <c r="Z23" i="1" s="1"/>
  <c r="Y21" i="1"/>
  <c r="Z21" i="1" s="1"/>
  <c r="Y17" i="1"/>
  <c r="Z17" i="1" s="1"/>
  <c r="Y15" i="1"/>
  <c r="Y13" i="1"/>
  <c r="Z13" i="1" s="1"/>
  <c r="Y939" i="1"/>
  <c r="Y933" i="1"/>
  <c r="Y927" i="1"/>
  <c r="Y923" i="1"/>
  <c r="Y915" i="1"/>
  <c r="Y903" i="1"/>
  <c r="Z903" i="1" s="1"/>
  <c r="Y895" i="1"/>
  <c r="Z895" i="1" s="1"/>
  <c r="Y891" i="1"/>
  <c r="Y883" i="1"/>
  <c r="Z883" i="1" s="1"/>
  <c r="Y875" i="1"/>
  <c r="Y871" i="1"/>
  <c r="Z871" i="1" s="1"/>
  <c r="Y857" i="1"/>
  <c r="Y851" i="1"/>
  <c r="Z851" i="1" s="1"/>
  <c r="Y845" i="1"/>
  <c r="Z845" i="1" s="1"/>
  <c r="Y839" i="1"/>
  <c r="Z839" i="1" s="1"/>
  <c r="Y835" i="1"/>
  <c r="Y829" i="1"/>
  <c r="Z829" i="1" s="1"/>
  <c r="Y823" i="1"/>
  <c r="Z823" i="1" s="1"/>
  <c r="Y819" i="1"/>
  <c r="Y815" i="1"/>
  <c r="Y811" i="1"/>
  <c r="Y803" i="1"/>
  <c r="Y801" i="1"/>
  <c r="Z801" i="1" s="1"/>
  <c r="Y797" i="1"/>
  <c r="Z797" i="1" s="1"/>
  <c r="Y782" i="1"/>
  <c r="Z782" i="1" s="1"/>
  <c r="Y778" i="1"/>
  <c r="Y776" i="1"/>
  <c r="Y764" i="1"/>
  <c r="Z764" i="1" s="1"/>
  <c r="Y760" i="1"/>
  <c r="Y750" i="1"/>
  <c r="Z750" i="1" s="1"/>
  <c r="Y746" i="1"/>
  <c r="Z746" i="1" s="1"/>
  <c r="Y740" i="1"/>
  <c r="Z740" i="1" s="1"/>
  <c r="Y736" i="1"/>
  <c r="Y724" i="1"/>
  <c r="Z724" i="1" s="1"/>
  <c r="Y719" i="1"/>
  <c r="Y709" i="1"/>
  <c r="Z709" i="1" s="1"/>
  <c r="Y699" i="1"/>
  <c r="Z699" i="1" s="1"/>
  <c r="Y695" i="1"/>
  <c r="Y681" i="1"/>
  <c r="Z681" i="1" s="1"/>
  <c r="Y675" i="1"/>
  <c r="Y671" i="1"/>
  <c r="Z671" i="1" s="1"/>
  <c r="AA671" i="1" s="1"/>
  <c r="Y665" i="1"/>
  <c r="Y659" i="1"/>
  <c r="Y655" i="1"/>
  <c r="Y649" i="1"/>
  <c r="Y647" i="1"/>
  <c r="Z647" i="1" s="1"/>
  <c r="Y643" i="1"/>
  <c r="Y639" i="1"/>
  <c r="Z639" i="1" s="1"/>
  <c r="AA639" i="1" s="1"/>
  <c r="Y635" i="1"/>
  <c r="Y629" i="1"/>
  <c r="Z629" i="1" s="1"/>
  <c r="AC937" i="1"/>
  <c r="AC929" i="1"/>
  <c r="AC897" i="1"/>
  <c r="AC893" i="1"/>
  <c r="AC867" i="1"/>
  <c r="AC853" i="1"/>
  <c r="AC849" i="1"/>
  <c r="AC837" i="1"/>
  <c r="AC813" i="1"/>
  <c r="AC766" i="1"/>
  <c r="AC730" i="1"/>
  <c r="AC726" i="1"/>
  <c r="AC715" i="1"/>
  <c r="AC685" i="1"/>
  <c r="Y499" i="1"/>
  <c r="Z499" i="1" s="1"/>
  <c r="Y497" i="1"/>
  <c r="Z497" i="1" s="1"/>
  <c r="Y495" i="1"/>
  <c r="Z495" i="1" s="1"/>
  <c r="Y493" i="1"/>
  <c r="Z493" i="1" s="1"/>
  <c r="Y489" i="1"/>
  <c r="Y487" i="1"/>
  <c r="Z487" i="1" s="1"/>
  <c r="Y485" i="1"/>
  <c r="Z485" i="1" s="1"/>
  <c r="Y481" i="1"/>
  <c r="Z481" i="1" s="1"/>
  <c r="Y479" i="1"/>
  <c r="Z479" i="1" s="1"/>
  <c r="Y477" i="1"/>
  <c r="Z477" i="1" s="1"/>
  <c r="Y475" i="1"/>
  <c r="Z475" i="1" s="1"/>
  <c r="Y473" i="1"/>
  <c r="Z473" i="1" s="1"/>
  <c r="Y470" i="1"/>
  <c r="Z470" i="1" s="1"/>
  <c r="Y466" i="1"/>
  <c r="Z466" i="1" s="1"/>
  <c r="Y464" i="1"/>
  <c r="Z464" i="1" s="1"/>
  <c r="Y462" i="1"/>
  <c r="Z462" i="1" s="1"/>
  <c r="Y460" i="1"/>
  <c r="Z460" i="1" s="1"/>
  <c r="Y458" i="1"/>
  <c r="Y456" i="1"/>
  <c r="Z456" i="1" s="1"/>
  <c r="Y454" i="1"/>
  <c r="Z454" i="1" s="1"/>
  <c r="Y452" i="1"/>
  <c r="Z452" i="1" s="1"/>
  <c r="Y450" i="1"/>
  <c r="Z450" i="1" s="1"/>
  <c r="Y448" i="1"/>
  <c r="Z448" i="1" s="1"/>
  <c r="Y446" i="1"/>
  <c r="Z446" i="1" s="1"/>
  <c r="Y445" i="1"/>
  <c r="Y443" i="1"/>
  <c r="Z443" i="1" s="1"/>
  <c r="Y441" i="1"/>
  <c r="Z441" i="1" s="1"/>
  <c r="Y437" i="1"/>
  <c r="Z437" i="1" s="1"/>
  <c r="Y435" i="1"/>
  <c r="Z435" i="1" s="1"/>
  <c r="Y431" i="1"/>
  <c r="Z431" i="1" s="1"/>
  <c r="Y429" i="1"/>
  <c r="Y427" i="1"/>
  <c r="Z427" i="1" s="1"/>
  <c r="Y424" i="1"/>
  <c r="Z424" i="1" s="1"/>
  <c r="Y422" i="1"/>
  <c r="Z422" i="1" s="1"/>
  <c r="AA422" i="1" s="1"/>
  <c r="Y420" i="1"/>
  <c r="Y418" i="1"/>
  <c r="Z418" i="1" s="1"/>
  <c r="Y416" i="1"/>
  <c r="Z416" i="1" s="1"/>
  <c r="Y414" i="1"/>
  <c r="Y412" i="1"/>
  <c r="Z412" i="1" s="1"/>
  <c r="Y410" i="1"/>
  <c r="Z410" i="1" s="1"/>
  <c r="Y408" i="1"/>
  <c r="Z408" i="1" s="1"/>
  <c r="Y406" i="1"/>
  <c r="Z406" i="1" s="1"/>
  <c r="Y404" i="1"/>
  <c r="Z404" i="1" s="1"/>
  <c r="Y402" i="1"/>
  <c r="Z402" i="1" s="1"/>
  <c r="Y400" i="1"/>
  <c r="Z400" i="1" s="1"/>
  <c r="Y398" i="1"/>
  <c r="Z398" i="1" s="1"/>
  <c r="Y396" i="1"/>
  <c r="Z396" i="1" s="1"/>
  <c r="Y394" i="1"/>
  <c r="Z394" i="1" s="1"/>
  <c r="Y390" i="1"/>
  <c r="Z390" i="1" s="1"/>
  <c r="Y384" i="1"/>
  <c r="Z384" i="1" s="1"/>
  <c r="Y382" i="1"/>
  <c r="Y378" i="1"/>
  <c r="Y376" i="1"/>
  <c r="Y374" i="1"/>
  <c r="Z374" i="1" s="1"/>
  <c r="Y372" i="1"/>
  <c r="Z372" i="1" s="1"/>
  <c r="Y370" i="1"/>
  <c r="Z370" i="1" s="1"/>
  <c r="Y368" i="1"/>
  <c r="Z368" i="1" s="1"/>
  <c r="Y366" i="1"/>
  <c r="Z366" i="1" s="1"/>
  <c r="Y362" i="1"/>
  <c r="Z362" i="1" s="1"/>
  <c r="Y360" i="1"/>
  <c r="Z360" i="1" s="1"/>
  <c r="Y358" i="1"/>
  <c r="Z358" i="1" s="1"/>
  <c r="Y356" i="1"/>
  <c r="Z356" i="1" s="1"/>
  <c r="Y354" i="1"/>
  <c r="Z354" i="1" s="1"/>
  <c r="Y352" i="1"/>
  <c r="Y350" i="1"/>
  <c r="Z350" i="1" s="1"/>
  <c r="Y348" i="1"/>
  <c r="Z348" i="1" s="1"/>
  <c r="Y346" i="1"/>
  <c r="Z346" i="1" s="1"/>
  <c r="Y342" i="1"/>
  <c r="Z342" i="1" s="1"/>
  <c r="Y340" i="1"/>
  <c r="Z340" i="1" s="1"/>
  <c r="Y338" i="1"/>
  <c r="Z338" i="1" s="1"/>
  <c r="Y336" i="1"/>
  <c r="Y334" i="1"/>
  <c r="Z334" i="1" s="1"/>
  <c r="Y330" i="1"/>
  <c r="Z330" i="1" s="1"/>
  <c r="Y327" i="1"/>
  <c r="Y325" i="1"/>
  <c r="Z325" i="1" s="1"/>
  <c r="Y321" i="1"/>
  <c r="Z321" i="1" s="1"/>
  <c r="Y319" i="1"/>
  <c r="Z319" i="1" s="1"/>
  <c r="Y317" i="1"/>
  <c r="Z317" i="1" s="1"/>
  <c r="Y315" i="1"/>
  <c r="Z315" i="1" s="1"/>
  <c r="Y313" i="1"/>
  <c r="Z313" i="1" s="1"/>
  <c r="Y311" i="1"/>
  <c r="Y309" i="1"/>
  <c r="Z309" i="1" s="1"/>
  <c r="Y307" i="1"/>
  <c r="Z307" i="1" s="1"/>
  <c r="Y305" i="1"/>
  <c r="Z305" i="1" s="1"/>
  <c r="Y303" i="1"/>
  <c r="Z303" i="1" s="1"/>
  <c r="Y301" i="1"/>
  <c r="Z301" i="1" s="1"/>
  <c r="Y299" i="1"/>
  <c r="Z299" i="1" s="1"/>
  <c r="Y297" i="1"/>
  <c r="Z297" i="1" s="1"/>
  <c r="Y295" i="1"/>
  <c r="Z295" i="1" s="1"/>
  <c r="Y293" i="1"/>
  <c r="Z293" i="1" s="1"/>
  <c r="Y287" i="1"/>
  <c r="Z287" i="1" s="1"/>
  <c r="Y285" i="1"/>
  <c r="Z285" i="1" s="1"/>
  <c r="Y283" i="1"/>
  <c r="Z283" i="1" s="1"/>
  <c r="Y281" i="1"/>
  <c r="Z281" i="1" s="1"/>
  <c r="Y279" i="1"/>
  <c r="Z279" i="1" s="1"/>
  <c r="Y277" i="1"/>
  <c r="Z277" i="1" s="1"/>
  <c r="Y275" i="1"/>
  <c r="Z275" i="1" s="1"/>
  <c r="Y273" i="1"/>
  <c r="Z273" i="1" s="1"/>
  <c r="Y271" i="1"/>
  <c r="Z271" i="1" s="1"/>
  <c r="Y269" i="1"/>
  <c r="Z269" i="1" s="1"/>
  <c r="Y267" i="1"/>
  <c r="Z267" i="1" s="1"/>
  <c r="Y265" i="1"/>
  <c r="Z265" i="1" s="1"/>
  <c r="Y263" i="1"/>
  <c r="Y261" i="1"/>
  <c r="Z261" i="1" s="1"/>
  <c r="Y259" i="1"/>
  <c r="Z259" i="1" s="1"/>
  <c r="Y257" i="1"/>
  <c r="Z257" i="1" s="1"/>
  <c r="Y255" i="1"/>
  <c r="Z255" i="1" s="1"/>
  <c r="Y253" i="1"/>
  <c r="Z253" i="1" s="1"/>
  <c r="AA253" i="1" s="1"/>
  <c r="Y251" i="1"/>
  <c r="Y249" i="1"/>
  <c r="Z249" i="1" s="1"/>
  <c r="Y247" i="1"/>
  <c r="Z247" i="1" s="1"/>
  <c r="Y245" i="1"/>
  <c r="Z245" i="1" s="1"/>
  <c r="Y243" i="1"/>
  <c r="Y241" i="1"/>
  <c r="Z241" i="1" s="1"/>
  <c r="Y239" i="1"/>
  <c r="Z239" i="1" s="1"/>
  <c r="Y237" i="1"/>
  <c r="Z237" i="1" s="1"/>
  <c r="Y233" i="1"/>
  <c r="Z233" i="1" s="1"/>
  <c r="Y231" i="1"/>
  <c r="Z231" i="1" s="1"/>
  <c r="Y229" i="1"/>
  <c r="Z229" i="1" s="1"/>
  <c r="Y227" i="1"/>
  <c r="Z227" i="1" s="1"/>
  <c r="Y225" i="1"/>
  <c r="Z225" i="1" s="1"/>
  <c r="Y221" i="1"/>
  <c r="Z221" i="1" s="1"/>
  <c r="Y217" i="1"/>
  <c r="Z217" i="1" s="1"/>
  <c r="Y215" i="1"/>
  <c r="Z215" i="1" s="1"/>
  <c r="Y213" i="1"/>
  <c r="Z213" i="1" s="1"/>
  <c r="Y211" i="1"/>
  <c r="Y209" i="1"/>
  <c r="Z209" i="1" s="1"/>
  <c r="Y207" i="1"/>
  <c r="Z207" i="1" s="1"/>
  <c r="Y205" i="1"/>
  <c r="Z205" i="1" s="1"/>
  <c r="Y201" i="1"/>
  <c r="Z201" i="1" s="1"/>
  <c r="Y199" i="1"/>
  <c r="Z199" i="1" s="1"/>
  <c r="Y197" i="1"/>
  <c r="Z197" i="1" s="1"/>
  <c r="Y195" i="1"/>
  <c r="Z195" i="1" s="1"/>
  <c r="Y193" i="1"/>
  <c r="Z193" i="1" s="1"/>
  <c r="Y191" i="1"/>
  <c r="Z191" i="1" s="1"/>
  <c r="Y189" i="1"/>
  <c r="Z189" i="1" s="1"/>
  <c r="Y187" i="1"/>
  <c r="Z187" i="1" s="1"/>
  <c r="Y185" i="1"/>
  <c r="Z185" i="1" s="1"/>
  <c r="Y183" i="1"/>
  <c r="Z183" i="1" s="1"/>
  <c r="Y181" i="1"/>
  <c r="Z181" i="1" s="1"/>
  <c r="Y179" i="1"/>
  <c r="Y177" i="1"/>
  <c r="Z177" i="1" s="1"/>
  <c r="Y175" i="1"/>
  <c r="Z175" i="1" s="1"/>
  <c r="Y173" i="1"/>
  <c r="Z173" i="1" s="1"/>
  <c r="Y171" i="1"/>
  <c r="Z171" i="1" s="1"/>
  <c r="Y169" i="1"/>
  <c r="Z169" i="1" s="1"/>
  <c r="Y167" i="1"/>
  <c r="Z167" i="1" s="1"/>
  <c r="Y165" i="1"/>
  <c r="Z165" i="1" s="1"/>
  <c r="Y163" i="1"/>
  <c r="Z163" i="1" s="1"/>
  <c r="Y161" i="1"/>
  <c r="Z161" i="1" s="1"/>
  <c r="Y159" i="1"/>
  <c r="Z159" i="1" s="1"/>
  <c r="Y157" i="1"/>
  <c r="Z157" i="1" s="1"/>
  <c r="Y153" i="1"/>
  <c r="Z153" i="1" s="1"/>
  <c r="Y151" i="1"/>
  <c r="Z151" i="1" s="1"/>
  <c r="Y149" i="1"/>
  <c r="Z149" i="1" s="1"/>
  <c r="Y147" i="1"/>
  <c r="Z147" i="1" s="1"/>
  <c r="Y145" i="1"/>
  <c r="Z145" i="1" s="1"/>
  <c r="Y143" i="1"/>
  <c r="Z143" i="1" s="1"/>
  <c r="Y141" i="1"/>
  <c r="Z141" i="1" s="1"/>
  <c r="Y139" i="1"/>
  <c r="Z139" i="1" s="1"/>
  <c r="Y137" i="1"/>
  <c r="Z137" i="1" s="1"/>
  <c r="Y133" i="1"/>
  <c r="Z133" i="1" s="1"/>
  <c r="Y131" i="1"/>
  <c r="Z131" i="1" s="1"/>
  <c r="Y127" i="1"/>
  <c r="Z127" i="1" s="1"/>
  <c r="Y125" i="1"/>
  <c r="Z125" i="1" s="1"/>
  <c r="Y123" i="1"/>
  <c r="Z123" i="1" s="1"/>
  <c r="Y121" i="1"/>
  <c r="Z121" i="1" s="1"/>
  <c r="Y118" i="1"/>
  <c r="Z118" i="1" s="1"/>
  <c r="Y116" i="1"/>
  <c r="Z116" i="1" s="1"/>
  <c r="Y114" i="1"/>
  <c r="Z114" i="1" s="1"/>
  <c r="Y111" i="1"/>
  <c r="Z111" i="1" s="1"/>
  <c r="Y109" i="1"/>
  <c r="Z109" i="1" s="1"/>
  <c r="Y107" i="1"/>
  <c r="Z107" i="1" s="1"/>
  <c r="Y105" i="1"/>
  <c r="Z105" i="1" s="1"/>
  <c r="Y101" i="1"/>
  <c r="Z101" i="1" s="1"/>
  <c r="Y99" i="1"/>
  <c r="Z99" i="1" s="1"/>
  <c r="Y97" i="1"/>
  <c r="Z97" i="1" s="1"/>
  <c r="Y93" i="1"/>
  <c r="Z93" i="1" s="1"/>
  <c r="Y88" i="1"/>
  <c r="Z88" i="1" s="1"/>
  <c r="Y86" i="1"/>
  <c r="Z86" i="1" s="1"/>
  <c r="Y84" i="1"/>
  <c r="Z84" i="1" s="1"/>
  <c r="Y82" i="1"/>
  <c r="Z82" i="1" s="1"/>
  <c r="Y80" i="1"/>
  <c r="Z80" i="1" s="1"/>
  <c r="Y79" i="1"/>
  <c r="Z79" i="1" s="1"/>
  <c r="Y77" i="1"/>
  <c r="Z77" i="1" s="1"/>
  <c r="Y75" i="1"/>
  <c r="Z75" i="1" s="1"/>
  <c r="Y73" i="1"/>
  <c r="Z73" i="1" s="1"/>
  <c r="Y71" i="1"/>
  <c r="Z71" i="1" s="1"/>
  <c r="Y69" i="1"/>
  <c r="Z69" i="1" s="1"/>
  <c r="Y65" i="1"/>
  <c r="Z65" i="1" s="1"/>
  <c r="Y63" i="1"/>
  <c r="Z63" i="1" s="1"/>
  <c r="Y61" i="1"/>
  <c r="Z61" i="1" s="1"/>
  <c r="Y59" i="1"/>
  <c r="Z59" i="1" s="1"/>
  <c r="Y57" i="1"/>
  <c r="Z57" i="1" s="1"/>
  <c r="Y53" i="1"/>
  <c r="Z53" i="1" s="1"/>
  <c r="Y51" i="1"/>
  <c r="Z51" i="1" s="1"/>
  <c r="Y48" i="1"/>
  <c r="Z48" i="1" s="1"/>
  <c r="Y42" i="1"/>
  <c r="Z42" i="1" s="1"/>
  <c r="Y38" i="1"/>
  <c r="Z38" i="1" s="1"/>
  <c r="Y36" i="1"/>
  <c r="Z36" i="1" s="1"/>
  <c r="Y34" i="1"/>
  <c r="Z34" i="1" s="1"/>
  <c r="Y32" i="1"/>
  <c r="Z32" i="1" s="1"/>
  <c r="Y30" i="1"/>
  <c r="Z30" i="1" s="1"/>
  <c r="Y28" i="1"/>
  <c r="Z28" i="1" s="1"/>
  <c r="Y26" i="1"/>
  <c r="Z26" i="1" s="1"/>
  <c r="Y24" i="1"/>
  <c r="Z24" i="1" s="1"/>
  <c r="Y22" i="1"/>
  <c r="Z22" i="1" s="1"/>
  <c r="Y20" i="1"/>
  <c r="Z20" i="1" s="1"/>
  <c r="Y18" i="1"/>
  <c r="Z18" i="1" s="1"/>
  <c r="Y16" i="1"/>
  <c r="Z16" i="1" s="1"/>
  <c r="Y14" i="1"/>
  <c r="Z14" i="1" s="1"/>
  <c r="Y12" i="1"/>
  <c r="Z12" i="1" s="1"/>
  <c r="Y8" i="1"/>
  <c r="Z8" i="1" s="1"/>
  <c r="Y6" i="1"/>
  <c r="Z6" i="1" s="1"/>
  <c r="Y4" i="1"/>
  <c r="Z4" i="1" s="1"/>
  <c r="Y938" i="1"/>
  <c r="Y934" i="1"/>
  <c r="Y930" i="1"/>
  <c r="Y926" i="1"/>
  <c r="Y922" i="1"/>
  <c r="Z922" i="1" s="1"/>
  <c r="Y918" i="1"/>
  <c r="Y914" i="1"/>
  <c r="Z914" i="1" s="1"/>
  <c r="Y910" i="1"/>
  <c r="Z910" i="1" s="1"/>
  <c r="Y906" i="1"/>
  <c r="Y902" i="1"/>
  <c r="Z902" i="1" s="1"/>
  <c r="Y898" i="1"/>
  <c r="Z898" i="1" s="1"/>
  <c r="Y894" i="1"/>
  <c r="Y890" i="1"/>
  <c r="Y886" i="1"/>
  <c r="Z886" i="1" s="1"/>
  <c r="Y882" i="1"/>
  <c r="Z882" i="1" s="1"/>
  <c r="Y878" i="1"/>
  <c r="Z878" i="1" s="1"/>
  <c r="Y874" i="1"/>
  <c r="Y870" i="1"/>
  <c r="Z870" i="1" s="1"/>
  <c r="Y866" i="1"/>
  <c r="Z866" i="1" s="1"/>
  <c r="Y862" i="1"/>
  <c r="Y858" i="1"/>
  <c r="Y854" i="1"/>
  <c r="Y850" i="1"/>
  <c r="Z850" i="1" s="1"/>
  <c r="Y846" i="1"/>
  <c r="Z846" i="1" s="1"/>
  <c r="Y842" i="1"/>
  <c r="Y838" i="1"/>
  <c r="Z838" i="1" s="1"/>
  <c r="Y834" i="1"/>
  <c r="Z834" i="1" s="1"/>
  <c r="Y830" i="1"/>
  <c r="Y826" i="1"/>
  <c r="Z826" i="1" s="1"/>
  <c r="Y822" i="1"/>
  <c r="Z822" i="1" s="1"/>
  <c r="Y818" i="1"/>
  <c r="Z818" i="1" s="1"/>
  <c r="Y814" i="1"/>
  <c r="Z814" i="1" s="1"/>
  <c r="Y810" i="1"/>
  <c r="Z810" i="1" s="1"/>
  <c r="Y806" i="1"/>
  <c r="Y802" i="1"/>
  <c r="Y798" i="1"/>
  <c r="Y794" i="1"/>
  <c r="Y790" i="1"/>
  <c r="Z790" i="1" s="1"/>
  <c r="Y783" i="1"/>
  <c r="Z783" i="1" s="1"/>
  <c r="Y779" i="1"/>
  <c r="Z779" i="1" s="1"/>
  <c r="Y775" i="1"/>
  <c r="Y771" i="1"/>
  <c r="Y767" i="1"/>
  <c r="Z767" i="1" s="1"/>
  <c r="Y763" i="1"/>
  <c r="Y759" i="1"/>
  <c r="Z759" i="1" s="1"/>
  <c r="Y755" i="1"/>
  <c r="Z755" i="1" s="1"/>
  <c r="Y751" i="1"/>
  <c r="Z751" i="1" s="1"/>
  <c r="Y747" i="1"/>
  <c r="Y743" i="1"/>
  <c r="Y739" i="1"/>
  <c r="Z739" i="1" s="1"/>
  <c r="Y735" i="1"/>
  <c r="Z735" i="1" s="1"/>
  <c r="Y731" i="1"/>
  <c r="Z731" i="1" s="1"/>
  <c r="Y727" i="1"/>
  <c r="Z727" i="1" s="1"/>
  <c r="Y723" i="1"/>
  <c r="Y718" i="1"/>
  <c r="Y714" i="1"/>
  <c r="Z714" i="1" s="1"/>
  <c r="Y710" i="1"/>
  <c r="Z710" i="1" s="1"/>
  <c r="AA710" i="1" s="1"/>
  <c r="Y706" i="1"/>
  <c r="Z706" i="1" s="1"/>
  <c r="Y702" i="1"/>
  <c r="Z702" i="1" s="1"/>
  <c r="Y698" i="1"/>
  <c r="Y694" i="1"/>
  <c r="Z694" i="1" s="1"/>
  <c r="Y690" i="1"/>
  <c r="Y686" i="1"/>
  <c r="Z686" i="1" s="1"/>
  <c r="Y682" i="1"/>
  <c r="Z682" i="1" s="1"/>
  <c r="Y678" i="1"/>
  <c r="Z678" i="1" s="1"/>
  <c r="Y674" i="1"/>
  <c r="Z674" i="1" s="1"/>
  <c r="Y670" i="1"/>
  <c r="Z670" i="1" s="1"/>
  <c r="Y662" i="1"/>
  <c r="Z662" i="1" s="1"/>
  <c r="Y658" i="1"/>
  <c r="Y654" i="1"/>
  <c r="Y652" i="1"/>
  <c r="Z652" i="1" s="1"/>
  <c r="Y650" i="1"/>
  <c r="Y646" i="1"/>
  <c r="Z646" i="1" s="1"/>
  <c r="Y644" i="1"/>
  <c r="Z644" i="1" s="1"/>
  <c r="Y642" i="1"/>
  <c r="Z642" i="1" s="1"/>
  <c r="Y638" i="1"/>
  <c r="Y636" i="1"/>
  <c r="Z636" i="1" s="1"/>
  <c r="AA636" i="1" s="1"/>
  <c r="Y634" i="1"/>
  <c r="Y630" i="1"/>
  <c r="Z630" i="1" s="1"/>
  <c r="Y628" i="1"/>
  <c r="Z628" i="1" s="1"/>
  <c r="Y626" i="1"/>
  <c r="Z626" i="1" s="1"/>
  <c r="Y622" i="1"/>
  <c r="Z622" i="1" s="1"/>
  <c r="Y619" i="1"/>
  <c r="Z619" i="1" s="1"/>
  <c r="Y617" i="1"/>
  <c r="Y613" i="1"/>
  <c r="Z613" i="1" s="1"/>
  <c r="Y611" i="1"/>
  <c r="Z611" i="1" s="1"/>
  <c r="Y609" i="1"/>
  <c r="Z609" i="1" s="1"/>
  <c r="Y605" i="1"/>
  <c r="Z605" i="1" s="1"/>
  <c r="Y603" i="1"/>
  <c r="Z603" i="1" s="1"/>
  <c r="Y601" i="1"/>
  <c r="Z601" i="1" s="1"/>
  <c r="Y597" i="1"/>
  <c r="Z597" i="1" s="1"/>
  <c r="AA597" i="1" s="1"/>
  <c r="Y595" i="1"/>
  <c r="Z595" i="1" s="1"/>
  <c r="AA595" i="1" s="1"/>
  <c r="Y593" i="1"/>
  <c r="Y589" i="1"/>
  <c r="Z589" i="1" s="1"/>
  <c r="Y587" i="1"/>
  <c r="Z587" i="1" s="1"/>
  <c r="Y585" i="1"/>
  <c r="Z585" i="1" s="1"/>
  <c r="Y583" i="1"/>
  <c r="Z583" i="1" s="1"/>
  <c r="Y581" i="1"/>
  <c r="Z581" i="1" s="1"/>
  <c r="Y579" i="1"/>
  <c r="Z579" i="1" s="1"/>
  <c r="Y577" i="1"/>
  <c r="Z577" i="1" s="1"/>
  <c r="Y575" i="1"/>
  <c r="Z575" i="1" s="1"/>
  <c r="Y573" i="1"/>
  <c r="Z573" i="1" s="1"/>
  <c r="Y571" i="1"/>
  <c r="Z571" i="1" s="1"/>
  <c r="Y569" i="1"/>
  <c r="Z569" i="1" s="1"/>
  <c r="Y567" i="1"/>
  <c r="Z567" i="1" s="1"/>
  <c r="Y564" i="1"/>
  <c r="Z564" i="1" s="1"/>
  <c r="Y562" i="1"/>
  <c r="Z562" i="1" s="1"/>
  <c r="Y560" i="1"/>
  <c r="Z560" i="1" s="1"/>
  <c r="Y558" i="1"/>
  <c r="Z558" i="1" s="1"/>
  <c r="Y556" i="1"/>
  <c r="Z556" i="1" s="1"/>
  <c r="Y554" i="1"/>
  <c r="Y552" i="1"/>
  <c r="Z552" i="1" s="1"/>
  <c r="Y550" i="1"/>
  <c r="Z550" i="1" s="1"/>
  <c r="Y548" i="1"/>
  <c r="Z548" i="1" s="1"/>
  <c r="Y546" i="1"/>
  <c r="Z546" i="1" s="1"/>
  <c r="Y544" i="1"/>
  <c r="Y542" i="1"/>
  <c r="Z542" i="1" s="1"/>
  <c r="Y540" i="1"/>
  <c r="Z540" i="1" s="1"/>
  <c r="Y538" i="1"/>
  <c r="Z538" i="1" s="1"/>
  <c r="Y536" i="1"/>
  <c r="Z536" i="1" s="1"/>
  <c r="Y534" i="1"/>
  <c r="Z534" i="1" s="1"/>
  <c r="Y532" i="1"/>
  <c r="Z532" i="1" s="1"/>
  <c r="Y530" i="1"/>
  <c r="Y528" i="1"/>
  <c r="Z528" i="1" s="1"/>
  <c r="Y526" i="1"/>
  <c r="Z526" i="1" s="1"/>
  <c r="Y524" i="1"/>
  <c r="Z524" i="1" s="1"/>
  <c r="Y522" i="1"/>
  <c r="Y520" i="1"/>
  <c r="Z520" i="1" s="1"/>
  <c r="Y518" i="1"/>
  <c r="Z518" i="1" s="1"/>
  <c r="Y516" i="1"/>
  <c r="Z516" i="1" s="1"/>
  <c r="Y514" i="1"/>
  <c r="Z514" i="1" s="1"/>
  <c r="Y512" i="1"/>
  <c r="Y509" i="1"/>
  <c r="Z509" i="1" s="1"/>
  <c r="Y505" i="1"/>
  <c r="Z505" i="1" s="1"/>
  <c r="Y501" i="1"/>
  <c r="Z501" i="1" s="1"/>
  <c r="AA923" i="1" l="1"/>
  <c r="Z923" i="1"/>
  <c r="AB923" i="1" s="1"/>
  <c r="AC923" i="1" s="1"/>
  <c r="Z917" i="1"/>
  <c r="Z909" i="1"/>
  <c r="Z905" i="1"/>
  <c r="AA905" i="1" s="1"/>
  <c r="AA891" i="1"/>
  <c r="Z891" i="1"/>
  <c r="AB891" i="1" s="1"/>
  <c r="AC891" i="1" s="1"/>
  <c r="Y885" i="1"/>
  <c r="Z875" i="1"/>
  <c r="AB875" i="1" s="1"/>
  <c r="AC875" i="1" s="1"/>
  <c r="Z877" i="1"/>
  <c r="AA877" i="1" s="1"/>
  <c r="AB877" i="1" s="1"/>
  <c r="AC877" i="1" s="1"/>
  <c r="Z873" i="1"/>
  <c r="Z842" i="1"/>
  <c r="AA842" i="1" s="1"/>
  <c r="AB842" i="1" s="1"/>
  <c r="AC842" i="1" s="1"/>
  <c r="Z843" i="1"/>
  <c r="AA843" i="1" s="1"/>
  <c r="Z835" i="1"/>
  <c r="Z819" i="1"/>
  <c r="AA819" i="1" s="1"/>
  <c r="Z827" i="1"/>
  <c r="Z811" i="1"/>
  <c r="AC805" i="1"/>
  <c r="AA805" i="1"/>
  <c r="Y805" i="1"/>
  <c r="Z803" i="1"/>
  <c r="Z795" i="1"/>
  <c r="Z776" i="1"/>
  <c r="Z768" i="1"/>
  <c r="AA768" i="1" s="1"/>
  <c r="AB768" i="1" s="1"/>
  <c r="AC768" i="1" s="1"/>
  <c r="Z770" i="1"/>
  <c r="AA568" i="1"/>
  <c r="Z744" i="1"/>
  <c r="Z736" i="1"/>
  <c r="AA523" i="1"/>
  <c r="Z719" i="1"/>
  <c r="Z705" i="1"/>
  <c r="Z701" i="1"/>
  <c r="AA701" i="1" s="1"/>
  <c r="AB701" i="1" s="1"/>
  <c r="AC701" i="1" s="1"/>
  <c r="Z691" i="1"/>
  <c r="Z679" i="1"/>
  <c r="Z655" i="1"/>
  <c r="Z650" i="1"/>
  <c r="Z638" i="1"/>
  <c r="Z634" i="1"/>
  <c r="AA559" i="1"/>
  <c r="AP41" i="1"/>
  <c r="Z617" i="1"/>
  <c r="Z612" i="1"/>
  <c r="AA572" i="1"/>
  <c r="AA555" i="1"/>
  <c r="AA551" i="1"/>
  <c r="AB551" i="1" s="1"/>
  <c r="AC551" i="1" s="1"/>
  <c r="AO436" i="1"/>
  <c r="AO461" i="1"/>
  <c r="AO453" i="1"/>
  <c r="AO454" i="1"/>
  <c r="AO469" i="1"/>
  <c r="AO475" i="1"/>
  <c r="AA547" i="1"/>
  <c r="AB547" i="1" s="1"/>
  <c r="AC547" i="1" s="1"/>
  <c r="AO518" i="1"/>
  <c r="AO528" i="1"/>
  <c r="AA527" i="1"/>
  <c r="AB527" i="1" s="1"/>
  <c r="AC527" i="1" s="1"/>
  <c r="AP521" i="1"/>
  <c r="AP515" i="1"/>
  <c r="AO516" i="1"/>
  <c r="AP510" i="1"/>
  <c r="AP504" i="1"/>
  <c r="AO494" i="1"/>
  <c r="AO492" i="1"/>
  <c r="AP488" i="1"/>
  <c r="AO467" i="1"/>
  <c r="AO473" i="1"/>
  <c r="AO466" i="1"/>
  <c r="AO470" i="1"/>
  <c r="AO480" i="1"/>
  <c r="AP478" i="1"/>
  <c r="AO459" i="1"/>
  <c r="AO463" i="1"/>
  <c r="AO458" i="1"/>
  <c r="AO455" i="1"/>
  <c r="AO456" i="1"/>
  <c r="AO464" i="1"/>
  <c r="AO457" i="1"/>
  <c r="AO451" i="1"/>
  <c r="AO450" i="1"/>
  <c r="AP439" i="1"/>
  <c r="AO439" i="1"/>
  <c r="AP440" i="1"/>
  <c r="AO440" i="1"/>
  <c r="AP144" i="1"/>
  <c r="AO144" i="1"/>
  <c r="AO163" i="1"/>
  <c r="AP163" i="1"/>
  <c r="AO263" i="1"/>
  <c r="AP263" i="1"/>
  <c r="AO303" i="1"/>
  <c r="AP303" i="1"/>
  <c r="AO307" i="1"/>
  <c r="AP307" i="1"/>
  <c r="AO319" i="1"/>
  <c r="AP319" i="1"/>
  <c r="AO348" i="1"/>
  <c r="AP348" i="1"/>
  <c r="AO384" i="1"/>
  <c r="AP384" i="1"/>
  <c r="AO400" i="1"/>
  <c r="AP400" i="1"/>
  <c r="AO416" i="1"/>
  <c r="AP416" i="1"/>
  <c r="AO422" i="1"/>
  <c r="AP422" i="1"/>
  <c r="AO427" i="1"/>
  <c r="AP427" i="1"/>
  <c r="AP306" i="1"/>
  <c r="AO306" i="1"/>
  <c r="AO341" i="1"/>
  <c r="AP341" i="1"/>
  <c r="AO347" i="1"/>
  <c r="AP347" i="1"/>
  <c r="AO371" i="1"/>
  <c r="AP371" i="1"/>
  <c r="AO419" i="1"/>
  <c r="AP419" i="1"/>
  <c r="AO173" i="1"/>
  <c r="AP173" i="1"/>
  <c r="AO189" i="1"/>
  <c r="AP189" i="1"/>
  <c r="AO253" i="1"/>
  <c r="AP253" i="1"/>
  <c r="AO293" i="1"/>
  <c r="AP293" i="1"/>
  <c r="AP304" i="1"/>
  <c r="AO304" i="1"/>
  <c r="AO247" i="1"/>
  <c r="AP247" i="1"/>
  <c r="AO167" i="1"/>
  <c r="AP167" i="1"/>
  <c r="Z280" i="1"/>
  <c r="AA280" i="1"/>
  <c r="Y673" i="1"/>
  <c r="Z673" i="1" s="1"/>
  <c r="Y683" i="1"/>
  <c r="Z683" i="1" s="1"/>
  <c r="Z687" i="1"/>
  <c r="Y687" i="1"/>
  <c r="Z693" i="1"/>
  <c r="Y693" i="1"/>
  <c r="Y697" i="1"/>
  <c r="Z697" i="1" s="1"/>
  <c r="Y711" i="1"/>
  <c r="Z711" i="1" s="1"/>
  <c r="AA711" i="1" s="1"/>
  <c r="AB711" i="1" s="1"/>
  <c r="AC711" i="1" s="1"/>
  <c r="Y722" i="1"/>
  <c r="Z722" i="1" s="1"/>
  <c r="AA722" i="1" s="1"/>
  <c r="Y734" i="1"/>
  <c r="Z734" i="1" s="1"/>
  <c r="AA734" i="1" s="1"/>
  <c r="Y738" i="1"/>
  <c r="Y762" i="1"/>
  <c r="Z762" i="1" s="1"/>
  <c r="Y774" i="1"/>
  <c r="Z774" i="1" s="1"/>
  <c r="AA774" i="1" s="1"/>
  <c r="Z784" i="1"/>
  <c r="Y784" i="1"/>
  <c r="AB784" i="1"/>
  <c r="Z809" i="1"/>
  <c r="Y809" i="1"/>
  <c r="Z813" i="1"/>
  <c r="Y813" i="1"/>
  <c r="Z821" i="1"/>
  <c r="Y821" i="1"/>
  <c r="Z833" i="1"/>
  <c r="Y833" i="1"/>
  <c r="Z837" i="1"/>
  <c r="Y837" i="1"/>
  <c r="Z849" i="1"/>
  <c r="Y849" i="1"/>
  <c r="Z859" i="1"/>
  <c r="AA859" i="1" s="1"/>
  <c r="AB859" i="1" s="1"/>
  <c r="AC859" i="1" s="1"/>
  <c r="Y859" i="1"/>
  <c r="Z881" i="1"/>
  <c r="Y881" i="1"/>
  <c r="Y889" i="1"/>
  <c r="Z893" i="1"/>
  <c r="Y893" i="1"/>
  <c r="Y901" i="1"/>
  <c r="Z907" i="1"/>
  <c r="AB907" i="1"/>
  <c r="Z913" i="1"/>
  <c r="AA913" i="1" s="1"/>
  <c r="AB913" i="1" s="1"/>
  <c r="AC913" i="1" s="1"/>
  <c r="Y913" i="1"/>
  <c r="Z921" i="1"/>
  <c r="Y921" i="1"/>
  <c r="AB921" i="1" s="1"/>
  <c r="AC921" i="1" s="1"/>
  <c r="Z925" i="1"/>
  <c r="AA925" i="1" s="1"/>
  <c r="AB925" i="1" s="1"/>
  <c r="AC925" i="1" s="1"/>
  <c r="Y925" i="1"/>
  <c r="Z937" i="1"/>
  <c r="Y937" i="1"/>
  <c r="Z941" i="1"/>
  <c r="Y941" i="1"/>
  <c r="AO179" i="1"/>
  <c r="AP179" i="1"/>
  <c r="AO211" i="1"/>
  <c r="AP211" i="1"/>
  <c r="AO323" i="1"/>
  <c r="AP323" i="1"/>
  <c r="AO336" i="1"/>
  <c r="AP336" i="1"/>
  <c r="AC687" i="1"/>
  <c r="AC693" i="1"/>
  <c r="AC752" i="1"/>
  <c r="AC784" i="1"/>
  <c r="AC809" i="1"/>
  <c r="AC833" i="1"/>
  <c r="AC941" i="1"/>
  <c r="Y631" i="1"/>
  <c r="Y703" i="1"/>
  <c r="Y728" i="1"/>
  <c r="Y907" i="1"/>
  <c r="AC280" i="1"/>
  <c r="AP17" i="1"/>
  <c r="AP142" i="1"/>
  <c r="AP162" i="1"/>
  <c r="AP182" i="1"/>
  <c r="AP186" i="1"/>
  <c r="AP220" i="1"/>
  <c r="AP246" i="1"/>
  <c r="AP250" i="1"/>
  <c r="AP266" i="1"/>
  <c r="AP296" i="1"/>
  <c r="AP28" i="1"/>
  <c r="AP40" i="1"/>
  <c r="AP44" i="1"/>
  <c r="AP51" i="1"/>
  <c r="AP55" i="1"/>
  <c r="AP63" i="1"/>
  <c r="AP91" i="1"/>
  <c r="AP101" i="1"/>
  <c r="AP129" i="1"/>
  <c r="AP137" i="1"/>
  <c r="AP161" i="1"/>
  <c r="AP185" i="1"/>
  <c r="AP215" i="1"/>
  <c r="AP255" i="1"/>
  <c r="AP261" i="1"/>
  <c r="AP313" i="1"/>
  <c r="AB752" i="1"/>
  <c r="AA687" i="1"/>
  <c r="AA693" i="1"/>
  <c r="AA703" i="1"/>
  <c r="AA752" i="1"/>
  <c r="AA784" i="1"/>
  <c r="AA803" i="1"/>
  <c r="AA809" i="1"/>
  <c r="AA813" i="1"/>
  <c r="AA821" i="1"/>
  <c r="AA833" i="1"/>
  <c r="AA837" i="1"/>
  <c r="AA849" i="1"/>
  <c r="AA875" i="1"/>
  <c r="AA881" i="1"/>
  <c r="AA893" i="1"/>
  <c r="AA907" i="1"/>
  <c r="AA921" i="1"/>
  <c r="AA937" i="1"/>
  <c r="AA941" i="1"/>
  <c r="AB280" i="1"/>
  <c r="AB809" i="1"/>
  <c r="AB821" i="1"/>
  <c r="AC821" i="1" s="1"/>
  <c r="AB837" i="1"/>
  <c r="AB881" i="1"/>
  <c r="AC881" i="1" s="1"/>
  <c r="AB893" i="1"/>
  <c r="AB941" i="1"/>
  <c r="AP320" i="1"/>
  <c r="AP328" i="1"/>
  <c r="AP334" i="1"/>
  <c r="AP362" i="1"/>
  <c r="AP441" i="1"/>
  <c r="AO441" i="1"/>
  <c r="AP340" i="1"/>
  <c r="AP385" i="1"/>
  <c r="AP395" i="1"/>
  <c r="AO228" i="1"/>
  <c r="AO401" i="1"/>
  <c r="AO433" i="1"/>
  <c r="AA634" i="1"/>
  <c r="AA650" i="1"/>
  <c r="AP318" i="1"/>
  <c r="AO232" i="1"/>
  <c r="AO389" i="1"/>
  <c r="AP431" i="1"/>
  <c r="AP428" i="1"/>
  <c r="AO420" i="1"/>
  <c r="AO415" i="1"/>
  <c r="AO417" i="1"/>
  <c r="AO397" i="1"/>
  <c r="AO396" i="1"/>
  <c r="AO404" i="1"/>
  <c r="AO398" i="1"/>
  <c r="AO402" i="1"/>
  <c r="AO399" i="1"/>
  <c r="AO386" i="1"/>
  <c r="AO392" i="1"/>
  <c r="AO383" i="1"/>
  <c r="AO387" i="1"/>
  <c r="AO393" i="1"/>
  <c r="AP380" i="1"/>
  <c r="AO379" i="1"/>
  <c r="AO374" i="1"/>
  <c r="AO376" i="1"/>
  <c r="AO370" i="1"/>
  <c r="AO346" i="1"/>
  <c r="AO343" i="1"/>
  <c r="AO349" i="1"/>
  <c r="AO326" i="1"/>
  <c r="AO327" i="1"/>
  <c r="AO322" i="1"/>
  <c r="AO312" i="1"/>
  <c r="AO308" i="1"/>
  <c r="AO301" i="1"/>
  <c r="AP252" i="1"/>
  <c r="AP249" i="1"/>
  <c r="AO294" i="1"/>
  <c r="AO287" i="1"/>
  <c r="AO281" i="1"/>
  <c r="AO283" i="1"/>
  <c r="AO279" i="1"/>
  <c r="AP277" i="1"/>
  <c r="AO273" i="1"/>
  <c r="AO265" i="1"/>
  <c r="AO257" i="1"/>
  <c r="AP254" i="1"/>
  <c r="AO244" i="1"/>
  <c r="AO240" i="1"/>
  <c r="AO237" i="1"/>
  <c r="AO242" i="1"/>
  <c r="AP230" i="1"/>
  <c r="AP225" i="1"/>
  <c r="AO231" i="1"/>
  <c r="AO233" i="1"/>
  <c r="AO226" i="1"/>
  <c r="AO218" i="1"/>
  <c r="AO222" i="1"/>
  <c r="AP219" i="1"/>
  <c r="AO216" i="1"/>
  <c r="AP213" i="1"/>
  <c r="AO207" i="1"/>
  <c r="AO206" i="1"/>
  <c r="AO205" i="1"/>
  <c r="AO209" i="1"/>
  <c r="AP203" i="1"/>
  <c r="AO199" i="1"/>
  <c r="AB703" i="1"/>
  <c r="AO9" i="1"/>
  <c r="AO13" i="1"/>
  <c r="AO60" i="1"/>
  <c r="AO66" i="1"/>
  <c r="AO70" i="1"/>
  <c r="AO76" i="1"/>
  <c r="AO99" i="1"/>
  <c r="AO119" i="1"/>
  <c r="AO146" i="1"/>
  <c r="AO156" i="1"/>
  <c r="AO158" i="1"/>
  <c r="AO4" i="1"/>
  <c r="AO20" i="1"/>
  <c r="AO65" i="1"/>
  <c r="AO67" i="1"/>
  <c r="AO102" i="1"/>
  <c r="AO116" i="1"/>
  <c r="AO187" i="1"/>
  <c r="AO11" i="1"/>
  <c r="AO29" i="1"/>
  <c r="AO39" i="1"/>
  <c r="AO52" i="1"/>
  <c r="AO62" i="1"/>
  <c r="AO93" i="1"/>
  <c r="AO128" i="1"/>
  <c r="AO69" i="1"/>
  <c r="AO77" i="1"/>
  <c r="AO83" i="1"/>
  <c r="AO87" i="1"/>
  <c r="AO92" i="1"/>
  <c r="AO96" i="1"/>
  <c r="AO100" i="1"/>
  <c r="AO106" i="1"/>
  <c r="AO133" i="1"/>
  <c r="AO175" i="1"/>
  <c r="AO351" i="1"/>
  <c r="AP208" i="1"/>
  <c r="AO208" i="1"/>
  <c r="AA299" i="1"/>
  <c r="AP21" i="1"/>
  <c r="AP382" i="1"/>
  <c r="AP236" i="1"/>
  <c r="AP239" i="1"/>
  <c r="AP139" i="1"/>
  <c r="AB671" i="1"/>
  <c r="AC671" i="1" s="1"/>
  <c r="AB669" i="1"/>
  <c r="AC669" i="1" s="1"/>
  <c r="Z665" i="1"/>
  <c r="AA665" i="1" s="1"/>
  <c r="AB665" i="1" s="1"/>
  <c r="AC665" i="1" s="1"/>
  <c r="Y666" i="1"/>
  <c r="Z666" i="1" s="1"/>
  <c r="AA663" i="1"/>
  <c r="AB663" i="1" s="1"/>
  <c r="AC663" i="1" s="1"/>
  <c r="Z658" i="1"/>
  <c r="Z659" i="1"/>
  <c r="AB657" i="1"/>
  <c r="AC657" i="1" s="1"/>
  <c r="AA653" i="1"/>
  <c r="AB653" i="1" s="1"/>
  <c r="AC653" i="1" s="1"/>
  <c r="Z654" i="1"/>
  <c r="AA654" i="1" s="1"/>
  <c r="AA652" i="1"/>
  <c r="AB652" i="1" s="1"/>
  <c r="AC652" i="1" s="1"/>
  <c r="AA641" i="1"/>
  <c r="AB641" i="1" s="1"/>
  <c r="AC641" i="1" s="1"/>
  <c r="AA647" i="1"/>
  <c r="AA642" i="1"/>
  <c r="AB642" i="1" s="1"/>
  <c r="AC642" i="1" s="1"/>
  <c r="AA644" i="1"/>
  <c r="AB644" i="1" s="1"/>
  <c r="AC644" i="1" s="1"/>
  <c r="AA646" i="1"/>
  <c r="AB646" i="1" s="1"/>
  <c r="AC646" i="1" s="1"/>
  <c r="Z643" i="1"/>
  <c r="Z649" i="1"/>
  <c r="AB647" i="1"/>
  <c r="AC647" i="1" s="1"/>
  <c r="Y656" i="1"/>
  <c r="Z656" i="1" s="1"/>
  <c r="Y660" i="1"/>
  <c r="Z660" i="1" s="1"/>
  <c r="Y664" i="1"/>
  <c r="Z664" i="1" s="1"/>
  <c r="Y668" i="1"/>
  <c r="Z668" i="1" s="1"/>
  <c r="Y672" i="1"/>
  <c r="Y676" i="1"/>
  <c r="Z676" i="1" s="1"/>
  <c r="Y680" i="1"/>
  <c r="Z680" i="1" s="1"/>
  <c r="Y684" i="1"/>
  <c r="Z684" i="1" s="1"/>
  <c r="Y688" i="1"/>
  <c r="Z688" i="1" s="1"/>
  <c r="Y692" i="1"/>
  <c r="Y696" i="1"/>
  <c r="Y700" i="1"/>
  <c r="Z700" i="1" s="1"/>
  <c r="AA700" i="1" s="1"/>
  <c r="AB700" i="1" s="1"/>
  <c r="AC700" i="1" s="1"/>
  <c r="Y704" i="1"/>
  <c r="Z704" i="1" s="1"/>
  <c r="AA704" i="1" s="1"/>
  <c r="AB704" i="1" s="1"/>
  <c r="AC704" i="1" s="1"/>
  <c r="Y708" i="1"/>
  <c r="Z708" i="1" s="1"/>
  <c r="AA708" i="1" s="1"/>
  <c r="Y712" i="1"/>
  <c r="Z712" i="1" s="1"/>
  <c r="Y716" i="1"/>
  <c r="Y721" i="1"/>
  <c r="Z721" i="1" s="1"/>
  <c r="Y725" i="1"/>
  <c r="Y729" i="1"/>
  <c r="Y733" i="1"/>
  <c r="Y737" i="1"/>
  <c r="Z737" i="1" s="1"/>
  <c r="AA737" i="1" s="1"/>
  <c r="Y741" i="1"/>
  <c r="Y745" i="1"/>
  <c r="Z745" i="1" s="1"/>
  <c r="AA745" i="1" s="1"/>
  <c r="Y749" i="1"/>
  <c r="Y753" i="1"/>
  <c r="Z753" i="1" s="1"/>
  <c r="AA753" i="1" s="1"/>
  <c r="Y757" i="1"/>
  <c r="Y761" i="1"/>
  <c r="Z761" i="1" s="1"/>
  <c r="Y765" i="1"/>
  <c r="Y769" i="1"/>
  <c r="Z769" i="1" s="1"/>
  <c r="Y773" i="1"/>
  <c r="Y777" i="1"/>
  <c r="Z777" i="1" s="1"/>
  <c r="Y781" i="1"/>
  <c r="Y785" i="1"/>
  <c r="Y792" i="1"/>
  <c r="Y796" i="1"/>
  <c r="Y800" i="1"/>
  <c r="Y804" i="1"/>
  <c r="Y808" i="1"/>
  <c r="Y812" i="1"/>
  <c r="AA812" i="1" s="1"/>
  <c r="AB812" i="1" s="1"/>
  <c r="AC812" i="1" s="1"/>
  <c r="Y816" i="1"/>
  <c r="Y820" i="1"/>
  <c r="AA820" i="1" s="1"/>
  <c r="Y824" i="1"/>
  <c r="Y828" i="1"/>
  <c r="Y832" i="1"/>
  <c r="Y836" i="1"/>
  <c r="Y840" i="1"/>
  <c r="Y844" i="1"/>
  <c r="Y848" i="1"/>
  <c r="Y852" i="1"/>
  <c r="Y856" i="1"/>
  <c r="Y860" i="1"/>
  <c r="Y864" i="1"/>
  <c r="Y868" i="1"/>
  <c r="Y872" i="1"/>
  <c r="Y876" i="1"/>
  <c r="Y880" i="1"/>
  <c r="Y884" i="1"/>
  <c r="Y888" i="1"/>
  <c r="Y892" i="1"/>
  <c r="AA892" i="1" s="1"/>
  <c r="AB892" i="1" s="1"/>
  <c r="AC892" i="1" s="1"/>
  <c r="Y896" i="1"/>
  <c r="Y900" i="1"/>
  <c r="Y904" i="1"/>
  <c r="Y908" i="1"/>
  <c r="Y912" i="1"/>
  <c r="Y916" i="1"/>
  <c r="Y920" i="1"/>
  <c r="Y924" i="1"/>
  <c r="Y928" i="1"/>
  <c r="Y932" i="1"/>
  <c r="Y936" i="1"/>
  <c r="Y940" i="1"/>
  <c r="AP72" i="1"/>
  <c r="AA531" i="1"/>
  <c r="AB531" i="1" s="1"/>
  <c r="AC531" i="1" s="1"/>
  <c r="AP110" i="1"/>
  <c r="AB639" i="1"/>
  <c r="AC639" i="1" s="1"/>
  <c r="AB636" i="1"/>
  <c r="AC636" i="1" s="1"/>
  <c r="Z635" i="1"/>
  <c r="AA630" i="1"/>
  <c r="AB630" i="1" s="1"/>
  <c r="AC630" i="1" s="1"/>
  <c r="AA628" i="1"/>
  <c r="AB628" i="1" s="1"/>
  <c r="AC628" i="1" s="1"/>
  <c r="AA626" i="1"/>
  <c r="AB626" i="1" s="1"/>
  <c r="AC626" i="1" s="1"/>
  <c r="AA623" i="1"/>
  <c r="AB623" i="1" s="1"/>
  <c r="AC623" i="1" s="1"/>
  <c r="AA619" i="1"/>
  <c r="AB619" i="1" s="1"/>
  <c r="AC619" i="1" s="1"/>
  <c r="AA609" i="1"/>
  <c r="AB609" i="1" s="1"/>
  <c r="AC609" i="1" s="1"/>
  <c r="AA614" i="1"/>
  <c r="AB614" i="1" s="1"/>
  <c r="AC614" i="1" s="1"/>
  <c r="AA604" i="1"/>
  <c r="AB604" i="1" s="1"/>
  <c r="AC604" i="1" s="1"/>
  <c r="AA587" i="1"/>
  <c r="AB587" i="1" s="1"/>
  <c r="AC587" i="1" s="1"/>
  <c r="AA580" i="1"/>
  <c r="AB580" i="1" s="1"/>
  <c r="AC580" i="1" s="1"/>
  <c r="AA563" i="1"/>
  <c r="AA553" i="1"/>
  <c r="AA480" i="1"/>
  <c r="AB480" i="1" s="1"/>
  <c r="AC480" i="1" s="1"/>
  <c r="AA310" i="1"/>
  <c r="AP124" i="1"/>
  <c r="AA863" i="1"/>
  <c r="AA670" i="1"/>
  <c r="AA743" i="1"/>
  <c r="AA810" i="1"/>
  <c r="AA874" i="1"/>
  <c r="AA938" i="1"/>
  <c r="AA455" i="1"/>
  <c r="AB455" i="1" s="1"/>
  <c r="AC455" i="1" s="1"/>
  <c r="Y640" i="1"/>
  <c r="Z640" i="1" s="1"/>
  <c r="AP31" i="1"/>
  <c r="AP56" i="1"/>
  <c r="AA410" i="1"/>
  <c r="AB410" i="1" s="1"/>
  <c r="AC410" i="1" s="1"/>
  <c r="Z414" i="1"/>
  <c r="AA414" i="1" s="1"/>
  <c r="AA339" i="1"/>
  <c r="AB339" i="1" s="1"/>
  <c r="AC339" i="1" s="1"/>
  <c r="AA247" i="1"/>
  <c r="AB247" i="1" s="1"/>
  <c r="AC247" i="1" s="1"/>
  <c r="AA174" i="1"/>
  <c r="AB174" i="1" s="1"/>
  <c r="AC174" i="1" s="1"/>
  <c r="AA98" i="1"/>
  <c r="AB98" i="1" s="1"/>
  <c r="AC98" i="1" s="1"/>
  <c r="AP37" i="1"/>
  <c r="AA883" i="1"/>
  <c r="AP5" i="1"/>
  <c r="AA606" i="1"/>
  <c r="AB606" i="1" s="1"/>
  <c r="AC606" i="1" s="1"/>
  <c r="AA596" i="1"/>
  <c r="AB596" i="1" s="1"/>
  <c r="AC596" i="1" s="1"/>
  <c r="AA590" i="1"/>
  <c r="AB590" i="1" s="1"/>
  <c r="AC590" i="1" s="1"/>
  <c r="AA584" i="1"/>
  <c r="AB584" i="1" s="1"/>
  <c r="AC584" i="1" s="1"/>
  <c r="AA581" i="1"/>
  <c r="AB581" i="1" s="1"/>
  <c r="AC581" i="1" s="1"/>
  <c r="AA577" i="1"/>
  <c r="AB577" i="1" s="1"/>
  <c r="AC577" i="1" s="1"/>
  <c r="AA569" i="1"/>
  <c r="AB569" i="1" s="1"/>
  <c r="AC569" i="1" s="1"/>
  <c r="AA556" i="1"/>
  <c r="AB556" i="1" s="1"/>
  <c r="AC556" i="1" s="1"/>
  <c r="AA541" i="1"/>
  <c r="AB541" i="1" s="1"/>
  <c r="AC541" i="1" s="1"/>
  <c r="AA548" i="1"/>
  <c r="AB548" i="1" s="1"/>
  <c r="AC548" i="1" s="1"/>
  <c r="AB539" i="1"/>
  <c r="AC539" i="1" s="1"/>
  <c r="AA535" i="1"/>
  <c r="AB535" i="1" s="1"/>
  <c r="AC535" i="1" s="1"/>
  <c r="Z533" i="1"/>
  <c r="Z530" i="1"/>
  <c r="AA530" i="1" s="1"/>
  <c r="AA528" i="1"/>
  <c r="AB528" i="1" s="1"/>
  <c r="AC528" i="1" s="1"/>
  <c r="AA524" i="1"/>
  <c r="Z522" i="1"/>
  <c r="AA522" i="1" s="1"/>
  <c r="AB524" i="1"/>
  <c r="AC524" i="1" s="1"/>
  <c r="AA511" i="1"/>
  <c r="AB511" i="1" s="1"/>
  <c r="AC511" i="1" s="1"/>
  <c r="AB507" i="1"/>
  <c r="AC507" i="1" s="1"/>
  <c r="AA492" i="1"/>
  <c r="AB492" i="1" s="1"/>
  <c r="AC492" i="1" s="1"/>
  <c r="AA496" i="1"/>
  <c r="AB496" i="1" s="1"/>
  <c r="AC496" i="1" s="1"/>
  <c r="Y627" i="1"/>
  <c r="Y645" i="1"/>
  <c r="Z645" i="1" s="1"/>
  <c r="AA645" i="1" s="1"/>
  <c r="Y754" i="1"/>
  <c r="Z754" i="1" s="1"/>
  <c r="Y825" i="1"/>
  <c r="Z825" i="1" s="1"/>
  <c r="Y831" i="1"/>
  <c r="Y865" i="1"/>
  <c r="Y911" i="1"/>
  <c r="Z911" i="1" s="1"/>
  <c r="Y919" i="1"/>
  <c r="Z919" i="1" s="1"/>
  <c r="AC690" i="1"/>
  <c r="AC723" i="1"/>
  <c r="AC771" i="1"/>
  <c r="AC918" i="1"/>
  <c r="AC934" i="1"/>
  <c r="AP3" i="1"/>
  <c r="AP7" i="1"/>
  <c r="AP74" i="1"/>
  <c r="AP14" i="1"/>
  <c r="AA694" i="1"/>
  <c r="AB694" i="1" s="1"/>
  <c r="AC694" i="1" s="1"/>
  <c r="AA727" i="1"/>
  <c r="AA759" i="1"/>
  <c r="AB759" i="1" s="1"/>
  <c r="AC759" i="1" s="1"/>
  <c r="AA794" i="1"/>
  <c r="AA826" i="1"/>
  <c r="AA858" i="1"/>
  <c r="AA890" i="1"/>
  <c r="AA922" i="1"/>
  <c r="Y632" i="1"/>
  <c r="Z632" i="1" s="1"/>
  <c r="Y648" i="1"/>
  <c r="Z648" i="1" s="1"/>
  <c r="AC718" i="1"/>
  <c r="AC743" i="1"/>
  <c r="AC775" i="1"/>
  <c r="AC802" i="1"/>
  <c r="AC874" i="1"/>
  <c r="AC890" i="1"/>
  <c r="AC930" i="1"/>
  <c r="AC938" i="1"/>
  <c r="AP108" i="1"/>
  <c r="AA686" i="1"/>
  <c r="AB686" i="1" s="1"/>
  <c r="AC686" i="1" s="1"/>
  <c r="AA702" i="1"/>
  <c r="AB702" i="1" s="1"/>
  <c r="AC702" i="1" s="1"/>
  <c r="AA718" i="1"/>
  <c r="AA735" i="1"/>
  <c r="AB735" i="1" s="1"/>
  <c r="AC735" i="1" s="1"/>
  <c r="AA751" i="1"/>
  <c r="AA767" i="1"/>
  <c r="AB767" i="1" s="1"/>
  <c r="AC767" i="1" s="1"/>
  <c r="AA783" i="1"/>
  <c r="AA802" i="1"/>
  <c r="AA818" i="1"/>
  <c r="AA834" i="1"/>
  <c r="AA850" i="1"/>
  <c r="AA866" i="1"/>
  <c r="AB866" i="1" s="1"/>
  <c r="AC866" i="1" s="1"/>
  <c r="AA882" i="1"/>
  <c r="AB882" i="1" s="1"/>
  <c r="AC882" i="1" s="1"/>
  <c r="AA898" i="1"/>
  <c r="AA914" i="1"/>
  <c r="AA930" i="1"/>
  <c r="AP104" i="1"/>
  <c r="AP8" i="1"/>
  <c r="AP114" i="1"/>
  <c r="AP143" i="1"/>
  <c r="AB935" i="1"/>
  <c r="AA662" i="1"/>
  <c r="AA678" i="1"/>
  <c r="AB678" i="1" s="1"/>
  <c r="AC678" i="1" s="1"/>
  <c r="AA690" i="1"/>
  <c r="AA698" i="1"/>
  <c r="AA706" i="1"/>
  <c r="AA714" i="1"/>
  <c r="AB714" i="1" s="1"/>
  <c r="AC714" i="1" s="1"/>
  <c r="AA723" i="1"/>
  <c r="AA731" i="1"/>
  <c r="AB731" i="1" s="1"/>
  <c r="AC731" i="1" s="1"/>
  <c r="AA739" i="1"/>
  <c r="AA747" i="1"/>
  <c r="AA755" i="1"/>
  <c r="AA763" i="1"/>
  <c r="AA771" i="1"/>
  <c r="AA779" i="1"/>
  <c r="AB779" i="1" s="1"/>
  <c r="AC779" i="1" s="1"/>
  <c r="AA790" i="1"/>
  <c r="AA798" i="1"/>
  <c r="AA806" i="1"/>
  <c r="AA814" i="1"/>
  <c r="AA822" i="1"/>
  <c r="AA830" i="1"/>
  <c r="AA838" i="1"/>
  <c r="AA846" i="1"/>
  <c r="AA854" i="1"/>
  <c r="AA862" i="1"/>
  <c r="AA870" i="1"/>
  <c r="AB870" i="1" s="1"/>
  <c r="AC870" i="1" s="1"/>
  <c r="AA878" i="1"/>
  <c r="AA886" i="1"/>
  <c r="AB886" i="1" s="1"/>
  <c r="AC886" i="1" s="1"/>
  <c r="AA894" i="1"/>
  <c r="AA902" i="1"/>
  <c r="AA910" i="1"/>
  <c r="AA918" i="1"/>
  <c r="AA926" i="1"/>
  <c r="AA934" i="1"/>
  <c r="Z489" i="1"/>
  <c r="AA489" i="1" s="1"/>
  <c r="AB489" i="1" s="1"/>
  <c r="AC489" i="1" s="1"/>
  <c r="Z483" i="1"/>
  <c r="AA477" i="1"/>
  <c r="AB477" i="1" s="1"/>
  <c r="AC477" i="1" s="1"/>
  <c r="AP45" i="1"/>
  <c r="AP26" i="1"/>
  <c r="AA629" i="1"/>
  <c r="AA659" i="1"/>
  <c r="AA681" i="1"/>
  <c r="AA715" i="1"/>
  <c r="AA867" i="1"/>
  <c r="AA474" i="1"/>
  <c r="AB474" i="1" s="1"/>
  <c r="AC474" i="1" s="1"/>
  <c r="Z472" i="1"/>
  <c r="AA472" i="1" s="1"/>
  <c r="AB472" i="1" s="1"/>
  <c r="AC472" i="1" s="1"/>
  <c r="AA470" i="1"/>
  <c r="AB470" i="1" s="1"/>
  <c r="AC470" i="1" s="1"/>
  <c r="AC672" i="1"/>
  <c r="AC831" i="1"/>
  <c r="AP81" i="1"/>
  <c r="Y468" i="1"/>
  <c r="Z468" i="1" s="1"/>
  <c r="Y491" i="1"/>
  <c r="Z491" i="1" s="1"/>
  <c r="AC935" i="1"/>
  <c r="Y661" i="1"/>
  <c r="Y667" i="1"/>
  <c r="Z667" i="1" s="1"/>
  <c r="Y717" i="1"/>
  <c r="Z717" i="1" s="1"/>
  <c r="Y732" i="1"/>
  <c r="Z732" i="1" s="1"/>
  <c r="Y793" i="1"/>
  <c r="Z793" i="1" s="1"/>
  <c r="Y807" i="1"/>
  <c r="Z807" i="1" s="1"/>
  <c r="Y879" i="1"/>
  <c r="Y887" i="1"/>
  <c r="Z887" i="1" s="1"/>
  <c r="AP90" i="1"/>
  <c r="AP117" i="1"/>
  <c r="AP10" i="1"/>
  <c r="Z899" i="1"/>
  <c r="AB899" i="1" s="1"/>
  <c r="AC899" i="1" s="1"/>
  <c r="AP6" i="1"/>
  <c r="Y599" i="1"/>
  <c r="Z599" i="1" s="1"/>
  <c r="AA599" i="1" s="1"/>
  <c r="AB599" i="1" s="1"/>
  <c r="AC599" i="1" s="1"/>
  <c r="AA529" i="1"/>
  <c r="AB529" i="1" s="1"/>
  <c r="AC529" i="1" s="1"/>
  <c r="AC931" i="1"/>
  <c r="Y633" i="1"/>
  <c r="Z633" i="1" s="1"/>
  <c r="Y637" i="1"/>
  <c r="Z637" i="1" s="1"/>
  <c r="Y651" i="1"/>
  <c r="Z651" i="1" s="1"/>
  <c r="Y677" i="1"/>
  <c r="Z677" i="1" s="1"/>
  <c r="Y689" i="1"/>
  <c r="Y713" i="1"/>
  <c r="Y742" i="1"/>
  <c r="Z742" i="1" s="1"/>
  <c r="Y817" i="1"/>
  <c r="Z817" i="1" s="1"/>
  <c r="Y841" i="1"/>
  <c r="Y861" i="1"/>
  <c r="Y869" i="1"/>
  <c r="Y899" i="1"/>
  <c r="AC879" i="1"/>
  <c r="AP49" i="1"/>
  <c r="AP54" i="1"/>
  <c r="AP78" i="1"/>
  <c r="AP85" i="1"/>
  <c r="AP94" i="1"/>
  <c r="AP58" i="1"/>
  <c r="Z707" i="1"/>
  <c r="Z758" i="1"/>
  <c r="AA758" i="1" s="1"/>
  <c r="AB758" i="1" s="1"/>
  <c r="AC758" i="1" s="1"/>
  <c r="Z772" i="1"/>
  <c r="Z789" i="1"/>
  <c r="AC789" i="1"/>
  <c r="Z847" i="1"/>
  <c r="AC847" i="1"/>
  <c r="Z855" i="1"/>
  <c r="AP107" i="1"/>
  <c r="AA483" i="1"/>
  <c r="AB483" i="1" s="1"/>
  <c r="AC483" i="1" s="1"/>
  <c r="AA825" i="1"/>
  <c r="AP138" i="1"/>
  <c r="AP18" i="1"/>
  <c r="AP125" i="1"/>
  <c r="AP437" i="1"/>
  <c r="Z692" i="1"/>
  <c r="Z696" i="1"/>
  <c r="AA696" i="1" s="1"/>
  <c r="AB696" i="1" s="1"/>
  <c r="AC696" i="1" s="1"/>
  <c r="Z716" i="1"/>
  <c r="AA716" i="1" s="1"/>
  <c r="Z725" i="1"/>
  <c r="AA725" i="1" s="1"/>
  <c r="AB725" i="1" s="1"/>
  <c r="AC725" i="1" s="1"/>
  <c r="Z729" i="1"/>
  <c r="AA729" i="1" s="1"/>
  <c r="Z733" i="1"/>
  <c r="AA733" i="1" s="1"/>
  <c r="AB733" i="1" s="1"/>
  <c r="AC733" i="1" s="1"/>
  <c r="Z741" i="1"/>
  <c r="AA741" i="1"/>
  <c r="Z749" i="1"/>
  <c r="AA749" i="1" s="1"/>
  <c r="AB749" i="1" s="1"/>
  <c r="AC749" i="1" s="1"/>
  <c r="Z757" i="1"/>
  <c r="AA757" i="1"/>
  <c r="Z765" i="1"/>
  <c r="AA765" i="1" s="1"/>
  <c r="AB765" i="1" s="1"/>
  <c r="AC765" i="1" s="1"/>
  <c r="Z773" i="1"/>
  <c r="AA773" i="1" s="1"/>
  <c r="AB773" i="1" s="1"/>
  <c r="AC773" i="1" s="1"/>
  <c r="Z781" i="1"/>
  <c r="AA781" i="1"/>
  <c r="Z785" i="1"/>
  <c r="AA785" i="1" s="1"/>
  <c r="Z792" i="1"/>
  <c r="AA792" i="1"/>
  <c r="Z796" i="1"/>
  <c r="AA796" i="1"/>
  <c r="Z800" i="1"/>
  <c r="AA800" i="1"/>
  <c r="Z804" i="1"/>
  <c r="AA804" i="1" s="1"/>
  <c r="AB804" i="1" s="1"/>
  <c r="AC804" i="1" s="1"/>
  <c r="Z808" i="1"/>
  <c r="AA808" i="1" s="1"/>
  <c r="AB808" i="1" s="1"/>
  <c r="AC808" i="1" s="1"/>
  <c r="Z812" i="1"/>
  <c r="Z816" i="1"/>
  <c r="AA816" i="1" s="1"/>
  <c r="Z820" i="1"/>
  <c r="Z824" i="1"/>
  <c r="AA824" i="1" s="1"/>
  <c r="Z828" i="1"/>
  <c r="AA828" i="1"/>
  <c r="Z832" i="1"/>
  <c r="AA832" i="1"/>
  <c r="Z836" i="1"/>
  <c r="AA836" i="1" s="1"/>
  <c r="Z840" i="1"/>
  <c r="AA840" i="1"/>
  <c r="Z844" i="1"/>
  <c r="AA844" i="1"/>
  <c r="Z848" i="1"/>
  <c r="AA848" i="1" s="1"/>
  <c r="AB848" i="1" s="1"/>
  <c r="AC848" i="1" s="1"/>
  <c r="Z852" i="1"/>
  <c r="AA852" i="1" s="1"/>
  <c r="AB852" i="1" s="1"/>
  <c r="AC852" i="1" s="1"/>
  <c r="Z856" i="1"/>
  <c r="AA856" i="1"/>
  <c r="Z860" i="1"/>
  <c r="AA860" i="1" s="1"/>
  <c r="AB860" i="1" s="1"/>
  <c r="AC860" i="1" s="1"/>
  <c r="Z864" i="1"/>
  <c r="AA864" i="1"/>
  <c r="Z868" i="1"/>
  <c r="AA868" i="1"/>
  <c r="Z872" i="1"/>
  <c r="AA872" i="1"/>
  <c r="Z876" i="1"/>
  <c r="AA876" i="1"/>
  <c r="Z880" i="1"/>
  <c r="AA880" i="1" s="1"/>
  <c r="AB880" i="1" s="1"/>
  <c r="AC880" i="1" s="1"/>
  <c r="Z884" i="1"/>
  <c r="AA884" i="1"/>
  <c r="Z888" i="1"/>
  <c r="AA888" i="1"/>
  <c r="Z892" i="1"/>
  <c r="Z896" i="1"/>
  <c r="AA896" i="1"/>
  <c r="Z900" i="1"/>
  <c r="AA900" i="1"/>
  <c r="Z904" i="1"/>
  <c r="AA904" i="1" s="1"/>
  <c r="Z908" i="1"/>
  <c r="AA908" i="1"/>
  <c r="Z912" i="1"/>
  <c r="AA912" i="1"/>
  <c r="Z916" i="1"/>
  <c r="AA916" i="1"/>
  <c r="Z920" i="1"/>
  <c r="AA920" i="1" s="1"/>
  <c r="AB920" i="1" s="1"/>
  <c r="AC920" i="1" s="1"/>
  <c r="Z924" i="1"/>
  <c r="AA924" i="1" s="1"/>
  <c r="AB924" i="1" s="1"/>
  <c r="AC924" i="1" s="1"/>
  <c r="Z928" i="1"/>
  <c r="AA928" i="1"/>
  <c r="Z932" i="1"/>
  <c r="AA932" i="1"/>
  <c r="Z936" i="1"/>
  <c r="AA936" i="1"/>
  <c r="Z940" i="1"/>
  <c r="AA940" i="1"/>
  <c r="Z627" i="1"/>
  <c r="Z661" i="1"/>
  <c r="AA661" i="1" s="1"/>
  <c r="AB661" i="1" s="1"/>
  <c r="AC661" i="1" s="1"/>
  <c r="Z713" i="1"/>
  <c r="AA713" i="1"/>
  <c r="Z861" i="1"/>
  <c r="AA861" i="1"/>
  <c r="Z865" i="1"/>
  <c r="AA865" i="1" s="1"/>
  <c r="AB865" i="1" s="1"/>
  <c r="AC865" i="1" s="1"/>
  <c r="Z869" i="1"/>
  <c r="AA869" i="1"/>
  <c r="AP73" i="1"/>
  <c r="AA465" i="1"/>
  <c r="AB465" i="1" s="1"/>
  <c r="AC465" i="1" s="1"/>
  <c r="AA463" i="1"/>
  <c r="AB463" i="1" s="1"/>
  <c r="AC463" i="1" s="1"/>
  <c r="AA461" i="1"/>
  <c r="AB461" i="1" s="1"/>
  <c r="AC461" i="1" s="1"/>
  <c r="AA459" i="1"/>
  <c r="AB459" i="1" s="1"/>
  <c r="AC459" i="1" s="1"/>
  <c r="Z445" i="1"/>
  <c r="Z433" i="1"/>
  <c r="AA433" i="1" s="1"/>
  <c r="AB433" i="1" s="1"/>
  <c r="AC433" i="1" s="1"/>
  <c r="AP435" i="1"/>
  <c r="AA430" i="1"/>
  <c r="AB430" i="1" s="1"/>
  <c r="AC430" i="1" s="1"/>
  <c r="AB422" i="1"/>
  <c r="AC422" i="1" s="1"/>
  <c r="AB867" i="1"/>
  <c r="AA445" i="1"/>
  <c r="AA649" i="1"/>
  <c r="AA675" i="1"/>
  <c r="AA699" i="1"/>
  <c r="AB699" i="1" s="1"/>
  <c r="AC699" i="1" s="1"/>
  <c r="AA709" i="1"/>
  <c r="AB709" i="1" s="1"/>
  <c r="AC709" i="1" s="1"/>
  <c r="AA746" i="1"/>
  <c r="AA750" i="1"/>
  <c r="AB750" i="1" s="1"/>
  <c r="AC750" i="1" s="1"/>
  <c r="AA778" i="1"/>
  <c r="AA782" i="1"/>
  <c r="AA797" i="1"/>
  <c r="AA801" i="1"/>
  <c r="AA829" i="1"/>
  <c r="AA845" i="1"/>
  <c r="AB845" i="1" s="1"/>
  <c r="AC845" i="1" s="1"/>
  <c r="AA851" i="1"/>
  <c r="AA857" i="1"/>
  <c r="AA915" i="1"/>
  <c r="AA933" i="1"/>
  <c r="Y537" i="1"/>
  <c r="Z537" i="1" s="1"/>
  <c r="AA537" i="1" s="1"/>
  <c r="AB715" i="1"/>
  <c r="AB815" i="1"/>
  <c r="AB863" i="1"/>
  <c r="AC863" i="1" s="1"/>
  <c r="AB903" i="1"/>
  <c r="AC903" i="1" s="1"/>
  <c r="AB927" i="1"/>
  <c r="AA390" i="1"/>
  <c r="AA635" i="1"/>
  <c r="AA643" i="1"/>
  <c r="AA658" i="1"/>
  <c r="AA674" i="1"/>
  <c r="AA682" i="1"/>
  <c r="Z392" i="1"/>
  <c r="AA392" i="1" s="1"/>
  <c r="AB392" i="1" s="1"/>
  <c r="AC392" i="1" s="1"/>
  <c r="Z403" i="1"/>
  <c r="AA403" i="1" s="1"/>
  <c r="AA401" i="1"/>
  <c r="AB401" i="1" s="1"/>
  <c r="AC401" i="1" s="1"/>
  <c r="AA405" i="1"/>
  <c r="AB405" i="1" s="1"/>
  <c r="AC405" i="1" s="1"/>
  <c r="AB375" i="1"/>
  <c r="AC375" i="1" s="1"/>
  <c r="AB377" i="1"/>
  <c r="AC377" i="1" s="1"/>
  <c r="AB383" i="1"/>
  <c r="AC383" i="1" s="1"/>
  <c r="Z380" i="1"/>
  <c r="AA380" i="1" s="1"/>
  <c r="AB380" i="1" s="1"/>
  <c r="AC380" i="1" s="1"/>
  <c r="Z388" i="1"/>
  <c r="AA388" i="1" s="1"/>
  <c r="Z386" i="1"/>
  <c r="AA386" i="1" s="1"/>
  <c r="AB386" i="1" s="1"/>
  <c r="AC386" i="1" s="1"/>
  <c r="Z364" i="1"/>
  <c r="AA364" i="1" s="1"/>
  <c r="AB364" i="1" s="1"/>
  <c r="AC364" i="1" s="1"/>
  <c r="AB351" i="1"/>
  <c r="AC351" i="1" s="1"/>
  <c r="Z344" i="1"/>
  <c r="AA344" i="1" s="1"/>
  <c r="Z336" i="1"/>
  <c r="AA336" i="1" s="1"/>
  <c r="AB336" i="1" s="1"/>
  <c r="AC336" i="1" s="1"/>
  <c r="Z332" i="1"/>
  <c r="AA332" i="1" s="1"/>
  <c r="AB332" i="1" s="1"/>
  <c r="AC332" i="1" s="1"/>
  <c r="Z323" i="1"/>
  <c r="AA323" i="1" s="1"/>
  <c r="AB323" i="1" s="1"/>
  <c r="AC323" i="1" s="1"/>
  <c r="AA314" i="1"/>
  <c r="AB314" i="1" s="1"/>
  <c r="AC314" i="1" s="1"/>
  <c r="AP121" i="1"/>
  <c r="AB931" i="1"/>
  <c r="AA707" i="1"/>
  <c r="AB707" i="1" s="1"/>
  <c r="AC707" i="1" s="1"/>
  <c r="AA789" i="1"/>
  <c r="AA793" i="1"/>
  <c r="AA899" i="1"/>
  <c r="AA931" i="1"/>
  <c r="AA935" i="1"/>
  <c r="AB831" i="1"/>
  <c r="AB847" i="1"/>
  <c r="AB879" i="1"/>
  <c r="AA304" i="1"/>
  <c r="AB304" i="1" s="1"/>
  <c r="AC304" i="1" s="1"/>
  <c r="AA296" i="1"/>
  <c r="AB296" i="1" s="1"/>
  <c r="AC296" i="1" s="1"/>
  <c r="Z294" i="1"/>
  <c r="AA294" i="1" s="1"/>
  <c r="AB294" i="1" s="1"/>
  <c r="AC294" i="1" s="1"/>
  <c r="Y289" i="1"/>
  <c r="Z289" i="1" s="1"/>
  <c r="AA289" i="1" s="1"/>
  <c r="AB284" i="1"/>
  <c r="AC284" i="1" s="1"/>
  <c r="Z291" i="1"/>
  <c r="AA291" i="1" s="1"/>
  <c r="AB291" i="1" s="1"/>
  <c r="AC291" i="1" s="1"/>
  <c r="AA278" i="1"/>
  <c r="AB278" i="1" s="1"/>
  <c r="AC278" i="1" s="1"/>
  <c r="AA265" i="1"/>
  <c r="AB265" i="1" s="1"/>
  <c r="AC265" i="1" s="1"/>
  <c r="AB253" i="1"/>
  <c r="AC253" i="1" s="1"/>
  <c r="AA248" i="1"/>
  <c r="AB248" i="1" s="1"/>
  <c r="AC248" i="1" s="1"/>
  <c r="AA244" i="1"/>
  <c r="AB244" i="1" s="1"/>
  <c r="AC244" i="1" s="1"/>
  <c r="AA238" i="1"/>
  <c r="AB238" i="1" s="1"/>
  <c r="AC238" i="1" s="1"/>
  <c r="Z235" i="1"/>
  <c r="AA235" i="1" s="1"/>
  <c r="Y223" i="1"/>
  <c r="Z223" i="1" s="1"/>
  <c r="Z219" i="1"/>
  <c r="AA219" i="1" s="1"/>
  <c r="AB219" i="1" s="1"/>
  <c r="AC219" i="1" s="1"/>
  <c r="Z211" i="1"/>
  <c r="AA211" i="1" s="1"/>
  <c r="AB211" i="1" s="1"/>
  <c r="AC211" i="1" s="1"/>
  <c r="AB208" i="1"/>
  <c r="AC208" i="1" s="1"/>
  <c r="Z203" i="1"/>
  <c r="AA203" i="1" s="1"/>
  <c r="AB203" i="1" s="1"/>
  <c r="AC203" i="1" s="1"/>
  <c r="Z198" i="1"/>
  <c r="AA198" i="1" s="1"/>
  <c r="AA196" i="1"/>
  <c r="AB196" i="1" s="1"/>
  <c r="AC196" i="1" s="1"/>
  <c r="AA193" i="1"/>
  <c r="AB193" i="1" s="1"/>
  <c r="AC193" i="1" s="1"/>
  <c r="AA185" i="1"/>
  <c r="AB185" i="1" s="1"/>
  <c r="AC185" i="1" s="1"/>
  <c r="AA182" i="1"/>
  <c r="AB182" i="1" s="1"/>
  <c r="AC182" i="1" s="1"/>
  <c r="AA176" i="1"/>
  <c r="AB176" i="1" s="1"/>
  <c r="AC176" i="1" s="1"/>
  <c r="Z179" i="1"/>
  <c r="AA179" i="1" s="1"/>
  <c r="AB179" i="1" s="1"/>
  <c r="AC179" i="1" s="1"/>
  <c r="AA170" i="1"/>
  <c r="AB170" i="1" s="1"/>
  <c r="AC170" i="1" s="1"/>
  <c r="AA168" i="1"/>
  <c r="AB168" i="1" s="1"/>
  <c r="AC168" i="1" s="1"/>
  <c r="AA166" i="1"/>
  <c r="AB166" i="1" s="1"/>
  <c r="AC166" i="1" s="1"/>
  <c r="AA164" i="1"/>
  <c r="AB164" i="1" s="1"/>
  <c r="AC164" i="1" s="1"/>
  <c r="Z155" i="1"/>
  <c r="AA155" i="1" s="1"/>
  <c r="AB155" i="1" s="1"/>
  <c r="AC155" i="1" s="1"/>
  <c r="Z142" i="1"/>
  <c r="AA142" i="1" s="1"/>
  <c r="AB142" i="1" s="1"/>
  <c r="AC142" i="1" s="1"/>
  <c r="AP126" i="1"/>
  <c r="Z129" i="1"/>
  <c r="AA129" i="1" s="1"/>
  <c r="AP122" i="1"/>
  <c r="AA115" i="1"/>
  <c r="AB115" i="1" s="1"/>
  <c r="AC115" i="1" s="1"/>
  <c r="Z103" i="1"/>
  <c r="AA103" i="1" s="1"/>
  <c r="AB103" i="1" s="1"/>
  <c r="AC103" i="1" s="1"/>
  <c r="Z95" i="1"/>
  <c r="AA95" i="1" s="1"/>
  <c r="AA84" i="1"/>
  <c r="AB84" i="1" s="1"/>
  <c r="AC84" i="1" s="1"/>
  <c r="AA74" i="1"/>
  <c r="AB74" i="1" s="1"/>
  <c r="AC74" i="1" s="1"/>
  <c r="AA64" i="1"/>
  <c r="AB64" i="1" s="1"/>
  <c r="AC64" i="1" s="1"/>
  <c r="Z55" i="1"/>
  <c r="AA55" i="1" s="1"/>
  <c r="AB55" i="1" s="1"/>
  <c r="AC55" i="1" s="1"/>
  <c r="AA44" i="1"/>
  <c r="AB44" i="1" s="1"/>
  <c r="AC44" i="1" s="1"/>
  <c r="AB33" i="1"/>
  <c r="AC33" i="1" s="1"/>
  <c r="AA30" i="1"/>
  <c r="AB30" i="1" s="1"/>
  <c r="AC30" i="1" s="1"/>
  <c r="AA17" i="1"/>
  <c r="AB17" i="1" s="1"/>
  <c r="AC17" i="1" s="1"/>
  <c r="Z19" i="1"/>
  <c r="AA6" i="1"/>
  <c r="AB6" i="1" s="1"/>
  <c r="AC6" i="1" s="1"/>
  <c r="AA12" i="1"/>
  <c r="AB12" i="1" s="1"/>
  <c r="AC12" i="1" s="1"/>
  <c r="Z15" i="1"/>
  <c r="AA15" i="1" s="1"/>
  <c r="AA19" i="1"/>
  <c r="AA664" i="1"/>
  <c r="AB664" i="1" s="1"/>
  <c r="AC664" i="1" s="1"/>
  <c r="AA672" i="1"/>
  <c r="AA676" i="1"/>
  <c r="AA640" i="1"/>
  <c r="AB640" i="1" s="1"/>
  <c r="AC640" i="1" s="1"/>
  <c r="AB658" i="1"/>
  <c r="AC658" i="1" s="1"/>
  <c r="AB662" i="1"/>
  <c r="AC662" i="1" s="1"/>
  <c r="AB670" i="1"/>
  <c r="AC670" i="1" s="1"/>
  <c r="AB672" i="1"/>
  <c r="AB674" i="1"/>
  <c r="AC674" i="1" s="1"/>
  <c r="AB676" i="1"/>
  <c r="AC676" i="1" s="1"/>
  <c r="AB682" i="1"/>
  <c r="AC682" i="1" s="1"/>
  <c r="AB690" i="1"/>
  <c r="AB698" i="1"/>
  <c r="AB706" i="1"/>
  <c r="AC706" i="1" s="1"/>
  <c r="AB710" i="1"/>
  <c r="AC710" i="1" s="1"/>
  <c r="AB718" i="1"/>
  <c r="AB723" i="1"/>
  <c r="AB727" i="1"/>
  <c r="AC727" i="1" s="1"/>
  <c r="AB739" i="1"/>
  <c r="AC739" i="1" s="1"/>
  <c r="AB741" i="1"/>
  <c r="AB743" i="1"/>
  <c r="AB747" i="1"/>
  <c r="AB751" i="1"/>
  <c r="AC751" i="1" s="1"/>
  <c r="AB755" i="1"/>
  <c r="AC755" i="1" s="1"/>
  <c r="AB757" i="1"/>
  <c r="AB763" i="1"/>
  <c r="AB771" i="1"/>
  <c r="AB775" i="1"/>
  <c r="AB781" i="1"/>
  <c r="AB783" i="1"/>
  <c r="AC783" i="1" s="1"/>
  <c r="AB790" i="1"/>
  <c r="AC790" i="1" s="1"/>
  <c r="AB792" i="1"/>
  <c r="AB794" i="1"/>
  <c r="AC794" i="1" s="1"/>
  <c r="AB796" i="1"/>
  <c r="AC796" i="1" s="1"/>
  <c r="AB798" i="1"/>
  <c r="AB800" i="1"/>
  <c r="AB802" i="1"/>
  <c r="AB806" i="1"/>
  <c r="AC806" i="1" s="1"/>
  <c r="AB810" i="1"/>
  <c r="AC810" i="1" s="1"/>
  <c r="AB814" i="1"/>
  <c r="AC814" i="1" s="1"/>
  <c r="AB818" i="1"/>
  <c r="AC818" i="1" s="1"/>
  <c r="AB822" i="1"/>
  <c r="AC822" i="1" s="1"/>
  <c r="AB826" i="1"/>
  <c r="AC826" i="1" s="1"/>
  <c r="AB828" i="1"/>
  <c r="AB830" i="1"/>
  <c r="AC830" i="1" s="1"/>
  <c r="AB832" i="1"/>
  <c r="AC832" i="1" s="1"/>
  <c r="AB834" i="1"/>
  <c r="AC834" i="1" s="1"/>
  <c r="AB838" i="1"/>
  <c r="AC838" i="1" s="1"/>
  <c r="AB840" i="1"/>
  <c r="AC840" i="1" s="1"/>
  <c r="AB844" i="1"/>
  <c r="AB846" i="1"/>
  <c r="AC846" i="1" s="1"/>
  <c r="AB850" i="1"/>
  <c r="AC850" i="1" s="1"/>
  <c r="AB854" i="1"/>
  <c r="AC854" i="1" s="1"/>
  <c r="AB856" i="1"/>
  <c r="AC856" i="1" s="1"/>
  <c r="AB858" i="1"/>
  <c r="AC858" i="1" s="1"/>
  <c r="AB862" i="1"/>
  <c r="AB864" i="1"/>
  <c r="AC864" i="1" s="1"/>
  <c r="AB868" i="1"/>
  <c r="AC868" i="1" s="1"/>
  <c r="AB872" i="1"/>
  <c r="AC872" i="1" s="1"/>
  <c r="AB874" i="1"/>
  <c r="AB876" i="1"/>
  <c r="AC876" i="1" s="1"/>
  <c r="AB878" i="1"/>
  <c r="AC878" i="1" s="1"/>
  <c r="AB884" i="1"/>
  <c r="AB888" i="1"/>
  <c r="AB890" i="1"/>
  <c r="AB894" i="1"/>
  <c r="AB896" i="1"/>
  <c r="AB898" i="1"/>
  <c r="AC898" i="1" s="1"/>
  <c r="AB900" i="1"/>
  <c r="AB902" i="1"/>
  <c r="AC902" i="1" s="1"/>
  <c r="AB906" i="1"/>
  <c r="AC906" i="1" s="1"/>
  <c r="AB908" i="1"/>
  <c r="AC908" i="1" s="1"/>
  <c r="AB910" i="1"/>
  <c r="AC910" i="1" s="1"/>
  <c r="AB912" i="1"/>
  <c r="AB914" i="1"/>
  <c r="AC914" i="1" s="1"/>
  <c r="AB916" i="1"/>
  <c r="AC916" i="1" s="1"/>
  <c r="AB918" i="1"/>
  <c r="AB922" i="1"/>
  <c r="AC922" i="1" s="1"/>
  <c r="AB926" i="1"/>
  <c r="AB928" i="1"/>
  <c r="AB930" i="1"/>
  <c r="AB932" i="1"/>
  <c r="AB934" i="1"/>
  <c r="AB936" i="1"/>
  <c r="AB938" i="1"/>
  <c r="AB940" i="1"/>
  <c r="AB390" i="1"/>
  <c r="AC390" i="1" s="1"/>
  <c r="AB445" i="1"/>
  <c r="AC445" i="1" s="1"/>
  <c r="Y513" i="1"/>
  <c r="Z513" i="1" s="1"/>
  <c r="AB629" i="1"/>
  <c r="AC629" i="1" s="1"/>
  <c r="AB635" i="1"/>
  <c r="AC635" i="1" s="1"/>
  <c r="AB643" i="1"/>
  <c r="AC643" i="1" s="1"/>
  <c r="AB649" i="1"/>
  <c r="AC649" i="1" s="1"/>
  <c r="AB675" i="1"/>
  <c r="AB681" i="1"/>
  <c r="AC681" i="1" s="1"/>
  <c r="AB713" i="1"/>
  <c r="Y715" i="1"/>
  <c r="AA724" i="1"/>
  <c r="AB724" i="1" s="1"/>
  <c r="AC724" i="1" s="1"/>
  <c r="AA732" i="1"/>
  <c r="AB732" i="1" s="1"/>
  <c r="AC732" i="1" s="1"/>
  <c r="AA740" i="1"/>
  <c r="AB740" i="1" s="1"/>
  <c r="AC740" i="1" s="1"/>
  <c r="AB746" i="1"/>
  <c r="AC746" i="1" s="1"/>
  <c r="Y748" i="1"/>
  <c r="Z748" i="1" s="1"/>
  <c r="Y756" i="1"/>
  <c r="Z756" i="1" s="1"/>
  <c r="AA764" i="1"/>
  <c r="AB764" i="1" s="1"/>
  <c r="AC764" i="1" s="1"/>
  <c r="AA772" i="1"/>
  <c r="AB778" i="1"/>
  <c r="Y780" i="1"/>
  <c r="Z780" i="1" s="1"/>
  <c r="AB782" i="1"/>
  <c r="AC782" i="1" s="1"/>
  <c r="AB789" i="1"/>
  <c r="Y791" i="1"/>
  <c r="Z791" i="1" s="1"/>
  <c r="AB793" i="1"/>
  <c r="AC793" i="1" s="1"/>
  <c r="AB797" i="1"/>
  <c r="AC797" i="1" s="1"/>
  <c r="Y799" i="1"/>
  <c r="Z799" i="1" s="1"/>
  <c r="AB801" i="1"/>
  <c r="AC801" i="1" s="1"/>
  <c r="AA807" i="1"/>
  <c r="AB807" i="1" s="1"/>
  <c r="AC807" i="1" s="1"/>
  <c r="AA815" i="1"/>
  <c r="AA823" i="1"/>
  <c r="AB823" i="1" s="1"/>
  <c r="AC823" i="1" s="1"/>
  <c r="AB825" i="1"/>
  <c r="AC825" i="1" s="1"/>
  <c r="AB829" i="1"/>
  <c r="AC829" i="1" s="1"/>
  <c r="AA831" i="1"/>
  <c r="AA839" i="1"/>
  <c r="AB839" i="1" s="1"/>
  <c r="AC839" i="1" s="1"/>
  <c r="AA847" i="1"/>
  <c r="AB851" i="1"/>
  <c r="AC851" i="1" s="1"/>
  <c r="AA855" i="1"/>
  <c r="AB855" i="1" s="1"/>
  <c r="AC855" i="1" s="1"/>
  <c r="AB857" i="1"/>
  <c r="AB861" i="1"/>
  <c r="AC861" i="1" s="1"/>
  <c r="Y863" i="1"/>
  <c r="Z863" i="1" s="1"/>
  <c r="Y867" i="1"/>
  <c r="AB869" i="1"/>
  <c r="AA871" i="1"/>
  <c r="AB871" i="1" s="1"/>
  <c r="AC871" i="1" s="1"/>
  <c r="AA879" i="1"/>
  <c r="AB883" i="1"/>
  <c r="AC883" i="1" s="1"/>
  <c r="AA895" i="1"/>
  <c r="AB895" i="1" s="1"/>
  <c r="AC895" i="1" s="1"/>
  <c r="AA903" i="1"/>
  <c r="AA911" i="1"/>
  <c r="AB911" i="1" s="1"/>
  <c r="AC911" i="1" s="1"/>
  <c r="AB915" i="1"/>
  <c r="AA919" i="1"/>
  <c r="AB919" i="1" s="1"/>
  <c r="AC919" i="1" s="1"/>
  <c r="AA927" i="1"/>
  <c r="Y931" i="1"/>
  <c r="AB933" i="1"/>
  <c r="Y935" i="1"/>
  <c r="Z625" i="1"/>
  <c r="AA625" i="1" s="1"/>
  <c r="AB625" i="1" s="1"/>
  <c r="AC625" i="1" s="1"/>
  <c r="Z624" i="1"/>
  <c r="AA624" i="1" s="1"/>
  <c r="Z620" i="1"/>
  <c r="AA620" i="1" s="1"/>
  <c r="AA622" i="1"/>
  <c r="AB622" i="1" s="1"/>
  <c r="AC622" i="1" s="1"/>
  <c r="Y618" i="1"/>
  <c r="Z616" i="1"/>
  <c r="AA616" i="1" s="1"/>
  <c r="Z615" i="1"/>
  <c r="AA613" i="1"/>
  <c r="AB613" i="1" s="1"/>
  <c r="AC613" i="1" s="1"/>
  <c r="AA611" i="1"/>
  <c r="AB611" i="1" s="1"/>
  <c r="AC611" i="1" s="1"/>
  <c r="Z610" i="1"/>
  <c r="AA610" i="1" s="1"/>
  <c r="AB610" i="1" s="1"/>
  <c r="AC610" i="1" s="1"/>
  <c r="Y607" i="1"/>
  <c r="Z607" i="1" s="1"/>
  <c r="AA607" i="1" s="1"/>
  <c r="AA605" i="1"/>
  <c r="AB605" i="1" s="1"/>
  <c r="AC605" i="1" s="1"/>
  <c r="AA601" i="1"/>
  <c r="AB601" i="1" s="1"/>
  <c r="AC601" i="1" s="1"/>
  <c r="AA603" i="1"/>
  <c r="AB603" i="1" s="1"/>
  <c r="AC603" i="1" s="1"/>
  <c r="AA602" i="1"/>
  <c r="AB602" i="1" s="1"/>
  <c r="AC602" i="1" s="1"/>
  <c r="Z598" i="1"/>
  <c r="AA598" i="1" s="1"/>
  <c r="AB597" i="1"/>
  <c r="AC597" i="1" s="1"/>
  <c r="AA589" i="1"/>
  <c r="AB589" i="1" s="1"/>
  <c r="AC589" i="1" s="1"/>
  <c r="Z593" i="1"/>
  <c r="Y591" i="1"/>
  <c r="Z591" i="1" s="1"/>
  <c r="AA591" i="1" s="1"/>
  <c r="AA592" i="1"/>
  <c r="AB592" i="1" s="1"/>
  <c r="AC592" i="1" s="1"/>
  <c r="Y594" i="1"/>
  <c r="Z594" i="1" s="1"/>
  <c r="AA594" i="1" s="1"/>
  <c r="AB595" i="1"/>
  <c r="AC595" i="1" s="1"/>
  <c r="AB588" i="1"/>
  <c r="AC588" i="1" s="1"/>
  <c r="AA586" i="1"/>
  <c r="AB586" i="1" s="1"/>
  <c r="AC586" i="1" s="1"/>
  <c r="AA585" i="1"/>
  <c r="AB585" i="1" s="1"/>
  <c r="AC585" i="1" s="1"/>
  <c r="Z582" i="1"/>
  <c r="AA582" i="1" s="1"/>
  <c r="AB582" i="1" s="1"/>
  <c r="AC582" i="1" s="1"/>
  <c r="AA583" i="1"/>
  <c r="AB583" i="1" s="1"/>
  <c r="AC583" i="1" s="1"/>
  <c r="AA579" i="1"/>
  <c r="AB579" i="1" s="1"/>
  <c r="AC579" i="1" s="1"/>
  <c r="AA576" i="1"/>
  <c r="AB576" i="1" s="1"/>
  <c r="AC576" i="1" s="1"/>
  <c r="AA578" i="1"/>
  <c r="AB578" i="1" s="1"/>
  <c r="AC578" i="1" s="1"/>
  <c r="Z554" i="1"/>
  <c r="AA554" i="1" s="1"/>
  <c r="AB554" i="1" s="1"/>
  <c r="AC554" i="1" s="1"/>
  <c r="Z311" i="1"/>
  <c r="AA311" i="1" s="1"/>
  <c r="AB311" i="1" s="1"/>
  <c r="AC311" i="1" s="1"/>
  <c r="Z378" i="1"/>
  <c r="AA378" i="1" s="1"/>
  <c r="AB378" i="1" s="1"/>
  <c r="AC378" i="1" s="1"/>
  <c r="Z420" i="1"/>
  <c r="AA420" i="1" s="1"/>
  <c r="AB420" i="1" s="1"/>
  <c r="AC420" i="1" s="1"/>
  <c r="Z458" i="1"/>
  <c r="AA458" i="1" s="1"/>
  <c r="AB458" i="1" s="1"/>
  <c r="AC458" i="1" s="1"/>
  <c r="Z49" i="1"/>
  <c r="AA49" i="1" s="1"/>
  <c r="AB49" i="1" s="1"/>
  <c r="AC49" i="1" s="1"/>
  <c r="Z117" i="1"/>
  <c r="AA117" i="1" s="1"/>
  <c r="AB117" i="1" s="1"/>
  <c r="AC117" i="1" s="1"/>
  <c r="Z246" i="1"/>
  <c r="AA246" i="1" s="1"/>
  <c r="AB246" i="1" s="1"/>
  <c r="AC246" i="1" s="1"/>
  <c r="Z252" i="1"/>
  <c r="AA252" i="1" s="1"/>
  <c r="AB252" i="1" s="1"/>
  <c r="AC252" i="1" s="1"/>
  <c r="Z298" i="1"/>
  <c r="AA298" i="1" s="1"/>
  <c r="AB298" i="1" s="1"/>
  <c r="AC298" i="1" s="1"/>
  <c r="Z302" i="1"/>
  <c r="AA302" i="1" s="1"/>
  <c r="AB302" i="1" s="1"/>
  <c r="AC302" i="1" s="1"/>
  <c r="Z387" i="1"/>
  <c r="AA387" i="1" s="1"/>
  <c r="AB387" i="1" s="1"/>
  <c r="AC387" i="1" s="1"/>
  <c r="Z391" i="1"/>
  <c r="AA391" i="1" s="1"/>
  <c r="AB391" i="1" s="1"/>
  <c r="AC391" i="1" s="1"/>
  <c r="Z426" i="1"/>
  <c r="AA426" i="1" s="1"/>
  <c r="AB426" i="1" s="1"/>
  <c r="AC426" i="1" s="1"/>
  <c r="AA571" i="1"/>
  <c r="AA573" i="1"/>
  <c r="AB573" i="1" s="1"/>
  <c r="AC573" i="1" s="1"/>
  <c r="AB572" i="1"/>
  <c r="AC572" i="1" s="1"/>
  <c r="AA570" i="1"/>
  <c r="AB570" i="1" s="1"/>
  <c r="AC570" i="1" s="1"/>
  <c r="Z251" i="1"/>
  <c r="AA251" i="1" s="1"/>
  <c r="AB251" i="1" s="1"/>
  <c r="AC251" i="1" s="1"/>
  <c r="Z352" i="1"/>
  <c r="AA352" i="1" s="1"/>
  <c r="AB352" i="1" s="1"/>
  <c r="AC352" i="1" s="1"/>
  <c r="Z512" i="1"/>
  <c r="AA512" i="1" s="1"/>
  <c r="AB512" i="1" s="1"/>
  <c r="AC512" i="1" s="1"/>
  <c r="Z544" i="1"/>
  <c r="AA544" i="1" s="1"/>
  <c r="AB544" i="1" s="1"/>
  <c r="AC544" i="1" s="1"/>
  <c r="Z40" i="1"/>
  <c r="AA40" i="1" s="1"/>
  <c r="AB40" i="1" s="1"/>
  <c r="AC40" i="1" s="1"/>
  <c r="AA167" i="1"/>
  <c r="AB167" i="1" s="1"/>
  <c r="AC167" i="1" s="1"/>
  <c r="Z243" i="1"/>
  <c r="AA243" i="1" s="1"/>
  <c r="AB243" i="1" s="1"/>
  <c r="AC243" i="1" s="1"/>
  <c r="Z263" i="1"/>
  <c r="AA263" i="1" s="1"/>
  <c r="AB263" i="1" s="1"/>
  <c r="AC263" i="1" s="1"/>
  <c r="AA279" i="1"/>
  <c r="AB279" i="1" s="1"/>
  <c r="AC279" i="1" s="1"/>
  <c r="Z327" i="1"/>
  <c r="AA327" i="1" s="1"/>
  <c r="AB327" i="1" s="1"/>
  <c r="AC327" i="1" s="1"/>
  <c r="Z376" i="1"/>
  <c r="AA376" i="1" s="1"/>
  <c r="AB376" i="1" s="1"/>
  <c r="AC376" i="1" s="1"/>
  <c r="Z382" i="1"/>
  <c r="AA382" i="1" s="1"/>
  <c r="AB382" i="1" s="1"/>
  <c r="AC382" i="1" s="1"/>
  <c r="Z429" i="1"/>
  <c r="AA429" i="1" s="1"/>
  <c r="AB429" i="1" s="1"/>
  <c r="AC429" i="1" s="1"/>
  <c r="Z172" i="1"/>
  <c r="AA172" i="1" s="1"/>
  <c r="AB172" i="1" s="1"/>
  <c r="AC172" i="1" s="1"/>
  <c r="Z194" i="1"/>
  <c r="AA194" i="1" s="1"/>
  <c r="AB194" i="1" s="1"/>
  <c r="AC194" i="1" s="1"/>
  <c r="Z206" i="1"/>
  <c r="AA206" i="1" s="1"/>
  <c r="AB206" i="1" s="1"/>
  <c r="AC206" i="1" s="1"/>
  <c r="Z254" i="1"/>
  <c r="AA254" i="1" s="1"/>
  <c r="AB254" i="1" s="1"/>
  <c r="AC254" i="1" s="1"/>
  <c r="Z258" i="1"/>
  <c r="AA258" i="1" s="1"/>
  <c r="AB258" i="1" s="1"/>
  <c r="AC258" i="1" s="1"/>
  <c r="Z262" i="1"/>
  <c r="AA262" i="1" s="1"/>
  <c r="AB262" i="1" s="1"/>
  <c r="AC262" i="1" s="1"/>
  <c r="Z306" i="1"/>
  <c r="AA306" i="1" s="1"/>
  <c r="AB306" i="1" s="1"/>
  <c r="AC306" i="1" s="1"/>
  <c r="Z407" i="1"/>
  <c r="AA407" i="1" s="1"/>
  <c r="AB407" i="1" s="1"/>
  <c r="AC407" i="1" s="1"/>
  <c r="Z557" i="1"/>
  <c r="AA557" i="1" s="1"/>
  <c r="AB557" i="1" s="1"/>
  <c r="AC557" i="1" s="1"/>
  <c r="Z565" i="1"/>
  <c r="AA565" i="1" s="1"/>
  <c r="AB565" i="1" s="1"/>
  <c r="AC565" i="1" s="1"/>
  <c r="Z574" i="1"/>
  <c r="AB571" i="1"/>
  <c r="AC571" i="1" s="1"/>
  <c r="AA575" i="1"/>
  <c r="AB575" i="1" s="1"/>
  <c r="AC575" i="1" s="1"/>
  <c r="AB563" i="1"/>
  <c r="AC563" i="1" s="1"/>
  <c r="AA558" i="1"/>
  <c r="AB558" i="1" s="1"/>
  <c r="AC558" i="1" s="1"/>
  <c r="AA567" i="1"/>
  <c r="AB567" i="1" s="1"/>
  <c r="AC567" i="1" s="1"/>
  <c r="AB559" i="1"/>
  <c r="AC559" i="1" s="1"/>
  <c r="AB568" i="1"/>
  <c r="AC568" i="1" s="1"/>
  <c r="AA560" i="1"/>
  <c r="AB560" i="1" s="1"/>
  <c r="AC560" i="1" s="1"/>
  <c r="AA562" i="1"/>
  <c r="AA564" i="1"/>
  <c r="AB564" i="1" s="1"/>
  <c r="AC564" i="1" s="1"/>
  <c r="AA561" i="1"/>
  <c r="AB561" i="1" s="1"/>
  <c r="AC561" i="1" s="1"/>
  <c r="AB555" i="1"/>
  <c r="AC555" i="1" s="1"/>
  <c r="AB553" i="1"/>
  <c r="AC553" i="1" s="1"/>
  <c r="AA550" i="1"/>
  <c r="AA549" i="1"/>
  <c r="AB549" i="1" s="1"/>
  <c r="AC549" i="1" s="1"/>
  <c r="AA545" i="1"/>
  <c r="AB545" i="1" s="1"/>
  <c r="AC545" i="1" s="1"/>
  <c r="AA542" i="1"/>
  <c r="AA540" i="1"/>
  <c r="AB540" i="1" s="1"/>
  <c r="AC540" i="1" s="1"/>
  <c r="AA536" i="1"/>
  <c r="AB536" i="1" s="1"/>
  <c r="AC536" i="1" s="1"/>
  <c r="AA525" i="1"/>
  <c r="AB525" i="1" s="1"/>
  <c r="AC525" i="1" s="1"/>
  <c r="AB523" i="1"/>
  <c r="AC523" i="1" s="1"/>
  <c r="AA521" i="1"/>
  <c r="AB521" i="1" s="1"/>
  <c r="AC521" i="1" s="1"/>
  <c r="AA520" i="1"/>
  <c r="AA519" i="1"/>
  <c r="AB519" i="1" s="1"/>
  <c r="AC519" i="1" s="1"/>
  <c r="AA517" i="1"/>
  <c r="AB517" i="1" s="1"/>
  <c r="AC517" i="1" s="1"/>
  <c r="AA516" i="1"/>
  <c r="AA515" i="1"/>
  <c r="AA510" i="1"/>
  <c r="AB510" i="1" s="1"/>
  <c r="AC510" i="1" s="1"/>
  <c r="AA462" i="1"/>
  <c r="AB462" i="1" s="1"/>
  <c r="AC462" i="1" s="1"/>
  <c r="AA495" i="1"/>
  <c r="AB495" i="1" s="1"/>
  <c r="AC495" i="1" s="1"/>
  <c r="AA432" i="1"/>
  <c r="AB432" i="1" s="1"/>
  <c r="AC432" i="1" s="1"/>
  <c r="AA434" i="1"/>
  <c r="AB434" i="1" s="1"/>
  <c r="AC434" i="1" s="1"/>
  <c r="AA442" i="1"/>
  <c r="AB442" i="1" s="1"/>
  <c r="AC442" i="1" s="1"/>
  <c r="AA457" i="1"/>
  <c r="AA476" i="1"/>
  <c r="AA490" i="1"/>
  <c r="AB490" i="1" s="1"/>
  <c r="AC490" i="1" s="1"/>
  <c r="AA501" i="1"/>
  <c r="AA503" i="1"/>
  <c r="AB503" i="1" s="1"/>
  <c r="AC503" i="1" s="1"/>
  <c r="AA497" i="1"/>
  <c r="AB497" i="1" s="1"/>
  <c r="AC497" i="1" s="1"/>
  <c r="AA505" i="1"/>
  <c r="AA498" i="1"/>
  <c r="AB498" i="1" s="1"/>
  <c r="AC498" i="1" s="1"/>
  <c r="AA500" i="1"/>
  <c r="AA502" i="1"/>
  <c r="AB502" i="1" s="1"/>
  <c r="AC502" i="1" s="1"/>
  <c r="AA504" i="1"/>
  <c r="AA506" i="1"/>
  <c r="AB506" i="1" s="1"/>
  <c r="AC506" i="1" s="1"/>
  <c r="AA499" i="1"/>
  <c r="AA493" i="1"/>
  <c r="AA488" i="1"/>
  <c r="AA487" i="1"/>
  <c r="AB487" i="1" s="1"/>
  <c r="AC487" i="1" s="1"/>
  <c r="AA484" i="1"/>
  <c r="AB484" i="1" s="1"/>
  <c r="AC484" i="1" s="1"/>
  <c r="AA485" i="1"/>
  <c r="AA481" i="1"/>
  <c r="AB481" i="1" s="1"/>
  <c r="AC481" i="1" s="1"/>
  <c r="AA479" i="1"/>
  <c r="AB479" i="1" s="1"/>
  <c r="AC479" i="1" s="1"/>
  <c r="AA473" i="1"/>
  <c r="AA471" i="1"/>
  <c r="AA469" i="1"/>
  <c r="AB469" i="1" s="1"/>
  <c r="AC469" i="1" s="1"/>
  <c r="AA466" i="1"/>
  <c r="AA464" i="1"/>
  <c r="AB464" i="1" s="1"/>
  <c r="AC464" i="1" s="1"/>
  <c r="AA456" i="1"/>
  <c r="AA452" i="1"/>
  <c r="AB452" i="1" s="1"/>
  <c r="AC452" i="1" s="1"/>
  <c r="AA450" i="1"/>
  <c r="AB450" i="1" s="1"/>
  <c r="AC450" i="1" s="1"/>
  <c r="AA451" i="1"/>
  <c r="AB451" i="1" s="1"/>
  <c r="AC451" i="1" s="1"/>
  <c r="AA454" i="1"/>
  <c r="AB454" i="1" s="1"/>
  <c r="AC454" i="1" s="1"/>
  <c r="AA448" i="1"/>
  <c r="AB448" i="1" s="1"/>
  <c r="AC448" i="1" s="1"/>
  <c r="AA447" i="1"/>
  <c r="AB447" i="1" s="1"/>
  <c r="AC447" i="1" s="1"/>
  <c r="AA446" i="1"/>
  <c r="AB446" i="1" s="1"/>
  <c r="AC446" i="1" s="1"/>
  <c r="AA441" i="1"/>
  <c r="AB441" i="1" s="1"/>
  <c r="AC441" i="1" s="1"/>
  <c r="AA439" i="1"/>
  <c r="AP443" i="1"/>
  <c r="AA436" i="1"/>
  <c r="AB436" i="1" s="1"/>
  <c r="AC436" i="1" s="1"/>
  <c r="AA440" i="1"/>
  <c r="AA444" i="1"/>
  <c r="AB444" i="1" s="1"/>
  <c r="AC444" i="1" s="1"/>
  <c r="AA437" i="1"/>
  <c r="AB437" i="1" s="1"/>
  <c r="AC437" i="1" s="1"/>
  <c r="AB439" i="1"/>
  <c r="AC439" i="1" s="1"/>
  <c r="AA431" i="1"/>
  <c r="AB431" i="1" s="1"/>
  <c r="AC431" i="1" s="1"/>
  <c r="AA427" i="1"/>
  <c r="AA428" i="1"/>
  <c r="AB428" i="1" s="1"/>
  <c r="AC428" i="1" s="1"/>
  <c r="AA191" i="1"/>
  <c r="AA173" i="1"/>
  <c r="AA197" i="1"/>
  <c r="AB197" i="1" s="1"/>
  <c r="AC197" i="1" s="1"/>
  <c r="AA285" i="1"/>
  <c r="AA303" i="1"/>
  <c r="AA368" i="1"/>
  <c r="AA177" i="1"/>
  <c r="AB177" i="1" s="1"/>
  <c r="AC177" i="1" s="1"/>
  <c r="AA237" i="1"/>
  <c r="AB237" i="1" s="1"/>
  <c r="AC237" i="1" s="1"/>
  <c r="AA259" i="1"/>
  <c r="AB259" i="1" s="1"/>
  <c r="AC259" i="1" s="1"/>
  <c r="AA281" i="1"/>
  <c r="AB281" i="1" s="1"/>
  <c r="AC281" i="1" s="1"/>
  <c r="AB299" i="1"/>
  <c r="AC299" i="1" s="1"/>
  <c r="AA315" i="1"/>
  <c r="AB315" i="1" s="1"/>
  <c r="AC315" i="1" s="1"/>
  <c r="AA360" i="1"/>
  <c r="AB360" i="1" s="1"/>
  <c r="AC360" i="1" s="1"/>
  <c r="AA400" i="1"/>
  <c r="AB400" i="1" s="1"/>
  <c r="AC400" i="1" s="1"/>
  <c r="AA162" i="1"/>
  <c r="AB162" i="1" s="1"/>
  <c r="AC162" i="1" s="1"/>
  <c r="AA178" i="1"/>
  <c r="AB178" i="1" s="1"/>
  <c r="AC178" i="1" s="1"/>
  <c r="AA192" i="1"/>
  <c r="AB192" i="1" s="1"/>
  <c r="AC192" i="1" s="1"/>
  <c r="AA210" i="1"/>
  <c r="AB210" i="1" s="1"/>
  <c r="AC210" i="1" s="1"/>
  <c r="AA230" i="1"/>
  <c r="AB230" i="1" s="1"/>
  <c r="AC230" i="1" s="1"/>
  <c r="AA288" i="1"/>
  <c r="AB288" i="1" s="1"/>
  <c r="AC288" i="1" s="1"/>
  <c r="AA322" i="1"/>
  <c r="AB322" i="1" s="1"/>
  <c r="AC322" i="1" s="1"/>
  <c r="AA331" i="1"/>
  <c r="AB331" i="1" s="1"/>
  <c r="AC331" i="1" s="1"/>
  <c r="AA343" i="1"/>
  <c r="AB343" i="1" s="1"/>
  <c r="AC343" i="1" s="1"/>
  <c r="AA357" i="1"/>
  <c r="AB357" i="1" s="1"/>
  <c r="AC357" i="1" s="1"/>
  <c r="AA371" i="1"/>
  <c r="AB371" i="1" s="1"/>
  <c r="AC371" i="1" s="1"/>
  <c r="AA381" i="1"/>
  <c r="AB381" i="1" s="1"/>
  <c r="AC381" i="1" s="1"/>
  <c r="AA393" i="1"/>
  <c r="AA419" i="1"/>
  <c r="AB419" i="1" s="1"/>
  <c r="AC419" i="1" s="1"/>
  <c r="AA408" i="1"/>
  <c r="AA158" i="1"/>
  <c r="AB158" i="1" s="1"/>
  <c r="AC158" i="1" s="1"/>
  <c r="AA188" i="1"/>
  <c r="AB188" i="1" s="1"/>
  <c r="AC188" i="1" s="1"/>
  <c r="AA202" i="1"/>
  <c r="AB202" i="1" s="1"/>
  <c r="AC202" i="1" s="1"/>
  <c r="AA204" i="1"/>
  <c r="AB204" i="1" s="1"/>
  <c r="AC204" i="1" s="1"/>
  <c r="AA226" i="1"/>
  <c r="AB226" i="1" s="1"/>
  <c r="AC226" i="1" s="1"/>
  <c r="AA234" i="1"/>
  <c r="AB234" i="1" s="1"/>
  <c r="AC234" i="1" s="1"/>
  <c r="AA240" i="1"/>
  <c r="AB240" i="1" s="1"/>
  <c r="AC240" i="1" s="1"/>
  <c r="AA318" i="1"/>
  <c r="AB318" i="1" s="1"/>
  <c r="AC318" i="1" s="1"/>
  <c r="AA326" i="1"/>
  <c r="AA347" i="1"/>
  <c r="AB347" i="1" s="1"/>
  <c r="AC347" i="1" s="1"/>
  <c r="AA353" i="1"/>
  <c r="AB353" i="1" s="1"/>
  <c r="AC353" i="1" s="1"/>
  <c r="AA361" i="1"/>
  <c r="AB361" i="1" s="1"/>
  <c r="AC361" i="1" s="1"/>
  <c r="AA367" i="1"/>
  <c r="AB367" i="1" s="1"/>
  <c r="AC367" i="1" s="1"/>
  <c r="AB393" i="1"/>
  <c r="AC393" i="1" s="1"/>
  <c r="AA397" i="1"/>
  <c r="AB397" i="1" s="1"/>
  <c r="AC397" i="1" s="1"/>
  <c r="AA413" i="1"/>
  <c r="AB413" i="1" s="1"/>
  <c r="AC413" i="1" s="1"/>
  <c r="AA415" i="1"/>
  <c r="AB415" i="1" s="1"/>
  <c r="AC415" i="1" s="1"/>
  <c r="AA423" i="1"/>
  <c r="AA417" i="1"/>
  <c r="AA421" i="1"/>
  <c r="AA416" i="1"/>
  <c r="AB416" i="1" s="1"/>
  <c r="AC416" i="1" s="1"/>
  <c r="AA412" i="1"/>
  <c r="AB412" i="1" s="1"/>
  <c r="AC412" i="1" s="1"/>
  <c r="AA411" i="1"/>
  <c r="AB408" i="1"/>
  <c r="AC408" i="1" s="1"/>
  <c r="AA409" i="1"/>
  <c r="AB409" i="1" s="1"/>
  <c r="AC409" i="1" s="1"/>
  <c r="AA406" i="1"/>
  <c r="AA402" i="1"/>
  <c r="AB402" i="1" s="1"/>
  <c r="AC402" i="1" s="1"/>
  <c r="AA396" i="1"/>
  <c r="AB396" i="1" s="1"/>
  <c r="AC396" i="1" s="1"/>
  <c r="AA399" i="1"/>
  <c r="AA394" i="1"/>
  <c r="AA385" i="1"/>
  <c r="AA379" i="1"/>
  <c r="AA366" i="1"/>
  <c r="AA374" i="1"/>
  <c r="AB374" i="1" s="1"/>
  <c r="AC374" i="1" s="1"/>
  <c r="AA372" i="1"/>
  <c r="AB372" i="1" s="1"/>
  <c r="AC372" i="1" s="1"/>
  <c r="AA370" i="1"/>
  <c r="AA369" i="1"/>
  <c r="AA356" i="1"/>
  <c r="AB356" i="1" s="1"/>
  <c r="AC356" i="1" s="1"/>
  <c r="AA355" i="1"/>
  <c r="AA363" i="1"/>
  <c r="AA354" i="1"/>
  <c r="AA340" i="1"/>
  <c r="AA341" i="1"/>
  <c r="AB341" i="1" s="1"/>
  <c r="AC341" i="1" s="1"/>
  <c r="AA345" i="1"/>
  <c r="AB345" i="1" s="1"/>
  <c r="AC345" i="1" s="1"/>
  <c r="AA349" i="1"/>
  <c r="AB349" i="1" s="1"/>
  <c r="AC349" i="1" s="1"/>
  <c r="AA342" i="1"/>
  <c r="AB342" i="1" s="1"/>
  <c r="AC342" i="1" s="1"/>
  <c r="AA350" i="1"/>
  <c r="AB350" i="1" s="1"/>
  <c r="AC350" i="1" s="1"/>
  <c r="AA348" i="1"/>
  <c r="AA346" i="1"/>
  <c r="AB346" i="1" s="1"/>
  <c r="AC346" i="1" s="1"/>
  <c r="AA337" i="1"/>
  <c r="AA338" i="1"/>
  <c r="AB338" i="1" s="1"/>
  <c r="AC338" i="1" s="1"/>
  <c r="AA333" i="1"/>
  <c r="AB333" i="1" s="1"/>
  <c r="AC333" i="1" s="1"/>
  <c r="AA335" i="1"/>
  <c r="AA334" i="1"/>
  <c r="AB334" i="1" s="1"/>
  <c r="AC334" i="1" s="1"/>
  <c r="AB326" i="1"/>
  <c r="AC326" i="1" s="1"/>
  <c r="AA325" i="1"/>
  <c r="AB325" i="1" s="1"/>
  <c r="AC325" i="1" s="1"/>
  <c r="AA328" i="1"/>
  <c r="AA324" i="1"/>
  <c r="AB324" i="1" s="1"/>
  <c r="AC324" i="1" s="1"/>
  <c r="AA319" i="1"/>
  <c r="AB319" i="1" s="1"/>
  <c r="AC319" i="1" s="1"/>
  <c r="AA316" i="1"/>
  <c r="AA320" i="1"/>
  <c r="AA321" i="1"/>
  <c r="AB310" i="1"/>
  <c r="AC310" i="1" s="1"/>
  <c r="AA307" i="1"/>
  <c r="AB307" i="1" s="1"/>
  <c r="AC307" i="1" s="1"/>
  <c r="AA312" i="1"/>
  <c r="AB312" i="1" s="1"/>
  <c r="AC312" i="1" s="1"/>
  <c r="AA305" i="1"/>
  <c r="AA309" i="1"/>
  <c r="AA308" i="1"/>
  <c r="AA300" i="1"/>
  <c r="AA165" i="1"/>
  <c r="AB165" i="1" s="1"/>
  <c r="AC165" i="1" s="1"/>
  <c r="AA292" i="1"/>
  <c r="AB292" i="1" s="1"/>
  <c r="AC292" i="1" s="1"/>
  <c r="AA293" i="1"/>
  <c r="AB293" i="1" s="1"/>
  <c r="AC293" i="1" s="1"/>
  <c r="AA290" i="1"/>
  <c r="AA283" i="1"/>
  <c r="AB283" i="1" s="1"/>
  <c r="AC283" i="1" s="1"/>
  <c r="AA282" i="1"/>
  <c r="AB282" i="1" s="1"/>
  <c r="AC282" i="1" s="1"/>
  <c r="AA286" i="1"/>
  <c r="AA271" i="1"/>
  <c r="AB271" i="1" s="1"/>
  <c r="AC271" i="1" s="1"/>
  <c r="AA275" i="1"/>
  <c r="AA276" i="1"/>
  <c r="AA267" i="1"/>
  <c r="AA269" i="1"/>
  <c r="AB269" i="1" s="1"/>
  <c r="AC269" i="1" s="1"/>
  <c r="AA273" i="1"/>
  <c r="AB273" i="1" s="1"/>
  <c r="AC273" i="1" s="1"/>
  <c r="AA277" i="1"/>
  <c r="AB277" i="1" s="1"/>
  <c r="AC277" i="1" s="1"/>
  <c r="AA266" i="1"/>
  <c r="AB266" i="1" s="1"/>
  <c r="AC266" i="1" s="1"/>
  <c r="AA268" i="1"/>
  <c r="AA270" i="1"/>
  <c r="AB270" i="1" s="1"/>
  <c r="AC270" i="1" s="1"/>
  <c r="AA274" i="1"/>
  <c r="AB274" i="1" s="1"/>
  <c r="AC274" i="1" s="1"/>
  <c r="AA257" i="1"/>
  <c r="AA264" i="1"/>
  <c r="AA255" i="1"/>
  <c r="AB255" i="1" s="1"/>
  <c r="AC255" i="1" s="1"/>
  <c r="AA245" i="1"/>
  <c r="AA239" i="1"/>
  <c r="AB239" i="1" s="1"/>
  <c r="AC239" i="1" s="1"/>
  <c r="AA241" i="1"/>
  <c r="AA242" i="1"/>
  <c r="AA236" i="1"/>
  <c r="AB236" i="1" s="1"/>
  <c r="AC236" i="1" s="1"/>
  <c r="AA227" i="1"/>
  <c r="AB227" i="1" s="1"/>
  <c r="AC227" i="1" s="1"/>
  <c r="AA231" i="1"/>
  <c r="AA224" i="1"/>
  <c r="AB224" i="1" s="1"/>
  <c r="AC224" i="1" s="1"/>
  <c r="AA232" i="1"/>
  <c r="AB232" i="1" s="1"/>
  <c r="AC232" i="1" s="1"/>
  <c r="AA225" i="1"/>
  <c r="AB225" i="1" s="1"/>
  <c r="AC225" i="1" s="1"/>
  <c r="AA229" i="1"/>
  <c r="AB229" i="1" s="1"/>
  <c r="AC229" i="1" s="1"/>
  <c r="AA233" i="1"/>
  <c r="AB233" i="1" s="1"/>
  <c r="AC233" i="1" s="1"/>
  <c r="AA222" i="1"/>
  <c r="AB222" i="1" s="1"/>
  <c r="AC222" i="1" s="1"/>
  <c r="AA220" i="1"/>
  <c r="AA221" i="1"/>
  <c r="AA212" i="1"/>
  <c r="AA216" i="1"/>
  <c r="AA213" i="1"/>
  <c r="AA217" i="1"/>
  <c r="AA215" i="1"/>
  <c r="AB215" i="1" s="1"/>
  <c r="AC215" i="1" s="1"/>
  <c r="AA214" i="1"/>
  <c r="AB214" i="1" s="1"/>
  <c r="AC214" i="1" s="1"/>
  <c r="AA218" i="1"/>
  <c r="AB218" i="1" s="1"/>
  <c r="AC218" i="1" s="1"/>
  <c r="AA209" i="1"/>
  <c r="AA205" i="1"/>
  <c r="AA207" i="1"/>
  <c r="AB207" i="1" s="1"/>
  <c r="AC207" i="1" s="1"/>
  <c r="AA200" i="1"/>
  <c r="AB200" i="1" s="1"/>
  <c r="AC200" i="1" s="1"/>
  <c r="AA201" i="1"/>
  <c r="AA187" i="1"/>
  <c r="AB187" i="1" s="1"/>
  <c r="AC187" i="1" s="1"/>
  <c r="AA186" i="1"/>
  <c r="AA184" i="1"/>
  <c r="AB184" i="1" s="1"/>
  <c r="AC184" i="1" s="1"/>
  <c r="AA181" i="1"/>
  <c r="AA169" i="1"/>
  <c r="AB169" i="1" s="1"/>
  <c r="AC169" i="1" s="1"/>
  <c r="AA156" i="1"/>
  <c r="AA160" i="1"/>
  <c r="AB160" i="1" s="1"/>
  <c r="AC160" i="1" s="1"/>
  <c r="AA157" i="1"/>
  <c r="AA161" i="1"/>
  <c r="AA159" i="1"/>
  <c r="AB159" i="1" s="1"/>
  <c r="AC159" i="1" s="1"/>
  <c r="AA163" i="1"/>
  <c r="AB163" i="1" s="1"/>
  <c r="AC163" i="1" s="1"/>
  <c r="AA147" i="1"/>
  <c r="AB147" i="1" s="1"/>
  <c r="AC147" i="1" s="1"/>
  <c r="AA151" i="1"/>
  <c r="AB151" i="1" s="1"/>
  <c r="AC151" i="1" s="1"/>
  <c r="AA144" i="1"/>
  <c r="AB144" i="1" s="1"/>
  <c r="AC144" i="1" s="1"/>
  <c r="AA148" i="1"/>
  <c r="AB148" i="1" s="1"/>
  <c r="AC148" i="1" s="1"/>
  <c r="AA152" i="1"/>
  <c r="AB152" i="1" s="1"/>
  <c r="AC152" i="1" s="1"/>
  <c r="AA149" i="1"/>
  <c r="AA153" i="1"/>
  <c r="AA143" i="1"/>
  <c r="AB143" i="1" s="1"/>
  <c r="AC143" i="1" s="1"/>
  <c r="AP134" i="1"/>
  <c r="AA118" i="1"/>
  <c r="AA130" i="1"/>
  <c r="AA134" i="1"/>
  <c r="AB134" i="1" s="1"/>
  <c r="AC134" i="1" s="1"/>
  <c r="AA140" i="1"/>
  <c r="AP130" i="1"/>
  <c r="AP140" i="1"/>
  <c r="AA133" i="1"/>
  <c r="AB133" i="1" s="1"/>
  <c r="AC133" i="1" s="1"/>
  <c r="AA131" i="1"/>
  <c r="AA137" i="1"/>
  <c r="AA141" i="1"/>
  <c r="AA138" i="1"/>
  <c r="AA139" i="1"/>
  <c r="AB139" i="1" s="1"/>
  <c r="AC139" i="1" s="1"/>
  <c r="AA121" i="1"/>
  <c r="AB121" i="1" s="1"/>
  <c r="AC121" i="1" s="1"/>
  <c r="AA122" i="1"/>
  <c r="AB122" i="1" s="1"/>
  <c r="AC122" i="1" s="1"/>
  <c r="AA126" i="1"/>
  <c r="AB126" i="1" s="1"/>
  <c r="AC126" i="1" s="1"/>
  <c r="AA127" i="1"/>
  <c r="AA124" i="1"/>
  <c r="AA128" i="1"/>
  <c r="AA125" i="1"/>
  <c r="AB125" i="1" s="1"/>
  <c r="AC125" i="1" s="1"/>
  <c r="AA119" i="1"/>
  <c r="AB119" i="1" s="1"/>
  <c r="AC119" i="1" s="1"/>
  <c r="AA107" i="1"/>
  <c r="AB107" i="1" s="1"/>
  <c r="AC107" i="1" s="1"/>
  <c r="AA104" i="1"/>
  <c r="AB104" i="1" s="1"/>
  <c r="AC104" i="1" s="1"/>
  <c r="AA108" i="1"/>
  <c r="AB108" i="1" s="1"/>
  <c r="AC108" i="1" s="1"/>
  <c r="AA105" i="1"/>
  <c r="AA109" i="1"/>
  <c r="AB109" i="1" s="1"/>
  <c r="AC109" i="1" s="1"/>
  <c r="AA114" i="1"/>
  <c r="AA106" i="1"/>
  <c r="AB106" i="1" s="1"/>
  <c r="AC106" i="1" s="1"/>
  <c r="AA110" i="1"/>
  <c r="AA111" i="1"/>
  <c r="AB111" i="1" s="1"/>
  <c r="AC111" i="1" s="1"/>
  <c r="AA101" i="1"/>
  <c r="AB101" i="1" s="1"/>
  <c r="AC101" i="1" s="1"/>
  <c r="AA100" i="1"/>
  <c r="AB100" i="1" s="1"/>
  <c r="AC100" i="1" s="1"/>
  <c r="AA102" i="1"/>
  <c r="AA99" i="1"/>
  <c r="AA97" i="1"/>
  <c r="AA86" i="1"/>
  <c r="AB86" i="1" s="1"/>
  <c r="AC86" i="1" s="1"/>
  <c r="AA88" i="1"/>
  <c r="AB88" i="1" s="1"/>
  <c r="AC88" i="1" s="1"/>
  <c r="AA93" i="1"/>
  <c r="AB93" i="1" s="1"/>
  <c r="AC93" i="1" s="1"/>
  <c r="AA85" i="1"/>
  <c r="AB85" i="1" s="1"/>
  <c r="AC85" i="1" s="1"/>
  <c r="AA87" i="1"/>
  <c r="AA94" i="1"/>
  <c r="AB94" i="1" s="1"/>
  <c r="AC94" i="1" s="1"/>
  <c r="AA91" i="1"/>
  <c r="AA77" i="1"/>
  <c r="AB77" i="1" s="1"/>
  <c r="AC77" i="1" s="1"/>
  <c r="AA80" i="1"/>
  <c r="AB80" i="1" s="1"/>
  <c r="AC80" i="1" s="1"/>
  <c r="AA79" i="1"/>
  <c r="AB79" i="1" s="1"/>
  <c r="AC79" i="1" s="1"/>
  <c r="AA76" i="1"/>
  <c r="AA81" i="1"/>
  <c r="AA83" i="1"/>
  <c r="AA82" i="1"/>
  <c r="AA67" i="1"/>
  <c r="AB67" i="1" s="1"/>
  <c r="AC67" i="1" s="1"/>
  <c r="AA68" i="1"/>
  <c r="AB68" i="1" s="1"/>
  <c r="AC68" i="1" s="1"/>
  <c r="AA70" i="1"/>
  <c r="AA72" i="1"/>
  <c r="AB72" i="1" s="1"/>
  <c r="AC72" i="1" s="1"/>
  <c r="AA71" i="1"/>
  <c r="AA69" i="1"/>
  <c r="AB69" i="1" s="1"/>
  <c r="AC69" i="1" s="1"/>
  <c r="AA73" i="1"/>
  <c r="AB73" i="1" s="1"/>
  <c r="AC73" i="1" s="1"/>
  <c r="AA66" i="1"/>
  <c r="AB66" i="1" s="1"/>
  <c r="AC66" i="1" s="1"/>
  <c r="AA65" i="1"/>
  <c r="AA62" i="1"/>
  <c r="AB62" i="1" s="1"/>
  <c r="AC62" i="1" s="1"/>
  <c r="AA60" i="1"/>
  <c r="AA59" i="1"/>
  <c r="AB59" i="1" s="1"/>
  <c r="AC59" i="1" s="1"/>
  <c r="AA58" i="1"/>
  <c r="AB58" i="1" s="1"/>
  <c r="AC58" i="1" s="1"/>
  <c r="AA13" i="1"/>
  <c r="AB13" i="1" s="1"/>
  <c r="AC13" i="1" s="1"/>
  <c r="AA3" i="1"/>
  <c r="AB3" i="1" s="1"/>
  <c r="AC3" i="1" s="1"/>
  <c r="AA14" i="1"/>
  <c r="AB14" i="1" s="1"/>
  <c r="AC14" i="1" s="1"/>
  <c r="AA11" i="1"/>
  <c r="AB11" i="1" s="1"/>
  <c r="AC11" i="1" s="1"/>
  <c r="AA5" i="1"/>
  <c r="AB5" i="1" s="1"/>
  <c r="AC5" i="1" s="1"/>
  <c r="AA8" i="1"/>
  <c r="AB8" i="1" s="1"/>
  <c r="AC8" i="1" s="1"/>
  <c r="AA9" i="1"/>
  <c r="AB9" i="1" s="1"/>
  <c r="AC9" i="1" s="1"/>
  <c r="AA54" i="1"/>
  <c r="AB54" i="1" s="1"/>
  <c r="AC54" i="1" s="1"/>
  <c r="AA52" i="1"/>
  <c r="AB52" i="1" s="1"/>
  <c r="AC52" i="1" s="1"/>
  <c r="AA51" i="1"/>
  <c r="AB51" i="1" s="1"/>
  <c r="AC51" i="1" s="1"/>
  <c r="AA45" i="1"/>
  <c r="AB45" i="1" s="1"/>
  <c r="AC45" i="1" s="1"/>
  <c r="AA42" i="1"/>
  <c r="AB42" i="1" s="1"/>
  <c r="AC42" i="1" s="1"/>
  <c r="AA39" i="1"/>
  <c r="AB39" i="1" s="1"/>
  <c r="AC39" i="1" s="1"/>
  <c r="AA37" i="1"/>
  <c r="AB37" i="1" s="1"/>
  <c r="AC37" i="1" s="1"/>
  <c r="AA36" i="1"/>
  <c r="AB36" i="1" s="1"/>
  <c r="AC36" i="1" s="1"/>
  <c r="AA35" i="1"/>
  <c r="AB35" i="1" s="1"/>
  <c r="AC35" i="1" s="1"/>
  <c r="AA34" i="1"/>
  <c r="AB34" i="1" s="1"/>
  <c r="AC34" i="1" s="1"/>
  <c r="AA31" i="1"/>
  <c r="AB31" i="1" s="1"/>
  <c r="AC31" i="1" s="1"/>
  <c r="AA29" i="1"/>
  <c r="AA28" i="1"/>
  <c r="AB28" i="1" s="1"/>
  <c r="AC28" i="1" s="1"/>
  <c r="AA26" i="1"/>
  <c r="AB26" i="1" s="1"/>
  <c r="AC26" i="1" s="1"/>
  <c r="AA25" i="1"/>
  <c r="AA22" i="1"/>
  <c r="AB22" i="1" s="1"/>
  <c r="AC22" i="1" s="1"/>
  <c r="AA21" i="1"/>
  <c r="AB21" i="1" s="1"/>
  <c r="AC21" i="1" s="1"/>
  <c r="AA20" i="1"/>
  <c r="AB20" i="1" s="1"/>
  <c r="AC20" i="1" s="1"/>
  <c r="AA18" i="1"/>
  <c r="AB18" i="1" s="1"/>
  <c r="AC18" i="1" s="1"/>
  <c r="AA917" i="1" l="1"/>
  <c r="AB917" i="1" s="1"/>
  <c r="AC917" i="1" s="1"/>
  <c r="AA909" i="1"/>
  <c r="AB909" i="1" s="1"/>
  <c r="AC909" i="1" s="1"/>
  <c r="AB904" i="1"/>
  <c r="AC904" i="1" s="1"/>
  <c r="Z901" i="1"/>
  <c r="AB905" i="1"/>
  <c r="AC905" i="1" s="1"/>
  <c r="Z889" i="1"/>
  <c r="AA887" i="1"/>
  <c r="AB887" i="1" s="1"/>
  <c r="AC887" i="1" s="1"/>
  <c r="AA885" i="1"/>
  <c r="Z885" i="1"/>
  <c r="AB885" i="1" s="1"/>
  <c r="AC885" i="1" s="1"/>
  <c r="AA873" i="1"/>
  <c r="AB873" i="1" s="1"/>
  <c r="AC873" i="1" s="1"/>
  <c r="Z841" i="1"/>
  <c r="AB843" i="1"/>
  <c r="AC843" i="1" s="1"/>
  <c r="AB836" i="1"/>
  <c r="AC836" i="1" s="1"/>
  <c r="AA835" i="1"/>
  <c r="AB835" i="1" s="1"/>
  <c r="AC835" i="1" s="1"/>
  <c r="AB817" i="1"/>
  <c r="AC817" i="1" s="1"/>
  <c r="AB819" i="1"/>
  <c r="AC819" i="1" s="1"/>
  <c r="AB824" i="1"/>
  <c r="AC824" i="1" s="1"/>
  <c r="AB820" i="1"/>
  <c r="AC820" i="1" s="1"/>
  <c r="AB816" i="1"/>
  <c r="AC816" i="1" s="1"/>
  <c r="AA817" i="1"/>
  <c r="AA827" i="1"/>
  <c r="AB827" i="1" s="1"/>
  <c r="AC827" i="1" s="1"/>
  <c r="AA811" i="1"/>
  <c r="AB811" i="1" s="1"/>
  <c r="AC811" i="1" s="1"/>
  <c r="AB803" i="1"/>
  <c r="AC803" i="1" s="1"/>
  <c r="AA799" i="1"/>
  <c r="AB799" i="1" s="1"/>
  <c r="AC799" i="1" s="1"/>
  <c r="AA795" i="1"/>
  <c r="AB795" i="1"/>
  <c r="AC795" i="1" s="1"/>
  <c r="AA627" i="1"/>
  <c r="AB627" i="1" s="1"/>
  <c r="AC627" i="1" s="1"/>
  <c r="AB780" i="1"/>
  <c r="AC780" i="1" s="1"/>
  <c r="AA780" i="1"/>
  <c r="AB772" i="1"/>
  <c r="AC772" i="1" s="1"/>
  <c r="AB659" i="1"/>
  <c r="AC659" i="1" s="1"/>
  <c r="AB791" i="1"/>
  <c r="AC791" i="1" s="1"/>
  <c r="AA791" i="1"/>
  <c r="AB785" i="1"/>
  <c r="AC785" i="1" s="1"/>
  <c r="AA777" i="1"/>
  <c r="AB777" i="1"/>
  <c r="AC777" i="1" s="1"/>
  <c r="AA776" i="1"/>
  <c r="AB776" i="1" s="1"/>
  <c r="AC776" i="1" s="1"/>
  <c r="AB774" i="1"/>
  <c r="AC774" i="1" s="1"/>
  <c r="AA769" i="1"/>
  <c r="AB769" i="1" s="1"/>
  <c r="AC769" i="1" s="1"/>
  <c r="AA770" i="1"/>
  <c r="AB770" i="1" s="1"/>
  <c r="AC770" i="1" s="1"/>
  <c r="AA761" i="1"/>
  <c r="AB761" i="1" s="1"/>
  <c r="AC761" i="1" s="1"/>
  <c r="AA762" i="1"/>
  <c r="AB762" i="1" s="1"/>
  <c r="AC762" i="1" s="1"/>
  <c r="AA721" i="1"/>
  <c r="AB721" i="1"/>
  <c r="AC721" i="1" s="1"/>
  <c r="AA680" i="1"/>
  <c r="AB680" i="1" s="1"/>
  <c r="AC680" i="1" s="1"/>
  <c r="AB19" i="1"/>
  <c r="AC19" i="1" s="1"/>
  <c r="AB654" i="1"/>
  <c r="AC654" i="1" s="1"/>
  <c r="AA756" i="1"/>
  <c r="AB756" i="1" s="1"/>
  <c r="AC756" i="1" s="1"/>
  <c r="AB753" i="1"/>
  <c r="AC753" i="1" s="1"/>
  <c r="AA754" i="1"/>
  <c r="AB754" i="1" s="1"/>
  <c r="AC754" i="1" s="1"/>
  <c r="AA748" i="1"/>
  <c r="AB748" i="1" s="1"/>
  <c r="AC748" i="1" s="1"/>
  <c r="AA744" i="1"/>
  <c r="AB744" i="1" s="1"/>
  <c r="AC744" i="1" s="1"/>
  <c r="AB745" i="1"/>
  <c r="AC745" i="1" s="1"/>
  <c r="AA742" i="1"/>
  <c r="AB742" i="1" s="1"/>
  <c r="AC742" i="1" s="1"/>
  <c r="AB737" i="1"/>
  <c r="AC737" i="1" s="1"/>
  <c r="AB734" i="1"/>
  <c r="AC734" i="1" s="1"/>
  <c r="Z738" i="1"/>
  <c r="AA738" i="1" s="1"/>
  <c r="AA736" i="1"/>
  <c r="AB736" i="1" s="1"/>
  <c r="AC736" i="1" s="1"/>
  <c r="AB729" i="1"/>
  <c r="AC729" i="1" s="1"/>
  <c r="Z728" i="1"/>
  <c r="AA728" i="1" s="1"/>
  <c r="AA692" i="1"/>
  <c r="AB692" i="1" s="1"/>
  <c r="AC692" i="1" s="1"/>
  <c r="AA615" i="1"/>
  <c r="AB615" i="1" s="1"/>
  <c r="AC615" i="1" s="1"/>
  <c r="AB722" i="1"/>
  <c r="AC722" i="1" s="1"/>
  <c r="AA719" i="1"/>
  <c r="AB719" i="1" s="1"/>
  <c r="AC719" i="1" s="1"/>
  <c r="AA717" i="1"/>
  <c r="AB717" i="1" s="1"/>
  <c r="AC717" i="1" s="1"/>
  <c r="AB716" i="1"/>
  <c r="AC716" i="1" s="1"/>
  <c r="AA712" i="1"/>
  <c r="AB712" i="1" s="1"/>
  <c r="AC712" i="1" s="1"/>
  <c r="AA705" i="1"/>
  <c r="AB705" i="1" s="1"/>
  <c r="AC705" i="1" s="1"/>
  <c r="AB708" i="1"/>
  <c r="AC708" i="1" s="1"/>
  <c r="AA697" i="1"/>
  <c r="AB697" i="1" s="1"/>
  <c r="AC697" i="1" s="1"/>
  <c r="AA691" i="1"/>
  <c r="AB691" i="1" s="1"/>
  <c r="AC691" i="1" s="1"/>
  <c r="AA688" i="1"/>
  <c r="AB688" i="1" s="1"/>
  <c r="AC688" i="1" s="1"/>
  <c r="Z689" i="1"/>
  <c r="AA689" i="1" s="1"/>
  <c r="AA684" i="1"/>
  <c r="AB684" i="1" s="1"/>
  <c r="AC684" i="1" s="1"/>
  <c r="AA683" i="1"/>
  <c r="AB683" i="1" s="1"/>
  <c r="AC683" i="1" s="1"/>
  <c r="AA677" i="1"/>
  <c r="AB677" i="1" s="1"/>
  <c r="AC677" i="1" s="1"/>
  <c r="AA679" i="1"/>
  <c r="AB679" i="1" s="1"/>
  <c r="AC679" i="1" s="1"/>
  <c r="AA673" i="1"/>
  <c r="AB673" i="1" s="1"/>
  <c r="AC673" i="1" s="1"/>
  <c r="AA655" i="1"/>
  <c r="AB655" i="1" s="1"/>
  <c r="AC655" i="1" s="1"/>
  <c r="AB650" i="1"/>
  <c r="AC650" i="1" s="1"/>
  <c r="AB634" i="1"/>
  <c r="AC634" i="1" s="1"/>
  <c r="AA638" i="1"/>
  <c r="AB638" i="1" s="1"/>
  <c r="AC638" i="1" s="1"/>
  <c r="Z631" i="1"/>
  <c r="AA631" i="1" s="1"/>
  <c r="AA617" i="1"/>
  <c r="AB617" i="1" s="1"/>
  <c r="AC617" i="1" s="1"/>
  <c r="AA612" i="1"/>
  <c r="AB612" i="1" s="1"/>
  <c r="AC612" i="1" s="1"/>
  <c r="AA667" i="1"/>
  <c r="AB667" i="1" s="1"/>
  <c r="AC667" i="1" s="1"/>
  <c r="AA666" i="1"/>
  <c r="AB666" i="1" s="1"/>
  <c r="AC666" i="1" s="1"/>
  <c r="AA668" i="1"/>
  <c r="AB668" i="1" s="1"/>
  <c r="AC668" i="1" s="1"/>
  <c r="AA660" i="1"/>
  <c r="AB660" i="1" s="1"/>
  <c r="AC660" i="1" s="1"/>
  <c r="AA656" i="1"/>
  <c r="AB656" i="1" s="1"/>
  <c r="AC656" i="1" s="1"/>
  <c r="AA651" i="1"/>
  <c r="AB651" i="1"/>
  <c r="AC651" i="1" s="1"/>
  <c r="AA648" i="1"/>
  <c r="AB648" i="1" s="1"/>
  <c r="AC648" i="1" s="1"/>
  <c r="AB645" i="1"/>
  <c r="AC645" i="1" s="1"/>
  <c r="AA637" i="1"/>
  <c r="AB637" i="1" s="1"/>
  <c r="AC637" i="1" s="1"/>
  <c r="AA633" i="1"/>
  <c r="AB633" i="1" s="1"/>
  <c r="AC633" i="1" s="1"/>
  <c r="AA632" i="1"/>
  <c r="AB632" i="1" s="1"/>
  <c r="AC632" i="1" s="1"/>
  <c r="AB414" i="1"/>
  <c r="AC414" i="1" s="1"/>
  <c r="AB388" i="1"/>
  <c r="AC388" i="1" s="1"/>
  <c r="AA574" i="1"/>
  <c r="AB574" i="1" s="1"/>
  <c r="AC574" i="1" s="1"/>
  <c r="AA533" i="1"/>
  <c r="AB533" i="1" s="1"/>
  <c r="AC533" i="1" s="1"/>
  <c r="AB537" i="1"/>
  <c r="AC537" i="1" s="1"/>
  <c r="AB530" i="1"/>
  <c r="AC530" i="1" s="1"/>
  <c r="AB522" i="1"/>
  <c r="AC522" i="1" s="1"/>
  <c r="AA513" i="1"/>
  <c r="AB513" i="1" s="1"/>
  <c r="AC513" i="1" s="1"/>
  <c r="AA491" i="1"/>
  <c r="AB491" i="1" s="1"/>
  <c r="AC491" i="1" s="1"/>
  <c r="AA468" i="1"/>
  <c r="AB468" i="1" s="1"/>
  <c r="AC468" i="1" s="1"/>
  <c r="AB344" i="1"/>
  <c r="AC344" i="1" s="1"/>
  <c r="AB235" i="1"/>
  <c r="AC235" i="1" s="1"/>
  <c r="AB403" i="1"/>
  <c r="AC403" i="1" s="1"/>
  <c r="AB289" i="1"/>
  <c r="AC289" i="1" s="1"/>
  <c r="AA223" i="1"/>
  <c r="AB223" i="1" s="1"/>
  <c r="AC223" i="1" s="1"/>
  <c r="AB198" i="1"/>
  <c r="AC198" i="1" s="1"/>
  <c r="AB129" i="1"/>
  <c r="AC129" i="1" s="1"/>
  <c r="AB95" i="1"/>
  <c r="AC95" i="1" s="1"/>
  <c r="AB15" i="1"/>
  <c r="AC15" i="1" s="1"/>
  <c r="AB624" i="1"/>
  <c r="AC624" i="1" s="1"/>
  <c r="AB620" i="1"/>
  <c r="AC620" i="1" s="1"/>
  <c r="Z618" i="1"/>
  <c r="AA618" i="1" s="1"/>
  <c r="AB616" i="1"/>
  <c r="AC616" i="1" s="1"/>
  <c r="AB607" i="1"/>
  <c r="AC607" i="1" s="1"/>
  <c r="AB598" i="1"/>
  <c r="AC598" i="1" s="1"/>
  <c r="AB594" i="1"/>
  <c r="AC594" i="1" s="1"/>
  <c r="AB591" i="1"/>
  <c r="AC591" i="1" s="1"/>
  <c r="AA593" i="1"/>
  <c r="AB593" i="1" s="1"/>
  <c r="AC593" i="1" s="1"/>
  <c r="AB562" i="1"/>
  <c r="AC562" i="1" s="1"/>
  <c r="AA552" i="1"/>
  <c r="AB552" i="1" s="1"/>
  <c r="AC552" i="1" s="1"/>
  <c r="AB550" i="1"/>
  <c r="AC550" i="1" s="1"/>
  <c r="AA546" i="1"/>
  <c r="AB546" i="1" s="1"/>
  <c r="AC546" i="1" s="1"/>
  <c r="AA543" i="1"/>
  <c r="AB543" i="1" s="1"/>
  <c r="AC543" i="1" s="1"/>
  <c r="AB542" i="1"/>
  <c r="AC542" i="1" s="1"/>
  <c r="AA538" i="1"/>
  <c r="AB538" i="1" s="1"/>
  <c r="AC538" i="1" s="1"/>
  <c r="AA534" i="1"/>
  <c r="AB534" i="1" s="1"/>
  <c r="AC534" i="1" s="1"/>
  <c r="AB493" i="1"/>
  <c r="AC493" i="1" s="1"/>
  <c r="AA532" i="1"/>
  <c r="AB532" i="1" s="1"/>
  <c r="AC532" i="1" s="1"/>
  <c r="AA526" i="1"/>
  <c r="AB526" i="1" s="1"/>
  <c r="AC526" i="1" s="1"/>
  <c r="AB520" i="1"/>
  <c r="AC520" i="1" s="1"/>
  <c r="AA518" i="1"/>
  <c r="AB518" i="1" s="1"/>
  <c r="AC518" i="1" s="1"/>
  <c r="AB516" i="1"/>
  <c r="AC516" i="1" s="1"/>
  <c r="AB515" i="1"/>
  <c r="AC515" i="1" s="1"/>
  <c r="AA514" i="1"/>
  <c r="AB514" i="1" s="1"/>
  <c r="AC514" i="1" s="1"/>
  <c r="AA509" i="1"/>
  <c r="AB509" i="1" s="1"/>
  <c r="AC509" i="1" s="1"/>
  <c r="AA508" i="1"/>
  <c r="AB508" i="1" s="1"/>
  <c r="AC508" i="1" s="1"/>
  <c r="AA435" i="1"/>
  <c r="AB435" i="1" s="1"/>
  <c r="AC435" i="1" s="1"/>
  <c r="AA467" i="1"/>
  <c r="AB467" i="1" s="1"/>
  <c r="AC467" i="1" s="1"/>
  <c r="AB500" i="1"/>
  <c r="AC500" i="1" s="1"/>
  <c r="AB457" i="1"/>
  <c r="AC457" i="1" s="1"/>
  <c r="AA438" i="1"/>
  <c r="AB438" i="1" s="1"/>
  <c r="AC438" i="1" s="1"/>
  <c r="AB118" i="1"/>
  <c r="AC118" i="1" s="1"/>
  <c r="AB285" i="1"/>
  <c r="AC285" i="1" s="1"/>
  <c r="AA460" i="1"/>
  <c r="AB460" i="1" s="1"/>
  <c r="AC460" i="1" s="1"/>
  <c r="AB466" i="1"/>
  <c r="AC466" i="1" s="1"/>
  <c r="AB471" i="1"/>
  <c r="AC471" i="1" s="1"/>
  <c r="AB473" i="1"/>
  <c r="AC473" i="1" s="1"/>
  <c r="AA475" i="1"/>
  <c r="AB475" i="1" s="1"/>
  <c r="AC475" i="1" s="1"/>
  <c r="AB476" i="1"/>
  <c r="AC476" i="1" s="1"/>
  <c r="AB485" i="1"/>
  <c r="AC485" i="1" s="1"/>
  <c r="AB504" i="1"/>
  <c r="AC504" i="1" s="1"/>
  <c r="AB505" i="1"/>
  <c r="AC505" i="1" s="1"/>
  <c r="AB499" i="1"/>
  <c r="AC499" i="1" s="1"/>
  <c r="AB501" i="1"/>
  <c r="AC501" i="1" s="1"/>
  <c r="AA494" i="1"/>
  <c r="AB494" i="1" s="1"/>
  <c r="AC494" i="1" s="1"/>
  <c r="AB488" i="1"/>
  <c r="AC488" i="1" s="1"/>
  <c r="AA486" i="1"/>
  <c r="AB486" i="1" s="1"/>
  <c r="AC486" i="1" s="1"/>
  <c r="AA482" i="1"/>
  <c r="AB482" i="1" s="1"/>
  <c r="AC482" i="1" s="1"/>
  <c r="AA478" i="1"/>
  <c r="AB478" i="1" s="1"/>
  <c r="AC478" i="1" s="1"/>
  <c r="AB456" i="1"/>
  <c r="AC456" i="1" s="1"/>
  <c r="AA453" i="1"/>
  <c r="AB453" i="1" s="1"/>
  <c r="AC453" i="1" s="1"/>
  <c r="AA449" i="1"/>
  <c r="AB449" i="1" s="1"/>
  <c r="AC449" i="1" s="1"/>
  <c r="AA443" i="1"/>
  <c r="AB443" i="1" s="1"/>
  <c r="AC443" i="1" s="1"/>
  <c r="AB440" i="1"/>
  <c r="AC440" i="1" s="1"/>
  <c r="AB427" i="1"/>
  <c r="AC427" i="1" s="1"/>
  <c r="AA150" i="1"/>
  <c r="AB150" i="1" s="1"/>
  <c r="AC150" i="1" s="1"/>
  <c r="AB161" i="1"/>
  <c r="AC161" i="1" s="1"/>
  <c r="AB186" i="1"/>
  <c r="AC186" i="1" s="1"/>
  <c r="AB213" i="1"/>
  <c r="AC213" i="1" s="1"/>
  <c r="AB275" i="1"/>
  <c r="AC275" i="1" s="1"/>
  <c r="AB267" i="1"/>
  <c r="AC267" i="1" s="1"/>
  <c r="AA313" i="1"/>
  <c r="AB313" i="1" s="1"/>
  <c r="AC313" i="1" s="1"/>
  <c r="AB335" i="1"/>
  <c r="AC335" i="1" s="1"/>
  <c r="AB348" i="1"/>
  <c r="AC348" i="1" s="1"/>
  <c r="AA358" i="1"/>
  <c r="AB358" i="1" s="1"/>
  <c r="AC358" i="1" s="1"/>
  <c r="AB370" i="1"/>
  <c r="AC370" i="1" s="1"/>
  <c r="AA145" i="1"/>
  <c r="AB145" i="1" s="1"/>
  <c r="AC145" i="1" s="1"/>
  <c r="AB157" i="1"/>
  <c r="AC157" i="1" s="1"/>
  <c r="AB201" i="1"/>
  <c r="AC201" i="1" s="1"/>
  <c r="AB216" i="1"/>
  <c r="AC216" i="1" s="1"/>
  <c r="AB217" i="1"/>
  <c r="AC217" i="1" s="1"/>
  <c r="AA272" i="1"/>
  <c r="AB272" i="1" s="1"/>
  <c r="AC272" i="1" s="1"/>
  <c r="AB276" i="1"/>
  <c r="AC276" i="1" s="1"/>
  <c r="AB268" i="1"/>
  <c r="AC268" i="1" s="1"/>
  <c r="AB290" i="1"/>
  <c r="AC290" i="1" s="1"/>
  <c r="AA301" i="1"/>
  <c r="AB301" i="1" s="1"/>
  <c r="AC301" i="1" s="1"/>
  <c r="AB321" i="1"/>
  <c r="AC321" i="1" s="1"/>
  <c r="AB340" i="1"/>
  <c r="AC340" i="1" s="1"/>
  <c r="AB354" i="1"/>
  <c r="AC354" i="1" s="1"/>
  <c r="AB369" i="1"/>
  <c r="AC369" i="1" s="1"/>
  <c r="AB366" i="1"/>
  <c r="AC366" i="1" s="1"/>
  <c r="AB385" i="1"/>
  <c r="AC385" i="1" s="1"/>
  <c r="AA389" i="1"/>
  <c r="AB389" i="1" s="1"/>
  <c r="AC389" i="1" s="1"/>
  <c r="AB394" i="1"/>
  <c r="AC394" i="1" s="1"/>
  <c r="AB406" i="1"/>
  <c r="AC406" i="1" s="1"/>
  <c r="AB368" i="1"/>
  <c r="AC368" i="1" s="1"/>
  <c r="AB303" i="1"/>
  <c r="AC303" i="1" s="1"/>
  <c r="AB173" i="1"/>
  <c r="AC173" i="1" s="1"/>
  <c r="AA295" i="1"/>
  <c r="AB295" i="1" s="1"/>
  <c r="AC295" i="1" s="1"/>
  <c r="AA199" i="1"/>
  <c r="AB199" i="1" s="1"/>
  <c r="AC199" i="1" s="1"/>
  <c r="AB191" i="1"/>
  <c r="AC191" i="1" s="1"/>
  <c r="AA424" i="1"/>
  <c r="AB424" i="1" s="1"/>
  <c r="AC424" i="1" s="1"/>
  <c r="AB423" i="1"/>
  <c r="AC423" i="1" s="1"/>
  <c r="AB421" i="1"/>
  <c r="AC421" i="1" s="1"/>
  <c r="AA418" i="1"/>
  <c r="AB418" i="1" s="1"/>
  <c r="AC418" i="1" s="1"/>
  <c r="AB417" i="1"/>
  <c r="AC417" i="1" s="1"/>
  <c r="AB411" i="1"/>
  <c r="AC411" i="1" s="1"/>
  <c r="AA404" i="1"/>
  <c r="AB404" i="1" s="1"/>
  <c r="AC404" i="1" s="1"/>
  <c r="AA395" i="1"/>
  <c r="AB395" i="1" s="1"/>
  <c r="AC395" i="1" s="1"/>
  <c r="AB399" i="1"/>
  <c r="AC399" i="1" s="1"/>
  <c r="AA398" i="1"/>
  <c r="AB398" i="1" s="1"/>
  <c r="AC398" i="1" s="1"/>
  <c r="AA384" i="1"/>
  <c r="AB384" i="1" s="1"/>
  <c r="AC384" i="1" s="1"/>
  <c r="AB379" i="1"/>
  <c r="AC379" i="1" s="1"/>
  <c r="AA373" i="1"/>
  <c r="AB373" i="1" s="1"/>
  <c r="AC373" i="1" s="1"/>
  <c r="AA365" i="1"/>
  <c r="AB365" i="1" s="1"/>
  <c r="AC365" i="1" s="1"/>
  <c r="AA362" i="1"/>
  <c r="AB362" i="1" s="1"/>
  <c r="AC362" i="1" s="1"/>
  <c r="AB363" i="1"/>
  <c r="AC363" i="1" s="1"/>
  <c r="AB355" i="1"/>
  <c r="AC355" i="1" s="1"/>
  <c r="AA359" i="1"/>
  <c r="AB359" i="1" s="1"/>
  <c r="AC359" i="1" s="1"/>
  <c r="AB337" i="1"/>
  <c r="AC337" i="1" s="1"/>
  <c r="AB328" i="1"/>
  <c r="AC328" i="1" s="1"/>
  <c r="AA330" i="1"/>
  <c r="AB330" i="1" s="1"/>
  <c r="AC330" i="1" s="1"/>
  <c r="AB316" i="1"/>
  <c r="AC316" i="1" s="1"/>
  <c r="AB320" i="1"/>
  <c r="AC320" i="1" s="1"/>
  <c r="AA317" i="1"/>
  <c r="AB317" i="1" s="1"/>
  <c r="AC317" i="1" s="1"/>
  <c r="AB308" i="1"/>
  <c r="AC308" i="1" s="1"/>
  <c r="AB309" i="1"/>
  <c r="AC309" i="1" s="1"/>
  <c r="AB305" i="1"/>
  <c r="AC305" i="1" s="1"/>
  <c r="AB300" i="1"/>
  <c r="AC300" i="1" s="1"/>
  <c r="AA297" i="1"/>
  <c r="AB297" i="1" s="1"/>
  <c r="AC297" i="1" s="1"/>
  <c r="AB286" i="1"/>
  <c r="AC286" i="1" s="1"/>
  <c r="AA287" i="1"/>
  <c r="AB287" i="1" s="1"/>
  <c r="AC287" i="1" s="1"/>
  <c r="AB264" i="1"/>
  <c r="AC264" i="1" s="1"/>
  <c r="AB257" i="1"/>
  <c r="AC257" i="1" s="1"/>
  <c r="AA256" i="1"/>
  <c r="AB256" i="1" s="1"/>
  <c r="AC256" i="1" s="1"/>
  <c r="AA260" i="1"/>
  <c r="AB260" i="1" s="1"/>
  <c r="AC260" i="1" s="1"/>
  <c r="AA261" i="1"/>
  <c r="AB261" i="1" s="1"/>
  <c r="AC261" i="1" s="1"/>
  <c r="AA249" i="1"/>
  <c r="AB249" i="1" s="1"/>
  <c r="AC249" i="1" s="1"/>
  <c r="AA250" i="1"/>
  <c r="AB250" i="1" s="1"/>
  <c r="AC250" i="1" s="1"/>
  <c r="AB245" i="1"/>
  <c r="AC245" i="1" s="1"/>
  <c r="AB242" i="1"/>
  <c r="AC242" i="1" s="1"/>
  <c r="AB241" i="1"/>
  <c r="AC241" i="1" s="1"/>
  <c r="AB221" i="1"/>
  <c r="AC221" i="1" s="1"/>
  <c r="AA228" i="1"/>
  <c r="AB228" i="1" s="1"/>
  <c r="AC228" i="1" s="1"/>
  <c r="AB231" i="1"/>
  <c r="AC231" i="1" s="1"/>
  <c r="AB220" i="1"/>
  <c r="AC220" i="1" s="1"/>
  <c r="AB212" i="1"/>
  <c r="AC212" i="1" s="1"/>
  <c r="AB209" i="1"/>
  <c r="AC209" i="1" s="1"/>
  <c r="AB205" i="1"/>
  <c r="AC205" i="1" s="1"/>
  <c r="AA195" i="1"/>
  <c r="AB195" i="1" s="1"/>
  <c r="AC195" i="1" s="1"/>
  <c r="AA190" i="1"/>
  <c r="AB190" i="1" s="1"/>
  <c r="AC190" i="1" s="1"/>
  <c r="AA189" i="1"/>
  <c r="AB189" i="1" s="1"/>
  <c r="AC189" i="1" s="1"/>
  <c r="AA183" i="1"/>
  <c r="AB183" i="1" s="1"/>
  <c r="AC183" i="1" s="1"/>
  <c r="AB181" i="1"/>
  <c r="AC181" i="1" s="1"/>
  <c r="AA180" i="1"/>
  <c r="AB180" i="1" s="1"/>
  <c r="AC180" i="1" s="1"/>
  <c r="AA175" i="1"/>
  <c r="AB175" i="1" s="1"/>
  <c r="AC175" i="1" s="1"/>
  <c r="AA171" i="1"/>
  <c r="AB171" i="1" s="1"/>
  <c r="AC171" i="1" s="1"/>
  <c r="AB156" i="1"/>
  <c r="AC156" i="1" s="1"/>
  <c r="AA154" i="1"/>
  <c r="AB154" i="1" s="1"/>
  <c r="AC154" i="1" s="1"/>
  <c r="AA146" i="1"/>
  <c r="AB146" i="1" s="1"/>
  <c r="AC146" i="1" s="1"/>
  <c r="AB149" i="1"/>
  <c r="AC149" i="1" s="1"/>
  <c r="AB153" i="1"/>
  <c r="AC153" i="1" s="1"/>
  <c r="AB138" i="1"/>
  <c r="AC138" i="1" s="1"/>
  <c r="AB130" i="1"/>
  <c r="AC130" i="1" s="1"/>
  <c r="AB140" i="1"/>
  <c r="AC140" i="1" s="1"/>
  <c r="AA132" i="1"/>
  <c r="AB132" i="1" s="1"/>
  <c r="AC132" i="1" s="1"/>
  <c r="AB141" i="1"/>
  <c r="AC141" i="1" s="1"/>
  <c r="AB131" i="1"/>
  <c r="AC131" i="1" s="1"/>
  <c r="AB137" i="1"/>
  <c r="AC137" i="1" s="1"/>
  <c r="AA123" i="1"/>
  <c r="AB123" i="1" s="1"/>
  <c r="AC123" i="1" s="1"/>
  <c r="AB124" i="1"/>
  <c r="AC124" i="1" s="1"/>
  <c r="AB128" i="1"/>
  <c r="AC128" i="1" s="1"/>
  <c r="AB127" i="1"/>
  <c r="AC127" i="1" s="1"/>
  <c r="AA116" i="1"/>
  <c r="AB116" i="1" s="1"/>
  <c r="AC116" i="1" s="1"/>
  <c r="AB110" i="1"/>
  <c r="AC110" i="1" s="1"/>
  <c r="AB114" i="1"/>
  <c r="AC114" i="1" s="1"/>
  <c r="AB105" i="1"/>
  <c r="AC105" i="1" s="1"/>
  <c r="AB99" i="1"/>
  <c r="AC99" i="1" s="1"/>
  <c r="AB102" i="1"/>
  <c r="AC102" i="1" s="1"/>
  <c r="AA96" i="1"/>
  <c r="AB96" i="1" s="1"/>
  <c r="AC96" i="1" s="1"/>
  <c r="AB97" i="1"/>
  <c r="AC97" i="1" s="1"/>
  <c r="AB91" i="1"/>
  <c r="AC91" i="1" s="1"/>
  <c r="AA90" i="1"/>
  <c r="AB90" i="1" s="1"/>
  <c r="AC90" i="1" s="1"/>
  <c r="AB87" i="1"/>
  <c r="AC87" i="1" s="1"/>
  <c r="AA92" i="1"/>
  <c r="AB92" i="1" s="1"/>
  <c r="AC92" i="1" s="1"/>
  <c r="AB82" i="1"/>
  <c r="AC82" i="1" s="1"/>
  <c r="AB83" i="1"/>
  <c r="AC83" i="1" s="1"/>
  <c r="AB76" i="1"/>
  <c r="AC76" i="1" s="1"/>
  <c r="AA78" i="1"/>
  <c r="AB78" i="1" s="1"/>
  <c r="AC78" i="1" s="1"/>
  <c r="AB81" i="1"/>
  <c r="AC81" i="1" s="1"/>
  <c r="AA75" i="1"/>
  <c r="AB75" i="1" s="1"/>
  <c r="AC75" i="1" s="1"/>
  <c r="AB71" i="1"/>
  <c r="AC71" i="1" s="1"/>
  <c r="AB70" i="1"/>
  <c r="AC70" i="1" s="1"/>
  <c r="AB65" i="1"/>
  <c r="AC65" i="1" s="1"/>
  <c r="AA63" i="1"/>
  <c r="AB63" i="1" s="1"/>
  <c r="AC63" i="1" s="1"/>
  <c r="AA61" i="1"/>
  <c r="AB61" i="1" s="1"/>
  <c r="AC61" i="1" s="1"/>
  <c r="AB60" i="1"/>
  <c r="AC60" i="1" s="1"/>
  <c r="AA57" i="1"/>
  <c r="AB57" i="1" s="1"/>
  <c r="AC57" i="1" s="1"/>
  <c r="AA56" i="1"/>
  <c r="AB56" i="1" s="1"/>
  <c r="AC56" i="1" s="1"/>
  <c r="AA10" i="1"/>
  <c r="AB10" i="1" s="1"/>
  <c r="AC10" i="1" s="1"/>
  <c r="AA4" i="1"/>
  <c r="AB4" i="1" s="1"/>
  <c r="AC4" i="1" s="1"/>
  <c r="AA7" i="1"/>
  <c r="AB7" i="1" s="1"/>
  <c r="AC7" i="1" s="1"/>
  <c r="AA53" i="1"/>
  <c r="AB53" i="1" s="1"/>
  <c r="AC53" i="1" s="1"/>
  <c r="AA48" i="1"/>
  <c r="AB48" i="1" s="1"/>
  <c r="AC48" i="1" s="1"/>
  <c r="AA43" i="1"/>
  <c r="AB43" i="1" s="1"/>
  <c r="AC43" i="1" s="1"/>
  <c r="AA41" i="1"/>
  <c r="AB41" i="1" s="1"/>
  <c r="AC41" i="1" s="1"/>
  <c r="AA38" i="1"/>
  <c r="AB38" i="1" s="1"/>
  <c r="AC38" i="1" s="1"/>
  <c r="AA32" i="1"/>
  <c r="AB32" i="1" s="1"/>
  <c r="AC32" i="1" s="1"/>
  <c r="AB29" i="1"/>
  <c r="AC29" i="1" s="1"/>
  <c r="AB25" i="1"/>
  <c r="AC25" i="1" s="1"/>
  <c r="AA23" i="1"/>
  <c r="AB23" i="1" s="1"/>
  <c r="AC23" i="1" s="1"/>
  <c r="AA16" i="1"/>
  <c r="AB16" i="1" s="1"/>
  <c r="AC16" i="1" s="1"/>
  <c r="AA901" i="1" l="1"/>
  <c r="AB901" i="1" s="1"/>
  <c r="AC901" i="1" s="1"/>
  <c r="AA889" i="1"/>
  <c r="AB889" i="1" s="1"/>
  <c r="AC889" i="1" s="1"/>
  <c r="AA841" i="1"/>
  <c r="AB841" i="1" s="1"/>
  <c r="AC841" i="1" s="1"/>
  <c r="AB738" i="1"/>
  <c r="AC738" i="1" s="1"/>
  <c r="AB728" i="1"/>
  <c r="AC728" i="1" s="1"/>
  <c r="AB689" i="1"/>
  <c r="AC689" i="1" s="1"/>
  <c r="AB631" i="1"/>
  <c r="AC631" i="1" s="1"/>
  <c r="AB618" i="1"/>
  <c r="AC618" i="1" s="1"/>
  <c r="AK675" i="1" l="1"/>
  <c r="AV675" i="1" s="1"/>
  <c r="AX675" i="1" s="1"/>
  <c r="AK690" i="1"/>
  <c r="AV690" i="1" s="1"/>
  <c r="AX690" i="1" s="1"/>
  <c r="AK698" i="1"/>
  <c r="AV698" i="1" s="1"/>
  <c r="AX698" i="1" s="1"/>
  <c r="AK713" i="1"/>
  <c r="AV713" i="1" s="1"/>
  <c r="AX713" i="1" s="1"/>
  <c r="AK715" i="1"/>
  <c r="AV715" i="1" s="1"/>
  <c r="AX715" i="1" s="1"/>
  <c r="AK718" i="1"/>
  <c r="AV718" i="1" s="1"/>
  <c r="AX718" i="1" s="1"/>
  <c r="AK723" i="1"/>
  <c r="AV723" i="1" s="1"/>
  <c r="AX723" i="1" s="1"/>
  <c r="AK726" i="1"/>
  <c r="AV726" i="1" s="1"/>
  <c r="AX726" i="1" s="1"/>
  <c r="AK730" i="1"/>
  <c r="AV730" i="1" s="1"/>
  <c r="AX730" i="1" s="1"/>
  <c r="AK741" i="1"/>
  <c r="AV741" i="1" s="1"/>
  <c r="AX741" i="1" s="1"/>
  <c r="AK743" i="1"/>
  <c r="AV743" i="1" s="1"/>
  <c r="AX743" i="1" s="1"/>
  <c r="AK747" i="1"/>
  <c r="AV747" i="1" s="1"/>
  <c r="AX747" i="1" s="1"/>
  <c r="AK763" i="1"/>
  <c r="AV763" i="1" s="1"/>
  <c r="AX763" i="1" s="1"/>
  <c r="AK766" i="1"/>
  <c r="AV766" i="1" s="1"/>
  <c r="AX766" i="1" s="1"/>
  <c r="AK771" i="1"/>
  <c r="AV771" i="1" s="1"/>
  <c r="AX771" i="1" s="1"/>
  <c r="AK775" i="1"/>
  <c r="AV775" i="1" s="1"/>
  <c r="AX775" i="1" s="1"/>
  <c r="AK781" i="1"/>
  <c r="AV781" i="1" s="1"/>
  <c r="AX781" i="1" s="1"/>
  <c r="AK792" i="1"/>
  <c r="AV792" i="1" s="1"/>
  <c r="AX792" i="1" s="1"/>
  <c r="AK798" i="1"/>
  <c r="AV798" i="1" s="1"/>
  <c r="AX798" i="1" s="1"/>
  <c r="AK800" i="1"/>
  <c r="AV800" i="1" s="1"/>
  <c r="AX800" i="1" s="1"/>
  <c r="AK802" i="1"/>
  <c r="AV802" i="1" s="1"/>
  <c r="AX802" i="1" s="1"/>
  <c r="AK809" i="1"/>
  <c r="AV809" i="1" s="1"/>
  <c r="AX809" i="1" s="1"/>
  <c r="AK815" i="1"/>
  <c r="AV815" i="1" s="1"/>
  <c r="AX815" i="1" s="1"/>
  <c r="AK828" i="1"/>
  <c r="AV828" i="1" s="1"/>
  <c r="AX828" i="1" s="1"/>
  <c r="AK833" i="1"/>
  <c r="AV833" i="1" s="1"/>
  <c r="AX833" i="1" s="1"/>
  <c r="AK844" i="1"/>
  <c r="AV844" i="1" s="1"/>
  <c r="AX844" i="1" s="1"/>
  <c r="AK847" i="1"/>
  <c r="AV847" i="1" s="1"/>
  <c r="AX847" i="1" s="1"/>
  <c r="AK849" i="1"/>
  <c r="AV849" i="1" s="1"/>
  <c r="AX849" i="1" s="1"/>
  <c r="AK857" i="1"/>
  <c r="AV857" i="1" s="1"/>
  <c r="AX857" i="1" s="1"/>
  <c r="AK862" i="1"/>
  <c r="AV862" i="1" s="1"/>
  <c r="AX862" i="1" s="1"/>
  <c r="AK869" i="1"/>
  <c r="AV869" i="1" s="1"/>
  <c r="AX869" i="1" s="1"/>
  <c r="AK874" i="1"/>
  <c r="AV874" i="1" s="1"/>
  <c r="AX874" i="1" s="1"/>
  <c r="AK879" i="1"/>
  <c r="AV879" i="1" s="1"/>
  <c r="AX879" i="1" s="1"/>
  <c r="AK884" i="1"/>
  <c r="AV884" i="1" s="1"/>
  <c r="AX884" i="1" s="1"/>
  <c r="AK888" i="1"/>
  <c r="AV888" i="1" s="1"/>
  <c r="AX888" i="1" s="1"/>
  <c r="AK894" i="1"/>
  <c r="AV894" i="1" s="1"/>
  <c r="AX894" i="1" s="1"/>
  <c r="AK897" i="1"/>
  <c r="AV897" i="1" s="1"/>
  <c r="AX897" i="1" s="1"/>
  <c r="AK900" i="1"/>
  <c r="AV900" i="1" s="1"/>
  <c r="AX900" i="1" s="1"/>
  <c r="AK912" i="1"/>
  <c r="AV912" i="1" s="1"/>
  <c r="AX912" i="1" s="1"/>
  <c r="AK918" i="1"/>
  <c r="AV918" i="1" s="1"/>
  <c r="AX918" i="1" s="1"/>
  <c r="AK926" i="1"/>
  <c r="AV926" i="1" s="1"/>
  <c r="AX926" i="1" s="1"/>
  <c r="AK927" i="1"/>
  <c r="AV927" i="1" s="1"/>
  <c r="AX927" i="1" s="1"/>
  <c r="AK928" i="1"/>
  <c r="AV928" i="1" s="1"/>
  <c r="AX928" i="1" s="1"/>
  <c r="AK929" i="1"/>
  <c r="AV929" i="1" s="1"/>
  <c r="AX929" i="1" s="1"/>
  <c r="AK930" i="1"/>
  <c r="AV930" i="1" s="1"/>
  <c r="AX930" i="1" s="1"/>
  <c r="AK932" i="1"/>
  <c r="AV932" i="1" s="1"/>
  <c r="AX932" i="1" s="1"/>
  <c r="AK933" i="1"/>
  <c r="AV933" i="1" s="1"/>
  <c r="AX933" i="1" s="1"/>
  <c r="AK934" i="1"/>
  <c r="AV934" i="1" s="1"/>
  <c r="AX934" i="1" s="1"/>
  <c r="AK935" i="1"/>
  <c r="AV935" i="1" s="1"/>
  <c r="AX935" i="1" s="1"/>
  <c r="AK936" i="1"/>
  <c r="AV936" i="1" s="1"/>
  <c r="AX936" i="1" s="1"/>
  <c r="AK937" i="1"/>
  <c r="AV937" i="1" s="1"/>
  <c r="AX937" i="1" s="1"/>
  <c r="AK938" i="1"/>
  <c r="AV938" i="1" s="1"/>
  <c r="AX938" i="1" s="1"/>
  <c r="AK940" i="1"/>
  <c r="AV940" i="1" s="1"/>
  <c r="AX940" i="1" s="1"/>
  <c r="AK941" i="1"/>
  <c r="AV941" i="1" s="1"/>
  <c r="AX941" i="1" s="1"/>
  <c r="AM650" i="1"/>
  <c r="AM662" i="1"/>
  <c r="AM672" i="1"/>
  <c r="AM673" i="1"/>
  <c r="AM675" i="1"/>
  <c r="AM676" i="1"/>
  <c r="AM685" i="1"/>
  <c r="AM686" i="1"/>
  <c r="AM687" i="1"/>
  <c r="AM688" i="1"/>
  <c r="AM690" i="1"/>
  <c r="AM691" i="1"/>
  <c r="AM693" i="1"/>
  <c r="AM694" i="1"/>
  <c r="AM695" i="1"/>
  <c r="AM696" i="1"/>
  <c r="AM698" i="1"/>
  <c r="AM699" i="1"/>
  <c r="AM703" i="1"/>
  <c r="AM704" i="1"/>
  <c r="AM713" i="1"/>
  <c r="AM714" i="1"/>
  <c r="AM715" i="1"/>
  <c r="AM716" i="1"/>
  <c r="AM718" i="1"/>
  <c r="AM719" i="1"/>
  <c r="AM723" i="1"/>
  <c r="AM724" i="1"/>
  <c r="AM726" i="1"/>
  <c r="AM727" i="1"/>
  <c r="AM730" i="1"/>
  <c r="AM731" i="1"/>
  <c r="AM741" i="1"/>
  <c r="AM742" i="1"/>
  <c r="AM743" i="1"/>
  <c r="AM744" i="1"/>
  <c r="AM747" i="1"/>
  <c r="AM748" i="1"/>
  <c r="AM752" i="1"/>
  <c r="AM753" i="1"/>
  <c r="AM757" i="1"/>
  <c r="AM758" i="1"/>
  <c r="AM760" i="1"/>
  <c r="AM761" i="1"/>
  <c r="AM763" i="1"/>
  <c r="AM764" i="1"/>
  <c r="AM766" i="1"/>
  <c r="AM767" i="1"/>
  <c r="AM771" i="1"/>
  <c r="AM772" i="1"/>
  <c r="AM775" i="1"/>
  <c r="AM776" i="1"/>
  <c r="AM778" i="1"/>
  <c r="AM779" i="1"/>
  <c r="AM781" i="1"/>
  <c r="AM782" i="1"/>
  <c r="AM784" i="1"/>
  <c r="AM785" i="1"/>
  <c r="AM789" i="1"/>
  <c r="AM790" i="1"/>
  <c r="AM792" i="1"/>
  <c r="AM793" i="1"/>
  <c r="AM798" i="1"/>
  <c r="AM799" i="1"/>
  <c r="AM800" i="1"/>
  <c r="AM801" i="1"/>
  <c r="AM802" i="1"/>
  <c r="AM803" i="1"/>
  <c r="AM809" i="1"/>
  <c r="AM810" i="1"/>
  <c r="AM813" i="1"/>
  <c r="AM814" i="1"/>
  <c r="AM815" i="1"/>
  <c r="AM816" i="1"/>
  <c r="AM828" i="1"/>
  <c r="AM829" i="1"/>
  <c r="AM831" i="1"/>
  <c r="AM832" i="1"/>
  <c r="AM833" i="1"/>
  <c r="AM834" i="1"/>
  <c r="AM837" i="1"/>
  <c r="AM838" i="1"/>
  <c r="AM844" i="1"/>
  <c r="AM845" i="1"/>
  <c r="AM847" i="1"/>
  <c r="AM848" i="1"/>
  <c r="AM849" i="1"/>
  <c r="AM850" i="1"/>
  <c r="AM853" i="1"/>
  <c r="AM854" i="1"/>
  <c r="AM857" i="1"/>
  <c r="AM858" i="1"/>
  <c r="AM862" i="1"/>
  <c r="AM863" i="1"/>
  <c r="AM867" i="1"/>
  <c r="AM868" i="1"/>
  <c r="AM869" i="1"/>
  <c r="AM870" i="1"/>
  <c r="AM874" i="1"/>
  <c r="AM875" i="1"/>
  <c r="AM879" i="1"/>
  <c r="AM880" i="1"/>
  <c r="AM884" i="1"/>
  <c r="AM885" i="1"/>
  <c r="AM888" i="1"/>
  <c r="AM889" i="1"/>
  <c r="AM894" i="1"/>
  <c r="AM895" i="1"/>
  <c r="AM897" i="1"/>
  <c r="AM898" i="1"/>
  <c r="AM900" i="1"/>
  <c r="AM901" i="1"/>
  <c r="AM907" i="1"/>
  <c r="AM908" i="1"/>
  <c r="AM912" i="1"/>
  <c r="AM913" i="1"/>
  <c r="AM915" i="1"/>
  <c r="AM916" i="1"/>
  <c r="AM918" i="1"/>
  <c r="AM919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I939" i="1" l="1"/>
  <c r="AK939" i="1"/>
  <c r="AV939" i="1" s="1"/>
  <c r="AX939" i="1" s="1"/>
  <c r="AI931" i="1"/>
  <c r="AK931" i="1"/>
  <c r="AV931" i="1" s="1"/>
  <c r="AX931" i="1" s="1"/>
  <c r="AI915" i="1"/>
  <c r="AK915" i="1"/>
  <c r="AV915" i="1" s="1"/>
  <c r="AX915" i="1" s="1"/>
  <c r="AI907" i="1"/>
  <c r="AK907" i="1"/>
  <c r="AV907" i="1" s="1"/>
  <c r="AX907" i="1" s="1"/>
  <c r="AI867" i="1"/>
  <c r="AK867" i="1"/>
  <c r="AV867" i="1" s="1"/>
  <c r="AX867" i="1" s="1"/>
  <c r="AI853" i="1"/>
  <c r="AK853" i="1"/>
  <c r="AV853" i="1" s="1"/>
  <c r="AX853" i="1" s="1"/>
  <c r="AI837" i="1"/>
  <c r="AK837" i="1"/>
  <c r="AV837" i="1" s="1"/>
  <c r="AX837" i="1" s="1"/>
  <c r="AI831" i="1"/>
  <c r="AK831" i="1"/>
  <c r="AV831" i="1" s="1"/>
  <c r="AX831" i="1" s="1"/>
  <c r="AI813" i="1"/>
  <c r="AK813" i="1"/>
  <c r="AV813" i="1" s="1"/>
  <c r="AX813" i="1" s="1"/>
  <c r="AI789" i="1"/>
  <c r="AK789" i="1"/>
  <c r="AV789" i="1" s="1"/>
  <c r="AX789" i="1" s="1"/>
  <c r="AI784" i="1"/>
  <c r="AK784" i="1"/>
  <c r="AV784" i="1" s="1"/>
  <c r="AX784" i="1" s="1"/>
  <c r="AI778" i="1"/>
  <c r="AK778" i="1"/>
  <c r="AV778" i="1" s="1"/>
  <c r="AX778" i="1" s="1"/>
  <c r="AI760" i="1"/>
  <c r="AK760" i="1"/>
  <c r="AV760" i="1" s="1"/>
  <c r="AX760" i="1" s="1"/>
  <c r="AI752" i="1"/>
  <c r="AK752" i="1"/>
  <c r="AV752" i="1" s="1"/>
  <c r="AX752" i="1" s="1"/>
  <c r="AI703" i="1"/>
  <c r="AK703" i="1"/>
  <c r="AV703" i="1" s="1"/>
  <c r="AX703" i="1" s="1"/>
  <c r="AI695" i="1"/>
  <c r="AK695" i="1"/>
  <c r="AV695" i="1" s="1"/>
  <c r="AX695" i="1" s="1"/>
  <c r="AI693" i="1"/>
  <c r="AK693" i="1"/>
  <c r="AV693" i="1" s="1"/>
  <c r="AX693" i="1" s="1"/>
  <c r="AI687" i="1"/>
  <c r="AK687" i="1"/>
  <c r="AV687" i="1" s="1"/>
  <c r="AX687" i="1" s="1"/>
  <c r="AI685" i="1"/>
  <c r="AK685" i="1"/>
  <c r="AV685" i="1" s="1"/>
  <c r="AX685" i="1" s="1"/>
  <c r="AI757" i="1"/>
  <c r="AK757" i="1"/>
  <c r="AV757" i="1" s="1"/>
  <c r="AX757" i="1" s="1"/>
  <c r="AI672" i="1"/>
  <c r="AK672" i="1"/>
  <c r="AV672" i="1" s="1"/>
  <c r="AX672" i="1" s="1"/>
  <c r="AE940" i="1"/>
  <c r="AI940" i="1"/>
  <c r="AE938" i="1"/>
  <c r="AI938" i="1"/>
  <c r="AE936" i="1"/>
  <c r="AI936" i="1"/>
  <c r="AE934" i="1"/>
  <c r="AI934" i="1"/>
  <c r="AE932" i="1"/>
  <c r="AI932" i="1"/>
  <c r="AE930" i="1"/>
  <c r="AI930" i="1"/>
  <c r="AE928" i="1"/>
  <c r="AI928" i="1"/>
  <c r="AE926" i="1"/>
  <c r="AI926" i="1"/>
  <c r="AE918" i="1"/>
  <c r="AI918" i="1"/>
  <c r="AE912" i="1"/>
  <c r="AI912" i="1"/>
  <c r="AE900" i="1"/>
  <c r="AI900" i="1"/>
  <c r="AE894" i="1"/>
  <c r="AI894" i="1"/>
  <c r="AE888" i="1"/>
  <c r="AI888" i="1"/>
  <c r="AE884" i="1"/>
  <c r="AI884" i="1"/>
  <c r="AE874" i="1"/>
  <c r="AI874" i="1"/>
  <c r="AE862" i="1"/>
  <c r="AI862" i="1"/>
  <c r="AE844" i="1"/>
  <c r="AI844" i="1"/>
  <c r="AE828" i="1"/>
  <c r="AI828" i="1"/>
  <c r="AE802" i="1"/>
  <c r="AI802" i="1"/>
  <c r="AE800" i="1"/>
  <c r="AI800" i="1"/>
  <c r="AE798" i="1"/>
  <c r="AI798" i="1"/>
  <c r="AE792" i="1"/>
  <c r="AI792" i="1"/>
  <c r="AE781" i="1"/>
  <c r="AI781" i="1"/>
  <c r="AE775" i="1"/>
  <c r="AI775" i="1"/>
  <c r="AE771" i="1"/>
  <c r="AI771" i="1"/>
  <c r="AE763" i="1"/>
  <c r="AI763" i="1"/>
  <c r="AE747" i="1"/>
  <c r="AI747" i="1"/>
  <c r="AE743" i="1"/>
  <c r="AI743" i="1"/>
  <c r="AE741" i="1"/>
  <c r="AI741" i="1"/>
  <c r="AE723" i="1"/>
  <c r="AI723" i="1"/>
  <c r="AE718" i="1"/>
  <c r="AI718" i="1"/>
  <c r="AE698" i="1"/>
  <c r="AI698" i="1"/>
  <c r="AE690" i="1"/>
  <c r="AI690" i="1"/>
  <c r="AE941" i="1"/>
  <c r="AI941" i="1"/>
  <c r="AE937" i="1"/>
  <c r="AI937" i="1"/>
  <c r="AE935" i="1"/>
  <c r="AI935" i="1"/>
  <c r="AE933" i="1"/>
  <c r="AI933" i="1"/>
  <c r="AE929" i="1"/>
  <c r="AI929" i="1"/>
  <c r="AE927" i="1"/>
  <c r="AI927" i="1"/>
  <c r="AE897" i="1"/>
  <c r="AI897" i="1"/>
  <c r="AE879" i="1"/>
  <c r="AI879" i="1"/>
  <c r="AE869" i="1"/>
  <c r="AI869" i="1"/>
  <c r="AE857" i="1"/>
  <c r="AI857" i="1"/>
  <c r="AE849" i="1"/>
  <c r="AI849" i="1"/>
  <c r="AE847" i="1"/>
  <c r="AI847" i="1"/>
  <c r="AE833" i="1"/>
  <c r="AI833" i="1"/>
  <c r="AE815" i="1"/>
  <c r="AI815" i="1"/>
  <c r="AE809" i="1"/>
  <c r="AI809" i="1"/>
  <c r="AE766" i="1"/>
  <c r="AI766" i="1"/>
  <c r="AE730" i="1"/>
  <c r="AI730" i="1"/>
  <c r="AE726" i="1"/>
  <c r="AI726" i="1"/>
  <c r="AE715" i="1"/>
  <c r="AI715" i="1"/>
  <c r="AE713" i="1"/>
  <c r="AI713" i="1"/>
  <c r="AE675" i="1"/>
  <c r="AI675" i="1"/>
  <c r="AF939" i="1"/>
  <c r="AE939" i="1"/>
  <c r="AF931" i="1"/>
  <c r="AE931" i="1"/>
  <c r="AF915" i="1"/>
  <c r="AE915" i="1"/>
  <c r="AF907" i="1"/>
  <c r="AE907" i="1"/>
  <c r="AF867" i="1"/>
  <c r="AE867" i="1"/>
  <c r="AF853" i="1"/>
  <c r="AE853" i="1"/>
  <c r="AF837" i="1"/>
  <c r="AE837" i="1"/>
  <c r="AF831" i="1"/>
  <c r="AE831" i="1"/>
  <c r="AF813" i="1"/>
  <c r="AE813" i="1"/>
  <c r="AF789" i="1"/>
  <c r="AE789" i="1"/>
  <c r="AF784" i="1"/>
  <c r="AE784" i="1"/>
  <c r="AF778" i="1"/>
  <c r="AE778" i="1"/>
  <c r="AF760" i="1"/>
  <c r="AE760" i="1"/>
  <c r="AF752" i="1"/>
  <c r="AE752" i="1"/>
  <c r="AF703" i="1"/>
  <c r="AE703" i="1"/>
  <c r="AF695" i="1"/>
  <c r="AE695" i="1"/>
  <c r="AF693" i="1"/>
  <c r="AE693" i="1"/>
  <c r="AF687" i="1"/>
  <c r="AE687" i="1"/>
  <c r="AF685" i="1"/>
  <c r="AE685" i="1"/>
  <c r="AF757" i="1"/>
  <c r="AE757" i="1"/>
  <c r="AF672" i="1"/>
  <c r="AE672" i="1"/>
  <c r="AF940" i="1"/>
  <c r="AF938" i="1"/>
  <c r="AF936" i="1"/>
  <c r="AF934" i="1"/>
  <c r="AF932" i="1"/>
  <c r="AF930" i="1"/>
  <c r="AF928" i="1"/>
  <c r="AF926" i="1"/>
  <c r="AF918" i="1"/>
  <c r="AF912" i="1"/>
  <c r="AF900" i="1"/>
  <c r="AF894" i="1"/>
  <c r="AF888" i="1"/>
  <c r="AF884" i="1"/>
  <c r="AF874" i="1"/>
  <c r="AF862" i="1"/>
  <c r="AF844" i="1"/>
  <c r="AF828" i="1"/>
  <c r="AF802" i="1"/>
  <c r="AF800" i="1"/>
  <c r="AF798" i="1"/>
  <c r="AF792" i="1"/>
  <c r="AF781" i="1"/>
  <c r="AF775" i="1"/>
  <c r="AF771" i="1"/>
  <c r="AF763" i="1"/>
  <c r="AF747" i="1"/>
  <c r="AF743" i="1"/>
  <c r="AF741" i="1"/>
  <c r="AF723" i="1"/>
  <c r="AF718" i="1"/>
  <c r="AF698" i="1"/>
  <c r="AF690" i="1"/>
  <c r="AF941" i="1"/>
  <c r="AF937" i="1"/>
  <c r="AF935" i="1"/>
  <c r="AF933" i="1"/>
  <c r="AF929" i="1"/>
  <c r="AF927" i="1"/>
  <c r="AF897" i="1"/>
  <c r="AF879" i="1"/>
  <c r="AF869" i="1"/>
  <c r="AF857" i="1"/>
  <c r="AF849" i="1"/>
  <c r="AF847" i="1"/>
  <c r="AF833" i="1"/>
  <c r="AF815" i="1"/>
  <c r="AF809" i="1"/>
  <c r="AF766" i="1"/>
  <c r="AF730" i="1"/>
  <c r="AF726" i="1"/>
  <c r="AF715" i="1"/>
  <c r="AF713" i="1"/>
  <c r="AF675" i="1"/>
  <c r="G1" i="14"/>
  <c r="G1" i="13" l="1"/>
  <c r="G13" i="3"/>
  <c r="F1" i="13" l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D1" i="7"/>
  <c r="E1" i="7" s="1"/>
  <c r="D1" i="11"/>
  <c r="E1" i="11" s="1"/>
  <c r="D1" i="12"/>
  <c r="E1" i="12" s="1"/>
  <c r="C1" i="10"/>
  <c r="D1" i="10" s="1"/>
  <c r="A3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46" i="4"/>
  <c r="D46" i="4" s="1"/>
  <c r="C8" i="6"/>
  <c r="B10" i="6"/>
  <c r="I10" i="6" s="1"/>
  <c r="B13" i="6"/>
  <c r="F13" i="6" s="1"/>
  <c r="B44" i="4"/>
  <c r="I44" i="4" s="1"/>
  <c r="B48" i="4"/>
  <c r="D48" i="4" s="1"/>
  <c r="B52" i="4"/>
  <c r="F52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12" i="6"/>
  <c r="E12" i="6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4" i="1"/>
  <c r="I9" i="14" l="1"/>
  <c r="E22" i="14"/>
  <c r="C42" i="13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6" i="14"/>
  <c r="J17" i="14"/>
  <c r="J21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G6" i="14"/>
  <c r="I6" i="14"/>
  <c r="C15" i="14"/>
  <c r="G15" i="14"/>
  <c r="E21" i="14"/>
  <c r="I21" i="14"/>
  <c r="F12" i="14"/>
  <c r="J12" i="14"/>
  <c r="H9" i="14"/>
  <c r="J9" i="14"/>
  <c r="F16" i="14"/>
  <c r="G16" i="14"/>
  <c r="J16" i="14"/>
  <c r="D10" i="14"/>
  <c r="G10" i="14"/>
  <c r="H10" i="14"/>
  <c r="E13" i="14"/>
  <c r="H13" i="14"/>
  <c r="I13" i="14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K11" i="17" s="1"/>
  <c r="L11" i="17" s="1"/>
  <c r="M11" i="17" s="1"/>
  <c r="D11" i="17"/>
  <c r="G11" i="17"/>
  <c r="E11" i="17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F11" i="6"/>
  <c r="F45" i="4"/>
  <c r="G48" i="4"/>
  <c r="E43" i="4"/>
  <c r="F42" i="4"/>
  <c r="I42" i="4"/>
  <c r="J42" i="4"/>
  <c r="J19" i="6"/>
  <c r="E49" i="4"/>
  <c r="E45" i="4"/>
  <c r="H41" i="4"/>
  <c r="D18" i="6"/>
  <c r="E10" i="6"/>
  <c r="E17" i="6"/>
  <c r="E16" i="6"/>
  <c r="G46" i="4"/>
  <c r="I49" i="4"/>
  <c r="J49" i="4"/>
  <c r="I45" i="4"/>
  <c r="J45" i="4"/>
  <c r="C41" i="4"/>
  <c r="D41" i="4"/>
  <c r="I18" i="6"/>
  <c r="I11" i="6"/>
  <c r="K11" i="6" s="1"/>
  <c r="L11" i="6" s="1"/>
  <c r="M11" i="6" s="1"/>
  <c r="J10" i="6"/>
  <c r="K10" i="6" s="1"/>
  <c r="J14" i="6"/>
  <c r="K14" i="6" s="1"/>
  <c r="J17" i="6"/>
  <c r="K17" i="6" s="1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C18" i="6"/>
  <c r="G11" i="6"/>
  <c r="H10" i="6"/>
  <c r="H14" i="6"/>
  <c r="H17" i="6"/>
  <c r="H19" i="6"/>
  <c r="G16" i="6"/>
  <c r="C48" i="4"/>
  <c r="C46" i="4"/>
  <c r="E47" i="4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G22" i="6"/>
  <c r="J50" i="4"/>
  <c r="K50" i="4" s="1"/>
  <c r="L50" i="4" s="1"/>
  <c r="M50" i="4" s="1"/>
  <c r="G13" i="6"/>
  <c r="F21" i="6"/>
  <c r="I47" i="4"/>
  <c r="J47" i="4"/>
  <c r="I43" i="4"/>
  <c r="J43" i="4"/>
  <c r="E22" i="6"/>
  <c r="H22" i="6"/>
  <c r="D22" i="6"/>
  <c r="C22" i="6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13" i="6"/>
  <c r="D13" i="6"/>
  <c r="E13" i="6"/>
  <c r="C13" i="6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I52" i="4"/>
  <c r="J52" i="4"/>
  <c r="I20" i="6"/>
  <c r="J20" i="6"/>
  <c r="I13" i="6"/>
  <c r="J13" i="6"/>
  <c r="I9" i="6"/>
  <c r="J9" i="6"/>
  <c r="H21" i="6"/>
  <c r="I21" i="6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5" i="1"/>
  <c r="K9" i="14" l="1"/>
  <c r="L9" i="14" s="1"/>
  <c r="M9" i="14" s="1"/>
  <c r="K17" i="14"/>
  <c r="L17" i="14" s="1"/>
  <c r="M17" i="14" s="1"/>
  <c r="K13" i="14"/>
  <c r="L13" i="14" s="1"/>
  <c r="M13" i="14" s="1"/>
  <c r="K16" i="14"/>
  <c r="L16" i="14" s="1"/>
  <c r="M16" i="14" s="1"/>
  <c r="K11" i="14"/>
  <c r="L11" i="14" s="1"/>
  <c r="M11" i="14" s="1"/>
  <c r="K14" i="14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24" i="7"/>
  <c r="L24" i="7" s="1"/>
  <c r="M24" i="7" s="1"/>
  <c r="K43" i="4"/>
  <c r="L43" i="4" s="1"/>
  <c r="M43" i="4" s="1"/>
  <c r="K47" i="4"/>
  <c r="L47" i="4" s="1"/>
  <c r="M47" i="4" s="1"/>
  <c r="K20" i="6"/>
  <c r="L20" i="6" s="1"/>
  <c r="M20" i="6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K6" i="11"/>
  <c r="L7" i="9"/>
  <c r="M7" i="9" s="1"/>
  <c r="L17" i="8"/>
  <c r="M17" i="8" s="1"/>
  <c r="L7" i="8"/>
  <c r="M7" i="8" s="1"/>
  <c r="L23" i="8"/>
  <c r="M23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J22" i="1"/>
  <c r="D22" i="1"/>
  <c r="A6" i="1"/>
  <c r="D6" i="1"/>
  <c r="AJ6" i="1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7" i="1"/>
  <c r="AI6" i="1"/>
  <c r="AJ53" i="1" l="1"/>
  <c r="D53" i="1"/>
  <c r="A8" i="1"/>
  <c r="AW53" i="1" l="1"/>
  <c r="B7" i="7"/>
  <c r="AJ16" i="1"/>
  <c r="D16" i="1"/>
  <c r="A9" i="1"/>
  <c r="A10" i="1"/>
  <c r="A11" i="1"/>
  <c r="A12" i="1"/>
  <c r="AJ12" i="1"/>
  <c r="D12" i="1"/>
  <c r="A13" i="1"/>
  <c r="A14" i="1"/>
  <c r="A15" i="1"/>
  <c r="AJ15" i="1"/>
  <c r="D15" i="1"/>
  <c r="A16" i="1"/>
  <c r="A17" i="1"/>
  <c r="D17" i="1"/>
  <c r="AJ17" i="1"/>
  <c r="A18" i="1"/>
  <c r="D18" i="1"/>
  <c r="AJ18" i="1"/>
  <c r="A19" i="1"/>
  <c r="AJ19" i="1"/>
  <c r="A20" i="1"/>
  <c r="D20" i="1"/>
  <c r="AJ20" i="1"/>
  <c r="AU16" i="1" l="1"/>
  <c r="D7" i="7"/>
  <c r="E7" i="7"/>
  <c r="F7" i="7"/>
  <c r="C7" i="7"/>
  <c r="G7" i="7"/>
  <c r="H7" i="7"/>
  <c r="D19" i="1"/>
  <c r="A21" i="1"/>
  <c r="AI12" i="1"/>
  <c r="J7" i="7" l="1"/>
  <c r="I7" i="7"/>
  <c r="A22" i="1"/>
  <c r="AJ21" i="1"/>
  <c r="D21" i="1"/>
  <c r="K7" i="7" l="1"/>
  <c r="L7" i="7" s="1"/>
  <c r="M7" i="7" s="1"/>
  <c r="A23" i="1"/>
  <c r="B5" i="6" l="1"/>
  <c r="B6" i="6"/>
  <c r="D58" i="1"/>
  <c r="AJ58" i="1"/>
  <c r="A24" i="1"/>
  <c r="AJ23" i="1"/>
  <c r="D23" i="1"/>
  <c r="D6" i="6" l="1"/>
  <c r="F6" i="6"/>
  <c r="E6" i="6"/>
  <c r="C5" i="6"/>
  <c r="G5" i="6"/>
  <c r="H5" i="6"/>
  <c r="C6" i="6"/>
  <c r="H6" i="6"/>
  <c r="G6" i="6"/>
  <c r="D5" i="6"/>
  <c r="E5" i="6"/>
  <c r="F5" i="6"/>
  <c r="B7" i="6"/>
  <c r="A25" i="1"/>
  <c r="D24" i="1"/>
  <c r="A26" i="1"/>
  <c r="D25" i="1"/>
  <c r="AJ24" i="1"/>
  <c r="AJ25" i="1"/>
  <c r="D26" i="1"/>
  <c r="I7" i="6" l="1"/>
  <c r="J7" i="6"/>
  <c r="F7" i="6"/>
  <c r="E7" i="6"/>
  <c r="C7" i="6"/>
  <c r="D7" i="6"/>
  <c r="G7" i="6"/>
  <c r="H7" i="6"/>
  <c r="J6" i="6"/>
  <c r="J5" i="6"/>
  <c r="I5" i="6"/>
  <c r="B6" i="7"/>
  <c r="AJ26" i="1"/>
  <c r="A27" i="1"/>
  <c r="D27" i="1"/>
  <c r="AJ27" i="1"/>
  <c r="K7" i="6" l="1"/>
  <c r="L7" i="6" s="1"/>
  <c r="M7" i="6" s="1"/>
  <c r="J6" i="7"/>
  <c r="I6" i="7"/>
  <c r="I6" i="6"/>
  <c r="K6" i="6" s="1"/>
  <c r="L6" i="6" s="1"/>
  <c r="M6" i="6" s="1"/>
  <c r="K5" i="6"/>
  <c r="L5" i="6" s="1"/>
  <c r="M5" i="6" s="1"/>
  <c r="G6" i="7"/>
  <c r="F6" i="7"/>
  <c r="H6" i="7"/>
  <c r="D6" i="7"/>
  <c r="E6" i="7"/>
  <c r="C6" i="7"/>
  <c r="D31" i="1"/>
  <c r="AJ31" i="1"/>
  <c r="A28" i="1"/>
  <c r="AJ28" i="1"/>
  <c r="D28" i="1"/>
  <c r="A29" i="1"/>
  <c r="D29" i="1"/>
  <c r="AJ29" i="1"/>
  <c r="K6" i="7" l="1"/>
  <c r="L6" i="7" s="1"/>
  <c r="M6" i="7" s="1"/>
  <c r="A30" i="1"/>
  <c r="AJ30" i="1"/>
  <c r="B4" i="12" l="1"/>
  <c r="A31" i="1"/>
  <c r="D30" i="1"/>
  <c r="A32" i="1"/>
  <c r="A33" i="1"/>
  <c r="D33" i="1"/>
  <c r="A34" i="1"/>
  <c r="A35" i="1" s="1"/>
  <c r="D34" i="1"/>
  <c r="D35" i="1"/>
  <c r="AJ35" i="1"/>
  <c r="AJ34" i="1"/>
  <c r="AJ33" i="1"/>
  <c r="D32" i="1"/>
  <c r="AJ32" i="1"/>
  <c r="AU32" i="1" l="1"/>
  <c r="C4" i="12"/>
  <c r="H4" i="12"/>
  <c r="F4" i="12"/>
  <c r="D4" i="12"/>
  <c r="G4" i="12"/>
  <c r="E4" i="12"/>
  <c r="AJ43" i="1"/>
  <c r="D43" i="1"/>
  <c r="A36" i="1"/>
  <c r="A37" i="1"/>
  <c r="A38" i="1" s="1"/>
  <c r="D37" i="1"/>
  <c r="D38" i="1"/>
  <c r="AJ37" i="1"/>
  <c r="AJ38" i="1"/>
  <c r="D36" i="1"/>
  <c r="AJ36" i="1"/>
  <c r="J4" i="12" l="1"/>
  <c r="A39" i="1"/>
  <c r="A40" i="1"/>
  <c r="D39" i="1"/>
  <c r="I4" i="12" l="1"/>
  <c r="K4" i="12" s="1"/>
  <c r="AJ40" i="1"/>
  <c r="A41" i="1"/>
  <c r="AJ41" i="1"/>
  <c r="AJ39" i="1"/>
  <c r="D40" i="1"/>
  <c r="D41" i="1"/>
  <c r="A42" i="1"/>
  <c r="L4" i="12" l="1"/>
  <c r="M4" i="12" s="1"/>
  <c r="A43" i="1"/>
  <c r="A44" i="1"/>
  <c r="D44" i="1"/>
  <c r="AJ42" i="1"/>
  <c r="D42" i="1"/>
  <c r="A45" i="1"/>
  <c r="A46" i="1"/>
  <c r="D46" i="1"/>
  <c r="AJ44" i="1"/>
  <c r="D45" i="1"/>
  <c r="AJ46" i="1"/>
  <c r="AJ45" i="1"/>
  <c r="AL46" i="1" l="1"/>
  <c r="A47" i="1"/>
  <c r="AJ47" i="1"/>
  <c r="AI46" i="1"/>
  <c r="A48" i="1"/>
  <c r="D48" i="1" s="1"/>
  <c r="D47" i="1"/>
  <c r="D68" i="1" l="1"/>
  <c r="AI47" i="1"/>
  <c r="AJ48" i="1"/>
  <c r="A49" i="1"/>
  <c r="D49" i="1"/>
  <c r="A50" i="1"/>
  <c r="A51" i="1" s="1"/>
  <c r="D50" i="1"/>
  <c r="A52" i="1"/>
  <c r="D52" i="1"/>
  <c r="D51" i="1"/>
  <c r="A53" i="1"/>
  <c r="A54" i="1" s="1"/>
  <c r="A55" i="1" s="1"/>
  <c r="A56" i="1" s="1"/>
  <c r="D54" i="1"/>
  <c r="AJ54" i="1"/>
  <c r="D55" i="1"/>
  <c r="D56" i="1"/>
  <c r="A57" i="1"/>
  <c r="A58" i="1" s="1"/>
  <c r="D57" i="1"/>
  <c r="A59" i="1"/>
  <c r="A60" i="1" s="1"/>
  <c r="D59" i="1"/>
  <c r="D60" i="1"/>
  <c r="A61" i="1"/>
  <c r="A62" i="1" s="1"/>
  <c r="A63" i="1" s="1"/>
  <c r="AJ61" i="1"/>
  <c r="AJ62" i="1"/>
  <c r="AJ63" i="1"/>
  <c r="D61" i="1"/>
  <c r="AJ60" i="1"/>
  <c r="AJ59" i="1"/>
  <c r="AJ57" i="1"/>
  <c r="AJ56" i="1"/>
  <c r="AJ55" i="1"/>
  <c r="AJ52" i="1"/>
  <c r="AJ51" i="1"/>
  <c r="AJ50" i="1"/>
  <c r="AJ49" i="1"/>
  <c r="AL50" i="1" l="1"/>
  <c r="AJ68" i="1"/>
  <c r="D63" i="1"/>
  <c r="AI60" i="1"/>
  <c r="AI50" i="1"/>
  <c r="A64" i="1"/>
  <c r="D62" i="1"/>
  <c r="AJ64" i="1"/>
  <c r="A65" i="1"/>
  <c r="D64" i="1"/>
  <c r="AJ65" i="1"/>
  <c r="A66" i="1"/>
  <c r="D65" i="1"/>
  <c r="D66" i="1"/>
  <c r="AJ66" i="1"/>
  <c r="A67" i="1"/>
  <c r="AJ67" i="1"/>
  <c r="D67" i="1"/>
  <c r="AJ71" i="1" l="1"/>
  <c r="B5" i="9"/>
  <c r="D71" i="1"/>
  <c r="A68" i="1"/>
  <c r="I5" i="9" l="1"/>
  <c r="G5" i="9"/>
  <c r="D5" i="9"/>
  <c r="C5" i="9"/>
  <c r="H5" i="9"/>
  <c r="F5" i="9"/>
  <c r="J5" i="9"/>
  <c r="E5" i="9"/>
  <c r="A69" i="1"/>
  <c r="AJ69" i="1"/>
  <c r="D69" i="1"/>
  <c r="A70" i="1"/>
  <c r="A71" i="1"/>
  <c r="AJ70" i="1"/>
  <c r="D70" i="1"/>
  <c r="A72" i="1"/>
  <c r="D72" i="1"/>
  <c r="AJ72" i="1"/>
  <c r="K5" i="9" l="1"/>
  <c r="A73" i="1"/>
  <c r="AJ73" i="1"/>
  <c r="D73" i="1"/>
  <c r="L5" i="9" l="1"/>
  <c r="M5" i="9" s="1"/>
  <c r="D82" i="1"/>
  <c r="AJ82" i="1"/>
  <c r="A74" i="1"/>
  <c r="AJ74" i="1"/>
  <c r="A75" i="1"/>
  <c r="D74" i="1"/>
  <c r="AJ75" i="1"/>
  <c r="A76" i="1"/>
  <c r="D75" i="1"/>
  <c r="AJ76" i="1"/>
  <c r="D76" i="1"/>
  <c r="A77" i="1"/>
  <c r="B4" i="3" l="1"/>
  <c r="D77" i="1"/>
  <c r="A78" i="1"/>
  <c r="AJ77" i="1"/>
  <c r="A79" i="1"/>
  <c r="D78" i="1"/>
  <c r="A21" i="14" l="1"/>
  <c r="A12" i="14"/>
  <c r="A9" i="14"/>
  <c r="A11" i="14"/>
  <c r="A18" i="14"/>
  <c r="A17" i="14"/>
  <c r="A6" i="14"/>
  <c r="A16" i="14"/>
  <c r="A10" i="14"/>
  <c r="A13" i="14"/>
  <c r="A22" i="14"/>
  <c r="A19" i="14"/>
  <c r="A8" i="14"/>
  <c r="A7" i="14"/>
  <c r="A20" i="14"/>
  <c r="A14" i="14"/>
  <c r="A15" i="14"/>
  <c r="A45" i="13"/>
  <c r="A33" i="13"/>
  <c r="A18" i="13"/>
  <c r="A26" i="13"/>
  <c r="A43" i="13"/>
  <c r="A21" i="13"/>
  <c r="A12" i="13"/>
  <c r="A31" i="13"/>
  <c r="A34" i="13"/>
  <c r="A47" i="13"/>
  <c r="A37" i="13"/>
  <c r="A14" i="8"/>
  <c r="A12" i="8"/>
  <c r="A6" i="9"/>
  <c r="A17" i="9"/>
  <c r="A20" i="7"/>
  <c r="A11" i="9"/>
  <c r="A11" i="6"/>
  <c r="A29" i="7"/>
  <c r="A24" i="9"/>
  <c r="A17" i="7"/>
  <c r="A8" i="6"/>
  <c r="A10" i="7"/>
  <c r="A12" i="7"/>
  <c r="A8" i="9"/>
  <c r="A43" i="4"/>
  <c r="A9" i="7"/>
  <c r="A7" i="9"/>
  <c r="A8" i="7"/>
  <c r="A16" i="6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25" i="8"/>
  <c r="A8" i="12"/>
  <c r="A15" i="6"/>
  <c r="A30" i="7"/>
  <c r="A49" i="4"/>
  <c r="A20" i="8"/>
  <c r="A7" i="6"/>
  <c r="A21" i="9"/>
  <c r="A18" i="6"/>
  <c r="A23" i="8"/>
  <c r="A22" i="6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5" i="6"/>
  <c r="A21" i="7"/>
  <c r="A24" i="8"/>
  <c r="A52" i="4"/>
  <c r="A8" i="8"/>
  <c r="A6" i="11"/>
  <c r="A9" i="6"/>
  <c r="A10" i="9"/>
  <c r="A16" i="8"/>
  <c r="A22" i="8"/>
  <c r="A14" i="9"/>
  <c r="A28" i="7"/>
  <c r="A10" i="8"/>
  <c r="A20" i="6"/>
  <c r="A7" i="8"/>
  <c r="A18" i="9"/>
  <c r="A11" i="8"/>
  <c r="A48" i="4"/>
  <c r="A42" i="4"/>
  <c r="A5" i="12"/>
  <c r="A6" i="12"/>
  <c r="A14" i="6"/>
  <c r="A45" i="4"/>
  <c r="A17" i="6"/>
  <c r="A7" i="7"/>
  <c r="A15" i="8"/>
  <c r="A6" i="8"/>
  <c r="A13" i="6"/>
  <c r="A5" i="9"/>
  <c r="AJ78" i="1"/>
  <c r="A80" i="1"/>
  <c r="D79" i="1"/>
  <c r="AJ80" i="1"/>
  <c r="AJ79" i="1"/>
  <c r="D80" i="1"/>
  <c r="AU79" i="1" l="1"/>
  <c r="D89" i="1"/>
  <c r="AJ89" i="1"/>
  <c r="A81" i="1"/>
  <c r="AJ81" i="1"/>
  <c r="AI89" i="1" l="1"/>
  <c r="AJ3" i="1"/>
  <c r="AJ4" i="1"/>
  <c r="D81" i="1"/>
  <c r="A82" i="1"/>
  <c r="D3" i="1"/>
  <c r="D4" i="1"/>
  <c r="A83" i="1"/>
  <c r="A84" i="1"/>
  <c r="D84" i="1"/>
  <c r="A85" i="1"/>
  <c r="D85" i="1"/>
  <c r="AJ85" i="1"/>
  <c r="AJ84" i="1"/>
  <c r="AJ83" i="1"/>
  <c r="D83" i="1"/>
  <c r="AM3" i="1" l="1"/>
  <c r="AL4" i="1"/>
  <c r="A86" i="1"/>
  <c r="D5" i="1"/>
  <c r="AJ5" i="1"/>
  <c r="D86" i="1"/>
  <c r="A87" i="1"/>
  <c r="AJ86" i="1"/>
  <c r="AI3" i="1"/>
  <c r="D87" i="1"/>
  <c r="A88" i="1"/>
  <c r="AJ87" i="1"/>
  <c r="D88" i="1"/>
  <c r="AJ88" i="1"/>
  <c r="AM4" i="1" l="1"/>
  <c r="AL6" i="1"/>
  <c r="A89" i="1"/>
  <c r="D8" i="1"/>
  <c r="AJ7" i="1"/>
  <c r="AI4" i="1"/>
  <c r="AJ8" i="1"/>
  <c r="D7" i="1"/>
  <c r="AI5" i="1"/>
  <c r="A90" i="1"/>
  <c r="A91" i="1"/>
  <c r="AJ91" i="1"/>
  <c r="D91" i="1"/>
  <c r="D90" i="1"/>
  <c r="AJ90" i="1"/>
  <c r="AM5" i="1" l="1"/>
  <c r="AM6" i="1" s="1"/>
  <c r="AM7" i="1" s="1"/>
  <c r="AJ115" i="1"/>
  <c r="D115" i="1"/>
  <c r="AJ97" i="1"/>
  <c r="A92" i="1"/>
  <c r="D9" i="1"/>
  <c r="AJ92" i="1"/>
  <c r="AJ9" i="1"/>
  <c r="D92" i="1"/>
  <c r="AI90" i="1"/>
  <c r="AI7" i="1"/>
  <c r="AM8" i="1" l="1"/>
  <c r="AL9" i="1"/>
  <c r="D97" i="1"/>
  <c r="AK3" i="1"/>
  <c r="A93" i="1"/>
  <c r="AJ93" i="1"/>
  <c r="A94" i="1"/>
  <c r="AJ10" i="1"/>
  <c r="D93" i="1"/>
  <c r="AJ94" i="1"/>
  <c r="D94" i="1"/>
  <c r="AI8" i="1"/>
  <c r="D10" i="1"/>
  <c r="AJ11" i="1"/>
  <c r="D11" i="1"/>
  <c r="AM9" i="1" l="1"/>
  <c r="AL11" i="1"/>
  <c r="AI97" i="1"/>
  <c r="AK4" i="1"/>
  <c r="AI9" i="1"/>
  <c r="A95" i="1"/>
  <c r="AJ95" i="1"/>
  <c r="AM10" i="1" l="1"/>
  <c r="A96" i="1"/>
  <c r="A97" i="1"/>
  <c r="AJ14" i="1"/>
  <c r="AJ13" i="1"/>
  <c r="AJ96" i="1"/>
  <c r="D95" i="1"/>
  <c r="D13" i="1"/>
  <c r="D14" i="1"/>
  <c r="A98" i="1"/>
  <c r="D96" i="1"/>
  <c r="AI10" i="1"/>
  <c r="AK5" i="1"/>
  <c r="D98" i="1"/>
  <c r="AJ98" i="1"/>
  <c r="AI16" i="1" l="1"/>
  <c r="AK6" i="1"/>
  <c r="AI14" i="1"/>
  <c r="AI15" i="1"/>
  <c r="A99" i="1"/>
  <c r="AI13" i="1"/>
  <c r="D99" i="1"/>
  <c r="AJ99" i="1"/>
  <c r="AA24" i="1" l="1"/>
  <c r="AB24" i="1" s="1"/>
  <c r="AC24" i="1" s="1"/>
  <c r="AP24" i="1"/>
  <c r="AM20" i="1"/>
  <c r="AI17" i="1"/>
  <c r="AI19" i="1"/>
  <c r="AK7" i="1"/>
  <c r="A100" i="1"/>
  <c r="AI18" i="1"/>
  <c r="AJ100" i="1"/>
  <c r="A101" i="1"/>
  <c r="D100" i="1"/>
  <c r="AJ101" i="1"/>
  <c r="D101" i="1"/>
  <c r="A102" i="1"/>
  <c r="AJ102" i="1"/>
  <c r="D102" i="1"/>
  <c r="A103" i="1"/>
  <c r="AM21" i="1" l="1"/>
  <c r="AJ103" i="1"/>
  <c r="AI100" i="1"/>
  <c r="AI20" i="1"/>
  <c r="AI102" i="1"/>
  <c r="AK8" i="1"/>
  <c r="A104" i="1"/>
  <c r="D103" i="1"/>
  <c r="AL22" i="1" l="1"/>
  <c r="AM22" i="1"/>
  <c r="AM23" i="1" s="1"/>
  <c r="AJ109" i="1"/>
  <c r="AJ104" i="1"/>
  <c r="A105" i="1"/>
  <c r="AK9" i="1"/>
  <c r="D104" i="1"/>
  <c r="AJ105" i="1"/>
  <c r="AI21" i="1"/>
  <c r="D105" i="1"/>
  <c r="A106" i="1"/>
  <c r="AM24" i="1" l="1"/>
  <c r="AI22" i="1"/>
  <c r="AK22" i="1"/>
  <c r="D109" i="1"/>
  <c r="AI104" i="1"/>
  <c r="AI105" i="1"/>
  <c r="AI23" i="1"/>
  <c r="A107" i="1"/>
  <c r="D106" i="1"/>
  <c r="A108" i="1"/>
  <c r="AK10" i="1"/>
  <c r="AJ106" i="1"/>
  <c r="D107" i="1"/>
  <c r="AJ107" i="1"/>
  <c r="AL24" i="1" l="1"/>
  <c r="AK23" i="1"/>
  <c r="AI109" i="1"/>
  <c r="AJ112" i="1"/>
  <c r="D112" i="1"/>
  <c r="A109" i="1"/>
  <c r="AI107" i="1"/>
  <c r="AJ108" i="1"/>
  <c r="D108" i="1"/>
  <c r="A110" i="1"/>
  <c r="AM25" i="1" l="1"/>
  <c r="AM26" i="1" s="1"/>
  <c r="AI112" i="1"/>
  <c r="D118" i="1"/>
  <c r="AJ118" i="1"/>
  <c r="AJ110" i="1"/>
  <c r="AI24" i="1"/>
  <c r="A111" i="1"/>
  <c r="AK24" i="1"/>
  <c r="A112" i="1"/>
  <c r="AI108" i="1"/>
  <c r="D110" i="1"/>
  <c r="AJ111" i="1"/>
  <c r="D111" i="1"/>
  <c r="AL26" i="1" l="1"/>
  <c r="AI118" i="1"/>
  <c r="AI111" i="1"/>
  <c r="AI26" i="1"/>
  <c r="A113" i="1"/>
  <c r="AI110" i="1"/>
  <c r="AI25" i="1"/>
  <c r="AK25" i="1"/>
  <c r="AJ113" i="1"/>
  <c r="A114" i="1"/>
  <c r="D113" i="1"/>
  <c r="AM27" i="1" l="1"/>
  <c r="D114" i="1"/>
  <c r="A115" i="1"/>
  <c r="AK26" i="1"/>
  <c r="AI113" i="1"/>
  <c r="AJ114" i="1"/>
  <c r="A116" i="1"/>
  <c r="D116" i="1" s="1"/>
  <c r="AL28" i="1" l="1"/>
  <c r="AM28" i="1"/>
  <c r="AJ116" i="1"/>
  <c r="AK27" i="1"/>
  <c r="A117" i="1"/>
  <c r="A118" i="1"/>
  <c r="AI27" i="1"/>
  <c r="A119" i="1"/>
  <c r="A120" i="1" s="1"/>
  <c r="AJ120" i="1"/>
  <c r="AJ119" i="1"/>
  <c r="D120" i="1"/>
  <c r="D117" i="1"/>
  <c r="AJ117" i="1"/>
  <c r="AL120" i="1" l="1"/>
  <c r="AL29" i="1"/>
  <c r="AM29" i="1"/>
  <c r="AM30" i="1" s="1"/>
  <c r="A121" i="1"/>
  <c r="A122" i="1"/>
  <c r="AJ122" i="1"/>
  <c r="AJ121" i="1"/>
  <c r="D121" i="1"/>
  <c r="D122" i="1"/>
  <c r="A123" i="1"/>
  <c r="AJ123" i="1" s="1"/>
  <c r="AI120" i="1"/>
  <c r="AI28" i="1"/>
  <c r="AK28" i="1"/>
  <c r="D119" i="1"/>
  <c r="AL30" i="1" l="1"/>
  <c r="AM31" i="1"/>
  <c r="AM32" i="1" s="1"/>
  <c r="D123" i="1"/>
  <c r="AI29" i="1"/>
  <c r="AK29" i="1"/>
  <c r="AI30" i="1"/>
  <c r="AI121" i="1"/>
  <c r="A124" i="1"/>
  <c r="AJ124" i="1"/>
  <c r="D124" i="1"/>
  <c r="AM33" i="1" l="1"/>
  <c r="AK32" i="1"/>
  <c r="AV32" i="1" s="1"/>
  <c r="AI31" i="1"/>
  <c r="AJ132" i="1"/>
  <c r="D132" i="1"/>
  <c r="AI32" i="1"/>
  <c r="AK30" i="1"/>
  <c r="A125" i="1"/>
  <c r="D125" i="1"/>
  <c r="AJ125" i="1"/>
  <c r="A126" i="1"/>
  <c r="D126" i="1"/>
  <c r="AJ126" i="1"/>
  <c r="A127" i="1"/>
  <c r="AJ127" i="1"/>
  <c r="D127" i="1"/>
  <c r="AX32" i="1" l="1"/>
  <c r="AW32" i="1"/>
  <c r="AK31" i="1"/>
  <c r="AI33" i="1"/>
  <c r="AK33" i="1"/>
  <c r="AI126" i="1"/>
  <c r="A128" i="1"/>
  <c r="AJ128" i="1"/>
  <c r="D128" i="1"/>
  <c r="A129" i="1"/>
  <c r="AJ129" i="1"/>
  <c r="D129" i="1"/>
  <c r="AM34" i="1" l="1"/>
  <c r="AM35" i="1" s="1"/>
  <c r="AM36" i="1" s="1"/>
  <c r="AM37" i="1" s="1"/>
  <c r="A130" i="1"/>
  <c r="AI128" i="1"/>
  <c r="D130" i="1"/>
  <c r="AJ130" i="1"/>
  <c r="A131" i="1"/>
  <c r="D131" i="1"/>
  <c r="AJ131" i="1"/>
  <c r="A132" i="1"/>
  <c r="A133" i="1"/>
  <c r="D133" i="1"/>
  <c r="AJ133" i="1"/>
  <c r="A134" i="1"/>
  <c r="D134" i="1"/>
  <c r="AJ134" i="1"/>
  <c r="A135" i="1"/>
  <c r="AL135" i="1" l="1"/>
  <c r="AL37" i="1"/>
  <c r="AL36" i="1"/>
  <c r="AM38" i="1"/>
  <c r="AM39" i="1" s="1"/>
  <c r="AI131" i="1"/>
  <c r="AI35" i="1"/>
  <c r="AI37" i="1"/>
  <c r="AI34" i="1"/>
  <c r="D135" i="1"/>
  <c r="A136" i="1"/>
  <c r="AK34" i="1"/>
  <c r="AJ135" i="1"/>
  <c r="AI36" i="1"/>
  <c r="D136" i="1"/>
  <c r="A137" i="1"/>
  <c r="AL136" i="1" l="1"/>
  <c r="AL39" i="1"/>
  <c r="AJ136" i="1"/>
  <c r="A138" i="1"/>
  <c r="AK35" i="1"/>
  <c r="AI38" i="1"/>
  <c r="AI39" i="1"/>
  <c r="D137" i="1"/>
  <c r="AI136" i="1"/>
  <c r="AJ137" i="1"/>
  <c r="AI135" i="1"/>
  <c r="AJ138" i="1"/>
  <c r="AL41" i="1" l="1"/>
  <c r="AM40" i="1"/>
  <c r="AM41" i="1" s="1"/>
  <c r="AM42" i="1" s="1"/>
  <c r="D138" i="1"/>
  <c r="A139" i="1"/>
  <c r="AI137" i="1"/>
  <c r="A140" i="1"/>
  <c r="AI40" i="1"/>
  <c r="D139" i="1"/>
  <c r="AI41" i="1"/>
  <c r="AK36" i="1"/>
  <c r="AM43" i="1" l="1"/>
  <c r="AM44" i="1" s="1"/>
  <c r="AM45" i="1" s="1"/>
  <c r="AM46" i="1" s="1"/>
  <c r="AM47" i="1" s="1"/>
  <c r="A141" i="1"/>
  <c r="AJ139" i="1"/>
  <c r="D140" i="1"/>
  <c r="AK37" i="1"/>
  <c r="D141" i="1"/>
  <c r="AJ140" i="1"/>
  <c r="AL43" i="1" l="1"/>
  <c r="AI43" i="1"/>
  <c r="AJ141" i="1"/>
  <c r="AI45" i="1"/>
  <c r="AI44" i="1"/>
  <c r="AI42" i="1"/>
  <c r="A142" i="1"/>
  <c r="D142" i="1"/>
  <c r="AI141" i="1"/>
  <c r="AJ142" i="1"/>
  <c r="AK38" i="1"/>
  <c r="A143" i="1"/>
  <c r="AJ143" i="1"/>
  <c r="AM48" i="1" l="1"/>
  <c r="AM49" i="1" s="1"/>
  <c r="D149" i="1"/>
  <c r="AJ149" i="1"/>
  <c r="D143" i="1"/>
  <c r="AK39" i="1"/>
  <c r="A144" i="1"/>
  <c r="A145" i="1"/>
  <c r="AI48" i="1"/>
  <c r="AJ144" i="1"/>
  <c r="D144" i="1"/>
  <c r="AM51" i="1" l="1"/>
  <c r="AM52" i="1" s="1"/>
  <c r="AM53" i="1" s="1"/>
  <c r="AM50" i="1"/>
  <c r="AL51" i="1"/>
  <c r="AJ145" i="1"/>
  <c r="A146" i="1"/>
  <c r="A147" i="1"/>
  <c r="AI51" i="1"/>
  <c r="D145" i="1"/>
  <c r="AJ147" i="1"/>
  <c r="AK40" i="1"/>
  <c r="AI144" i="1"/>
  <c r="AK41" i="1"/>
  <c r="AI49" i="1"/>
  <c r="AJ146" i="1"/>
  <c r="D146" i="1"/>
  <c r="AL53" i="1" l="1"/>
  <c r="AI53" i="1"/>
  <c r="AK43" i="1"/>
  <c r="AI146" i="1"/>
  <c r="A148" i="1"/>
  <c r="AI52" i="1"/>
  <c r="D147" i="1"/>
  <c r="AK42" i="1"/>
  <c r="AJ148" i="1"/>
  <c r="D148" i="1"/>
  <c r="B5" i="13" l="1"/>
  <c r="AK44" i="1"/>
  <c r="A149" i="1"/>
  <c r="A150" i="1"/>
  <c r="AJ150" i="1"/>
  <c r="A151" i="1"/>
  <c r="D150" i="1"/>
  <c r="D151" i="1"/>
  <c r="AJ151" i="1"/>
  <c r="AU151" i="1" l="1"/>
  <c r="F5" i="13"/>
  <c r="G5" i="13"/>
  <c r="B6" i="13"/>
  <c r="E5" i="13"/>
  <c r="B7" i="13"/>
  <c r="C5" i="13"/>
  <c r="D5" i="13"/>
  <c r="B8" i="13"/>
  <c r="H5" i="13"/>
  <c r="A152" i="1"/>
  <c r="AI150" i="1"/>
  <c r="AK45" i="1"/>
  <c r="D152" i="1"/>
  <c r="AJ152" i="1"/>
  <c r="F8" i="13" l="1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AK53" i="1"/>
  <c r="AK46" i="1"/>
  <c r="A153" i="1"/>
  <c r="D153" i="1"/>
  <c r="AJ153" i="1"/>
  <c r="A154" i="1"/>
  <c r="D154" i="1"/>
  <c r="AJ154" i="1"/>
  <c r="A155" i="1"/>
  <c r="D155" i="1"/>
  <c r="AJ155" i="1"/>
  <c r="A156" i="1"/>
  <c r="AU153" i="1" l="1"/>
  <c r="AJ166" i="1"/>
  <c r="D166" i="1"/>
  <c r="A157" i="1"/>
  <c r="AJ156" i="1"/>
  <c r="D156" i="1"/>
  <c r="AK47" i="1"/>
  <c r="AK48" i="1" s="1"/>
  <c r="D157" i="1"/>
  <c r="A158" i="1"/>
  <c r="AJ157" i="1"/>
  <c r="D158" i="1"/>
  <c r="AJ158" i="1"/>
  <c r="A159" i="1"/>
  <c r="D159" i="1"/>
  <c r="A160" i="1"/>
  <c r="D160" i="1"/>
  <c r="AJ160" i="1"/>
  <c r="AJ168" i="1" l="1"/>
  <c r="D168" i="1"/>
  <c r="A161" i="1"/>
  <c r="AJ159" i="1"/>
  <c r="D161" i="1"/>
  <c r="AI156" i="1"/>
  <c r="AJ161" i="1"/>
  <c r="AK49" i="1"/>
  <c r="AK50" i="1" s="1"/>
  <c r="AK51" i="1" s="1"/>
  <c r="AK52" i="1" s="1"/>
  <c r="A162" i="1"/>
  <c r="D162" i="1"/>
  <c r="A163" i="1"/>
  <c r="D163" i="1"/>
  <c r="AJ163" i="1"/>
  <c r="A164" i="1"/>
  <c r="D164" i="1"/>
  <c r="AJ164" i="1"/>
  <c r="A165" i="1"/>
  <c r="AJ165" i="1"/>
  <c r="D165" i="1"/>
  <c r="A166" i="1"/>
  <c r="A167" i="1" s="1"/>
  <c r="AU165" i="1" l="1"/>
  <c r="AU162" i="1"/>
  <c r="AU161" i="1"/>
  <c r="AM167" i="1"/>
  <c r="AJ162" i="1"/>
  <c r="D167" i="1"/>
  <c r="AJ167" i="1"/>
  <c r="A168" i="1"/>
  <c r="AK167" i="1" l="1"/>
  <c r="AU167" i="1"/>
  <c r="AJ171" i="1"/>
  <c r="A169" i="1"/>
  <c r="AI167" i="1"/>
  <c r="D169" i="1"/>
  <c r="A170" i="1"/>
  <c r="AJ169" i="1"/>
  <c r="AU169" i="1" l="1"/>
  <c r="AV167" i="1"/>
  <c r="AX167" i="1" s="1"/>
  <c r="D171" i="1"/>
  <c r="AJ170" i="1"/>
  <c r="A171" i="1"/>
  <c r="D170" i="1"/>
  <c r="A172" i="1"/>
  <c r="AW167" i="1" l="1"/>
  <c r="AL55" i="1"/>
  <c r="AK54" i="1"/>
  <c r="D176" i="1"/>
  <c r="AJ176" i="1"/>
  <c r="A173" i="1"/>
  <c r="AJ173" i="1"/>
  <c r="AI54" i="1"/>
  <c r="D173" i="1"/>
  <c r="D172" i="1"/>
  <c r="A174" i="1"/>
  <c r="D174" i="1" s="1"/>
  <c r="AJ172" i="1"/>
  <c r="AI55" i="1"/>
  <c r="AL58" i="1" l="1"/>
  <c r="AI58" i="1"/>
  <c r="A175" i="1"/>
  <c r="AI57" i="1"/>
  <c r="AJ174" i="1"/>
  <c r="AI56" i="1"/>
  <c r="D175" i="1"/>
  <c r="AK55" i="1"/>
  <c r="A176" i="1"/>
  <c r="AJ175" i="1"/>
  <c r="A177" i="1"/>
  <c r="AL60" i="1" l="1"/>
  <c r="D178" i="1"/>
  <c r="AJ178" i="1"/>
  <c r="D177" i="1"/>
  <c r="AK56" i="1"/>
  <c r="AJ177" i="1"/>
  <c r="A178" i="1"/>
  <c r="AI59" i="1"/>
  <c r="A179" i="1"/>
  <c r="AL61" i="1" l="1"/>
  <c r="D179" i="1"/>
  <c r="AK57" i="1"/>
  <c r="A180" i="1"/>
  <c r="AI61" i="1"/>
  <c r="AJ179" i="1"/>
  <c r="AK58" i="1" l="1"/>
  <c r="AI179" i="1"/>
  <c r="D180" i="1"/>
  <c r="A181" i="1"/>
  <c r="AI62" i="1"/>
  <c r="AJ180" i="1"/>
  <c r="AK59" i="1" l="1"/>
  <c r="D181" i="1"/>
  <c r="AJ181" i="1"/>
  <c r="A182" i="1"/>
  <c r="AK60" i="1"/>
  <c r="AI63" i="1"/>
  <c r="AU181" i="1" l="1"/>
  <c r="D183" i="1"/>
  <c r="D182" i="1"/>
  <c r="AJ182" i="1"/>
  <c r="A183" i="1"/>
  <c r="AI65" i="1"/>
  <c r="AK61" i="1"/>
  <c r="AI64" i="1"/>
  <c r="AL68" i="1" l="1"/>
  <c r="AL67" i="1"/>
  <c r="AJ183" i="1"/>
  <c r="AI68" i="1"/>
  <c r="AK62" i="1"/>
  <c r="AI67" i="1"/>
  <c r="AI66" i="1"/>
  <c r="A184" i="1"/>
  <c r="AL71" i="1" l="1"/>
  <c r="AM54" i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185" i="1"/>
  <c r="AJ184" i="1"/>
  <c r="AI70" i="1"/>
  <c r="A186" i="1"/>
  <c r="D184" i="1"/>
  <c r="AK63" i="1"/>
  <c r="AJ185" i="1"/>
  <c r="AI69" i="1"/>
  <c r="D185" i="1"/>
  <c r="AU184" i="1" l="1"/>
  <c r="AM72" i="1"/>
  <c r="AI71" i="1"/>
  <c r="AK68" i="1"/>
  <c r="D186" i="1"/>
  <c r="A187" i="1"/>
  <c r="AK64" i="1"/>
  <c r="AJ186" i="1"/>
  <c r="AM73" i="1" l="1"/>
  <c r="AK69" i="1"/>
  <c r="AK65" i="1"/>
  <c r="AI72" i="1"/>
  <c r="D187" i="1"/>
  <c r="AJ187" i="1"/>
  <c r="A188" i="1"/>
  <c r="AL74" i="1" l="1"/>
  <c r="AM74" i="1"/>
  <c r="AM75" i="1" s="1"/>
  <c r="AJ188" i="1"/>
  <c r="D188" i="1"/>
  <c r="AK66" i="1"/>
  <c r="A189" i="1"/>
  <c r="AI73" i="1"/>
  <c r="AK70" i="1"/>
  <c r="AL76" i="1" l="1"/>
  <c r="AM76" i="1"/>
  <c r="AM77" i="1" s="1"/>
  <c r="AK71" i="1"/>
  <c r="D189" i="1"/>
  <c r="AJ189" i="1"/>
  <c r="A190" i="1"/>
  <c r="AK67" i="1"/>
  <c r="AI75" i="1"/>
  <c r="AI74" i="1"/>
  <c r="AL78" i="1" l="1"/>
  <c r="AL77" i="1"/>
  <c r="AM78" i="1"/>
  <c r="AM79" i="1" s="1"/>
  <c r="D190" i="1"/>
  <c r="AK72" i="1"/>
  <c r="AJ190" i="1"/>
  <c r="AI77" i="1"/>
  <c r="AI76" i="1"/>
  <c r="A191" i="1"/>
  <c r="AK73" i="1"/>
  <c r="AL79" i="1" l="1"/>
  <c r="AM80" i="1"/>
  <c r="D191" i="1"/>
  <c r="AJ191" i="1"/>
  <c r="AK74" i="1"/>
  <c r="A192" i="1"/>
  <c r="AI79" i="1"/>
  <c r="AI78" i="1"/>
  <c r="AM81" i="1" l="1"/>
  <c r="AM82" i="1" s="1"/>
  <c r="AI80" i="1"/>
  <c r="D192" i="1"/>
  <c r="AK75" i="1"/>
  <c r="A193" i="1"/>
  <c r="AJ192" i="1"/>
  <c r="AL81" i="1" l="1"/>
  <c r="AM83" i="1"/>
  <c r="AI82" i="1"/>
  <c r="D193" i="1"/>
  <c r="AK76" i="1"/>
  <c r="AJ193" i="1"/>
  <c r="A194" i="1"/>
  <c r="AI192" i="1"/>
  <c r="AI81" i="1"/>
  <c r="AL84" i="1" l="1"/>
  <c r="AM84" i="1"/>
  <c r="AM85" i="1" s="1"/>
  <c r="AM86" i="1" s="1"/>
  <c r="AM87" i="1" s="1"/>
  <c r="AM88" i="1" s="1"/>
  <c r="AJ194" i="1"/>
  <c r="D194" i="1"/>
  <c r="AK77" i="1"/>
  <c r="A195" i="1"/>
  <c r="AI83" i="1"/>
  <c r="AM90" i="1" l="1"/>
  <c r="AM89" i="1"/>
  <c r="AL86" i="1"/>
  <c r="AI85" i="1"/>
  <c r="AI87" i="1"/>
  <c r="AI88" i="1"/>
  <c r="AI84" i="1"/>
  <c r="D195" i="1"/>
  <c r="AJ195" i="1"/>
  <c r="AK78" i="1"/>
  <c r="A196" i="1"/>
  <c r="AI86" i="1"/>
  <c r="D197" i="1" l="1"/>
  <c r="AJ197" i="1"/>
  <c r="AK82" i="1"/>
  <c r="D196" i="1"/>
  <c r="AI93" i="1"/>
  <c r="AJ196" i="1"/>
  <c r="AK79" i="1"/>
  <c r="AI91" i="1"/>
  <c r="A197" i="1"/>
  <c r="AI92" i="1"/>
  <c r="AV79" i="1" l="1"/>
  <c r="AX79" i="1" s="1"/>
  <c r="AL94" i="1"/>
  <c r="AL93" i="1"/>
  <c r="AL92" i="1"/>
  <c r="AL91" i="1"/>
  <c r="AM91" i="1"/>
  <c r="AM92" i="1" s="1"/>
  <c r="AM93" i="1" s="1"/>
  <c r="AM94" i="1" s="1"/>
  <c r="AM95" i="1" s="1"/>
  <c r="AM96" i="1" s="1"/>
  <c r="AM97" i="1" s="1"/>
  <c r="AK83" i="1"/>
  <c r="AK80" i="1"/>
  <c r="AI94" i="1"/>
  <c r="AI196" i="1"/>
  <c r="A198" i="1"/>
  <c r="AI95" i="1"/>
  <c r="AW79" i="1" l="1"/>
  <c r="AM98" i="1"/>
  <c r="AM99" i="1" s="1"/>
  <c r="AM100" i="1" s="1"/>
  <c r="AK89" i="1"/>
  <c r="AK81" i="1"/>
  <c r="AK84" i="1"/>
  <c r="AI96" i="1"/>
  <c r="A199" i="1"/>
  <c r="D198" i="1"/>
  <c r="AJ198" i="1"/>
  <c r="AJ199" i="1"/>
  <c r="A200" i="1"/>
  <c r="AL97" i="1" l="1"/>
  <c r="AM101" i="1"/>
  <c r="AM102" i="1" s="1"/>
  <c r="AK90" i="1"/>
  <c r="AI98" i="1"/>
  <c r="AK85" i="1"/>
  <c r="A201" i="1"/>
  <c r="D200" i="1"/>
  <c r="AJ200" i="1"/>
  <c r="D199" i="1"/>
  <c r="AI99" i="1"/>
  <c r="AM103" i="1" l="1"/>
  <c r="AM104" i="1" s="1"/>
  <c r="AM105" i="1" s="1"/>
  <c r="AK91" i="1"/>
  <c r="AI200" i="1"/>
  <c r="AI101" i="1"/>
  <c r="D201" i="1"/>
  <c r="A202" i="1"/>
  <c r="AK86" i="1"/>
  <c r="AJ201" i="1"/>
  <c r="AL102" i="1" l="1"/>
  <c r="AM106" i="1"/>
  <c r="AM107" i="1" s="1"/>
  <c r="AM108" i="1" s="1"/>
  <c r="AM109" i="1" s="1"/>
  <c r="AM110" i="1" s="1"/>
  <c r="AM111" i="1" s="1"/>
  <c r="D202" i="1"/>
  <c r="AK92" i="1"/>
  <c r="AI103" i="1"/>
  <c r="AK87" i="1"/>
  <c r="A203" i="1"/>
  <c r="AJ202" i="1"/>
  <c r="AM113" i="1" l="1"/>
  <c r="AM112" i="1"/>
  <c r="AL105" i="1"/>
  <c r="AJ204" i="1"/>
  <c r="D204" i="1"/>
  <c r="AJ203" i="1"/>
  <c r="AK93" i="1"/>
  <c r="AK88" i="1"/>
  <c r="A204" i="1"/>
  <c r="A205" i="1"/>
  <c r="D203" i="1"/>
  <c r="AI106" i="1"/>
  <c r="AL111" i="1" l="1"/>
  <c r="AL109" i="1"/>
  <c r="AL108" i="1"/>
  <c r="AI204" i="1"/>
  <c r="A206" i="1"/>
  <c r="D205" i="1"/>
  <c r="AK94" i="1"/>
  <c r="D206" i="1"/>
  <c r="A207" i="1"/>
  <c r="AJ205" i="1"/>
  <c r="AJ206" i="1"/>
  <c r="AM114" i="1" l="1"/>
  <c r="AK95" i="1"/>
  <c r="AJ207" i="1"/>
  <c r="A208" i="1"/>
  <c r="D207" i="1"/>
  <c r="AM115" i="1" l="1"/>
  <c r="AK97" i="1"/>
  <c r="D208" i="1"/>
  <c r="A209" i="1"/>
  <c r="AJ208" i="1"/>
  <c r="AI114" i="1"/>
  <c r="AK96" i="1"/>
  <c r="AM116" i="1" l="1"/>
  <c r="AI115" i="1"/>
  <c r="AK98" i="1"/>
  <c r="AI208" i="1"/>
  <c r="D209" i="1"/>
  <c r="AJ209" i="1"/>
  <c r="A210" i="1"/>
  <c r="AL117" i="1" l="1"/>
  <c r="AM117" i="1"/>
  <c r="AM118" i="1" s="1"/>
  <c r="AK112" i="1"/>
  <c r="D210" i="1"/>
  <c r="AK109" i="1"/>
  <c r="AJ210" i="1"/>
  <c r="AK99" i="1"/>
  <c r="A211" i="1"/>
  <c r="AI116" i="1"/>
  <c r="AL118" i="1" l="1"/>
  <c r="AK113" i="1"/>
  <c r="AK110" i="1"/>
  <c r="AK100" i="1"/>
  <c r="D211" i="1"/>
  <c r="A212" i="1"/>
  <c r="AI117" i="1"/>
  <c r="AK114" i="1"/>
  <c r="AK111" i="1"/>
  <c r="AJ211" i="1"/>
  <c r="AL121" i="1" l="1"/>
  <c r="AM119" i="1"/>
  <c r="AK115" i="1"/>
  <c r="AI211" i="1"/>
  <c r="AJ212" i="1"/>
  <c r="D212" i="1"/>
  <c r="A213" i="1"/>
  <c r="AK101" i="1"/>
  <c r="AM121" i="1" l="1"/>
  <c r="AM122" i="1" s="1"/>
  <c r="AM120" i="1"/>
  <c r="AL122" i="1"/>
  <c r="AK116" i="1"/>
  <c r="AI119" i="1"/>
  <c r="A214" i="1"/>
  <c r="AJ213" i="1"/>
  <c r="D213" i="1"/>
  <c r="AK102" i="1"/>
  <c r="AL123" i="1" l="1"/>
  <c r="AM123" i="1"/>
  <c r="D214" i="1"/>
  <c r="A215" i="1"/>
  <c r="AI122" i="1"/>
  <c r="AJ214" i="1"/>
  <c r="AK117" i="1"/>
  <c r="AK103" i="1"/>
  <c r="AL124" i="1" l="1"/>
  <c r="AM124" i="1"/>
  <c r="AK118" i="1"/>
  <c r="AJ215" i="1"/>
  <c r="AK104" i="1"/>
  <c r="A216" i="1"/>
  <c r="D215" i="1"/>
  <c r="AI123" i="1"/>
  <c r="AM125" i="1" l="1"/>
  <c r="AM126" i="1" s="1"/>
  <c r="AK119" i="1"/>
  <c r="AK105" i="1"/>
  <c r="D216" i="1"/>
  <c r="AJ216" i="1"/>
  <c r="A217" i="1"/>
  <c r="AI124" i="1"/>
  <c r="AL126" i="1" l="1"/>
  <c r="AM127" i="1"/>
  <c r="AM128" i="1" s="1"/>
  <c r="AJ217" i="1"/>
  <c r="D217" i="1"/>
  <c r="AI216" i="1"/>
  <c r="AK120" i="1"/>
  <c r="AI125" i="1"/>
  <c r="A218" i="1"/>
  <c r="AK106" i="1"/>
  <c r="AL127" i="1" l="1"/>
  <c r="AM129" i="1"/>
  <c r="AM130" i="1" s="1"/>
  <c r="AM131" i="1" s="1"/>
  <c r="AI129" i="1"/>
  <c r="AI127" i="1"/>
  <c r="A219" i="1"/>
  <c r="D218" i="1"/>
  <c r="AK107" i="1"/>
  <c r="AJ218" i="1"/>
  <c r="AK121" i="1"/>
  <c r="AI130" i="1"/>
  <c r="AL132" i="1" l="1"/>
  <c r="AM132" i="1"/>
  <c r="AM133" i="1" s="1"/>
  <c r="AK132" i="1"/>
  <c r="AJ219" i="1"/>
  <c r="A220" i="1"/>
  <c r="AK122" i="1"/>
  <c r="D219" i="1"/>
  <c r="AK108" i="1"/>
  <c r="AM134" i="1" l="1"/>
  <c r="AK133" i="1"/>
  <c r="AI132" i="1"/>
  <c r="AJ220" i="1"/>
  <c r="A221" i="1"/>
  <c r="D220" i="1"/>
  <c r="AI133" i="1"/>
  <c r="AK123" i="1"/>
  <c r="AI134" i="1"/>
  <c r="AM137" i="1" l="1"/>
  <c r="AM138" i="1" s="1"/>
  <c r="AM135" i="1"/>
  <c r="AM136" i="1" s="1"/>
  <c r="AL138" i="1"/>
  <c r="AK134" i="1"/>
  <c r="D221" i="1"/>
  <c r="A222" i="1"/>
  <c r="AJ221" i="1"/>
  <c r="AK124" i="1"/>
  <c r="AL139" i="1" l="1"/>
  <c r="AM139" i="1"/>
  <c r="AJ222" i="1"/>
  <c r="AI139" i="1"/>
  <c r="D222" i="1"/>
  <c r="AK125" i="1"/>
  <c r="AK126" i="1" s="1"/>
  <c r="A223" i="1"/>
  <c r="AK135" i="1"/>
  <c r="AI138" i="1"/>
  <c r="AM140" i="1" l="1"/>
  <c r="AM141" i="1" s="1"/>
  <c r="D223" i="1"/>
  <c r="AJ223" i="1"/>
  <c r="A224" i="1"/>
  <c r="AI140" i="1"/>
  <c r="AK136" i="1"/>
  <c r="AK127" i="1"/>
  <c r="AM142" i="1" l="1"/>
  <c r="AK137" i="1"/>
  <c r="AK128" i="1"/>
  <c r="D224" i="1"/>
  <c r="A225" i="1"/>
  <c r="AJ224" i="1"/>
  <c r="AM143" i="1" l="1"/>
  <c r="AM144" i="1" s="1"/>
  <c r="AI142" i="1"/>
  <c r="AJ225" i="1"/>
  <c r="A226" i="1"/>
  <c r="AK138" i="1"/>
  <c r="D225" i="1"/>
  <c r="AK129" i="1"/>
  <c r="AL144" i="1" l="1"/>
  <c r="AM145" i="1"/>
  <c r="AM146" i="1" s="1"/>
  <c r="AI143" i="1"/>
  <c r="AK130" i="1"/>
  <c r="D226" i="1"/>
  <c r="A227" i="1"/>
  <c r="AJ226" i="1"/>
  <c r="AK139" i="1"/>
  <c r="AL147" i="1" l="1"/>
  <c r="AL145" i="1"/>
  <c r="AM147" i="1"/>
  <c r="AJ227" i="1"/>
  <c r="AK140" i="1"/>
  <c r="AI145" i="1"/>
  <c r="A228" i="1"/>
  <c r="D227" i="1"/>
  <c r="AK131" i="1"/>
  <c r="AM148" i="1" l="1"/>
  <c r="AM149" i="1" s="1"/>
  <c r="AM150" i="1" s="1"/>
  <c r="AM151" i="1" s="1"/>
  <c r="AI149" i="1"/>
  <c r="D228" i="1"/>
  <c r="AJ228" i="1"/>
  <c r="A229" i="1"/>
  <c r="AI147" i="1"/>
  <c r="AK141" i="1"/>
  <c r="AI148" i="1"/>
  <c r="AM152" i="1" l="1"/>
  <c r="A230" i="1"/>
  <c r="AI228" i="1"/>
  <c r="AI151" i="1"/>
  <c r="AK142" i="1"/>
  <c r="AJ229" i="1"/>
  <c r="D229" i="1"/>
  <c r="AM153" i="1" l="1"/>
  <c r="AM154" i="1" s="1"/>
  <c r="AM155" i="1" s="1"/>
  <c r="AM156" i="1" s="1"/>
  <c r="A231" i="1"/>
  <c r="AI153" i="1"/>
  <c r="D231" i="1"/>
  <c r="AJ230" i="1"/>
  <c r="D230" i="1"/>
  <c r="AI152" i="1"/>
  <c r="AK143" i="1"/>
  <c r="AL155" i="1" l="1"/>
  <c r="AM157" i="1"/>
  <c r="AK149" i="1"/>
  <c r="A232" i="1"/>
  <c r="AJ231" i="1"/>
  <c r="AK144" i="1"/>
  <c r="AI155" i="1"/>
  <c r="AL157" i="1" l="1"/>
  <c r="AM158" i="1"/>
  <c r="AJ234" i="1"/>
  <c r="D234" i="1"/>
  <c r="AK150" i="1"/>
  <c r="AJ232" i="1"/>
  <c r="AI154" i="1"/>
  <c r="A233" i="1"/>
  <c r="AI157" i="1"/>
  <c r="A234" i="1"/>
  <c r="AK145" i="1"/>
  <c r="D232" i="1"/>
  <c r="D233" i="1"/>
  <c r="AJ233" i="1"/>
  <c r="AW234" i="1" l="1"/>
  <c r="AL160" i="1"/>
  <c r="AL159" i="1"/>
  <c r="AL158" i="1"/>
  <c r="AM159" i="1"/>
  <c r="AM160" i="1" s="1"/>
  <c r="A235" i="1"/>
  <c r="AI158" i="1"/>
  <c r="AK151" i="1"/>
  <c r="AI232" i="1"/>
  <c r="AK146" i="1"/>
  <c r="AV151" i="1" l="1"/>
  <c r="AX151" i="1" s="1"/>
  <c r="AM161" i="1"/>
  <c r="AM162" i="1" s="1"/>
  <c r="AM163" i="1" s="1"/>
  <c r="AK152" i="1"/>
  <c r="D235" i="1"/>
  <c r="A236" i="1"/>
  <c r="AJ235" i="1"/>
  <c r="AK147" i="1"/>
  <c r="AI160" i="1"/>
  <c r="AI159" i="1"/>
  <c r="AW151" i="1" l="1"/>
  <c r="AM164" i="1"/>
  <c r="AM165" i="1" s="1"/>
  <c r="AK148" i="1"/>
  <c r="AK153" i="1"/>
  <c r="D236" i="1"/>
  <c r="AI162" i="1"/>
  <c r="AJ236" i="1"/>
  <c r="AI161" i="1"/>
  <c r="A237" i="1"/>
  <c r="AI163" i="1"/>
  <c r="AV153" i="1" l="1"/>
  <c r="AX153" i="1" s="1"/>
  <c r="AM166" i="1"/>
  <c r="A238" i="1"/>
  <c r="AI164" i="1"/>
  <c r="AJ237" i="1"/>
  <c r="D237" i="1"/>
  <c r="AK154" i="1"/>
  <c r="AI165" i="1"/>
  <c r="AW153" i="1" l="1"/>
  <c r="AK166" i="1"/>
  <c r="AM168" i="1"/>
  <c r="AM169" i="1" s="1"/>
  <c r="AM170" i="1" s="1"/>
  <c r="AI166" i="1"/>
  <c r="AI168" i="1"/>
  <c r="AK168" i="1"/>
  <c r="AK155" i="1"/>
  <c r="A239" i="1"/>
  <c r="AJ238" i="1"/>
  <c r="D238" i="1"/>
  <c r="AM171" i="1" l="1"/>
  <c r="AM172" i="1" s="1"/>
  <c r="AK169" i="1"/>
  <c r="D239" i="1"/>
  <c r="AI170" i="1"/>
  <c r="AK156" i="1"/>
  <c r="AJ239" i="1"/>
  <c r="A240" i="1"/>
  <c r="AI169" i="1"/>
  <c r="AV169" i="1" l="1"/>
  <c r="AM173" i="1"/>
  <c r="AI171" i="1"/>
  <c r="AK170" i="1"/>
  <c r="D240" i="1"/>
  <c r="AI172" i="1"/>
  <c r="A241" i="1"/>
  <c r="AJ240" i="1"/>
  <c r="AK157" i="1"/>
  <c r="AX169" i="1" l="1"/>
  <c r="AW169" i="1"/>
  <c r="AL174" i="1"/>
  <c r="AL173" i="1"/>
  <c r="AM174" i="1"/>
  <c r="AK171" i="1"/>
  <c r="AK172" i="1"/>
  <c r="AK158" i="1"/>
  <c r="A242" i="1"/>
  <c r="AJ241" i="1"/>
  <c r="AI173" i="1"/>
  <c r="D241" i="1"/>
  <c r="AM175" i="1" l="1"/>
  <c r="AM176" i="1" s="1"/>
  <c r="AM177" i="1" s="1"/>
  <c r="D243" i="1"/>
  <c r="AJ243" i="1"/>
  <c r="AJ242" i="1"/>
  <c r="D242" i="1"/>
  <c r="AK173" i="1"/>
  <c r="AI174" i="1"/>
  <c r="AK159" i="1"/>
  <c r="A243" i="1"/>
  <c r="AI175" i="1"/>
  <c r="AL178" i="1" l="1"/>
  <c r="AM178" i="1"/>
  <c r="AM179" i="1" s="1"/>
  <c r="AI178" i="1"/>
  <c r="AI176" i="1"/>
  <c r="AI242" i="1"/>
  <c r="AK160" i="1"/>
  <c r="AK174" i="1"/>
  <c r="A244" i="1"/>
  <c r="AI177" i="1"/>
  <c r="AM180" i="1" l="1"/>
  <c r="AM181" i="1" s="1"/>
  <c r="AK178" i="1"/>
  <c r="AJ244" i="1"/>
  <c r="A245" i="1"/>
  <c r="AK175" i="1"/>
  <c r="AK161" i="1"/>
  <c r="D244" i="1"/>
  <c r="AV161" i="1" l="1"/>
  <c r="AW161" i="1" s="1"/>
  <c r="AL181" i="1"/>
  <c r="AM182" i="1"/>
  <c r="AM183" i="1" s="1"/>
  <c r="AK179" i="1"/>
  <c r="D245" i="1"/>
  <c r="AI181" i="1"/>
  <c r="AJ245" i="1"/>
  <c r="AK176" i="1"/>
  <c r="A246" i="1"/>
  <c r="AI180" i="1"/>
  <c r="AK180" i="1"/>
  <c r="AK162" i="1"/>
  <c r="AV162" i="1" l="1"/>
  <c r="AX161" i="1"/>
  <c r="AU245" i="1"/>
  <c r="AM184" i="1"/>
  <c r="AM185" i="1" s="1"/>
  <c r="AM186" i="1" s="1"/>
  <c r="AK177" i="1"/>
  <c r="AK181" i="1"/>
  <c r="A247" i="1"/>
  <c r="AJ247" i="1"/>
  <c r="AK163" i="1"/>
  <c r="A248" i="1"/>
  <c r="AI182" i="1"/>
  <c r="D247" i="1"/>
  <c r="D246" i="1"/>
  <c r="AJ246" i="1"/>
  <c r="AX162" i="1" l="1"/>
  <c r="AW162" i="1"/>
  <c r="AV181" i="1"/>
  <c r="AW181" i="1" s="1"/>
  <c r="AM187" i="1"/>
  <c r="AM188" i="1" s="1"/>
  <c r="AK184" i="1"/>
  <c r="AV184" i="1" s="1"/>
  <c r="AI183" i="1"/>
  <c r="AJ248" i="1"/>
  <c r="AK182" i="1"/>
  <c r="D248" i="1"/>
  <c r="AI184" i="1"/>
  <c r="AK185" i="1"/>
  <c r="AI186" i="1"/>
  <c r="AK164" i="1"/>
  <c r="A249" i="1"/>
  <c r="AI185" i="1"/>
  <c r="AX184" i="1" l="1"/>
  <c r="AW184" i="1"/>
  <c r="AX181" i="1"/>
  <c r="AL188" i="1"/>
  <c r="AL187" i="1"/>
  <c r="AM189" i="1"/>
  <c r="AM190" i="1" s="1"/>
  <c r="AK183" i="1"/>
  <c r="AI248" i="1"/>
  <c r="AI188" i="1"/>
  <c r="AK186" i="1"/>
  <c r="AJ249" i="1"/>
  <c r="D249" i="1"/>
  <c r="AI187" i="1"/>
  <c r="AK165" i="1"/>
  <c r="A250" i="1"/>
  <c r="A251" i="1"/>
  <c r="AJ250" i="1"/>
  <c r="AV165" i="1" l="1"/>
  <c r="AW165" i="1" s="1"/>
  <c r="AL190" i="1"/>
  <c r="AM191" i="1"/>
  <c r="AM192" i="1" s="1"/>
  <c r="AI190" i="1"/>
  <c r="AK188" i="1"/>
  <c r="A252" i="1"/>
  <c r="D250" i="1"/>
  <c r="AI189" i="1"/>
  <c r="D251" i="1"/>
  <c r="AK187" i="1"/>
  <c r="AJ251" i="1"/>
  <c r="AX165" i="1" l="1"/>
  <c r="AU251" i="1"/>
  <c r="AM193" i="1"/>
  <c r="AK189" i="1"/>
  <c r="AI191" i="1"/>
  <c r="D252" i="1"/>
  <c r="A253" i="1"/>
  <c r="AJ252" i="1"/>
  <c r="AM194" i="1" l="1"/>
  <c r="AM195" i="1" s="1"/>
  <c r="AM196" i="1" s="1"/>
  <c r="AK190" i="1"/>
  <c r="AJ253" i="1"/>
  <c r="A254" i="1"/>
  <c r="D253" i="1"/>
  <c r="AI193" i="1"/>
  <c r="AM197" i="1" l="1"/>
  <c r="AK191" i="1"/>
  <c r="AI194" i="1"/>
  <c r="AI195" i="1"/>
  <c r="A255" i="1"/>
  <c r="D254" i="1"/>
  <c r="AJ254" i="1"/>
  <c r="AM198" i="1" l="1"/>
  <c r="AM199" i="1" s="1"/>
  <c r="AM200" i="1" s="1"/>
  <c r="AK197" i="1"/>
  <c r="AI197" i="1"/>
  <c r="A256" i="1"/>
  <c r="D255" i="1"/>
  <c r="AJ255" i="1"/>
  <c r="AK192" i="1"/>
  <c r="AM201" i="1" l="1"/>
  <c r="AM202" i="1" s="1"/>
  <c r="AM203" i="1" s="1"/>
  <c r="AM204" i="1" s="1"/>
  <c r="AM205" i="1"/>
  <c r="AK198" i="1"/>
  <c r="AK194" i="1"/>
  <c r="AI198" i="1"/>
  <c r="AK193" i="1"/>
  <c r="AJ256" i="1"/>
  <c r="AI199" i="1"/>
  <c r="A257" i="1"/>
  <c r="D256" i="1"/>
  <c r="AL202" i="1" l="1"/>
  <c r="AL200" i="1"/>
  <c r="AM206" i="1"/>
  <c r="AK205" i="1"/>
  <c r="AK195" i="1"/>
  <c r="D257" i="1"/>
  <c r="AJ257" i="1"/>
  <c r="AI203" i="1"/>
  <c r="A258" i="1"/>
  <c r="AK199" i="1"/>
  <c r="AI201" i="1"/>
  <c r="AI205" i="1"/>
  <c r="AI202" i="1"/>
  <c r="AL207" i="1" l="1"/>
  <c r="AM207" i="1"/>
  <c r="AM208" i="1" s="1"/>
  <c r="AJ258" i="1"/>
  <c r="D258" i="1"/>
  <c r="AK206" i="1"/>
  <c r="A259" i="1"/>
  <c r="AK196" i="1"/>
  <c r="AK200" i="1"/>
  <c r="AI206" i="1"/>
  <c r="AM209" i="1" l="1"/>
  <c r="AK201" i="1"/>
  <c r="D259" i="1"/>
  <c r="AI207" i="1"/>
  <c r="A260" i="1"/>
  <c r="AJ259" i="1"/>
  <c r="AK207" i="1"/>
  <c r="AM210" i="1" l="1"/>
  <c r="AM211" i="1" s="1"/>
  <c r="AK208" i="1"/>
  <c r="AK202" i="1"/>
  <c r="A261" i="1"/>
  <c r="AJ260" i="1"/>
  <c r="AI209" i="1"/>
  <c r="D260" i="1"/>
  <c r="AI259" i="1"/>
  <c r="AM212" i="1" l="1"/>
  <c r="AK204" i="1"/>
  <c r="AI210" i="1"/>
  <c r="D262" i="1"/>
  <c r="AJ261" i="1"/>
  <c r="D261" i="1"/>
  <c r="AK203" i="1"/>
  <c r="A262" i="1"/>
  <c r="AK209" i="1"/>
  <c r="AM213" i="1" l="1"/>
  <c r="AK210" i="1"/>
  <c r="AJ262" i="1"/>
  <c r="AI212" i="1"/>
  <c r="A263" i="1"/>
  <c r="AM214" i="1" l="1"/>
  <c r="AM215" i="1" s="1"/>
  <c r="AM216" i="1" s="1"/>
  <c r="AK211" i="1"/>
  <c r="AJ263" i="1"/>
  <c r="AK212" i="1"/>
  <c r="AI214" i="1"/>
  <c r="D263" i="1"/>
  <c r="A264" i="1"/>
  <c r="AI215" i="1"/>
  <c r="AI213" i="1"/>
  <c r="AJ264" i="1"/>
  <c r="D264" i="1"/>
  <c r="AL217" i="1" l="1"/>
  <c r="AM217" i="1"/>
  <c r="AI217" i="1"/>
  <c r="AK213" i="1"/>
  <c r="A265" i="1"/>
  <c r="AJ265" i="1"/>
  <c r="D265" i="1"/>
  <c r="A266" i="1"/>
  <c r="AM218" i="1" l="1"/>
  <c r="AM219" i="1" s="1"/>
  <c r="AK217" i="1"/>
  <c r="D269" i="1"/>
  <c r="AJ269" i="1"/>
  <c r="D266" i="1"/>
  <c r="A267" i="1"/>
  <c r="AK214" i="1"/>
  <c r="AK215" i="1" s="1"/>
  <c r="AJ266" i="1"/>
  <c r="A268" i="1"/>
  <c r="AL219" i="1" l="1"/>
  <c r="AK218" i="1"/>
  <c r="AJ267" i="1"/>
  <c r="AI218" i="1"/>
  <c r="D267" i="1"/>
  <c r="D268" i="1"/>
  <c r="AK216" i="1"/>
  <c r="AJ268" i="1"/>
  <c r="A269" i="1"/>
  <c r="AM220" i="1" l="1"/>
  <c r="AM221" i="1" s="1"/>
  <c r="AI267" i="1"/>
  <c r="AK219" i="1"/>
  <c r="AI219" i="1"/>
  <c r="AI220" i="1"/>
  <c r="A270" i="1"/>
  <c r="A271" i="1"/>
  <c r="AJ271" i="1"/>
  <c r="D271" i="1"/>
  <c r="AJ270" i="1"/>
  <c r="D270" i="1"/>
  <c r="AM222" i="1" l="1"/>
  <c r="AK220" i="1"/>
  <c r="A272" i="1"/>
  <c r="AI221" i="1"/>
  <c r="D272" i="1"/>
  <c r="A273" i="1"/>
  <c r="AM223" i="1" l="1"/>
  <c r="D274" i="1"/>
  <c r="AJ274" i="1"/>
  <c r="AK221" i="1"/>
  <c r="D273" i="1"/>
  <c r="A274" i="1"/>
  <c r="AI222" i="1"/>
  <c r="AJ272" i="1"/>
  <c r="AJ273" i="1"/>
  <c r="A275" i="1"/>
  <c r="AM224" i="1" l="1"/>
  <c r="AK223" i="1"/>
  <c r="D280" i="1"/>
  <c r="AJ280" i="1"/>
  <c r="AI223" i="1"/>
  <c r="AK222" i="1"/>
  <c r="D275" i="1"/>
  <c r="A276" i="1"/>
  <c r="AI273" i="1"/>
  <c r="AJ275" i="1"/>
  <c r="AM225" i="1" l="1"/>
  <c r="AK224" i="1"/>
  <c r="D276" i="1"/>
  <c r="AJ276" i="1"/>
  <c r="D278" i="1"/>
  <c r="AJ278" i="1"/>
  <c r="A277" i="1"/>
  <c r="D277" i="1"/>
  <c r="AI224" i="1"/>
  <c r="A278" i="1"/>
  <c r="AI225" i="1"/>
  <c r="AL226" i="1" l="1"/>
  <c r="AM226" i="1"/>
  <c r="AM227" i="1" s="1"/>
  <c r="AM228" i="1" s="1"/>
  <c r="AI278" i="1"/>
  <c r="AJ277" i="1"/>
  <c r="AK225" i="1"/>
  <c r="A279" i="1"/>
  <c r="AJ279" i="1"/>
  <c r="AL227" i="1" l="1"/>
  <c r="AI226" i="1"/>
  <c r="AK226" i="1"/>
  <c r="A280" i="1"/>
  <c r="AI227" i="1"/>
  <c r="D279" i="1"/>
  <c r="A281" i="1"/>
  <c r="A282" i="1"/>
  <c r="D282" i="1"/>
  <c r="AL229" i="1" l="1"/>
  <c r="AM229" i="1"/>
  <c r="AJ284" i="1"/>
  <c r="D284" i="1"/>
  <c r="AJ282" i="1"/>
  <c r="AK227" i="1"/>
  <c r="A283" i="1"/>
  <c r="D283" i="1"/>
  <c r="A284" i="1"/>
  <c r="AJ283" i="1"/>
  <c r="D281" i="1"/>
  <c r="AI229" i="1"/>
  <c r="AJ281" i="1"/>
  <c r="AM230" i="1" l="1"/>
  <c r="A285" i="1"/>
  <c r="AK228" i="1"/>
  <c r="A286" i="1"/>
  <c r="AJ285" i="1"/>
  <c r="AM231" i="1" l="1"/>
  <c r="AM232" i="1" s="1"/>
  <c r="D286" i="1"/>
  <c r="A287" i="1"/>
  <c r="AJ286" i="1"/>
  <c r="D285" i="1"/>
  <c r="AK229" i="1"/>
  <c r="AI230" i="1"/>
  <c r="D287" i="1"/>
  <c r="AM233" i="1" l="1"/>
  <c r="AK230" i="1"/>
  <c r="AI231" i="1"/>
  <c r="AI286" i="1"/>
  <c r="AJ287" i="1"/>
  <c r="A288" i="1"/>
  <c r="D288" i="1"/>
  <c r="A289" i="1"/>
  <c r="AJ288" i="1"/>
  <c r="AL233" i="1" l="1"/>
  <c r="AM234" i="1"/>
  <c r="AK231" i="1"/>
  <c r="AK232" i="1"/>
  <c r="AI233" i="1"/>
  <c r="AJ289" i="1"/>
  <c r="A290" i="1"/>
  <c r="D289" i="1"/>
  <c r="AM235" i="1" l="1"/>
  <c r="AI234" i="1"/>
  <c r="D290" i="1"/>
  <c r="AJ290" i="1"/>
  <c r="A291" i="1"/>
  <c r="AK233" i="1"/>
  <c r="AM236" i="1" l="1"/>
  <c r="AK234" i="1"/>
  <c r="AK235" i="1"/>
  <c r="AI235" i="1"/>
  <c r="D291" i="1"/>
  <c r="A292" i="1"/>
  <c r="AJ291" i="1"/>
  <c r="AL237" i="1" l="1"/>
  <c r="AM237" i="1"/>
  <c r="AJ292" i="1"/>
  <c r="D292" i="1"/>
  <c r="AI291" i="1"/>
  <c r="A293" i="1"/>
  <c r="AK236" i="1"/>
  <c r="AI236" i="1"/>
  <c r="AL238" i="1" l="1"/>
  <c r="AM238" i="1"/>
  <c r="D293" i="1"/>
  <c r="AK237" i="1"/>
  <c r="AI237" i="1"/>
  <c r="A294" i="1"/>
  <c r="AJ293" i="1"/>
  <c r="AM239" i="1" l="1"/>
  <c r="AM240" i="1" s="1"/>
  <c r="AI293" i="1"/>
  <c r="AJ294" i="1"/>
  <c r="AI238" i="1"/>
  <c r="AK238" i="1"/>
  <c r="D294" i="1"/>
  <c r="A295" i="1"/>
  <c r="AL240" i="1" l="1"/>
  <c r="D295" i="1"/>
  <c r="AJ295" i="1"/>
  <c r="A296" i="1"/>
  <c r="AI239" i="1"/>
  <c r="AK239" i="1"/>
  <c r="AM241" i="1" l="1"/>
  <c r="AM242" i="1" s="1"/>
  <c r="AI295" i="1"/>
  <c r="AI240" i="1"/>
  <c r="AI241" i="1"/>
  <c r="A297" i="1"/>
  <c r="AK240" i="1"/>
  <c r="D296" i="1"/>
  <c r="AJ296" i="1"/>
  <c r="AL242" i="1" l="1"/>
  <c r="AM243" i="1"/>
  <c r="A298" i="1"/>
  <c r="D297" i="1"/>
  <c r="AK241" i="1"/>
  <c r="AJ297" i="1"/>
  <c r="AL243" i="1" l="1"/>
  <c r="AM244" i="1"/>
  <c r="AI243" i="1"/>
  <c r="A299" i="1"/>
  <c r="D298" i="1"/>
  <c r="AK242" i="1"/>
  <c r="AI297" i="1"/>
  <c r="AJ298" i="1"/>
  <c r="AM245" i="1" l="1"/>
  <c r="AK243" i="1"/>
  <c r="D299" i="1"/>
  <c r="A300" i="1"/>
  <c r="AJ299" i="1"/>
  <c r="AI244" i="1"/>
  <c r="AM246" i="1" l="1"/>
  <c r="AK244" i="1"/>
  <c r="AK245" i="1"/>
  <c r="AI245" i="1"/>
  <c r="D300" i="1"/>
  <c r="AJ300" i="1"/>
  <c r="A301" i="1"/>
  <c r="AV245" i="1" l="1"/>
  <c r="AL247" i="1"/>
  <c r="AM247" i="1"/>
  <c r="AM248" i="1" s="1"/>
  <c r="AJ302" i="1"/>
  <c r="AK246" i="1"/>
  <c r="AI246" i="1"/>
  <c r="D301" i="1"/>
  <c r="A302" i="1"/>
  <c r="AJ301" i="1"/>
  <c r="AX245" i="1" l="1"/>
  <c r="AW245" i="1"/>
  <c r="AM249" i="1"/>
  <c r="D302" i="1"/>
  <c r="A303" i="1"/>
  <c r="AI247" i="1"/>
  <c r="AK247" i="1"/>
  <c r="D303" i="1"/>
  <c r="AM250" i="1" l="1"/>
  <c r="AK249" i="1"/>
  <c r="AK248" i="1"/>
  <c r="AI249" i="1"/>
  <c r="AJ303" i="1"/>
  <c r="A304" i="1"/>
  <c r="AL251" i="1" l="1"/>
  <c r="AM251" i="1"/>
  <c r="AJ304" i="1"/>
  <c r="D304" i="1"/>
  <c r="AK250" i="1"/>
  <c r="A305" i="1"/>
  <c r="AI250" i="1"/>
  <c r="AM252" i="1" l="1"/>
  <c r="AM253" i="1" s="1"/>
  <c r="AJ305" i="1"/>
  <c r="A306" i="1"/>
  <c r="AI251" i="1"/>
  <c r="D305" i="1"/>
  <c r="AK251" i="1"/>
  <c r="AV251" i="1" l="1"/>
  <c r="AL253" i="1"/>
  <c r="D306" i="1"/>
  <c r="AK252" i="1"/>
  <c r="AI252" i="1"/>
  <c r="AJ306" i="1"/>
  <c r="A307" i="1"/>
  <c r="AX251" i="1" l="1"/>
  <c r="AW251" i="1"/>
  <c r="AM254" i="1"/>
  <c r="AM255" i="1" s="1"/>
  <c r="A308" i="1"/>
  <c r="AK253" i="1"/>
  <c r="AI253" i="1"/>
  <c r="D307" i="1"/>
  <c r="AJ307" i="1"/>
  <c r="AL255" i="1" l="1"/>
  <c r="AJ309" i="1"/>
  <c r="D308" i="1"/>
  <c r="AJ308" i="1"/>
  <c r="AK254" i="1"/>
  <c r="AI254" i="1"/>
  <c r="A309" i="1"/>
  <c r="AL256" i="1" l="1"/>
  <c r="AM256" i="1"/>
  <c r="D309" i="1"/>
  <c r="AK255" i="1"/>
  <c r="A310" i="1"/>
  <c r="AI255" i="1"/>
  <c r="AL257" i="1" l="1"/>
  <c r="AM257" i="1"/>
  <c r="D310" i="1"/>
  <c r="AK256" i="1"/>
  <c r="AJ310" i="1"/>
  <c r="AI256" i="1"/>
  <c r="A311" i="1"/>
  <c r="AL258" i="1" l="1"/>
  <c r="AM258" i="1"/>
  <c r="AM259" i="1" s="1"/>
  <c r="D311" i="1"/>
  <c r="AJ311" i="1"/>
  <c r="AK257" i="1"/>
  <c r="A312" i="1"/>
  <c r="AI257" i="1"/>
  <c r="AM260" i="1" l="1"/>
  <c r="AI258" i="1"/>
  <c r="AK258" i="1"/>
  <c r="AJ312" i="1"/>
  <c r="A313" i="1"/>
  <c r="D312" i="1"/>
  <c r="AI311" i="1"/>
  <c r="AM261" i="1" l="1"/>
  <c r="AM262" i="1" s="1"/>
  <c r="AK259" i="1"/>
  <c r="AI260" i="1"/>
  <c r="D313" i="1"/>
  <c r="AJ313" i="1"/>
  <c r="A314" i="1"/>
  <c r="AM263" i="1" l="1"/>
  <c r="A315" i="1"/>
  <c r="AK260" i="1"/>
  <c r="AJ314" i="1"/>
  <c r="AI261" i="1"/>
  <c r="D314" i="1"/>
  <c r="D315" i="1" l="1"/>
  <c r="AJ315" i="1"/>
  <c r="AI262" i="1"/>
  <c r="AK261" i="1"/>
  <c r="AI263" i="1"/>
  <c r="A316" i="1"/>
  <c r="AM264" i="1" l="1"/>
  <c r="AK262" i="1"/>
  <c r="AJ316" i="1"/>
  <c r="A317" i="1"/>
  <c r="D316" i="1"/>
  <c r="AL265" i="1" l="1"/>
  <c r="AM265" i="1"/>
  <c r="D317" i="1"/>
  <c r="AJ317" i="1"/>
  <c r="AK263" i="1"/>
  <c r="A318" i="1"/>
  <c r="AI264" i="1"/>
  <c r="AM266" i="1" l="1"/>
  <c r="AM267" i="1" s="1"/>
  <c r="AK264" i="1"/>
  <c r="AI265" i="1"/>
  <c r="D318" i="1"/>
  <c r="A319" i="1"/>
  <c r="AJ318" i="1"/>
  <c r="AL267" i="1" l="1"/>
  <c r="AM268" i="1"/>
  <c r="AM269" i="1" s="1"/>
  <c r="D319" i="1"/>
  <c r="AI266" i="1"/>
  <c r="AK265" i="1"/>
  <c r="A320" i="1"/>
  <c r="AJ319" i="1"/>
  <c r="AM270" i="1" l="1"/>
  <c r="AI269" i="1"/>
  <c r="D320" i="1"/>
  <c r="AI268" i="1"/>
  <c r="A321" i="1"/>
  <c r="AJ320" i="1"/>
  <c r="AK266" i="1"/>
  <c r="AJ321" i="1" l="1"/>
  <c r="D321" i="1"/>
  <c r="AK267" i="1"/>
  <c r="AK268" i="1"/>
  <c r="A322" i="1"/>
  <c r="AM271" i="1" l="1"/>
  <c r="AK269" i="1"/>
  <c r="D322" i="1"/>
  <c r="AJ322" i="1"/>
  <c r="AI271" i="1"/>
  <c r="AI270" i="1"/>
  <c r="A323" i="1"/>
  <c r="AL272" i="1" l="1"/>
  <c r="AM272" i="1"/>
  <c r="AM273" i="1" s="1"/>
  <c r="AK270" i="1"/>
  <c r="D324" i="1"/>
  <c r="A324" i="1"/>
  <c r="AJ323" i="1"/>
  <c r="D323" i="1"/>
  <c r="AL273" i="1" l="1"/>
  <c r="AM274" i="1"/>
  <c r="AM275" i="1" s="1"/>
  <c r="AI324" i="1"/>
  <c r="AJ324" i="1"/>
  <c r="A325" i="1"/>
  <c r="AJ325" i="1"/>
  <c r="AK271" i="1"/>
  <c r="AI272" i="1"/>
  <c r="AL274" i="1" l="1"/>
  <c r="AI274" i="1"/>
  <c r="AK272" i="1"/>
  <c r="D325" i="1"/>
  <c r="A326" i="1"/>
  <c r="AK273" i="1"/>
  <c r="AL276" i="1" l="1"/>
  <c r="AM276" i="1"/>
  <c r="AK274" i="1"/>
  <c r="A327" i="1"/>
  <c r="AJ326" i="1"/>
  <c r="D326" i="1"/>
  <c r="AI275" i="1"/>
  <c r="AM277" i="1" l="1"/>
  <c r="AM278" i="1" s="1"/>
  <c r="AK275" i="1"/>
  <c r="AI276" i="1"/>
  <c r="AJ327" i="1"/>
  <c r="A328" i="1"/>
  <c r="D327" i="1"/>
  <c r="AL278" i="1" l="1"/>
  <c r="AK276" i="1"/>
  <c r="AK277" i="1" s="1"/>
  <c r="D328" i="1"/>
  <c r="AJ328" i="1"/>
  <c r="A329" i="1"/>
  <c r="D329" i="1"/>
  <c r="AI277" i="1"/>
  <c r="A330" i="1"/>
  <c r="AU328" i="1" l="1"/>
  <c r="AM279" i="1"/>
  <c r="AK278" i="1"/>
  <c r="A331" i="1"/>
  <c r="D330" i="1"/>
  <c r="AI328" i="1"/>
  <c r="AJ329" i="1"/>
  <c r="AJ330" i="1"/>
  <c r="AI329" i="1"/>
  <c r="AL280" i="1" l="1"/>
  <c r="AM280" i="1"/>
  <c r="AM281" i="1" s="1"/>
  <c r="AK279" i="1"/>
  <c r="A332" i="1"/>
  <c r="AJ331" i="1"/>
  <c r="AI279" i="1"/>
  <c r="A333" i="1"/>
  <c r="D331" i="1"/>
  <c r="AJ332" i="1"/>
  <c r="D332" i="1"/>
  <c r="D333" i="1"/>
  <c r="AJ333" i="1"/>
  <c r="AI280" i="1" l="1"/>
  <c r="AK280" i="1"/>
  <c r="AJ339" i="1"/>
  <c r="A334" i="1"/>
  <c r="D339" i="1" l="1"/>
  <c r="AL282" i="1"/>
  <c r="AM282" i="1"/>
  <c r="AM283" i="1" s="1"/>
  <c r="AK281" i="1"/>
  <c r="D334" i="1"/>
  <c r="AJ334" i="1"/>
  <c r="A335" i="1"/>
  <c r="AI281" i="1"/>
  <c r="AL284" i="1" l="1"/>
  <c r="AL283" i="1"/>
  <c r="AM284" i="1"/>
  <c r="AM285" i="1" s="1"/>
  <c r="AM286" i="1" s="1"/>
  <c r="AI282" i="1"/>
  <c r="A336" i="1"/>
  <c r="AJ335" i="1"/>
  <c r="AK282" i="1"/>
  <c r="AI283" i="1"/>
  <c r="D335" i="1"/>
  <c r="AM287" i="1" l="1"/>
  <c r="AI284" i="1"/>
  <c r="AJ336" i="1"/>
  <c r="AK283" i="1"/>
  <c r="AI335" i="1"/>
  <c r="D336" i="1"/>
  <c r="A337" i="1"/>
  <c r="AL286" i="1" l="1"/>
  <c r="AM288" i="1"/>
  <c r="D350" i="1"/>
  <c r="AJ350" i="1"/>
  <c r="AK284" i="1"/>
  <c r="AJ337" i="1"/>
  <c r="D337" i="1"/>
  <c r="A338" i="1"/>
  <c r="AI285" i="1"/>
  <c r="AL289" i="1" l="1"/>
  <c r="AL288" i="1"/>
  <c r="AM289" i="1"/>
  <c r="AM290" i="1" s="1"/>
  <c r="AM291" i="1" s="1"/>
  <c r="D354" i="1"/>
  <c r="AJ354" i="1"/>
  <c r="AK285" i="1"/>
  <c r="D338" i="1"/>
  <c r="A339" i="1"/>
  <c r="AJ338" i="1"/>
  <c r="AI288" i="1"/>
  <c r="AI287" i="1"/>
  <c r="AI289" i="1"/>
  <c r="AI290" i="1" l="1"/>
  <c r="A340" i="1"/>
  <c r="AJ340" i="1"/>
  <c r="D340" i="1"/>
  <c r="A341" i="1"/>
  <c r="AJ341" i="1" s="1"/>
  <c r="AK286" i="1"/>
  <c r="D341" i="1"/>
  <c r="AM292" i="1" l="1"/>
  <c r="AM293" i="1" s="1"/>
  <c r="AI292" i="1"/>
  <c r="A342" i="1"/>
  <c r="AI340" i="1"/>
  <c r="D342" i="1"/>
  <c r="AK287" i="1"/>
  <c r="AJ342" i="1"/>
  <c r="A343" i="1"/>
  <c r="AM294" i="1" l="1"/>
  <c r="AM295" i="1" s="1"/>
  <c r="AJ344" i="1"/>
  <c r="AJ343" i="1"/>
  <c r="AK288" i="1"/>
  <c r="A344" i="1"/>
  <c r="D343" i="1"/>
  <c r="AK292" i="1" l="1"/>
  <c r="D344" i="1"/>
  <c r="AK290" i="1"/>
  <c r="AK289" i="1"/>
  <c r="AI294" i="1"/>
  <c r="AI343" i="1"/>
  <c r="A345" i="1"/>
  <c r="AM296" i="1" l="1"/>
  <c r="AM297" i="1" s="1"/>
  <c r="AK293" i="1"/>
  <c r="AK291" i="1"/>
  <c r="AJ345" i="1"/>
  <c r="AK294" i="1"/>
  <c r="A346" i="1"/>
  <c r="D345" i="1"/>
  <c r="AI296" i="1"/>
  <c r="AM298" i="1" l="1"/>
  <c r="AK295" i="1"/>
  <c r="D346" i="1"/>
  <c r="AJ346" i="1"/>
  <c r="AI345" i="1"/>
  <c r="A347" i="1"/>
  <c r="AI298" i="1"/>
  <c r="D347" i="1"/>
  <c r="A348" i="1"/>
  <c r="AL299" i="1" l="1"/>
  <c r="AM299" i="1"/>
  <c r="AK296" i="1"/>
  <c r="D348" i="1"/>
  <c r="AJ348" i="1"/>
  <c r="AJ347" i="1"/>
  <c r="A349" i="1"/>
  <c r="A350" i="1"/>
  <c r="AJ349" i="1"/>
  <c r="D349" i="1"/>
  <c r="AM300" i="1" l="1"/>
  <c r="AK297" i="1"/>
  <c r="A351" i="1"/>
  <c r="AI299" i="1"/>
  <c r="AI349" i="1"/>
  <c r="AL301" i="1" l="1"/>
  <c r="AM301" i="1"/>
  <c r="AM302" i="1" s="1"/>
  <c r="D352" i="1"/>
  <c r="AI300" i="1"/>
  <c r="D351" i="1"/>
  <c r="A352" i="1"/>
  <c r="AK298" i="1"/>
  <c r="AJ351" i="1"/>
  <c r="AL302" i="1" l="1"/>
  <c r="AJ352" i="1"/>
  <c r="AI352" i="1"/>
  <c r="AI301" i="1"/>
  <c r="A353" i="1"/>
  <c r="AK299" i="1"/>
  <c r="AM303" i="1" l="1"/>
  <c r="AK302" i="1"/>
  <c r="AI302" i="1"/>
  <c r="A354" i="1"/>
  <c r="AJ353" i="1"/>
  <c r="AK300" i="1"/>
  <c r="D353" i="1"/>
  <c r="AM304" i="1" l="1"/>
  <c r="AK303" i="1"/>
  <c r="A355" i="1"/>
  <c r="D355" i="1"/>
  <c r="AK301" i="1"/>
  <c r="A356" i="1"/>
  <c r="AI303" i="1"/>
  <c r="AJ355" i="1"/>
  <c r="AM305" i="1" l="1"/>
  <c r="D356" i="1"/>
  <c r="A357" i="1"/>
  <c r="D357" i="1"/>
  <c r="AJ356" i="1"/>
  <c r="AI304" i="1"/>
  <c r="AK304" i="1"/>
  <c r="AM306" i="1" l="1"/>
  <c r="AK305" i="1"/>
  <c r="A358" i="1"/>
  <c r="AJ357" i="1"/>
  <c r="AI305" i="1"/>
  <c r="AL307" i="1" l="1"/>
  <c r="AM307" i="1"/>
  <c r="AK306" i="1"/>
  <c r="A359" i="1"/>
  <c r="AI307" i="1"/>
  <c r="AI306" i="1"/>
  <c r="AJ358" i="1"/>
  <c r="D358" i="1"/>
  <c r="AM308" i="1" l="1"/>
  <c r="AJ359" i="1"/>
  <c r="AK307" i="1"/>
  <c r="D359" i="1"/>
  <c r="A360" i="1"/>
  <c r="AM309" i="1" l="1"/>
  <c r="AK308" i="1"/>
  <c r="A361" i="1"/>
  <c r="D361" i="1"/>
  <c r="D360" i="1"/>
  <c r="AI308" i="1"/>
  <c r="AJ360" i="1"/>
  <c r="AM310" i="1" l="1"/>
  <c r="AM311" i="1" s="1"/>
  <c r="AK309" i="1"/>
  <c r="AI309" i="1"/>
  <c r="AJ361" i="1"/>
  <c r="A362" i="1"/>
  <c r="AL311" i="1" l="1"/>
  <c r="AK310" i="1"/>
  <c r="AI310" i="1"/>
  <c r="A363" i="1"/>
  <c r="D362" i="1"/>
  <c r="AJ362" i="1"/>
  <c r="AM312" i="1" l="1"/>
  <c r="AJ394" i="1"/>
  <c r="AJ363" i="1"/>
  <c r="D363" i="1"/>
  <c r="AI362" i="1"/>
  <c r="A364" i="1"/>
  <c r="AK311" i="1"/>
  <c r="AL313" i="1" l="1"/>
  <c r="AM313" i="1"/>
  <c r="D394" i="1"/>
  <c r="D364" i="1"/>
  <c r="A365" i="1"/>
  <c r="A366" i="1"/>
  <c r="AJ365" i="1"/>
  <c r="AJ364" i="1"/>
  <c r="AI312" i="1"/>
  <c r="AK312" i="1"/>
  <c r="D365" i="1"/>
  <c r="AU394" i="1" l="1"/>
  <c r="AM314" i="1"/>
  <c r="AJ368" i="1"/>
  <c r="D368" i="1"/>
  <c r="D366" i="1"/>
  <c r="A367" i="1"/>
  <c r="A368" i="1"/>
  <c r="AK313" i="1"/>
  <c r="D367" i="1"/>
  <c r="AI313" i="1"/>
  <c r="AJ367" i="1"/>
  <c r="AJ366" i="1"/>
  <c r="AM315" i="1" l="1"/>
  <c r="AK314" i="1"/>
  <c r="A369" i="1"/>
  <c r="AI314" i="1"/>
  <c r="AM316" i="1" l="1"/>
  <c r="AI315" i="1"/>
  <c r="AK315" i="1"/>
  <c r="AJ372" i="1"/>
  <c r="D372" i="1"/>
  <c r="D369" i="1"/>
  <c r="AJ369" i="1"/>
  <c r="A370" i="1"/>
  <c r="A371" i="1"/>
  <c r="D370" i="1"/>
  <c r="AJ370" i="1"/>
  <c r="AL317" i="1" l="1"/>
  <c r="AM317" i="1"/>
  <c r="AK316" i="1"/>
  <c r="AI370" i="1"/>
  <c r="A372" i="1"/>
  <c r="D371" i="1"/>
  <c r="AI316" i="1"/>
  <c r="AJ371" i="1"/>
  <c r="AM318" i="1" l="1"/>
  <c r="AM319" i="1" s="1"/>
  <c r="AK317" i="1"/>
  <c r="AI317" i="1"/>
  <c r="A373" i="1"/>
  <c r="D373" i="1"/>
  <c r="A374" i="1"/>
  <c r="AJ373" i="1"/>
  <c r="D374" i="1"/>
  <c r="AJ374" i="1"/>
  <c r="AK318" i="1" l="1"/>
  <c r="A375" i="1"/>
  <c r="AI318" i="1"/>
  <c r="AJ375" i="1"/>
  <c r="AL320" i="1" l="1"/>
  <c r="AM320" i="1"/>
  <c r="AJ382" i="1"/>
  <c r="D382" i="1"/>
  <c r="D375" i="1"/>
  <c r="AK319" i="1"/>
  <c r="AI319" i="1"/>
  <c r="A376" i="1"/>
  <c r="A377" i="1"/>
  <c r="AJ377" i="1"/>
  <c r="D377" i="1"/>
  <c r="D376" i="1"/>
  <c r="AJ376" i="1"/>
  <c r="AL321" i="1" l="1"/>
  <c r="AM321" i="1"/>
  <c r="A378" i="1"/>
  <c r="AJ378" i="1"/>
  <c r="AI320" i="1"/>
  <c r="AK320" i="1"/>
  <c r="A379" i="1"/>
  <c r="D378" i="1"/>
  <c r="AJ379" i="1"/>
  <c r="D379" i="1"/>
  <c r="A380" i="1"/>
  <c r="AM322" i="1" l="1"/>
  <c r="AI321" i="1"/>
  <c r="AK321" i="1"/>
  <c r="D380" i="1"/>
  <c r="AI378" i="1"/>
  <c r="AJ380" i="1"/>
  <c r="A381" i="1"/>
  <c r="D381" i="1"/>
  <c r="AL323" i="1" l="1"/>
  <c r="AM323" i="1"/>
  <c r="AM324" i="1" s="1"/>
  <c r="AK322" i="1"/>
  <c r="AJ381" i="1"/>
  <c r="A382" i="1"/>
  <c r="AI323" i="1"/>
  <c r="AI322" i="1"/>
  <c r="A383" i="1"/>
  <c r="D383" i="1" s="1"/>
  <c r="AM325" i="1" l="1"/>
  <c r="A384" i="1"/>
  <c r="AJ383" i="1"/>
  <c r="AK323" i="1"/>
  <c r="AL326" i="1" l="1"/>
  <c r="AM326" i="1"/>
  <c r="AM327" i="1" s="1"/>
  <c r="AM328" i="1" s="1"/>
  <c r="AM329" i="1" s="1"/>
  <c r="AK324" i="1"/>
  <c r="AK325" i="1"/>
  <c r="AJ384" i="1"/>
  <c r="A385" i="1"/>
  <c r="AI325" i="1"/>
  <c r="AI326" i="1"/>
  <c r="D384" i="1"/>
  <c r="D385" i="1"/>
  <c r="AL328" i="1" l="1"/>
  <c r="A386" i="1"/>
  <c r="AI327" i="1"/>
  <c r="AJ385" i="1"/>
  <c r="AK326" i="1"/>
  <c r="AM330" i="1" l="1"/>
  <c r="AK327" i="1"/>
  <c r="D386" i="1"/>
  <c r="A387" i="1"/>
  <c r="AJ386" i="1"/>
  <c r="AL331" i="1" l="1"/>
  <c r="AM331" i="1"/>
  <c r="D387" i="1"/>
  <c r="A388" i="1"/>
  <c r="AJ387" i="1"/>
  <c r="A389" i="1"/>
  <c r="AJ389" i="1"/>
  <c r="AK328" i="1"/>
  <c r="D388" i="1"/>
  <c r="AI330" i="1"/>
  <c r="AJ388" i="1"/>
  <c r="AV328" i="1" l="1"/>
  <c r="AX328" i="1" s="1"/>
  <c r="AL332" i="1"/>
  <c r="AM332" i="1"/>
  <c r="AM333" i="1" s="1"/>
  <c r="AJ424" i="1"/>
  <c r="D424" i="1"/>
  <c r="D389" i="1"/>
  <c r="A390" i="1"/>
  <c r="AI332" i="1"/>
  <c r="AJ390" i="1"/>
  <c r="AK329" i="1"/>
  <c r="AI331" i="1"/>
  <c r="D390" i="1"/>
  <c r="A391" i="1"/>
  <c r="A392" i="1"/>
  <c r="D392" i="1"/>
  <c r="AJ392" i="1"/>
  <c r="D391" i="1"/>
  <c r="AJ391" i="1"/>
  <c r="AW328" i="1" l="1"/>
  <c r="AL334" i="1"/>
  <c r="AM334" i="1"/>
  <c r="AM335" i="1" s="1"/>
  <c r="AI389" i="1"/>
  <c r="AK330" i="1"/>
  <c r="AI333" i="1"/>
  <c r="A393" i="1"/>
  <c r="D393" i="1"/>
  <c r="A394" i="1"/>
  <c r="AJ393" i="1"/>
  <c r="AL335" i="1" l="1"/>
  <c r="AM336" i="1"/>
  <c r="AK331" i="1"/>
  <c r="A395" i="1"/>
  <c r="A396" i="1"/>
  <c r="AI334" i="1"/>
  <c r="D395" i="1"/>
  <c r="AM337" i="1" l="1"/>
  <c r="AJ396" i="1"/>
  <c r="A397" i="1"/>
  <c r="AI336" i="1"/>
  <c r="AJ395" i="1"/>
  <c r="AK332" i="1"/>
  <c r="D396" i="1"/>
  <c r="AM338" i="1" l="1"/>
  <c r="A398" i="1"/>
  <c r="D397" i="1"/>
  <c r="AI338" i="1"/>
  <c r="AI337" i="1"/>
  <c r="AK333" i="1"/>
  <c r="AJ397" i="1"/>
  <c r="AL339" i="1" l="1"/>
  <c r="AM339" i="1"/>
  <c r="AM340" i="1" s="1"/>
  <c r="D398" i="1"/>
  <c r="A399" i="1"/>
  <c r="AK334" i="1"/>
  <c r="AJ398" i="1"/>
  <c r="AM341" i="1" l="1"/>
  <c r="AI339" i="1"/>
  <c r="AJ399" i="1"/>
  <c r="A400" i="1"/>
  <c r="D399" i="1"/>
  <c r="AK335" i="1"/>
  <c r="AM342" i="1" l="1"/>
  <c r="AM343" i="1" s="1"/>
  <c r="AK340" i="1"/>
  <c r="AK339" i="1"/>
  <c r="AJ400" i="1"/>
  <c r="A401" i="1"/>
  <c r="D400" i="1"/>
  <c r="AK336" i="1"/>
  <c r="AL342" i="1" l="1"/>
  <c r="AJ401" i="1"/>
  <c r="D401" i="1"/>
  <c r="AI342" i="1"/>
  <c r="AK341" i="1"/>
  <c r="A402" i="1"/>
  <c r="AK337" i="1"/>
  <c r="AI341" i="1"/>
  <c r="A403" i="1"/>
  <c r="D402" i="1"/>
  <c r="AL344" i="1" l="1"/>
  <c r="AM344" i="1"/>
  <c r="AM345" i="1" s="1"/>
  <c r="AJ402" i="1"/>
  <c r="AJ403" i="1"/>
  <c r="AK338" i="1"/>
  <c r="D403" i="1"/>
  <c r="AK342" i="1"/>
  <c r="A404" i="1"/>
  <c r="AI402" i="1"/>
  <c r="AM346" i="1" l="1"/>
  <c r="AI344" i="1"/>
  <c r="AK344" i="1"/>
  <c r="AK345" i="1" s="1"/>
  <c r="D405" i="1"/>
  <c r="AJ405" i="1"/>
  <c r="A405" i="1"/>
  <c r="AK343" i="1"/>
  <c r="AJ404" i="1"/>
  <c r="D404" i="1"/>
  <c r="AL347" i="1" l="1"/>
  <c r="AM347" i="1"/>
  <c r="A406" i="1"/>
  <c r="AJ406" i="1"/>
  <c r="D406" i="1"/>
  <c r="AK346" i="1"/>
  <c r="AI346" i="1"/>
  <c r="A407" i="1"/>
  <c r="AL348" i="1" l="1"/>
  <c r="AM348" i="1"/>
  <c r="AM349" i="1" s="1"/>
  <c r="AJ407" i="1"/>
  <c r="D407" i="1"/>
  <c r="AK347" i="1"/>
  <c r="A408" i="1"/>
  <c r="AI347" i="1"/>
  <c r="AJ408" i="1"/>
  <c r="AL349" i="1" l="1"/>
  <c r="D408" i="1"/>
  <c r="AK348" i="1"/>
  <c r="AI348" i="1"/>
  <c r="A409" i="1"/>
  <c r="AL350" i="1" l="1"/>
  <c r="AM350" i="1"/>
  <c r="AJ413" i="1"/>
  <c r="D413" i="1"/>
  <c r="D409" i="1"/>
  <c r="AK349" i="1"/>
  <c r="A410" i="1"/>
  <c r="AJ409" i="1"/>
  <c r="D410" i="1"/>
  <c r="AJ410" i="1"/>
  <c r="AM351" i="1" l="1"/>
  <c r="AM352" i="1" s="1"/>
  <c r="AI350" i="1"/>
  <c r="AK350" i="1"/>
  <c r="AI413" i="1"/>
  <c r="AI410" i="1"/>
  <c r="AI351" i="1"/>
  <c r="A411" i="1"/>
  <c r="AJ411" i="1"/>
  <c r="A412" i="1"/>
  <c r="AM353" i="1" l="1"/>
  <c r="AK351" i="1"/>
  <c r="AK352" i="1"/>
  <c r="AJ412" i="1"/>
  <c r="D412" i="1"/>
  <c r="A413" i="1"/>
  <c r="D411" i="1"/>
  <c r="A414" i="1"/>
  <c r="AL354" i="1" l="1"/>
  <c r="AM354" i="1"/>
  <c r="D447" i="1"/>
  <c r="AI354" i="1"/>
  <c r="AJ447" i="1"/>
  <c r="AK353" i="1"/>
  <c r="AJ414" i="1"/>
  <c r="AI353" i="1"/>
  <c r="D414" i="1"/>
  <c r="A415" i="1"/>
  <c r="AJ415" i="1"/>
  <c r="D415" i="1"/>
  <c r="A416" i="1"/>
  <c r="AJ416" i="1"/>
  <c r="D416" i="1"/>
  <c r="A417" i="1"/>
  <c r="AM355" i="1" l="1"/>
  <c r="AK354" i="1"/>
  <c r="D417" i="1"/>
  <c r="AJ417" i="1"/>
  <c r="A418" i="1"/>
  <c r="AM356" i="1" l="1"/>
  <c r="AK355" i="1"/>
  <c r="D449" i="1"/>
  <c r="AJ449" i="1"/>
  <c r="AJ418" i="1"/>
  <c r="AI355" i="1"/>
  <c r="D418" i="1"/>
  <c r="A419" i="1"/>
  <c r="AJ419" i="1"/>
  <c r="A420" i="1"/>
  <c r="AJ420" i="1"/>
  <c r="D419" i="1"/>
  <c r="AM357" i="1" l="1"/>
  <c r="D420" i="1"/>
  <c r="AI356" i="1"/>
  <c r="AK356" i="1"/>
  <c r="A421" i="1"/>
  <c r="D421" i="1"/>
  <c r="A422" i="1"/>
  <c r="AJ422" i="1" s="1"/>
  <c r="AL358" i="1" l="1"/>
  <c r="AM358" i="1"/>
  <c r="AM359" i="1" s="1"/>
  <c r="AI420" i="1"/>
  <c r="AK357" i="1"/>
  <c r="AJ421" i="1"/>
  <c r="A423" i="1"/>
  <c r="D422" i="1"/>
  <c r="AI357" i="1"/>
  <c r="AM360" i="1" l="1"/>
  <c r="AI358" i="1"/>
  <c r="A424" i="1"/>
  <c r="AK358" i="1"/>
  <c r="D423" i="1"/>
  <c r="AJ423" i="1"/>
  <c r="AL360" i="1" l="1"/>
  <c r="A425" i="1"/>
  <c r="AI359" i="1"/>
  <c r="AK359" i="1"/>
  <c r="AL361" i="1" l="1"/>
  <c r="AM361" i="1"/>
  <c r="AM362" i="1" s="1"/>
  <c r="AJ430" i="1"/>
  <c r="D430" i="1"/>
  <c r="AJ425" i="1"/>
  <c r="AI360" i="1"/>
  <c r="A426" i="1"/>
  <c r="AK360" i="1"/>
  <c r="D425" i="1"/>
  <c r="AM363" i="1" l="1"/>
  <c r="AI361" i="1"/>
  <c r="A427" i="1"/>
  <c r="AI425" i="1"/>
  <c r="A428" i="1"/>
  <c r="D426" i="1"/>
  <c r="AK361" i="1"/>
  <c r="AJ426" i="1"/>
  <c r="AJ427" i="1"/>
  <c r="AM364" i="1" l="1"/>
  <c r="D432" i="1"/>
  <c r="AI363" i="1"/>
  <c r="A429" i="1"/>
  <c r="AK362" i="1"/>
  <c r="AJ428" i="1"/>
  <c r="D428" i="1"/>
  <c r="D427" i="1"/>
  <c r="D429" i="1"/>
  <c r="AM365" i="1" l="1"/>
  <c r="AK363" i="1"/>
  <c r="AJ432" i="1"/>
  <c r="AI364" i="1"/>
  <c r="AI429" i="1"/>
  <c r="AJ429" i="1"/>
  <c r="A430" i="1"/>
  <c r="AL366" i="1" l="1"/>
  <c r="AM366" i="1"/>
  <c r="AK364" i="1"/>
  <c r="AI365" i="1"/>
  <c r="A431" i="1"/>
  <c r="D431" i="1"/>
  <c r="AM367" i="1" l="1"/>
  <c r="AK365" i="1"/>
  <c r="AI366" i="1"/>
  <c r="AI367" i="1"/>
  <c r="A432" i="1"/>
  <c r="AJ431" i="1"/>
  <c r="AM368" i="1" l="1"/>
  <c r="AK366" i="1"/>
  <c r="A433" i="1"/>
  <c r="AM369" i="1" l="1"/>
  <c r="AM370" i="1" s="1"/>
  <c r="AK368" i="1"/>
  <c r="AI368" i="1"/>
  <c r="D433" i="1"/>
  <c r="AJ433" i="1"/>
  <c r="AK367" i="1"/>
  <c r="A434" i="1"/>
  <c r="A435" i="1"/>
  <c r="AJ434" i="1"/>
  <c r="D434" i="1"/>
  <c r="AM371" i="1" l="1"/>
  <c r="AK369" i="1"/>
  <c r="AJ435" i="1"/>
  <c r="D435" i="1"/>
  <c r="A436" i="1"/>
  <c r="AJ436" i="1"/>
  <c r="AI369" i="1"/>
  <c r="D436" i="1"/>
  <c r="A437" i="1"/>
  <c r="AJ437" i="1"/>
  <c r="D437" i="1"/>
  <c r="AL371" i="1" l="1"/>
  <c r="AM372" i="1"/>
  <c r="A438" i="1"/>
  <c r="AJ438" i="1"/>
  <c r="AK370" i="1"/>
  <c r="AI435" i="1"/>
  <c r="D438" i="1"/>
  <c r="A439" i="1"/>
  <c r="D439" i="1" s="1"/>
  <c r="AI371" i="1"/>
  <c r="AM373" i="1" l="1"/>
  <c r="AM374" i="1" s="1"/>
  <c r="AI372" i="1"/>
  <c r="AJ439" i="1"/>
  <c r="AK371" i="1"/>
  <c r="A440" i="1"/>
  <c r="AI373" i="1"/>
  <c r="AJ440" i="1"/>
  <c r="AL375" i="1" l="1"/>
  <c r="AM375" i="1"/>
  <c r="AM376" i="1" s="1"/>
  <c r="AK372" i="1"/>
  <c r="D440" i="1"/>
  <c r="A441" i="1"/>
  <c r="AJ441" i="1"/>
  <c r="AI374" i="1"/>
  <c r="A442" i="1"/>
  <c r="AJ442" i="1" s="1"/>
  <c r="D441" i="1"/>
  <c r="AM377" i="1" l="1"/>
  <c r="AM378" i="1" s="1"/>
  <c r="AK373" i="1"/>
  <c r="D442" i="1"/>
  <c r="AI376" i="1"/>
  <c r="AI375" i="1"/>
  <c r="A443" i="1"/>
  <c r="D443" i="1"/>
  <c r="A444" i="1"/>
  <c r="AJ443" i="1"/>
  <c r="AU443" i="1" l="1"/>
  <c r="AL377" i="1"/>
  <c r="AK374" i="1"/>
  <c r="AI443" i="1"/>
  <c r="A445" i="1"/>
  <c r="AJ444" i="1"/>
  <c r="AI377" i="1"/>
  <c r="D444" i="1"/>
  <c r="D445" i="1"/>
  <c r="AM379" i="1" l="1"/>
  <c r="A446" i="1"/>
  <c r="AK375" i="1"/>
  <c r="AJ445" i="1"/>
  <c r="AL380" i="1" l="1"/>
  <c r="AM380" i="1"/>
  <c r="AJ484" i="1"/>
  <c r="AM484" i="1" s="1"/>
  <c r="D484" i="1"/>
  <c r="AW484" i="1" s="1"/>
  <c r="D446" i="1"/>
  <c r="AK376" i="1"/>
  <c r="AJ446" i="1"/>
  <c r="AI379" i="1"/>
  <c r="A447" i="1"/>
  <c r="AU484" i="1" l="1"/>
  <c r="AK484" i="1"/>
  <c r="AM381" i="1"/>
  <c r="AI484" i="1"/>
  <c r="AK377" i="1"/>
  <c r="A448" i="1"/>
  <c r="AK378" i="1"/>
  <c r="AI380" i="1"/>
  <c r="AV484" i="1" l="1"/>
  <c r="AX484" i="1" s="1"/>
  <c r="AL382" i="1"/>
  <c r="AM382" i="1"/>
  <c r="AJ448" i="1"/>
  <c r="AK379" i="1"/>
  <c r="A449" i="1"/>
  <c r="D448" i="1"/>
  <c r="AI381" i="1"/>
  <c r="AM383" i="1" l="1"/>
  <c r="AI382" i="1"/>
  <c r="AK380" i="1"/>
  <c r="A450" i="1"/>
  <c r="AM384" i="1" l="1"/>
  <c r="AK383" i="1"/>
  <c r="D450" i="1"/>
  <c r="AJ450" i="1"/>
  <c r="AI383" i="1"/>
  <c r="A451" i="1"/>
  <c r="AK381" i="1"/>
  <c r="AK382" i="1" l="1"/>
  <c r="AL385" i="1"/>
  <c r="AM385" i="1"/>
  <c r="D452" i="1"/>
  <c r="D451" i="1"/>
  <c r="AJ451" i="1"/>
  <c r="AK384" i="1"/>
  <c r="AI384" i="1"/>
  <c r="A452" i="1"/>
  <c r="AJ452" i="1" l="1"/>
  <c r="AU452" i="1"/>
  <c r="AL386" i="1"/>
  <c r="AM386" i="1"/>
  <c r="AM387" i="1" s="1"/>
  <c r="A453" i="1"/>
  <c r="D453" i="1"/>
  <c r="AI386" i="1"/>
  <c r="AK385" i="1"/>
  <c r="AI385" i="1"/>
  <c r="A454" i="1"/>
  <c r="AJ453" i="1"/>
  <c r="AI387" i="1"/>
  <c r="AL388" i="1" l="1"/>
  <c r="AM388" i="1"/>
  <c r="AM389" i="1" s="1"/>
  <c r="AK386" i="1"/>
  <c r="D454" i="1"/>
  <c r="AK387" i="1"/>
  <c r="AJ454" i="1"/>
  <c r="A455" i="1"/>
  <c r="AM390" i="1" l="1"/>
  <c r="AI388" i="1"/>
  <c r="A456" i="1"/>
  <c r="AJ455" i="1"/>
  <c r="D455" i="1"/>
  <c r="AK388" i="1"/>
  <c r="AU455" i="1" l="1"/>
  <c r="AL390" i="1"/>
  <c r="AI390" i="1"/>
  <c r="D456" i="1"/>
  <c r="AI455" i="1"/>
  <c r="A457" i="1"/>
  <c r="AK389" i="1"/>
  <c r="AJ456" i="1"/>
  <c r="AM391" i="1" l="1"/>
  <c r="D457" i="1"/>
  <c r="AJ457" i="1"/>
  <c r="AK390" i="1"/>
  <c r="A458" i="1"/>
  <c r="AJ458" i="1"/>
  <c r="AL392" i="1" l="1"/>
  <c r="AM392" i="1"/>
  <c r="D458" i="1"/>
  <c r="AK391" i="1"/>
  <c r="AI457" i="1"/>
  <c r="AI391" i="1"/>
  <c r="A459" i="1"/>
  <c r="AJ459" i="1"/>
  <c r="AU458" i="1" l="1"/>
  <c r="AM393" i="1"/>
  <c r="AM394" i="1" s="1"/>
  <c r="A460" i="1"/>
  <c r="D459" i="1"/>
  <c r="AK392" i="1"/>
  <c r="AI392" i="1"/>
  <c r="AL394" i="1" l="1"/>
  <c r="AM395" i="1"/>
  <c r="AI394" i="1"/>
  <c r="D460" i="1"/>
  <c r="A461" i="1"/>
  <c r="D461" i="1"/>
  <c r="AJ460" i="1"/>
  <c r="AK393" i="1"/>
  <c r="AI393" i="1"/>
  <c r="AU460" i="1" l="1"/>
  <c r="AK394" i="1"/>
  <c r="A462" i="1"/>
  <c r="AJ461" i="1"/>
  <c r="AV394" i="1" l="1"/>
  <c r="AL396" i="1"/>
  <c r="AM396" i="1"/>
  <c r="AK395" i="1"/>
  <c r="D462" i="1"/>
  <c r="AJ462" i="1"/>
  <c r="AI395" i="1"/>
  <c r="A463" i="1"/>
  <c r="AJ463" i="1"/>
  <c r="AU462" i="1" l="1"/>
  <c r="AX394" i="1"/>
  <c r="AW394" i="1"/>
  <c r="AM397" i="1"/>
  <c r="AI396" i="1"/>
  <c r="AK396" i="1"/>
  <c r="D463" i="1"/>
  <c r="A464" i="1"/>
  <c r="AJ464" i="1"/>
  <c r="AI462" i="1"/>
  <c r="AU463" i="1" l="1"/>
  <c r="AL398" i="1"/>
  <c r="AM398" i="1"/>
  <c r="AJ465" i="1"/>
  <c r="D465" i="1"/>
  <c r="A465" i="1"/>
  <c r="D464" i="1"/>
  <c r="AU464" i="1" l="1"/>
  <c r="AU465" i="1"/>
  <c r="AL399" i="1"/>
  <c r="AM399" i="1"/>
  <c r="A466" i="1"/>
  <c r="AI464" i="1"/>
  <c r="AL400" i="1" l="1"/>
  <c r="AM400" i="1"/>
  <c r="D466" i="1"/>
  <c r="AJ466" i="1"/>
  <c r="A467" i="1"/>
  <c r="D467" i="1"/>
  <c r="AU466" i="1" l="1"/>
  <c r="AL401" i="1"/>
  <c r="AM401" i="1"/>
  <c r="AM402" i="1" s="1"/>
  <c r="AI399" i="1"/>
  <c r="AI397" i="1"/>
  <c r="AJ467" i="1"/>
  <c r="AK397" i="1"/>
  <c r="AI467" i="1"/>
  <c r="A468" i="1"/>
  <c r="A469" i="1"/>
  <c r="AI398" i="1"/>
  <c r="AI400" i="1"/>
  <c r="AI401" i="1"/>
  <c r="AJ469" i="1"/>
  <c r="A470" i="1"/>
  <c r="D468" i="1"/>
  <c r="D469" i="1"/>
  <c r="AJ468" i="1"/>
  <c r="AL403" i="1" l="1"/>
  <c r="AM403" i="1"/>
  <c r="AJ470" i="1"/>
  <c r="A471" i="1"/>
  <c r="AJ471" i="1"/>
  <c r="D471" i="1"/>
  <c r="AK398" i="1"/>
  <c r="D470" i="1"/>
  <c r="AM404" i="1" l="1"/>
  <c r="AK399" i="1"/>
  <c r="AI403" i="1"/>
  <c r="A472" i="1"/>
  <c r="A473" i="1"/>
  <c r="D473" i="1"/>
  <c r="AJ472" i="1"/>
  <c r="D472" i="1"/>
  <c r="AL405" i="1" l="1"/>
  <c r="AM405" i="1"/>
  <c r="AJ473" i="1"/>
  <c r="AI473" i="1"/>
  <c r="AI404" i="1"/>
  <c r="A474" i="1"/>
  <c r="AK400" i="1"/>
  <c r="A475" i="1"/>
  <c r="D474" i="1"/>
  <c r="AJ474" i="1"/>
  <c r="AM406" i="1" l="1"/>
  <c r="AM407" i="1" s="1"/>
  <c r="AI405" i="1"/>
  <c r="D475" i="1"/>
  <c r="AJ475" i="1"/>
  <c r="AI406" i="1"/>
  <c r="AK401" i="1"/>
  <c r="AK402" i="1" s="1"/>
  <c r="AI407" i="1"/>
  <c r="A476" i="1"/>
  <c r="A477" i="1"/>
  <c r="D476" i="1"/>
  <c r="AJ476" i="1"/>
  <c r="AM408" i="1" l="1"/>
  <c r="AJ517" i="1"/>
  <c r="D517" i="1"/>
  <c r="AK405" i="1"/>
  <c r="AK403" i="1"/>
  <c r="D477" i="1"/>
  <c r="AJ477" i="1"/>
  <c r="A478" i="1"/>
  <c r="AJ478" i="1"/>
  <c r="AK404" i="1"/>
  <c r="AW517" i="1" l="1"/>
  <c r="AM409" i="1"/>
  <c r="AM410" i="1" s="1"/>
  <c r="AK406" i="1"/>
  <c r="AJ482" i="1"/>
  <c r="D482" i="1"/>
  <c r="A479" i="1"/>
  <c r="D479" i="1"/>
  <c r="AJ479" i="1"/>
  <c r="D478" i="1"/>
  <c r="AI408" i="1"/>
  <c r="AK407" i="1"/>
  <c r="AL410" i="1" l="1"/>
  <c r="A480" i="1"/>
  <c r="AI479" i="1"/>
  <c r="AK408" i="1"/>
  <c r="D480" i="1"/>
  <c r="AI409" i="1"/>
  <c r="AM411" i="1" l="1"/>
  <c r="AJ480" i="1"/>
  <c r="AK409" i="1"/>
  <c r="A481" i="1"/>
  <c r="D481" i="1"/>
  <c r="AL412" i="1" l="1"/>
  <c r="AM412" i="1"/>
  <c r="AM413" i="1" s="1"/>
  <c r="AJ481" i="1"/>
  <c r="AK410" i="1"/>
  <c r="A482" i="1"/>
  <c r="AI411" i="1"/>
  <c r="AJ487" i="1" l="1"/>
  <c r="D487" i="1"/>
  <c r="AK411" i="1"/>
  <c r="A483" i="1"/>
  <c r="AK412" i="1"/>
  <c r="AI412" i="1"/>
  <c r="AM414" i="1" l="1"/>
  <c r="AM415" i="1" s="1"/>
  <c r="AI487" i="1"/>
  <c r="AK413" i="1"/>
  <c r="D483" i="1"/>
  <c r="AJ483" i="1"/>
  <c r="A484" i="1"/>
  <c r="AK414" i="1" l="1"/>
  <c r="AI414" i="1"/>
  <c r="A485" i="1"/>
  <c r="D485" i="1"/>
  <c r="AM416" i="1" l="1"/>
  <c r="AI415" i="1"/>
  <c r="AJ485" i="1"/>
  <c r="A486" i="1"/>
  <c r="D486" i="1"/>
  <c r="AK415" i="1"/>
  <c r="A487" i="1"/>
  <c r="AJ486" i="1"/>
  <c r="AL417" i="1" l="1"/>
  <c r="AM417" i="1"/>
  <c r="D491" i="1"/>
  <c r="AJ491" i="1"/>
  <c r="A488" i="1"/>
  <c r="D488" i="1"/>
  <c r="AJ488" i="1"/>
  <c r="AK416" i="1"/>
  <c r="AI416" i="1"/>
  <c r="AI417" i="1"/>
  <c r="AM418" i="1" l="1"/>
  <c r="A489" i="1"/>
  <c r="AK417" i="1"/>
  <c r="D489" i="1"/>
  <c r="AM419" i="1" l="1"/>
  <c r="AM420" i="1" s="1"/>
  <c r="AJ493" i="1"/>
  <c r="D493" i="1"/>
  <c r="A490" i="1"/>
  <c r="AI418" i="1"/>
  <c r="AK418" i="1"/>
  <c r="AJ489" i="1"/>
  <c r="AI489" i="1"/>
  <c r="AJ490" i="1"/>
  <c r="AI419" i="1"/>
  <c r="AJ538" i="1" l="1"/>
  <c r="AM538" i="1" s="1"/>
  <c r="AK419" i="1"/>
  <c r="D490" i="1"/>
  <c r="A491" i="1"/>
  <c r="A492" i="1"/>
  <c r="D492" i="1"/>
  <c r="AU490" i="1" l="1"/>
  <c r="AL421" i="1"/>
  <c r="AM421" i="1"/>
  <c r="D538" i="1"/>
  <c r="AW538" i="1" s="1"/>
  <c r="D495" i="1"/>
  <c r="AJ495" i="1"/>
  <c r="AJ492" i="1"/>
  <c r="A493" i="1"/>
  <c r="AK420" i="1"/>
  <c r="A494" i="1"/>
  <c r="AJ494" i="1" s="1"/>
  <c r="AU538" i="1" l="1"/>
  <c r="AK538" i="1"/>
  <c r="AL422" i="1"/>
  <c r="AM422" i="1"/>
  <c r="AI538" i="1"/>
  <c r="D494" i="1"/>
  <c r="AK421" i="1"/>
  <c r="AI421" i="1"/>
  <c r="A495" i="1"/>
  <c r="A496" i="1"/>
  <c r="AV538" i="1" l="1"/>
  <c r="AX538" i="1" s="1"/>
  <c r="AM423" i="1"/>
  <c r="AJ497" i="1"/>
  <c r="D497" i="1"/>
  <c r="AI422" i="1"/>
  <c r="A497" i="1"/>
  <c r="AK422" i="1"/>
  <c r="AJ496" i="1"/>
  <c r="D496" i="1"/>
  <c r="AL424" i="1" l="1"/>
  <c r="AM424" i="1"/>
  <c r="AM425" i="1" s="1"/>
  <c r="AI497" i="1"/>
  <c r="A498" i="1"/>
  <c r="AI423" i="1"/>
  <c r="AK423" i="1"/>
  <c r="AM426" i="1" l="1"/>
  <c r="AI424" i="1"/>
  <c r="AK424" i="1"/>
  <c r="D499" i="1"/>
  <c r="AJ499" i="1"/>
  <c r="D498" i="1"/>
  <c r="A499" i="1"/>
  <c r="AJ498" i="1"/>
  <c r="AM427" i="1" l="1"/>
  <c r="AK425" i="1"/>
  <c r="AI499" i="1"/>
  <c r="A500" i="1"/>
  <c r="AK426" i="1"/>
  <c r="AI426" i="1"/>
  <c r="AM428" i="1" l="1"/>
  <c r="AM429" i="1" s="1"/>
  <c r="A501" i="1"/>
  <c r="AJ500" i="1"/>
  <c r="AK427" i="1"/>
  <c r="AI427" i="1"/>
  <c r="D501" i="1"/>
  <c r="D500" i="1"/>
  <c r="AU500" i="1" l="1"/>
  <c r="AL429" i="1"/>
  <c r="AJ501" i="1"/>
  <c r="AI428" i="1"/>
  <c r="A502" i="1"/>
  <c r="AK428" i="1"/>
  <c r="AJ502" i="1"/>
  <c r="AL430" i="1" l="1"/>
  <c r="AM430" i="1"/>
  <c r="D502" i="1"/>
  <c r="AK429" i="1"/>
  <c r="A503" i="1"/>
  <c r="AJ503" i="1"/>
  <c r="AM431" i="1" l="1"/>
  <c r="AJ540" i="1"/>
  <c r="D540" i="1"/>
  <c r="AW540" i="1" s="1"/>
  <c r="AI430" i="1"/>
  <c r="AK430" i="1"/>
  <c r="D503" i="1"/>
  <c r="AI431" i="1"/>
  <c r="AI502" i="1"/>
  <c r="A504" i="1"/>
  <c r="AJ504" i="1"/>
  <c r="AU503" i="1" l="1"/>
  <c r="AM432" i="1"/>
  <c r="AM433" i="1" s="1"/>
  <c r="AK431" i="1"/>
  <c r="D529" i="1"/>
  <c r="D504" i="1"/>
  <c r="A505" i="1"/>
  <c r="D505" i="1"/>
  <c r="AJ505" i="1"/>
  <c r="AJ529" i="1" l="1"/>
  <c r="AK432" i="1"/>
  <c r="AI432" i="1"/>
  <c r="A506" i="1"/>
  <c r="AI504" i="1"/>
  <c r="D506" i="1"/>
  <c r="AM434" i="1" l="1"/>
  <c r="AM435" i="1" s="1"/>
  <c r="AK433" i="1"/>
  <c r="AJ506" i="1"/>
  <c r="AI433" i="1"/>
  <c r="A507" i="1"/>
  <c r="D507" i="1"/>
  <c r="AL435" i="1" l="1"/>
  <c r="AM436" i="1"/>
  <c r="AM437" i="1" s="1"/>
  <c r="AJ508" i="1"/>
  <c r="D508" i="1"/>
  <c r="AJ507" i="1"/>
  <c r="AK434" i="1"/>
  <c r="A508" i="1"/>
  <c r="AL438" i="1" l="1"/>
  <c r="AM438" i="1"/>
  <c r="AI436" i="1"/>
  <c r="AK435" i="1"/>
  <c r="AI437" i="1"/>
  <c r="AI434" i="1"/>
  <c r="A509" i="1"/>
  <c r="AJ509" i="1"/>
  <c r="AM439" i="1" l="1"/>
  <c r="D509" i="1"/>
  <c r="AI438" i="1"/>
  <c r="AK436" i="1"/>
  <c r="A510" i="1"/>
  <c r="AJ510" i="1"/>
  <c r="AU509" i="1" l="1"/>
  <c r="AM440" i="1"/>
  <c r="A511" i="1"/>
  <c r="D510" i="1"/>
  <c r="AI439" i="1"/>
  <c r="D511" i="1"/>
  <c r="AK437" i="1"/>
  <c r="AL441" i="1" l="1"/>
  <c r="AM441" i="1"/>
  <c r="AJ511" i="1"/>
  <c r="AI440" i="1"/>
  <c r="AK438" i="1"/>
  <c r="A512" i="1"/>
  <c r="D512" i="1"/>
  <c r="AM442" i="1" l="1"/>
  <c r="AM443" i="1" s="1"/>
  <c r="AI442" i="1"/>
  <c r="A513" i="1"/>
  <c r="AI441" i="1"/>
  <c r="A514" i="1"/>
  <c r="D513" i="1"/>
  <c r="AJ512" i="1"/>
  <c r="AI512" i="1"/>
  <c r="AK439" i="1"/>
  <c r="AJ513" i="1"/>
  <c r="AM444" i="1" l="1"/>
  <c r="A515" i="1"/>
  <c r="AK440" i="1"/>
  <c r="D515" i="1"/>
  <c r="D514" i="1"/>
  <c r="AJ514" i="1"/>
  <c r="AL445" i="1" l="1"/>
  <c r="AM445" i="1"/>
  <c r="AK441" i="1"/>
  <c r="AI445" i="1"/>
  <c r="AJ515" i="1"/>
  <c r="AI444" i="1"/>
  <c r="AI514" i="1"/>
  <c r="AK442" i="1"/>
  <c r="A516" i="1"/>
  <c r="D516" i="1"/>
  <c r="A517" i="1"/>
  <c r="AJ516" i="1"/>
  <c r="AL446" i="1" l="1"/>
  <c r="AM446" i="1"/>
  <c r="AK443" i="1"/>
  <c r="AI446" i="1"/>
  <c r="AI516" i="1"/>
  <c r="AK444" i="1"/>
  <c r="A518" i="1"/>
  <c r="AJ518" i="1"/>
  <c r="D518" i="1"/>
  <c r="AV443" i="1" l="1"/>
  <c r="AL447" i="1"/>
  <c r="AM447" i="1"/>
  <c r="AM448" i="1" s="1"/>
  <c r="D543" i="1"/>
  <c r="AJ543" i="1"/>
  <c r="AK445" i="1"/>
  <c r="A519" i="1"/>
  <c r="A520" i="1"/>
  <c r="AJ520" i="1"/>
  <c r="AJ519" i="1"/>
  <c r="D519" i="1"/>
  <c r="AX443" i="1" l="1"/>
  <c r="AW443" i="1"/>
  <c r="AK447" i="1"/>
  <c r="AI447" i="1"/>
  <c r="AI519" i="1"/>
  <c r="AK446" i="1"/>
  <c r="D520" i="1"/>
  <c r="A521" i="1"/>
  <c r="AJ521" i="1"/>
  <c r="AM449" i="1" l="1"/>
  <c r="AK448" i="1"/>
  <c r="D521" i="1"/>
  <c r="AI448" i="1"/>
  <c r="A522" i="1"/>
  <c r="AJ522" i="1"/>
  <c r="D522" i="1"/>
  <c r="AM450" i="1" l="1"/>
  <c r="AK449" i="1"/>
  <c r="AI449" i="1"/>
  <c r="A523" i="1"/>
  <c r="AI522" i="1"/>
  <c r="AJ523" i="1"/>
  <c r="AL451" i="1" l="1"/>
  <c r="AM451" i="1"/>
  <c r="AK450" i="1"/>
  <c r="AI450" i="1"/>
  <c r="D523" i="1"/>
  <c r="A524" i="1"/>
  <c r="D524" i="1"/>
  <c r="AJ524" i="1"/>
  <c r="AL452" i="1" l="1"/>
  <c r="AM452" i="1"/>
  <c r="AJ548" i="1"/>
  <c r="AI451" i="1"/>
  <c r="AK451" i="1"/>
  <c r="A525" i="1"/>
  <c r="D548" i="1" l="1"/>
  <c r="AI548" i="1" s="1"/>
  <c r="AM453" i="1"/>
  <c r="AI452" i="1"/>
  <c r="AK452" i="1"/>
  <c r="AJ525" i="1"/>
  <c r="AI453" i="1"/>
  <c r="A526" i="1"/>
  <c r="D525" i="1"/>
  <c r="AJ526" i="1"/>
  <c r="AV452" i="1" l="1"/>
  <c r="AL454" i="1"/>
  <c r="AM454" i="1"/>
  <c r="AM455" i="1" s="1"/>
  <c r="AK453" i="1"/>
  <c r="D526" i="1"/>
  <c r="A527" i="1"/>
  <c r="AI454" i="1"/>
  <c r="D527" i="1"/>
  <c r="AX452" i="1" l="1"/>
  <c r="AW452" i="1"/>
  <c r="AL455" i="1"/>
  <c r="A528" i="1"/>
  <c r="AI526" i="1"/>
  <c r="AK454" i="1"/>
  <c r="AJ527" i="1"/>
  <c r="AJ528" i="1"/>
  <c r="AM456" i="1" l="1"/>
  <c r="AM457" i="1" s="1"/>
  <c r="AK455" i="1"/>
  <c r="A529" i="1"/>
  <c r="D528" i="1"/>
  <c r="AV455" i="1" l="1"/>
  <c r="AW455" i="1" s="1"/>
  <c r="AL457" i="1"/>
  <c r="D553" i="1"/>
  <c r="A530" i="1"/>
  <c r="AI456" i="1"/>
  <c r="AK456" i="1"/>
  <c r="AX455" i="1" l="1"/>
  <c r="AL458" i="1"/>
  <c r="AM458" i="1"/>
  <c r="AJ553" i="1"/>
  <c r="D530" i="1"/>
  <c r="AK457" i="1"/>
  <c r="A531" i="1"/>
  <c r="AJ530" i="1"/>
  <c r="AJ531" i="1"/>
  <c r="AM459" i="1" l="1"/>
  <c r="AK458" i="1"/>
  <c r="D531" i="1"/>
  <c r="AI458" i="1"/>
  <c r="A532" i="1"/>
  <c r="D532" i="1"/>
  <c r="AV458" i="1" l="1"/>
  <c r="AM460" i="1"/>
  <c r="AJ532" i="1"/>
  <c r="A533" i="1"/>
  <c r="AK459" i="1"/>
  <c r="AI531" i="1"/>
  <c r="AI459" i="1"/>
  <c r="D533" i="1"/>
  <c r="AX458" i="1" l="1"/>
  <c r="AW458" i="1"/>
  <c r="AM461" i="1"/>
  <c r="AM462" i="1" s="1"/>
  <c r="A534" i="1"/>
  <c r="AK460" i="1"/>
  <c r="AJ534" i="1"/>
  <c r="AJ533" i="1"/>
  <c r="AI460" i="1"/>
  <c r="AV460" i="1" l="1"/>
  <c r="A535" i="1"/>
  <c r="AK461" i="1"/>
  <c r="AJ535" i="1"/>
  <c r="D534" i="1"/>
  <c r="AI461" i="1"/>
  <c r="D535" i="1"/>
  <c r="AX460" i="1" l="1"/>
  <c r="AW460" i="1"/>
  <c r="AM463" i="1"/>
  <c r="AM464" i="1" s="1"/>
  <c r="A536" i="1"/>
  <c r="AK462" i="1"/>
  <c r="AI535" i="1"/>
  <c r="AV462" i="1" l="1"/>
  <c r="AW462" i="1" s="1"/>
  <c r="D536" i="1"/>
  <c r="AK463" i="1"/>
  <c r="AJ536" i="1"/>
  <c r="A537" i="1"/>
  <c r="D537" i="1"/>
  <c r="AI463" i="1"/>
  <c r="AX462" i="1" l="1"/>
  <c r="AV463" i="1"/>
  <c r="AM465" i="1"/>
  <c r="AI465" i="1"/>
  <c r="AJ537" i="1"/>
  <c r="AK464" i="1"/>
  <c r="A538" i="1"/>
  <c r="AV464" i="1" l="1"/>
  <c r="AW464" i="1" s="1"/>
  <c r="AX463" i="1"/>
  <c r="AW463" i="1"/>
  <c r="AM466" i="1"/>
  <c r="AM467" i="1" s="1"/>
  <c r="AK465" i="1"/>
  <c r="A539" i="1"/>
  <c r="D539" i="1"/>
  <c r="AX464" i="1" l="1"/>
  <c r="AV465" i="1"/>
  <c r="AX465" i="1" s="1"/>
  <c r="AK466" i="1"/>
  <c r="A540" i="1"/>
  <c r="AJ539" i="1"/>
  <c r="AI466" i="1"/>
  <c r="AW465" i="1" l="1"/>
  <c r="AV466" i="1"/>
  <c r="AL468" i="1"/>
  <c r="AM468" i="1"/>
  <c r="AJ564" i="1"/>
  <c r="A541" i="1"/>
  <c r="AK467" i="1"/>
  <c r="AJ541" i="1"/>
  <c r="D541" i="1"/>
  <c r="AX466" i="1" l="1"/>
  <c r="AW466" i="1"/>
  <c r="AM469" i="1"/>
  <c r="AM470" i="1" s="1"/>
  <c r="D564" i="1"/>
  <c r="A542" i="1"/>
  <c r="D542" i="1"/>
  <c r="AI468" i="1"/>
  <c r="AK468" i="1"/>
  <c r="AL470" i="1" l="1"/>
  <c r="AI564" i="1"/>
  <c r="AJ542" i="1"/>
  <c r="A543" i="1"/>
  <c r="AI470" i="1"/>
  <c r="AI469" i="1"/>
  <c r="AK469" i="1"/>
  <c r="AM471" i="1" l="1"/>
  <c r="A544" i="1"/>
  <c r="AJ544" i="1"/>
  <c r="AK470" i="1"/>
  <c r="AM472" i="1" l="1"/>
  <c r="D569" i="1"/>
  <c r="D544" i="1"/>
  <c r="AK471" i="1"/>
  <c r="AI471" i="1"/>
  <c r="A545" i="1"/>
  <c r="D545" i="1"/>
  <c r="AM473" i="1" l="1"/>
  <c r="AJ607" i="1"/>
  <c r="AM607" i="1" s="1"/>
  <c r="D607" i="1"/>
  <c r="AW607" i="1" s="1"/>
  <c r="AJ569" i="1"/>
  <c r="AI569" i="1"/>
  <c r="AJ545" i="1"/>
  <c r="A546" i="1"/>
  <c r="AI472" i="1"/>
  <c r="AK472" i="1"/>
  <c r="AJ546" i="1"/>
  <c r="D546" i="1"/>
  <c r="AU607" i="1" l="1"/>
  <c r="AK607" i="1"/>
  <c r="AI607" i="1"/>
  <c r="AK473" i="1"/>
  <c r="A547" i="1"/>
  <c r="AI546" i="1"/>
  <c r="AV607" i="1" l="1"/>
  <c r="AX607" i="1" s="1"/>
  <c r="AL474" i="1"/>
  <c r="AM474" i="1"/>
  <c r="A548" i="1"/>
  <c r="AK474" i="1"/>
  <c r="D547" i="1"/>
  <c r="AI474" i="1"/>
  <c r="AJ547" i="1"/>
  <c r="AM475" i="1" l="1"/>
  <c r="A549" i="1"/>
  <c r="AL476" i="1" l="1"/>
  <c r="AM476" i="1"/>
  <c r="AM477" i="1" s="1"/>
  <c r="D575" i="1"/>
  <c r="AJ575" i="1"/>
  <c r="AJ549" i="1"/>
  <c r="AK475" i="1"/>
  <c r="AI475" i="1"/>
  <c r="A550" i="1"/>
  <c r="AI476" i="1"/>
  <c r="D549" i="1"/>
  <c r="D550" i="1"/>
  <c r="AM478" i="1" l="1"/>
  <c r="AM479" i="1" s="1"/>
  <c r="AK476" i="1"/>
  <c r="AI477" i="1"/>
  <c r="AJ550" i="1"/>
  <c r="A551" i="1"/>
  <c r="AJ551" i="1"/>
  <c r="AI550" i="1"/>
  <c r="D551" i="1"/>
  <c r="AU551" i="1" l="1"/>
  <c r="AL479" i="1"/>
  <c r="D577" i="1"/>
  <c r="AJ577" i="1"/>
  <c r="A552" i="1"/>
  <c r="D552" i="1"/>
  <c r="AK477" i="1"/>
  <c r="AI478" i="1"/>
  <c r="AL480" i="1" l="1"/>
  <c r="AM480" i="1"/>
  <c r="AM481" i="1" s="1"/>
  <c r="AJ592" i="1"/>
  <c r="D592" i="1"/>
  <c r="AK478" i="1"/>
  <c r="AJ552" i="1"/>
  <c r="AK479" i="1"/>
  <c r="A553" i="1"/>
  <c r="AW592" i="1" l="1"/>
  <c r="AU592" i="1"/>
  <c r="AI592" i="1"/>
  <c r="AI480" i="1"/>
  <c r="AK480" i="1"/>
  <c r="A554" i="1"/>
  <c r="AM482" i="1" l="1"/>
  <c r="AI481" i="1"/>
  <c r="AJ554" i="1"/>
  <c r="D554" i="1"/>
  <c r="A555" i="1"/>
  <c r="AK481" i="1"/>
  <c r="D555" i="1"/>
  <c r="AU555" i="1" l="1"/>
  <c r="AM483" i="1"/>
  <c r="AK482" i="1"/>
  <c r="AI482" i="1"/>
  <c r="A556" i="1"/>
  <c r="AJ555" i="1"/>
  <c r="AJ556" i="1"/>
  <c r="D556" i="1"/>
  <c r="AK483" i="1" l="1"/>
  <c r="AI556" i="1"/>
  <c r="A557" i="1"/>
  <c r="AI483" i="1"/>
  <c r="AM485" i="1" l="1"/>
  <c r="AM486" i="1" s="1"/>
  <c r="AM487" i="1" s="1"/>
  <c r="AE484" i="1"/>
  <c r="AF538" i="1"/>
  <c r="AF484" i="1"/>
  <c r="AE538" i="1"/>
  <c r="AE607" i="1"/>
  <c r="AF607" i="1"/>
  <c r="D557" i="1"/>
  <c r="AJ557" i="1"/>
  <c r="A558" i="1"/>
  <c r="AJ558" i="1"/>
  <c r="AL402" i="1" l="1"/>
  <c r="AL464" i="1"/>
  <c r="AL337" i="1"/>
  <c r="AL305" i="1"/>
  <c r="AL45" i="1"/>
  <c r="AL290" i="1"/>
  <c r="AL220" i="1"/>
  <c r="AL333" i="1"/>
  <c r="AL165" i="1"/>
  <c r="AL186" i="1"/>
  <c r="AL245" i="1"/>
  <c r="AL199" i="1"/>
  <c r="AL460" i="1"/>
  <c r="AL34" i="1"/>
  <c r="AL378" i="1"/>
  <c r="AL183" i="1"/>
  <c r="AL365" i="1"/>
  <c r="AL389" i="1"/>
  <c r="AL484" i="1"/>
  <c r="AL204" i="1"/>
  <c r="AL434" i="1"/>
  <c r="AL324" i="1"/>
  <c r="AL156" i="1"/>
  <c r="AL104" i="1"/>
  <c r="AL295" i="1"/>
  <c r="AL236" i="1"/>
  <c r="AL56" i="1"/>
  <c r="AL65" i="1"/>
  <c r="AL194" i="1"/>
  <c r="AL171" i="1"/>
  <c r="AL18" i="1"/>
  <c r="AL31" i="1"/>
  <c r="AL352" i="1"/>
  <c r="AL209" i="1"/>
  <c r="AL16" i="1"/>
  <c r="AL143" i="1"/>
  <c r="AL197" i="1"/>
  <c r="AL292" i="1"/>
  <c r="AL456" i="1"/>
  <c r="AL297" i="1"/>
  <c r="AL486" i="1"/>
  <c r="AK485" i="1"/>
  <c r="D585" i="1"/>
  <c r="D558" i="1"/>
  <c r="AI486" i="1"/>
  <c r="AK486" i="1"/>
  <c r="A559" i="1"/>
  <c r="AI485" i="1"/>
  <c r="AJ559" i="1"/>
  <c r="AU558" i="1" l="1"/>
  <c r="AJ585" i="1"/>
  <c r="AU585" i="1"/>
  <c r="AK487" i="1"/>
  <c r="D559" i="1"/>
  <c r="A560" i="1"/>
  <c r="D560" i="1"/>
  <c r="AU560" i="1" l="1"/>
  <c r="AE592" i="1"/>
  <c r="AF592" i="1"/>
  <c r="AK488" i="1"/>
  <c r="AI488" i="1"/>
  <c r="AJ560" i="1"/>
  <c r="A561" i="1"/>
  <c r="AI559" i="1"/>
  <c r="AJ561" i="1"/>
  <c r="AL477" i="1" l="1"/>
  <c r="AL370" i="1"/>
  <c r="AL57" i="1"/>
  <c r="AL99" i="1"/>
  <c r="AL461" i="1"/>
  <c r="AL357" i="1"/>
  <c r="AL294" i="1"/>
  <c r="AL106" i="1"/>
  <c r="AL487" i="1"/>
  <c r="AL449" i="1"/>
  <c r="AL268" i="1"/>
  <c r="AL465" i="1"/>
  <c r="AL463" i="1"/>
  <c r="AL196" i="1"/>
  <c r="AL472" i="1"/>
  <c r="AL201" i="1"/>
  <c r="AL481" i="1"/>
  <c r="AL336" i="1"/>
  <c r="AL103" i="1"/>
  <c r="AL213" i="1"/>
  <c r="AL148" i="1"/>
  <c r="AL459" i="1"/>
  <c r="AL346" i="1"/>
  <c r="AL262" i="1"/>
  <c r="AL47" i="1"/>
  <c r="AL413" i="1"/>
  <c r="AL327" i="1"/>
  <c r="AL234" i="1"/>
  <c r="AL73" i="1"/>
  <c r="AL426" i="1"/>
  <c r="AL374" i="1"/>
  <c r="AL222" i="1"/>
  <c r="AL419" i="1"/>
  <c r="AL330" i="1"/>
  <c r="AL154" i="1"/>
  <c r="AL175" i="1"/>
  <c r="AL409" i="1"/>
  <c r="AL228" i="1"/>
  <c r="AL163" i="1"/>
  <c r="AL415" i="1"/>
  <c r="AL439" i="1"/>
  <c r="AL5" i="1"/>
  <c r="AL298" i="1"/>
  <c r="AL203" i="1"/>
  <c r="AL142" i="1"/>
  <c r="AL411" i="1"/>
  <c r="AL343" i="1"/>
  <c r="AL271" i="1"/>
  <c r="D561" i="1"/>
  <c r="A562" i="1"/>
  <c r="AJ562" i="1"/>
  <c r="AK489" i="1"/>
  <c r="AE234" i="1" l="1"/>
  <c r="AE53" i="1"/>
  <c r="AF53" i="1"/>
  <c r="AF234" i="1"/>
  <c r="D562" i="1"/>
  <c r="A563" i="1"/>
  <c r="AJ563" i="1"/>
  <c r="D563" i="1"/>
  <c r="AM488" i="1" l="1"/>
  <c r="AM489" i="1" s="1"/>
  <c r="AM490" i="1" s="1"/>
  <c r="A564" i="1"/>
  <c r="AL489" i="1" l="1"/>
  <c r="AM491" i="1"/>
  <c r="AM492" i="1" s="1"/>
  <c r="AK490" i="1"/>
  <c r="AI490" i="1"/>
  <c r="A565" i="1"/>
  <c r="D565" i="1"/>
  <c r="AV490" i="1" l="1"/>
  <c r="AX490" i="1" s="1"/>
  <c r="AM493" i="1"/>
  <c r="AK491" i="1"/>
  <c r="AK492" i="1"/>
  <c r="AI491" i="1"/>
  <c r="AJ565" i="1"/>
  <c r="AI492" i="1"/>
  <c r="A566" i="1"/>
  <c r="AJ566" i="1"/>
  <c r="AW490" i="1" l="1"/>
  <c r="AL566" i="1"/>
  <c r="AL493" i="1"/>
  <c r="AM494" i="1"/>
  <c r="AK493" i="1"/>
  <c r="AK494" i="1"/>
  <c r="AI493" i="1"/>
  <c r="AI494" i="1"/>
  <c r="D566" i="1"/>
  <c r="A567" i="1"/>
  <c r="D567" i="1"/>
  <c r="AU566" i="1" l="1"/>
  <c r="AU567" i="1"/>
  <c r="AM495" i="1"/>
  <c r="AM496" i="1" s="1"/>
  <c r="AM497" i="1" s="1"/>
  <c r="AI566" i="1"/>
  <c r="AJ567" i="1"/>
  <c r="A568" i="1"/>
  <c r="AJ568" i="1"/>
  <c r="A569" i="1"/>
  <c r="AL495" i="1" l="1"/>
  <c r="AK495" i="1"/>
  <c r="AK496" i="1"/>
  <c r="AI495" i="1"/>
  <c r="D568" i="1"/>
  <c r="A570" i="1"/>
  <c r="D570" i="1"/>
  <c r="AJ570" i="1"/>
  <c r="AL497" i="1" l="1"/>
  <c r="AM498" i="1"/>
  <c r="AM499" i="1" s="1"/>
  <c r="AM500" i="1" s="1"/>
  <c r="AK498" i="1"/>
  <c r="AI498" i="1"/>
  <c r="A571" i="1"/>
  <c r="AJ571" i="1"/>
  <c r="AM501" i="1" l="1"/>
  <c r="AM502" i="1" s="1"/>
  <c r="AK499" i="1"/>
  <c r="D594" i="1"/>
  <c r="AJ594" i="1"/>
  <c r="AK497" i="1"/>
  <c r="D571" i="1"/>
  <c r="AI496" i="1"/>
  <c r="A572" i="1"/>
  <c r="AI500" i="1"/>
  <c r="AJ572" i="1"/>
  <c r="AK500" i="1" l="1"/>
  <c r="AI571" i="1"/>
  <c r="AI501" i="1"/>
  <c r="D572" i="1"/>
  <c r="A573" i="1"/>
  <c r="AJ573" i="1"/>
  <c r="AU572" i="1" l="1"/>
  <c r="AV500" i="1"/>
  <c r="AM503" i="1"/>
  <c r="AM504" i="1" s="1"/>
  <c r="AM505" i="1" s="1"/>
  <c r="AM506" i="1" s="1"/>
  <c r="AM507" i="1" s="1"/>
  <c r="AM508" i="1" s="1"/>
  <c r="AM509" i="1" s="1"/>
  <c r="AM510" i="1" s="1"/>
  <c r="AM511" i="1" s="1"/>
  <c r="AM512" i="1" s="1"/>
  <c r="AM513" i="1" s="1"/>
  <c r="AM514" i="1" s="1"/>
  <c r="AM515" i="1" s="1"/>
  <c r="AM516" i="1" s="1"/>
  <c r="AM517" i="1" s="1"/>
  <c r="AM518" i="1" s="1"/>
  <c r="AM519" i="1" s="1"/>
  <c r="AM520" i="1" s="1"/>
  <c r="AM521" i="1" s="1"/>
  <c r="AM522" i="1" s="1"/>
  <c r="AM523" i="1" s="1"/>
  <c r="AM524" i="1" s="1"/>
  <c r="AM525" i="1" s="1"/>
  <c r="AM526" i="1" s="1"/>
  <c r="AM527" i="1" s="1"/>
  <c r="AM528" i="1" s="1"/>
  <c r="AM529" i="1" s="1"/>
  <c r="AM530" i="1" s="1"/>
  <c r="AM531" i="1" s="1"/>
  <c r="AM532" i="1" s="1"/>
  <c r="AM533" i="1" s="1"/>
  <c r="AM534" i="1" s="1"/>
  <c r="AM535" i="1" s="1"/>
  <c r="AM536" i="1" s="1"/>
  <c r="AM537" i="1" s="1"/>
  <c r="AM539" i="1"/>
  <c r="AM540" i="1"/>
  <c r="AM541" i="1" s="1"/>
  <c r="AM542" i="1" s="1"/>
  <c r="AM543" i="1" s="1"/>
  <c r="AM544" i="1" s="1"/>
  <c r="AM545" i="1" s="1"/>
  <c r="AM546" i="1" s="1"/>
  <c r="AM547" i="1" s="1"/>
  <c r="AM548" i="1" s="1"/>
  <c r="AM549" i="1" s="1"/>
  <c r="AM550" i="1" s="1"/>
  <c r="AM551" i="1" s="1"/>
  <c r="AM552" i="1" s="1"/>
  <c r="AM553" i="1" s="1"/>
  <c r="AM554" i="1" s="1"/>
  <c r="AM555" i="1" s="1"/>
  <c r="AM556" i="1" s="1"/>
  <c r="AM557" i="1" s="1"/>
  <c r="AM558" i="1" s="1"/>
  <c r="AM559" i="1" s="1"/>
  <c r="AM560" i="1" s="1"/>
  <c r="AM561" i="1" s="1"/>
  <c r="AM562" i="1" s="1"/>
  <c r="AM563" i="1" s="1"/>
  <c r="AM564" i="1" s="1"/>
  <c r="AM565" i="1" s="1"/>
  <c r="A574" i="1"/>
  <c r="AJ574" i="1"/>
  <c r="D573" i="1"/>
  <c r="AK501" i="1"/>
  <c r="AX500" i="1" l="1"/>
  <c r="AW500" i="1"/>
  <c r="AM567" i="1"/>
  <c r="AM568" i="1" s="1"/>
  <c r="AM569" i="1" s="1"/>
  <c r="AM570" i="1" s="1"/>
  <c r="AM571" i="1" s="1"/>
  <c r="AM572" i="1" s="1"/>
  <c r="AM573" i="1" s="1"/>
  <c r="AM574" i="1" s="1"/>
  <c r="AM575" i="1" s="1"/>
  <c r="AM576" i="1" s="1"/>
  <c r="AM577" i="1" s="1"/>
  <c r="AM578" i="1" s="1"/>
  <c r="AM566" i="1"/>
  <c r="AK539" i="1"/>
  <c r="AK509" i="1"/>
  <c r="AV509" i="1" s="1"/>
  <c r="AI540" i="1"/>
  <c r="AE540" i="1"/>
  <c r="AF540" i="1"/>
  <c r="AK540" i="1"/>
  <c r="AF517" i="1"/>
  <c r="AI517" i="1"/>
  <c r="AE517" i="1"/>
  <c r="AK541" i="1"/>
  <c r="AK543" i="1"/>
  <c r="AI575" i="1"/>
  <c r="AI594" i="1"/>
  <c r="AI553" i="1"/>
  <c r="AI585" i="1"/>
  <c r="AI543" i="1"/>
  <c r="AI577" i="1"/>
  <c r="AI529" i="1"/>
  <c r="AI508" i="1"/>
  <c r="AI507" i="1"/>
  <c r="AK542" i="1"/>
  <c r="AK502" i="1"/>
  <c r="AI562" i="1"/>
  <c r="A575" i="1"/>
  <c r="AI542" i="1"/>
  <c r="AI537" i="1"/>
  <c r="AI541" i="1"/>
  <c r="AI524" i="1"/>
  <c r="AI513" i="1"/>
  <c r="AI544" i="1"/>
  <c r="AI539" i="1"/>
  <c r="AI511" i="1"/>
  <c r="D574" i="1"/>
  <c r="AI565" i="1"/>
  <c r="AI505" i="1"/>
  <c r="AI567" i="1"/>
  <c r="AI518" i="1"/>
  <c r="AI568" i="1"/>
  <c r="AI510" i="1"/>
  <c r="AI572" i="1"/>
  <c r="AI506" i="1"/>
  <c r="AI545" i="1"/>
  <c r="AI509" i="1"/>
  <c r="AI532" i="1"/>
  <c r="AI515" i="1"/>
  <c r="AI534" i="1"/>
  <c r="AI547" i="1"/>
  <c r="AI527" i="1"/>
  <c r="AI561" i="1"/>
  <c r="AI554" i="1"/>
  <c r="AI533" i="1"/>
  <c r="AI523" i="1"/>
  <c r="AI555" i="1"/>
  <c r="AI521" i="1"/>
  <c r="AI530" i="1"/>
  <c r="AI557" i="1"/>
  <c r="AI520" i="1"/>
  <c r="AI551" i="1"/>
  <c r="AI536" i="1"/>
  <c r="AI570" i="1"/>
  <c r="AI560" i="1"/>
  <c r="AI552" i="1"/>
  <c r="AI558" i="1"/>
  <c r="AI563" i="1"/>
  <c r="AI525" i="1"/>
  <c r="AI503" i="1"/>
  <c r="AI549" i="1"/>
  <c r="AI573" i="1"/>
  <c r="AI528" i="1"/>
  <c r="AX509" i="1" l="1"/>
  <c r="AW509" i="1"/>
  <c r="AL574" i="1"/>
  <c r="AL572" i="1"/>
  <c r="AL568" i="1"/>
  <c r="AL567" i="1"/>
  <c r="AL564" i="1"/>
  <c r="AL563" i="1"/>
  <c r="AL562" i="1"/>
  <c r="AL561" i="1"/>
  <c r="AL560" i="1"/>
  <c r="AL558" i="1"/>
  <c r="AL556" i="1"/>
  <c r="AL555" i="1"/>
  <c r="AL553" i="1"/>
  <c r="AL552" i="1"/>
  <c r="AL551" i="1"/>
  <c r="AL548" i="1"/>
  <c r="AL547" i="1"/>
  <c r="AL546" i="1"/>
  <c r="AL542" i="1"/>
  <c r="AL540" i="1"/>
  <c r="AL538" i="1"/>
  <c r="AL537" i="1"/>
  <c r="AL536" i="1"/>
  <c r="AL535" i="1"/>
  <c r="AL533" i="1"/>
  <c r="AL532" i="1"/>
  <c r="AL531" i="1"/>
  <c r="AL529" i="1"/>
  <c r="AL527" i="1"/>
  <c r="AL526" i="1"/>
  <c r="AL525" i="1"/>
  <c r="AL523" i="1"/>
  <c r="AL522" i="1"/>
  <c r="AL520" i="1"/>
  <c r="AL519" i="1"/>
  <c r="AL517" i="1"/>
  <c r="AL516" i="1"/>
  <c r="AL514" i="1"/>
  <c r="AL513" i="1"/>
  <c r="AL512" i="1"/>
  <c r="AL511" i="1"/>
  <c r="AL507" i="1"/>
  <c r="AL505" i="1"/>
  <c r="AL503" i="1"/>
  <c r="AK544" i="1"/>
  <c r="AK529" i="1"/>
  <c r="AK585" i="1"/>
  <c r="AI574" i="1"/>
  <c r="AK503" i="1"/>
  <c r="A576" i="1"/>
  <c r="AK510" i="1"/>
  <c r="D576" i="1"/>
  <c r="AV503" i="1" l="1"/>
  <c r="AX503" i="1" s="1"/>
  <c r="AV585" i="1"/>
  <c r="AX585" i="1" s="1"/>
  <c r="AK569" i="1"/>
  <c r="AK517" i="1"/>
  <c r="AK508" i="1"/>
  <c r="AK570" i="1"/>
  <c r="AK530" i="1"/>
  <c r="AK511" i="1"/>
  <c r="AK571" i="1"/>
  <c r="AK504" i="1"/>
  <c r="AK545" i="1"/>
  <c r="AI576" i="1"/>
  <c r="A577" i="1"/>
  <c r="AK505" i="1"/>
  <c r="AJ576" i="1"/>
  <c r="AW503" i="1" l="1"/>
  <c r="AW585" i="1"/>
  <c r="AK592" i="1"/>
  <c r="AK575" i="1"/>
  <c r="AK518" i="1"/>
  <c r="AK594" i="1"/>
  <c r="AK506" i="1"/>
  <c r="AK531" i="1"/>
  <c r="AK507" i="1"/>
  <c r="AK512" i="1"/>
  <c r="AK572" i="1"/>
  <c r="A578" i="1"/>
  <c r="AK546" i="1"/>
  <c r="D578" i="1"/>
  <c r="AJ578" i="1"/>
  <c r="AV572" i="1" l="1"/>
  <c r="AW572" i="1" s="1"/>
  <c r="AU578" i="1"/>
  <c r="AV592" i="1"/>
  <c r="AX592" i="1" s="1"/>
  <c r="AK576" i="1"/>
  <c r="AK549" i="1"/>
  <c r="AK564" i="1"/>
  <c r="AJ602" i="1"/>
  <c r="AK513" i="1"/>
  <c r="AK519" i="1"/>
  <c r="AI578" i="1"/>
  <c r="A579" i="1"/>
  <c r="AK532" i="1"/>
  <c r="D579" i="1"/>
  <c r="AK573" i="1"/>
  <c r="AK550" i="1"/>
  <c r="AK547" i="1"/>
  <c r="AJ579" i="1"/>
  <c r="AX572" i="1" l="1"/>
  <c r="AM579" i="1"/>
  <c r="AL579" i="1"/>
  <c r="D602" i="1"/>
  <c r="AI602" i="1" s="1"/>
  <c r="AM602" i="1"/>
  <c r="AK577" i="1"/>
  <c r="AK565" i="1"/>
  <c r="AK553" i="1"/>
  <c r="AK548" i="1"/>
  <c r="AK533" i="1"/>
  <c r="AK574" i="1"/>
  <c r="AK551" i="1"/>
  <c r="A580" i="1"/>
  <c r="AK514" i="1"/>
  <c r="AI579" i="1"/>
  <c r="AK520" i="1"/>
  <c r="AJ580" i="1"/>
  <c r="AV551" i="1" l="1"/>
  <c r="AW551" i="1" s="1"/>
  <c r="AM580" i="1"/>
  <c r="AU602" i="1"/>
  <c r="AL580" i="1"/>
  <c r="AM603" i="1"/>
  <c r="AK578" i="1"/>
  <c r="AK554" i="1"/>
  <c r="D605" i="1"/>
  <c r="AJ605" i="1"/>
  <c r="AK534" i="1"/>
  <c r="AK515" i="1"/>
  <c r="D580" i="1"/>
  <c r="AK579" i="1"/>
  <c r="AK566" i="1"/>
  <c r="AK521" i="1"/>
  <c r="A581" i="1"/>
  <c r="AK552" i="1"/>
  <c r="AK567" i="1"/>
  <c r="D581" i="1"/>
  <c r="AJ581" i="1"/>
  <c r="AU580" i="1" l="1"/>
  <c r="AX551" i="1"/>
  <c r="AM581" i="1"/>
  <c r="AL581" i="1"/>
  <c r="AM605" i="1"/>
  <c r="AV567" i="1"/>
  <c r="AV566" i="1"/>
  <c r="AW566" i="1" s="1"/>
  <c r="AM606" i="1"/>
  <c r="AW602" i="1"/>
  <c r="AV578" i="1"/>
  <c r="AI605" i="1"/>
  <c r="AK605" i="1"/>
  <c r="A582" i="1"/>
  <c r="AK568" i="1"/>
  <c r="AK580" i="1"/>
  <c r="AK555" i="1"/>
  <c r="AI580" i="1"/>
  <c r="AK522" i="1"/>
  <c r="D582" i="1"/>
  <c r="AK516" i="1"/>
  <c r="AI581" i="1"/>
  <c r="AK535" i="1"/>
  <c r="AX566" i="1" l="1"/>
  <c r="AX567" i="1"/>
  <c r="AW567" i="1"/>
  <c r="AV580" i="1"/>
  <c r="AW580" i="1" s="1"/>
  <c r="AV555" i="1"/>
  <c r="AX555" i="1" s="1"/>
  <c r="AX578" i="1"/>
  <c r="AW578" i="1"/>
  <c r="AJ582" i="1"/>
  <c r="AK523" i="1"/>
  <c r="AK581" i="1"/>
  <c r="A583" i="1"/>
  <c r="AK536" i="1"/>
  <c r="AI582" i="1"/>
  <c r="AK556" i="1"/>
  <c r="D583" i="1"/>
  <c r="AJ583" i="1"/>
  <c r="AM582" i="1" l="1"/>
  <c r="AM583" i="1" s="1"/>
  <c r="AU583" i="1"/>
  <c r="AL583" i="1"/>
  <c r="AX580" i="1"/>
  <c r="AW555" i="1"/>
  <c r="AK582" i="1"/>
  <c r="AK524" i="1"/>
  <c r="AI583" i="1"/>
  <c r="AK557" i="1"/>
  <c r="AK537" i="1"/>
  <c r="A584" i="1"/>
  <c r="AK583" i="1"/>
  <c r="D584" i="1"/>
  <c r="AV583" i="1" l="1"/>
  <c r="AL584" i="1"/>
  <c r="AK558" i="1"/>
  <c r="AK584" i="1"/>
  <c r="AK525" i="1"/>
  <c r="A585" i="1"/>
  <c r="AJ584" i="1"/>
  <c r="AI584" i="1"/>
  <c r="AM584" i="1" l="1"/>
  <c r="AM585" i="1" s="1"/>
  <c r="AM586" i="1" s="1"/>
  <c r="AV558" i="1"/>
  <c r="AX583" i="1"/>
  <c r="AW583" i="1"/>
  <c r="AL585" i="1"/>
  <c r="AJ613" i="1"/>
  <c r="AK526" i="1"/>
  <c r="AK559" i="1"/>
  <c r="A586" i="1"/>
  <c r="D586" i="1"/>
  <c r="AW558" i="1" l="1"/>
  <c r="AX558" i="1"/>
  <c r="AK586" i="1"/>
  <c r="AM613" i="1"/>
  <c r="D613" i="1"/>
  <c r="AK527" i="1"/>
  <c r="AK560" i="1"/>
  <c r="AI586" i="1"/>
  <c r="AJ586" i="1"/>
  <c r="A587" i="1"/>
  <c r="AJ587" i="1"/>
  <c r="AV560" i="1" l="1"/>
  <c r="AW560" i="1" s="1"/>
  <c r="AM587" i="1"/>
  <c r="AL587" i="1"/>
  <c r="AK613" i="1"/>
  <c r="AU613" i="1"/>
  <c r="AM614" i="1"/>
  <c r="AI613" i="1"/>
  <c r="AK561" i="1"/>
  <c r="A588" i="1"/>
  <c r="D588" i="1"/>
  <c r="AJ588" i="1"/>
  <c r="D587" i="1"/>
  <c r="A589" i="1"/>
  <c r="AK562" i="1"/>
  <c r="AK563" i="1" s="1"/>
  <c r="AK528" i="1"/>
  <c r="AX560" i="1" l="1"/>
  <c r="AU587" i="1"/>
  <c r="AM588" i="1"/>
  <c r="AL588" i="1"/>
  <c r="AL589" i="1"/>
  <c r="AV613" i="1"/>
  <c r="AX613" i="1" s="1"/>
  <c r="AW613" i="1"/>
  <c r="AI587" i="1"/>
  <c r="A590" i="1"/>
  <c r="D589" i="1"/>
  <c r="AI588" i="1"/>
  <c r="AJ590" i="1"/>
  <c r="AK587" i="1"/>
  <c r="AJ589" i="1"/>
  <c r="AV587" i="1" l="1"/>
  <c r="AW587" i="1" s="1"/>
  <c r="AM589" i="1"/>
  <c r="AM590" i="1" s="1"/>
  <c r="AL590" i="1"/>
  <c r="AJ623" i="1"/>
  <c r="AJ632" i="1"/>
  <c r="AM632" i="1" s="1"/>
  <c r="D623" i="1"/>
  <c r="D632" i="1"/>
  <c r="AJ618" i="1"/>
  <c r="D618" i="1"/>
  <c r="D590" i="1"/>
  <c r="AK588" i="1"/>
  <c r="A591" i="1"/>
  <c r="AI589" i="1"/>
  <c r="D591" i="1"/>
  <c r="AJ591" i="1"/>
  <c r="AX587" i="1" l="1"/>
  <c r="AM591" i="1"/>
  <c r="AM592" i="1" s="1"/>
  <c r="AM593" i="1" s="1"/>
  <c r="AM594" i="1" s="1"/>
  <c r="AM595" i="1" s="1"/>
  <c r="AL591" i="1"/>
  <c r="AU632" i="1"/>
  <c r="AK632" i="1"/>
  <c r="AM633" i="1"/>
  <c r="AU623" i="1"/>
  <c r="AM623" i="1"/>
  <c r="AM618" i="1"/>
  <c r="AM619" i="1" s="1"/>
  <c r="AK618" i="1"/>
  <c r="AU618" i="1"/>
  <c r="AI618" i="1"/>
  <c r="AI632" i="1"/>
  <c r="AI623" i="1"/>
  <c r="AK623" i="1"/>
  <c r="AK589" i="1"/>
  <c r="A592" i="1"/>
  <c r="A593" i="1"/>
  <c r="AI591" i="1"/>
  <c r="AI590" i="1"/>
  <c r="AK590" i="1"/>
  <c r="D593" i="1"/>
  <c r="AL592" i="1" l="1"/>
  <c r="AK593" i="1"/>
  <c r="AV632" i="1"/>
  <c r="AX632" i="1" s="1"/>
  <c r="AV623" i="1"/>
  <c r="AV618" i="1"/>
  <c r="AK591" i="1"/>
  <c r="AJ593" i="1"/>
  <c r="A594" i="1"/>
  <c r="AI593" i="1"/>
  <c r="AL594" i="1" l="1"/>
  <c r="AW632" i="1"/>
  <c r="AX623" i="1"/>
  <c r="AW623" i="1"/>
  <c r="AX618" i="1"/>
  <c r="AW618" i="1"/>
  <c r="A595" i="1"/>
  <c r="D595" i="1"/>
  <c r="AJ595" i="1"/>
  <c r="AK595" i="1" l="1"/>
  <c r="AJ644" i="1"/>
  <c r="D644" i="1"/>
  <c r="A596" i="1"/>
  <c r="AI595" i="1"/>
  <c r="AJ596" i="1"/>
  <c r="AM596" i="1" l="1"/>
  <c r="AL596" i="1"/>
  <c r="AU644" i="1"/>
  <c r="AM644" i="1"/>
  <c r="AI644" i="1"/>
  <c r="AK644" i="1"/>
  <c r="D596" i="1"/>
  <c r="A597" i="1"/>
  <c r="AM645" i="1" l="1"/>
  <c r="AV644" i="1"/>
  <c r="AJ597" i="1"/>
  <c r="D597" i="1"/>
  <c r="A598" i="1"/>
  <c r="AK596" i="1"/>
  <c r="AI596" i="1"/>
  <c r="D598" i="1"/>
  <c r="AM597" i="1" l="1"/>
  <c r="AL598" i="1"/>
  <c r="AX644" i="1"/>
  <c r="AW644" i="1"/>
  <c r="A599" i="1"/>
  <c r="A600" i="1"/>
  <c r="AJ600" i="1"/>
  <c r="D600" i="1"/>
  <c r="D599" i="1"/>
  <c r="AJ598" i="1"/>
  <c r="AK597" i="1"/>
  <c r="AI597" i="1"/>
  <c r="AI598" i="1"/>
  <c r="AJ599" i="1"/>
  <c r="AL599" i="1" l="1"/>
  <c r="AM598" i="1"/>
  <c r="AM599" i="1" s="1"/>
  <c r="AM600" i="1" s="1"/>
  <c r="AL600" i="1"/>
  <c r="AK598" i="1"/>
  <c r="AK599" i="1"/>
  <c r="AI599" i="1"/>
  <c r="A601" i="1"/>
  <c r="AI600" i="1"/>
  <c r="AJ601" i="1"/>
  <c r="AM601" i="1" l="1"/>
  <c r="AL601" i="1"/>
  <c r="AJ649" i="1"/>
  <c r="D649" i="1"/>
  <c r="AJ651" i="1"/>
  <c r="AM651" i="1" s="1"/>
  <c r="D651" i="1"/>
  <c r="AK600" i="1"/>
  <c r="D601" i="1"/>
  <c r="A602" i="1"/>
  <c r="AK602" i="1" l="1"/>
  <c r="AV602" i="1" s="1"/>
  <c r="AX602" i="1" s="1"/>
  <c r="AL602" i="1"/>
  <c r="AU651" i="1"/>
  <c r="AK651" i="1"/>
  <c r="AU649" i="1"/>
  <c r="AM649" i="1"/>
  <c r="AI649" i="1"/>
  <c r="AK649" i="1"/>
  <c r="AI651" i="1"/>
  <c r="A603" i="1"/>
  <c r="D603" i="1"/>
  <c r="AI601" i="1"/>
  <c r="AK601" i="1"/>
  <c r="AK603" i="1" l="1"/>
  <c r="AV651" i="1"/>
  <c r="AX651" i="1" s="1"/>
  <c r="AM652" i="1"/>
  <c r="AV649" i="1"/>
  <c r="AJ603" i="1"/>
  <c r="AI603" i="1"/>
  <c r="A604" i="1"/>
  <c r="A605" i="1"/>
  <c r="AJ604" i="1"/>
  <c r="AM604" i="1" l="1"/>
  <c r="AL604" i="1"/>
  <c r="AL605" i="1"/>
  <c r="AW651" i="1"/>
  <c r="AX649" i="1"/>
  <c r="AW649" i="1"/>
  <c r="D656" i="1"/>
  <c r="AJ656" i="1"/>
  <c r="AM656" i="1" s="1"/>
  <c r="A606" i="1"/>
  <c r="D604" i="1"/>
  <c r="AU604" i="1" l="1"/>
  <c r="AM657" i="1"/>
  <c r="AU656" i="1"/>
  <c r="AK656" i="1"/>
  <c r="AI656" i="1"/>
  <c r="AJ658" i="1"/>
  <c r="AJ606" i="1"/>
  <c r="AI604" i="1"/>
  <c r="A607" i="1"/>
  <c r="D606" i="1"/>
  <c r="AK604" i="1"/>
  <c r="AK606" i="1" l="1"/>
  <c r="AV604" i="1"/>
  <c r="AX604" i="1" s="1"/>
  <c r="AL607" i="1"/>
  <c r="AV656" i="1"/>
  <c r="AX656" i="1" s="1"/>
  <c r="AM658" i="1"/>
  <c r="D658" i="1"/>
  <c r="AI606" i="1"/>
  <c r="A608" i="1"/>
  <c r="AJ608" i="1"/>
  <c r="AW604" i="1" l="1"/>
  <c r="AM608" i="1"/>
  <c r="AU658" i="1"/>
  <c r="AW656" i="1"/>
  <c r="AM659" i="1"/>
  <c r="AK658" i="1"/>
  <c r="AI658" i="1"/>
  <c r="D661" i="1"/>
  <c r="AJ661" i="1"/>
  <c r="A609" i="1"/>
  <c r="D609" i="1"/>
  <c r="AJ609" i="1"/>
  <c r="D608" i="1"/>
  <c r="AU608" i="1" l="1"/>
  <c r="AK608" i="1"/>
  <c r="AU609" i="1"/>
  <c r="AM609" i="1"/>
  <c r="AL609" i="1"/>
  <c r="AV658" i="1"/>
  <c r="AX658" i="1" s="1"/>
  <c r="AU661" i="1"/>
  <c r="AM661" i="1"/>
  <c r="AW658" i="1"/>
  <c r="AI661" i="1"/>
  <c r="AK661" i="1"/>
  <c r="AI608" i="1"/>
  <c r="A610" i="1"/>
  <c r="AI609" i="1"/>
  <c r="AK609" i="1"/>
  <c r="AV608" i="1" l="1"/>
  <c r="AX608" i="1" s="1"/>
  <c r="AV609" i="1"/>
  <c r="AL610" i="1"/>
  <c r="AV661" i="1"/>
  <c r="D610" i="1"/>
  <c r="AJ610" i="1"/>
  <c r="A611" i="1"/>
  <c r="D611" i="1"/>
  <c r="AJ611" i="1"/>
  <c r="AW608" i="1" l="1"/>
  <c r="AU610" i="1"/>
  <c r="AM610" i="1"/>
  <c r="AM611" i="1" s="1"/>
  <c r="AU611" i="1"/>
  <c r="AX609" i="1"/>
  <c r="AW609" i="1"/>
  <c r="AL611" i="1"/>
  <c r="AX661" i="1"/>
  <c r="AW661" i="1"/>
  <c r="AI610" i="1"/>
  <c r="A612" i="1"/>
  <c r="AK610" i="1"/>
  <c r="AK611" i="1" s="1"/>
  <c r="AI611" i="1"/>
  <c r="AJ612" i="1"/>
  <c r="AV610" i="1" l="1"/>
  <c r="AW610" i="1" s="1"/>
  <c r="AM612" i="1"/>
  <c r="AV611" i="1"/>
  <c r="AL612" i="1"/>
  <c r="A613" i="1"/>
  <c r="D612" i="1"/>
  <c r="A614" i="1"/>
  <c r="A615" i="1"/>
  <c r="D615" i="1"/>
  <c r="AJ615" i="1"/>
  <c r="AJ614" i="1"/>
  <c r="D614" i="1"/>
  <c r="AX610" i="1" l="1"/>
  <c r="AU612" i="1"/>
  <c r="AU614" i="1"/>
  <c r="AK614" i="1"/>
  <c r="AU615" i="1"/>
  <c r="AM615" i="1"/>
  <c r="AX611" i="1"/>
  <c r="AW611" i="1"/>
  <c r="AL615" i="1"/>
  <c r="AK612" i="1"/>
  <c r="AI612" i="1"/>
  <c r="A616" i="1"/>
  <c r="AJ616" i="1"/>
  <c r="AI614" i="1"/>
  <c r="AK615" i="1"/>
  <c r="AI615" i="1"/>
  <c r="AV612" i="1" l="1"/>
  <c r="AW612" i="1" s="1"/>
  <c r="AV614" i="1"/>
  <c r="AX614" i="1" s="1"/>
  <c r="AM616" i="1"/>
  <c r="AV615" i="1"/>
  <c r="D616" i="1"/>
  <c r="A617" i="1"/>
  <c r="D617" i="1"/>
  <c r="AX612" i="1" l="1"/>
  <c r="AU616" i="1"/>
  <c r="AW614" i="1"/>
  <c r="AU617" i="1"/>
  <c r="AX615" i="1"/>
  <c r="AW615" i="1"/>
  <c r="AL617" i="1"/>
  <c r="AL502" i="1"/>
  <c r="B502" i="1" s="1"/>
  <c r="C502" i="1" s="1"/>
  <c r="AL491" i="1"/>
  <c r="B491" i="1" s="1"/>
  <c r="C491" i="1" s="1"/>
  <c r="AL475" i="1"/>
  <c r="B475" i="1" s="1"/>
  <c r="C475" i="1" s="1"/>
  <c r="AL478" i="1"/>
  <c r="B478" i="1" s="1"/>
  <c r="C478" i="1" s="1"/>
  <c r="AL467" i="1"/>
  <c r="B467" i="1" s="1"/>
  <c r="C467" i="1" s="1"/>
  <c r="AL440" i="1"/>
  <c r="B440" i="1" s="1"/>
  <c r="C440" i="1" s="1"/>
  <c r="AL443" i="1"/>
  <c r="B443" i="1" s="1"/>
  <c r="C443" i="1" s="1"/>
  <c r="AL436" i="1"/>
  <c r="B436" i="1" s="1"/>
  <c r="C436" i="1" s="1"/>
  <c r="AL428" i="1"/>
  <c r="B428" i="1" s="1"/>
  <c r="C428" i="1" s="1"/>
  <c r="AL432" i="1"/>
  <c r="B432" i="1" s="1"/>
  <c r="C432" i="1" s="1"/>
  <c r="AL418" i="1"/>
  <c r="B418" i="1" s="1"/>
  <c r="C418" i="1" s="1"/>
  <c r="AL408" i="1"/>
  <c r="B408" i="1" s="1"/>
  <c r="C408" i="1" s="1"/>
  <c r="AL404" i="1"/>
  <c r="B404" i="1" s="1"/>
  <c r="C404" i="1" s="1"/>
  <c r="AL376" i="1"/>
  <c r="B376" i="1" s="1"/>
  <c r="C376" i="1" s="1"/>
  <c r="AL368" i="1"/>
  <c r="B368" i="1" s="1"/>
  <c r="C368" i="1" s="1"/>
  <c r="AL372" i="1"/>
  <c r="B372" i="1" s="1"/>
  <c r="C372" i="1" s="1"/>
  <c r="AL363" i="1"/>
  <c r="B363" i="1" s="1"/>
  <c r="C363" i="1" s="1"/>
  <c r="AL338" i="1"/>
  <c r="B338" i="1" s="1"/>
  <c r="C338" i="1" s="1"/>
  <c r="AL314" i="1"/>
  <c r="B314" i="1" s="1"/>
  <c r="C314" i="1" s="1"/>
  <c r="AL309" i="1"/>
  <c r="B309" i="1" s="1"/>
  <c r="C309" i="1" s="1"/>
  <c r="AL269" i="1"/>
  <c r="B269" i="1" s="1"/>
  <c r="C269" i="1" s="1"/>
  <c r="AL261" i="1"/>
  <c r="B261" i="1" s="1"/>
  <c r="C261" i="1" s="1"/>
  <c r="AL248" i="1"/>
  <c r="B248" i="1" s="1"/>
  <c r="C248" i="1" s="1"/>
  <c r="AL254" i="1"/>
  <c r="B254" i="1" s="1"/>
  <c r="C254" i="1" s="1"/>
  <c r="AL241" i="1"/>
  <c r="B241" i="1" s="1"/>
  <c r="C241" i="1" s="1"/>
  <c r="AL232" i="1"/>
  <c r="B232" i="1" s="1"/>
  <c r="C232" i="1" s="1"/>
  <c r="AL239" i="1"/>
  <c r="B239" i="1" s="1"/>
  <c r="C239" i="1" s="1"/>
  <c r="AL223" i="1"/>
  <c r="B223" i="1" s="1"/>
  <c r="C223" i="1" s="1"/>
  <c r="AL230" i="1"/>
  <c r="B230" i="1" s="1"/>
  <c r="C230" i="1" s="1"/>
  <c r="AL216" i="1"/>
  <c r="B216" i="1" s="1"/>
  <c r="C216" i="1" s="1"/>
  <c r="AL212" i="1"/>
  <c r="B212" i="1" s="1"/>
  <c r="C212" i="1" s="1"/>
  <c r="AL214" i="1"/>
  <c r="B214" i="1" s="1"/>
  <c r="C214" i="1" s="1"/>
  <c r="AL208" i="1"/>
  <c r="B208" i="1" s="1"/>
  <c r="C208" i="1" s="1"/>
  <c r="AL210" i="1"/>
  <c r="B210" i="1" s="1"/>
  <c r="C210" i="1" s="1"/>
  <c r="AL193" i="1"/>
  <c r="B193" i="1" s="1"/>
  <c r="C193" i="1" s="1"/>
  <c r="AL162" i="1"/>
  <c r="B162" i="1" s="1"/>
  <c r="C162" i="1" s="1"/>
  <c r="AL152" i="1"/>
  <c r="B152" i="1" s="1"/>
  <c r="C152" i="1" s="1"/>
  <c r="AL141" i="1"/>
  <c r="B141" i="1" s="1"/>
  <c r="C141" i="1" s="1"/>
  <c r="AL131" i="1"/>
  <c r="B131" i="1" s="1"/>
  <c r="C131" i="1" s="1"/>
  <c r="AL137" i="1"/>
  <c r="B137" i="1" s="1"/>
  <c r="C137" i="1" s="1"/>
  <c r="AL129" i="1"/>
  <c r="B129" i="1" s="1"/>
  <c r="C129" i="1" s="1"/>
  <c r="AL125" i="1"/>
  <c r="B125" i="1" s="1"/>
  <c r="C125" i="1" s="1"/>
  <c r="AL112" i="1"/>
  <c r="B112" i="1" s="1"/>
  <c r="C112" i="1" s="1"/>
  <c r="AL114" i="1"/>
  <c r="B114" i="1" s="1"/>
  <c r="C114" i="1" s="1"/>
  <c r="AL101" i="1"/>
  <c r="B101" i="1" s="1"/>
  <c r="C101" i="1" s="1"/>
  <c r="AL95" i="1"/>
  <c r="B95" i="1" s="1"/>
  <c r="C95" i="1" s="1"/>
  <c r="AL89" i="1"/>
  <c r="B89" i="1" s="1"/>
  <c r="C89" i="1" s="1"/>
  <c r="AL87" i="1"/>
  <c r="B87" i="1" s="1"/>
  <c r="C87" i="1" s="1"/>
  <c r="AL75" i="1"/>
  <c r="B75" i="1" s="1"/>
  <c r="C75" i="1" s="1"/>
  <c r="AL64" i="1"/>
  <c r="B64" i="1" s="1"/>
  <c r="C64" i="1" s="1"/>
  <c r="AL62" i="1"/>
  <c r="B62" i="1" s="1"/>
  <c r="C62" i="1" s="1"/>
  <c r="AL49" i="1"/>
  <c r="B49" i="1" s="1"/>
  <c r="C49" i="1" s="1"/>
  <c r="AL38" i="1"/>
  <c r="B38" i="1" s="1"/>
  <c r="C38" i="1" s="1"/>
  <c r="AL25" i="1"/>
  <c r="B25" i="1" s="1"/>
  <c r="C25" i="1" s="1"/>
  <c r="AL27" i="1"/>
  <c r="B27" i="1" s="1"/>
  <c r="C27" i="1" s="1"/>
  <c r="AL21" i="1"/>
  <c r="B21" i="1" s="1"/>
  <c r="C21" i="1" s="1"/>
  <c r="AL14" i="1"/>
  <c r="B14" i="1" s="1"/>
  <c r="C14" i="1" s="1"/>
  <c r="AL19" i="1"/>
  <c r="B19" i="1" s="1"/>
  <c r="C19" i="1" s="1"/>
  <c r="AL12" i="1"/>
  <c r="B12" i="1" s="1"/>
  <c r="C12" i="1" s="1"/>
  <c r="AL462" i="1"/>
  <c r="B462" i="1" s="1"/>
  <c r="C462" i="1" s="1"/>
  <c r="AL367" i="1"/>
  <c r="B367" i="1" s="1"/>
  <c r="C367" i="1" s="1"/>
  <c r="AL264" i="1"/>
  <c r="B264" i="1" s="1"/>
  <c r="C264" i="1" s="1"/>
  <c r="AL70" i="1"/>
  <c r="B70" i="1" s="1"/>
  <c r="C70" i="1" s="1"/>
  <c r="AL266" i="1"/>
  <c r="B266" i="1" s="1"/>
  <c r="C266" i="1" s="1"/>
  <c r="AL534" i="1"/>
  <c r="B534" i="1" s="1"/>
  <c r="C534" i="1" s="1"/>
  <c r="AL88" i="1"/>
  <c r="B88" i="1" s="1"/>
  <c r="C88" i="1" s="1"/>
  <c r="AL315" i="1"/>
  <c r="B315" i="1" s="1"/>
  <c r="C315" i="1" s="1"/>
  <c r="AL80" i="1"/>
  <c r="B80" i="1" s="1"/>
  <c r="C80" i="1" s="1"/>
  <c r="AL550" i="1"/>
  <c r="B550" i="1" s="1"/>
  <c r="C550" i="1" s="1"/>
  <c r="AL545" i="1"/>
  <c r="B545" i="1" s="1"/>
  <c r="C545" i="1" s="1"/>
  <c r="AL40" i="1"/>
  <c r="B40" i="1" s="1"/>
  <c r="C40" i="1" s="1"/>
  <c r="AL341" i="1"/>
  <c r="B341" i="1" s="1"/>
  <c r="C341" i="1" s="1"/>
  <c r="AL231" i="1"/>
  <c r="B231" i="1" s="1"/>
  <c r="C231" i="1" s="1"/>
  <c r="AL304" i="1"/>
  <c r="B304" i="1" s="1"/>
  <c r="C304" i="1" s="1"/>
  <c r="AL379" i="1"/>
  <c r="B379" i="1" s="1"/>
  <c r="C379" i="1" s="1"/>
  <c r="AL506" i="1"/>
  <c r="B506" i="1" s="1"/>
  <c r="C506" i="1" s="1"/>
  <c r="AL510" i="1"/>
  <c r="B510" i="1" s="1"/>
  <c r="C510" i="1" s="1"/>
  <c r="AL559" i="1"/>
  <c r="B559" i="1" s="1"/>
  <c r="C559" i="1" s="1"/>
  <c r="AL300" i="1"/>
  <c r="B300" i="1" s="1"/>
  <c r="C300" i="1" s="1"/>
  <c r="AL134" i="1"/>
  <c r="B134" i="1" s="1"/>
  <c r="C134" i="1" s="1"/>
  <c r="AL166" i="1"/>
  <c r="B166" i="1" s="1"/>
  <c r="C166" i="1" s="1"/>
  <c r="AL499" i="1"/>
  <c r="B499" i="1" s="1"/>
  <c r="C499" i="1" s="1"/>
  <c r="AL427" i="1"/>
  <c r="B427" i="1" s="1"/>
  <c r="C427" i="1" s="1"/>
  <c r="AL613" i="1"/>
  <c r="B613" i="1" s="1"/>
  <c r="C613" i="1" s="1"/>
  <c r="AL48" i="1"/>
  <c r="B48" i="1" s="1"/>
  <c r="C48" i="1" s="1"/>
  <c r="AL521" i="1"/>
  <c r="B521" i="1" s="1"/>
  <c r="C521" i="1" s="1"/>
  <c r="AL597" i="1"/>
  <c r="B597" i="1" s="1"/>
  <c r="C597" i="1" s="1"/>
  <c r="AL312" i="1"/>
  <c r="B312" i="1" s="1"/>
  <c r="C312" i="1" s="1"/>
  <c r="AL582" i="1"/>
  <c r="B582" i="1" s="1"/>
  <c r="C582" i="1" s="1"/>
  <c r="AL381" i="1"/>
  <c r="B381" i="1" s="1"/>
  <c r="C381" i="1" s="1"/>
  <c r="AL13" i="1"/>
  <c r="B13" i="1" s="1"/>
  <c r="C13" i="1" s="1"/>
  <c r="AL185" i="1"/>
  <c r="B185" i="1" s="1"/>
  <c r="C185" i="1" s="1"/>
  <c r="AL115" i="1"/>
  <c r="B115" i="1" s="1"/>
  <c r="C115" i="1" s="1"/>
  <c r="AL164" i="1"/>
  <c r="B164" i="1" s="1"/>
  <c r="C164" i="1" s="1"/>
  <c r="AL107" i="1"/>
  <c r="B107" i="1" s="1"/>
  <c r="C107" i="1" s="1"/>
  <c r="AL206" i="1"/>
  <c r="B206" i="1" s="1"/>
  <c r="C206" i="1" s="1"/>
  <c r="AL221" i="1"/>
  <c r="B221" i="1" s="1"/>
  <c r="C221" i="1" s="1"/>
  <c r="AL85" i="1"/>
  <c r="B85" i="1" s="1"/>
  <c r="C85" i="1" s="1"/>
  <c r="AL35" i="1"/>
  <c r="B35" i="1" s="1"/>
  <c r="C35" i="1" s="1"/>
  <c r="AL153" i="1"/>
  <c r="B153" i="1" s="1"/>
  <c r="C153" i="1" s="1"/>
  <c r="AL423" i="1"/>
  <c r="B423" i="1" s="1"/>
  <c r="C423" i="1" s="1"/>
  <c r="AL82" i="1"/>
  <c r="B82" i="1" s="1"/>
  <c r="C82" i="1" s="1"/>
  <c r="AL543" i="1"/>
  <c r="B543" i="1" s="1"/>
  <c r="C543" i="1" s="1"/>
  <c r="AL100" i="1"/>
  <c r="B100" i="1" s="1"/>
  <c r="C100" i="1" s="1"/>
  <c r="AL442" i="1"/>
  <c r="B442" i="1" s="1"/>
  <c r="C442" i="1" s="1"/>
  <c r="AL473" i="1"/>
  <c r="B473" i="1" s="1"/>
  <c r="C473" i="1" s="1"/>
  <c r="AL260" i="1"/>
  <c r="B260" i="1" s="1"/>
  <c r="C260" i="1" s="1"/>
  <c r="AL319" i="1"/>
  <c r="B319" i="1" s="1"/>
  <c r="C319" i="1" s="1"/>
  <c r="AL63" i="1"/>
  <c r="B63" i="1" s="1"/>
  <c r="C63" i="1" s="1"/>
  <c r="AL128" i="1"/>
  <c r="B128" i="1" s="1"/>
  <c r="C128" i="1" s="1"/>
  <c r="AL356" i="1"/>
  <c r="B356" i="1" s="1"/>
  <c r="C356" i="1" s="1"/>
  <c r="AL308" i="1"/>
  <c r="B308" i="1" s="1"/>
  <c r="C308" i="1" s="1"/>
  <c r="AL151" i="1"/>
  <c r="B151" i="1" s="1"/>
  <c r="C151" i="1" s="1"/>
  <c r="AL15" i="1"/>
  <c r="B15" i="1" s="1"/>
  <c r="C15" i="1" s="1"/>
  <c r="AL391" i="1"/>
  <c r="B391" i="1" s="1"/>
  <c r="C391" i="1" s="1"/>
  <c r="AL149" i="1"/>
  <c r="B149" i="1" s="1"/>
  <c r="C149" i="1" s="1"/>
  <c r="AL471" i="1"/>
  <c r="B471" i="1" s="1"/>
  <c r="C471" i="1" s="1"/>
  <c r="AL393" i="1"/>
  <c r="B393" i="1" s="1"/>
  <c r="C393" i="1" s="1"/>
  <c r="AL359" i="1"/>
  <c r="B359" i="1" s="1"/>
  <c r="C359" i="1" s="1"/>
  <c r="AL437" i="1"/>
  <c r="B437" i="1" s="1"/>
  <c r="C437" i="1" s="1"/>
  <c r="AL252" i="1"/>
  <c r="B252" i="1" s="1"/>
  <c r="C252" i="1" s="1"/>
  <c r="AL52" i="1"/>
  <c r="B52" i="1" s="1"/>
  <c r="C52" i="1" s="1"/>
  <c r="AL469" i="1"/>
  <c r="B469" i="1" s="1"/>
  <c r="C469" i="1" s="1"/>
  <c r="AL287" i="1"/>
  <c r="B287" i="1" s="1"/>
  <c r="C287" i="1" s="1"/>
  <c r="AL192" i="1"/>
  <c r="B192" i="1" s="1"/>
  <c r="C192" i="1" s="1"/>
  <c r="AL490" i="1"/>
  <c r="B490" i="1" s="1"/>
  <c r="C490" i="1" s="1"/>
  <c r="AL557" i="1"/>
  <c r="B557" i="1" s="1"/>
  <c r="C557" i="1" s="1"/>
  <c r="AL575" i="1"/>
  <c r="B575" i="1" s="1"/>
  <c r="C575" i="1" s="1"/>
  <c r="AL407" i="1"/>
  <c r="B407" i="1" s="1"/>
  <c r="C407" i="1" s="1"/>
  <c r="AL482" i="1"/>
  <c r="B482" i="1" s="1"/>
  <c r="C482" i="1" s="1"/>
  <c r="AL146" i="1"/>
  <c r="B146" i="1" s="1"/>
  <c r="C146" i="1" s="1"/>
  <c r="AL416" i="1"/>
  <c r="B416" i="1" s="1"/>
  <c r="C416" i="1" s="1"/>
  <c r="AL96" i="1"/>
  <c r="B96" i="1" s="1"/>
  <c r="C96" i="1" s="1"/>
  <c r="AL329" i="1"/>
  <c r="B329" i="1" s="1"/>
  <c r="C329" i="1" s="1"/>
  <c r="AL225" i="1"/>
  <c r="B225" i="1" s="1"/>
  <c r="C225" i="1" s="1"/>
  <c r="AL515" i="1"/>
  <c r="B515" i="1" s="1"/>
  <c r="C515" i="1" s="1"/>
  <c r="AL444" i="1"/>
  <c r="B444" i="1" s="1"/>
  <c r="C444" i="1" s="1"/>
  <c r="AL524" i="1"/>
  <c r="B524" i="1" s="1"/>
  <c r="C524" i="1" s="1"/>
  <c r="AL571" i="1"/>
  <c r="B571" i="1" s="1"/>
  <c r="C571" i="1" s="1"/>
  <c r="AL176" i="1"/>
  <c r="B176" i="1" s="1"/>
  <c r="C176" i="1" s="1"/>
  <c r="AL66" i="1"/>
  <c r="B66" i="1" s="1"/>
  <c r="C66" i="1" s="1"/>
  <c r="AL180" i="1"/>
  <c r="B180" i="1" s="1"/>
  <c r="C180" i="1" s="1"/>
  <c r="AL215" i="1"/>
  <c r="B215" i="1" s="1"/>
  <c r="C215" i="1" s="1"/>
  <c r="AL528" i="1"/>
  <c r="B528" i="1" s="1"/>
  <c r="C528" i="1" s="1"/>
  <c r="AL504" i="1"/>
  <c r="B504" i="1" s="1"/>
  <c r="C504" i="1" s="1"/>
  <c r="AL508" i="1"/>
  <c r="B508" i="1" s="1"/>
  <c r="C508" i="1" s="1"/>
  <c r="AL384" i="1"/>
  <c r="B384" i="1" s="1"/>
  <c r="C384" i="1" s="1"/>
  <c r="AL130" i="1"/>
  <c r="B130" i="1" s="1"/>
  <c r="C130" i="1" s="1"/>
  <c r="AL573" i="1"/>
  <c r="B573" i="1" s="1"/>
  <c r="C573" i="1" s="1"/>
  <c r="AL616" i="1"/>
  <c r="B616" i="1" s="1"/>
  <c r="C616" i="1" s="1"/>
  <c r="AL140" i="1"/>
  <c r="B140" i="1" s="1"/>
  <c r="C140" i="1" s="1"/>
  <c r="AL10" i="1"/>
  <c r="B10" i="1" s="1"/>
  <c r="C10" i="1" s="1"/>
  <c r="AL168" i="1"/>
  <c r="B168" i="1" s="1"/>
  <c r="C168" i="1" s="1"/>
  <c r="AL397" i="1"/>
  <c r="B397" i="1" s="1"/>
  <c r="C397" i="1" s="1"/>
  <c r="AL569" i="1"/>
  <c r="B569" i="1" s="1"/>
  <c r="C569" i="1" s="1"/>
  <c r="AL42" i="1"/>
  <c r="B42" i="1" s="1"/>
  <c r="C42" i="1" s="1"/>
  <c r="AL501" i="1"/>
  <c r="B501" i="1" s="1"/>
  <c r="C501" i="1" s="1"/>
  <c r="AL33" i="1"/>
  <c r="B33" i="1" s="1"/>
  <c r="C33" i="1" s="1"/>
  <c r="AL8" i="1"/>
  <c r="B8" i="1" s="1"/>
  <c r="C8" i="1" s="1"/>
  <c r="AL387" i="1"/>
  <c r="B387" i="1" s="1"/>
  <c r="C387" i="1" s="1"/>
  <c r="AL306" i="1"/>
  <c r="B306" i="1" s="1"/>
  <c r="C306" i="1" s="1"/>
  <c r="AL20" i="1"/>
  <c r="B20" i="1" s="1"/>
  <c r="C20" i="1" s="1"/>
  <c r="AL420" i="1"/>
  <c r="B420" i="1" s="1"/>
  <c r="C420" i="1" s="1"/>
  <c r="AL362" i="1"/>
  <c r="B362" i="1" s="1"/>
  <c r="C362" i="1" s="1"/>
  <c r="AL170" i="1"/>
  <c r="B170" i="1" s="1"/>
  <c r="C170" i="1" s="1"/>
  <c r="AL250" i="1"/>
  <c r="B250" i="1" s="1"/>
  <c r="C250" i="1" s="1"/>
  <c r="AL161" i="1"/>
  <c r="B161" i="1" s="1"/>
  <c r="C161" i="1" s="1"/>
  <c r="AL577" i="1"/>
  <c r="B577" i="1" s="1"/>
  <c r="C577" i="1" s="1"/>
  <c r="AF493" i="1"/>
  <c r="AF491" i="1"/>
  <c r="AF495" i="1"/>
  <c r="AE352" i="1"/>
  <c r="AF89" i="1"/>
  <c r="AE274" i="1"/>
  <c r="AE194" i="1"/>
  <c r="AE89" i="1"/>
  <c r="AF245" i="1"/>
  <c r="AE245" i="1"/>
  <c r="AE495" i="1"/>
  <c r="AE493" i="1"/>
  <c r="AE491" i="1"/>
  <c r="AF487" i="1"/>
  <c r="AF181" i="1"/>
  <c r="AE487" i="1"/>
  <c r="AF194" i="1"/>
  <c r="AF352" i="1"/>
  <c r="AF274" i="1"/>
  <c r="AE181" i="1"/>
  <c r="AJ617" i="1"/>
  <c r="AI616" i="1"/>
  <c r="AK616" i="1"/>
  <c r="AK617" i="1"/>
  <c r="AI617" i="1"/>
  <c r="A618" i="1"/>
  <c r="A619" i="1"/>
  <c r="D619" i="1"/>
  <c r="A620" i="1"/>
  <c r="D620" i="1"/>
  <c r="AM617" i="1" l="1"/>
  <c r="AV616" i="1"/>
  <c r="AW616" i="1" s="1"/>
  <c r="AU620" i="1"/>
  <c r="AU619" i="1"/>
  <c r="AK619" i="1"/>
  <c r="AV617" i="1"/>
  <c r="AL618" i="1"/>
  <c r="B618" i="1" s="1"/>
  <c r="C618" i="1" s="1"/>
  <c r="AL620" i="1"/>
  <c r="AF658" i="1"/>
  <c r="AF651" i="1"/>
  <c r="AF424" i="1"/>
  <c r="AE585" i="1"/>
  <c r="AF321" i="1"/>
  <c r="AF569" i="1"/>
  <c r="AF178" i="1"/>
  <c r="AE22" i="1"/>
  <c r="AE354" i="1"/>
  <c r="AF292" i="1"/>
  <c r="AF339" i="1"/>
  <c r="AE543" i="1"/>
  <c r="AF204" i="1"/>
  <c r="AE394" i="1"/>
  <c r="AE58" i="1"/>
  <c r="AE651" i="1"/>
  <c r="AF243" i="1"/>
  <c r="AF594" i="1"/>
  <c r="AF613" i="1"/>
  <c r="AE449" i="1"/>
  <c r="AF644" i="1"/>
  <c r="AE661" i="1"/>
  <c r="AE577" i="1"/>
  <c r="AF529" i="1"/>
  <c r="AE204" i="1"/>
  <c r="AF575" i="1"/>
  <c r="AF197" i="1"/>
  <c r="AE350" i="1"/>
  <c r="AE618" i="1"/>
  <c r="AE548" i="1"/>
  <c r="AE602" i="1"/>
  <c r="AE424" i="1"/>
  <c r="AF543" i="1"/>
  <c r="AF605" i="1"/>
  <c r="AF22" i="1"/>
  <c r="AF280" i="1"/>
  <c r="AE302" i="1"/>
  <c r="AF553" i="1"/>
  <c r="AE613" i="1"/>
  <c r="AF447" i="1"/>
  <c r="AF302" i="1"/>
  <c r="AF656" i="1"/>
  <c r="AF623" i="1"/>
  <c r="AF564" i="1"/>
  <c r="AF577" i="1"/>
  <c r="AF394" i="1"/>
  <c r="AE575" i="1"/>
  <c r="AF602" i="1"/>
  <c r="AE623" i="1"/>
  <c r="AE658" i="1"/>
  <c r="AF115" i="1"/>
  <c r="AE529" i="1"/>
  <c r="AE644" i="1"/>
  <c r="AE217" i="1"/>
  <c r="AE321" i="1"/>
  <c r="AF217" i="1"/>
  <c r="AE280" i="1"/>
  <c r="AF449" i="1"/>
  <c r="AE166" i="1"/>
  <c r="AF354" i="1"/>
  <c r="AE115" i="1"/>
  <c r="AF661" i="1"/>
  <c r="AE178" i="1"/>
  <c r="AE569" i="1"/>
  <c r="AE292" i="1"/>
  <c r="AF58" i="1"/>
  <c r="AF166" i="1"/>
  <c r="AE564" i="1"/>
  <c r="AF350" i="1"/>
  <c r="AE197" i="1"/>
  <c r="AE243" i="1"/>
  <c r="AE605" i="1"/>
  <c r="AE632" i="1"/>
  <c r="AE649" i="1"/>
  <c r="AF649" i="1"/>
  <c r="AE656" i="1"/>
  <c r="AE553" i="1"/>
  <c r="AF548" i="1"/>
  <c r="AE447" i="1"/>
  <c r="AF632" i="1"/>
  <c r="AE594" i="1"/>
  <c r="AE339" i="1"/>
  <c r="AF585" i="1"/>
  <c r="AF618" i="1"/>
  <c r="AE508" i="1"/>
  <c r="AF508" i="1"/>
  <c r="AF499" i="1"/>
  <c r="AF497" i="1"/>
  <c r="AE482" i="1"/>
  <c r="AE452" i="1"/>
  <c r="AF432" i="1"/>
  <c r="AF482" i="1"/>
  <c r="AE465" i="1"/>
  <c r="AF452" i="1"/>
  <c r="AE432" i="1"/>
  <c r="AE499" i="1"/>
  <c r="AE497" i="1"/>
  <c r="AF465" i="1"/>
  <c r="AF430" i="1"/>
  <c r="AE430" i="1"/>
  <c r="AJ620" i="1"/>
  <c r="AJ619" i="1"/>
  <c r="A621" i="1"/>
  <c r="AI619" i="1"/>
  <c r="AI620" i="1"/>
  <c r="AK620" i="1"/>
  <c r="AJ621" i="1"/>
  <c r="D621" i="1"/>
  <c r="AX616" i="1" l="1"/>
  <c r="AM620" i="1"/>
  <c r="AM621" i="1" s="1"/>
  <c r="AU621" i="1"/>
  <c r="AL621" i="1"/>
  <c r="AV620" i="1"/>
  <c r="AV619" i="1"/>
  <c r="AX617" i="1"/>
  <c r="AW617" i="1"/>
  <c r="B671" i="1"/>
  <c r="C671" i="1" s="1"/>
  <c r="AK621" i="1"/>
  <c r="AI621" i="1"/>
  <c r="A622" i="1"/>
  <c r="AJ622" i="1"/>
  <c r="D622" i="1"/>
  <c r="AL622" i="1" l="1"/>
  <c r="B622" i="1" s="1"/>
  <c r="C622" i="1" s="1"/>
  <c r="AM622" i="1"/>
  <c r="AU622" i="1"/>
  <c r="AV621" i="1"/>
  <c r="AX621" i="1" s="1"/>
  <c r="AX619" i="1"/>
  <c r="AW619" i="1"/>
  <c r="AX620" i="1"/>
  <c r="AW620" i="1"/>
  <c r="AL7" i="1"/>
  <c r="B7" i="1" s="1"/>
  <c r="C7" i="1" s="1"/>
  <c r="AF382" i="1"/>
  <c r="AF368" i="1"/>
  <c r="AF309" i="1"/>
  <c r="AF372" i="1"/>
  <c r="AF295" i="1"/>
  <c r="AE258" i="1"/>
  <c r="AE324" i="1"/>
  <c r="AE269" i="1"/>
  <c r="AE278" i="1"/>
  <c r="AF278" i="1"/>
  <c r="AE317" i="1"/>
  <c r="AF269" i="1"/>
  <c r="AF344" i="1"/>
  <c r="AE295" i="1"/>
  <c r="AE413" i="1"/>
  <c r="AF405" i="1"/>
  <c r="AE284" i="1"/>
  <c r="AF262" i="1"/>
  <c r="AF284" i="1"/>
  <c r="AF413" i="1"/>
  <c r="AF315" i="1"/>
  <c r="AF317" i="1"/>
  <c r="AE276" i="1"/>
  <c r="AE363" i="1"/>
  <c r="AE405" i="1"/>
  <c r="AF276" i="1"/>
  <c r="AF290" i="1"/>
  <c r="AF324" i="1"/>
  <c r="AE382" i="1"/>
  <c r="AE372" i="1"/>
  <c r="AE344" i="1"/>
  <c r="AF258" i="1"/>
  <c r="AF363" i="1"/>
  <c r="AE315" i="1"/>
  <c r="AE309" i="1"/>
  <c r="AE368" i="1"/>
  <c r="AE290" i="1"/>
  <c r="AE262" i="1"/>
  <c r="AK11" i="1"/>
  <c r="A623" i="1"/>
  <c r="A624" i="1"/>
  <c r="D624" i="1"/>
  <c r="AI622" i="1"/>
  <c r="AJ624" i="1"/>
  <c r="AK622" i="1"/>
  <c r="AI11" i="1"/>
  <c r="AV622" i="1" l="1"/>
  <c r="AW622" i="1" s="1"/>
  <c r="AW621" i="1"/>
  <c r="AU624" i="1"/>
  <c r="AK624" i="1"/>
  <c r="AM624" i="1"/>
  <c r="AL623" i="1"/>
  <c r="A625" i="1"/>
  <c r="AJ625" i="1"/>
  <c r="AI624" i="1"/>
  <c r="AK12" i="1"/>
  <c r="D625" i="1"/>
  <c r="A626" i="1"/>
  <c r="AJ626" i="1" s="1"/>
  <c r="AX622" i="1" l="1"/>
  <c r="AL625" i="1"/>
  <c r="B625" i="1" s="1"/>
  <c r="C625" i="1" s="1"/>
  <c r="AM625" i="1"/>
  <c r="AU625" i="1"/>
  <c r="AM626" i="1"/>
  <c r="AV624" i="1"/>
  <c r="AL626" i="1"/>
  <c r="AM11" i="1"/>
  <c r="AM12" i="1" s="1"/>
  <c r="AM13" i="1" s="1"/>
  <c r="AM14" i="1" s="1"/>
  <c r="AM15" i="1" s="1"/>
  <c r="AM16" i="1" s="1"/>
  <c r="AM17" i="1" s="1"/>
  <c r="AM18" i="1" s="1"/>
  <c r="D626" i="1"/>
  <c r="A627" i="1"/>
  <c r="AK625" i="1"/>
  <c r="AJ627" i="1"/>
  <c r="AI625" i="1"/>
  <c r="AK13" i="1"/>
  <c r="D627" i="1"/>
  <c r="AU626" i="1" l="1"/>
  <c r="AV625" i="1"/>
  <c r="AX625" i="1" s="1"/>
  <c r="AM627" i="1"/>
  <c r="AU627" i="1"/>
  <c r="AX624" i="1"/>
  <c r="AW624" i="1"/>
  <c r="AL627" i="1"/>
  <c r="AF210" i="1"/>
  <c r="AE248" i="1"/>
  <c r="AE97" i="1"/>
  <c r="AE210" i="1"/>
  <c r="AE149" i="1"/>
  <c r="AE43" i="1"/>
  <c r="AE71" i="1"/>
  <c r="AE171" i="1"/>
  <c r="AF190" i="1"/>
  <c r="AE223" i="1"/>
  <c r="AF109" i="1"/>
  <c r="AF171" i="1"/>
  <c r="AE188" i="1"/>
  <c r="AE168" i="1"/>
  <c r="AF43" i="1"/>
  <c r="AE16" i="1"/>
  <c r="AE183" i="1"/>
  <c r="AE68" i="1"/>
  <c r="AF223" i="1"/>
  <c r="AF82" i="1"/>
  <c r="AF168" i="1"/>
  <c r="AF112" i="1"/>
  <c r="AF248" i="1"/>
  <c r="AF176" i="1"/>
  <c r="AF132" i="1"/>
  <c r="AF149" i="1"/>
  <c r="AE176" i="1"/>
  <c r="AE109" i="1"/>
  <c r="AF68" i="1"/>
  <c r="AE190" i="1"/>
  <c r="AF16" i="1"/>
  <c r="AE82" i="1"/>
  <c r="AE112" i="1"/>
  <c r="AE132" i="1"/>
  <c r="AE118" i="1"/>
  <c r="AF71" i="1"/>
  <c r="AF118" i="1"/>
  <c r="AF183" i="1"/>
  <c r="AF97" i="1"/>
  <c r="AF188" i="1"/>
  <c r="A628" i="1"/>
  <c r="AJ628" i="1"/>
  <c r="AI627" i="1"/>
  <c r="D628" i="1"/>
  <c r="A629" i="1"/>
  <c r="D629" i="1" s="1"/>
  <c r="AI626" i="1"/>
  <c r="AK626" i="1"/>
  <c r="AV626" i="1" l="1"/>
  <c r="AW626" i="1" s="1"/>
  <c r="AW625" i="1"/>
  <c r="AU628" i="1"/>
  <c r="AU629" i="1"/>
  <c r="AM628" i="1"/>
  <c r="AL629" i="1"/>
  <c r="AL628" i="1"/>
  <c r="B628" i="1" s="1"/>
  <c r="C628" i="1" s="1"/>
  <c r="AK16" i="1"/>
  <c r="AK627" i="1"/>
  <c r="A630" i="1"/>
  <c r="AI629" i="1"/>
  <c r="AJ629" i="1"/>
  <c r="AJ630" i="1"/>
  <c r="D630" i="1"/>
  <c r="AK628" i="1"/>
  <c r="AI628" i="1"/>
  <c r="AV627" i="1" l="1"/>
  <c r="AW627" i="1" s="1"/>
  <c r="AX626" i="1"/>
  <c r="AM629" i="1"/>
  <c r="AM630" i="1" s="1"/>
  <c r="AU630" i="1"/>
  <c r="AX627" i="1"/>
  <c r="AV628" i="1"/>
  <c r="AL630" i="1"/>
  <c r="B630" i="1" s="1"/>
  <c r="C630" i="1" s="1"/>
  <c r="AV16" i="1"/>
  <c r="AX16" i="1" s="1"/>
  <c r="AH27" i="1"/>
  <c r="X27" i="1" s="1"/>
  <c r="AK17" i="1"/>
  <c r="A631" i="1"/>
  <c r="AK629" i="1"/>
  <c r="D631" i="1"/>
  <c r="AJ631" i="1"/>
  <c r="AI630" i="1"/>
  <c r="AV629" i="1" l="1"/>
  <c r="AX629" i="1" s="1"/>
  <c r="AU631" i="1"/>
  <c r="AM631" i="1"/>
  <c r="AX628" i="1"/>
  <c r="AW628" i="1"/>
  <c r="AL631" i="1"/>
  <c r="AW16" i="1"/>
  <c r="AG27" i="1"/>
  <c r="AO27" i="1" s="1"/>
  <c r="Y27" i="1"/>
  <c r="Z27" i="1" s="1"/>
  <c r="AI631" i="1"/>
  <c r="AK630" i="1"/>
  <c r="A632" i="1"/>
  <c r="AV630" i="1" l="1"/>
  <c r="AX630" i="1" s="1"/>
  <c r="AW629" i="1"/>
  <c r="AL632" i="1"/>
  <c r="B632" i="1" s="1"/>
  <c r="C632" i="1" s="1"/>
  <c r="AP27" i="1"/>
  <c r="AA27" i="1"/>
  <c r="A633" i="1"/>
  <c r="AK631" i="1"/>
  <c r="D633" i="1"/>
  <c r="AJ633" i="1"/>
  <c r="A634" i="1"/>
  <c r="AJ634" i="1"/>
  <c r="AV631" i="1" l="1"/>
  <c r="AX631" i="1" s="1"/>
  <c r="AW630" i="1"/>
  <c r="AK633" i="1"/>
  <c r="AU633" i="1"/>
  <c r="AM634" i="1"/>
  <c r="AL634" i="1"/>
  <c r="AB27" i="1"/>
  <c r="AE31" i="1"/>
  <c r="AI633" i="1"/>
  <c r="D634" i="1"/>
  <c r="A635" i="1"/>
  <c r="A636" i="1"/>
  <c r="AK14" i="1"/>
  <c r="AK18" i="1"/>
  <c r="D635" i="1"/>
  <c r="AJ635" i="1"/>
  <c r="AJ636" i="1"/>
  <c r="D636" i="1"/>
  <c r="AW631" i="1" l="1"/>
  <c r="AU634" i="1"/>
  <c r="AV633" i="1"/>
  <c r="AX633" i="1" s="1"/>
  <c r="AU636" i="1"/>
  <c r="AM635" i="1"/>
  <c r="AM636" i="1" s="1"/>
  <c r="AU635" i="1"/>
  <c r="AL636" i="1"/>
  <c r="AL635" i="1"/>
  <c r="B635" i="1" s="1"/>
  <c r="C635" i="1" s="1"/>
  <c r="AC27" i="1"/>
  <c r="AF31" i="1"/>
  <c r="AK19" i="1"/>
  <c r="AI636" i="1"/>
  <c r="AI635" i="1"/>
  <c r="AI634" i="1"/>
  <c r="AK634" i="1"/>
  <c r="AK635" i="1" s="1"/>
  <c r="A637" i="1"/>
  <c r="D637" i="1"/>
  <c r="AK15" i="1"/>
  <c r="A638" i="1"/>
  <c r="AJ637" i="1"/>
  <c r="AV634" i="1" l="1"/>
  <c r="AX634" i="1" s="1"/>
  <c r="AW633" i="1"/>
  <c r="AU637" i="1"/>
  <c r="AL637" i="1"/>
  <c r="AM637" i="1"/>
  <c r="AW634" i="1"/>
  <c r="AV635" i="1"/>
  <c r="AL638" i="1"/>
  <c r="AI637" i="1"/>
  <c r="AK20" i="1"/>
  <c r="D638" i="1"/>
  <c r="A639" i="1"/>
  <c r="D639" i="1"/>
  <c r="AJ638" i="1"/>
  <c r="AK636" i="1"/>
  <c r="AJ639" i="1"/>
  <c r="A640" i="1"/>
  <c r="AU638" i="1" l="1"/>
  <c r="AM638" i="1"/>
  <c r="AV636" i="1"/>
  <c r="AW636" i="1" s="1"/>
  <c r="AM639" i="1"/>
  <c r="AU639" i="1"/>
  <c r="AL639" i="1"/>
  <c r="B639" i="1" s="1"/>
  <c r="C639" i="1" s="1"/>
  <c r="AX635" i="1"/>
  <c r="AW635" i="1"/>
  <c r="AL640" i="1"/>
  <c r="D640" i="1"/>
  <c r="AK637" i="1"/>
  <c r="AI639" i="1"/>
  <c r="AI638" i="1"/>
  <c r="AJ640" i="1"/>
  <c r="AK21" i="1"/>
  <c r="A641" i="1"/>
  <c r="D641" i="1"/>
  <c r="A642" i="1"/>
  <c r="AJ642" i="1"/>
  <c r="AJ641" i="1"/>
  <c r="AU640" i="1" l="1"/>
  <c r="AX636" i="1"/>
  <c r="AV637" i="1"/>
  <c r="AM640" i="1"/>
  <c r="AL642" i="1"/>
  <c r="AM641" i="1"/>
  <c r="AM642" i="1" s="1"/>
  <c r="AU641" i="1"/>
  <c r="AL641" i="1"/>
  <c r="B641" i="1" s="1"/>
  <c r="C641" i="1" s="1"/>
  <c r="A643" i="1"/>
  <c r="AI640" i="1"/>
  <c r="AK638" i="1"/>
  <c r="A644" i="1"/>
  <c r="AK639" i="1"/>
  <c r="AI641" i="1"/>
  <c r="D642" i="1"/>
  <c r="AJ643" i="1"/>
  <c r="D643" i="1"/>
  <c r="AU643" i="1" l="1"/>
  <c r="AL643" i="1"/>
  <c r="AM643" i="1"/>
  <c r="AU642" i="1"/>
  <c r="AV639" i="1"/>
  <c r="AX639" i="1" s="1"/>
  <c r="AV638" i="1"/>
  <c r="AW637" i="1"/>
  <c r="AX637" i="1"/>
  <c r="AL644" i="1"/>
  <c r="AK640" i="1"/>
  <c r="AK641" i="1"/>
  <c r="AI642" i="1"/>
  <c r="AI643" i="1"/>
  <c r="A645" i="1"/>
  <c r="D645" i="1"/>
  <c r="A646" i="1"/>
  <c r="AW639" i="1" l="1"/>
  <c r="AV640" i="1"/>
  <c r="AW640" i="1" s="1"/>
  <c r="AU645" i="1"/>
  <c r="AK645" i="1"/>
  <c r="AV641" i="1"/>
  <c r="AX641" i="1" s="1"/>
  <c r="AX638" i="1"/>
  <c r="AW638" i="1"/>
  <c r="AL646" i="1"/>
  <c r="AK642" i="1"/>
  <c r="AJ645" i="1"/>
  <c r="AK643" i="1"/>
  <c r="AJ646" i="1"/>
  <c r="D646" i="1"/>
  <c r="A647" i="1"/>
  <c r="AI645" i="1"/>
  <c r="D647" i="1"/>
  <c r="A648" i="1"/>
  <c r="D648" i="1" s="1"/>
  <c r="AJ647" i="1"/>
  <c r="AV642" i="1" l="1"/>
  <c r="AW642" i="1" s="1"/>
  <c r="AU646" i="1"/>
  <c r="AX640" i="1"/>
  <c r="AW641" i="1"/>
  <c r="AV645" i="1"/>
  <c r="AW645" i="1" s="1"/>
  <c r="AV643" i="1"/>
  <c r="AX643" i="1" s="1"/>
  <c r="AM646" i="1"/>
  <c r="AM647" i="1" s="1"/>
  <c r="AU647" i="1"/>
  <c r="AU648" i="1"/>
  <c r="AL648" i="1"/>
  <c r="AL647" i="1"/>
  <c r="AW643" i="1"/>
  <c r="A649" i="1"/>
  <c r="A650" i="1"/>
  <c r="AJ648" i="1"/>
  <c r="AI648" i="1"/>
  <c r="AK646" i="1"/>
  <c r="AK647" i="1"/>
  <c r="AJ650" i="1"/>
  <c r="AI647" i="1"/>
  <c r="D650" i="1"/>
  <c r="AI646" i="1"/>
  <c r="AX642" i="1" l="1"/>
  <c r="AL649" i="1"/>
  <c r="AV646" i="1"/>
  <c r="AW646" i="1" s="1"/>
  <c r="AX645" i="1"/>
  <c r="AK650" i="1"/>
  <c r="AU650" i="1"/>
  <c r="AM648" i="1"/>
  <c r="AV647" i="1"/>
  <c r="AK648" i="1"/>
  <c r="A651" i="1"/>
  <c r="AI650" i="1"/>
  <c r="A652" i="1"/>
  <c r="AJ652" i="1"/>
  <c r="D652" i="1"/>
  <c r="A653" i="1"/>
  <c r="AJ653" i="1"/>
  <c r="D653" i="1"/>
  <c r="AX646" i="1" l="1"/>
  <c r="AV650" i="1"/>
  <c r="AX650" i="1" s="1"/>
  <c r="AU653" i="1"/>
  <c r="AM653" i="1"/>
  <c r="AL653" i="1"/>
  <c r="AK652" i="1"/>
  <c r="AU652" i="1"/>
  <c r="AL651" i="1"/>
  <c r="B651" i="1" s="1"/>
  <c r="C651" i="1" s="1"/>
  <c r="AV648" i="1"/>
  <c r="AX648" i="1" s="1"/>
  <c r="AX647" i="1"/>
  <c r="AW647" i="1"/>
  <c r="A654" i="1"/>
  <c r="AK653" i="1"/>
  <c r="AI653" i="1"/>
  <c r="AI652" i="1"/>
  <c r="AJ654" i="1"/>
  <c r="D654" i="1"/>
  <c r="AU654" i="1" l="1"/>
  <c r="AL654" i="1"/>
  <c r="AM654" i="1"/>
  <c r="AW650" i="1"/>
  <c r="AV652" i="1"/>
  <c r="AX652" i="1" s="1"/>
  <c r="AW648" i="1"/>
  <c r="AV653" i="1"/>
  <c r="AW653" i="1" s="1"/>
  <c r="AK654" i="1"/>
  <c r="AI654" i="1"/>
  <c r="A655" i="1"/>
  <c r="AJ655" i="1"/>
  <c r="A656" i="1"/>
  <c r="D655" i="1"/>
  <c r="A657" i="1"/>
  <c r="AJ657" i="1"/>
  <c r="A658" i="1"/>
  <c r="A659" i="1"/>
  <c r="D659" i="1"/>
  <c r="AJ659" i="1"/>
  <c r="A660" i="1"/>
  <c r="AJ660" i="1"/>
  <c r="D660" i="1"/>
  <c r="AU655" i="1" l="1"/>
  <c r="AL656" i="1"/>
  <c r="B656" i="1" s="1"/>
  <c r="C656" i="1" s="1"/>
  <c r="AM655" i="1"/>
  <c r="AL655" i="1"/>
  <c r="AV654" i="1"/>
  <c r="AW654" i="1" s="1"/>
  <c r="AX653" i="1"/>
  <c r="AW652" i="1"/>
  <c r="AM660" i="1"/>
  <c r="AU660" i="1"/>
  <c r="AU659" i="1"/>
  <c r="AK659" i="1"/>
  <c r="AL660" i="1"/>
  <c r="AL658" i="1"/>
  <c r="AK655" i="1"/>
  <c r="AI655" i="1"/>
  <c r="A661" i="1"/>
  <c r="AK660" i="1"/>
  <c r="D657" i="1"/>
  <c r="AI659" i="1"/>
  <c r="AI660" i="1"/>
  <c r="AX654" i="1" l="1"/>
  <c r="AV655" i="1"/>
  <c r="AX655" i="1" s="1"/>
  <c r="AL661" i="1"/>
  <c r="AU657" i="1"/>
  <c r="AK657" i="1"/>
  <c r="AV660" i="1"/>
  <c r="AV659" i="1"/>
  <c r="A662" i="1"/>
  <c r="D662" i="1"/>
  <c r="AI657" i="1"/>
  <c r="AJ662" i="1"/>
  <c r="A663" i="1"/>
  <c r="AJ663" i="1"/>
  <c r="A664" i="1"/>
  <c r="D663" i="1"/>
  <c r="D664" i="1"/>
  <c r="A665" i="1"/>
  <c r="AJ664" i="1"/>
  <c r="AJ665" i="1"/>
  <c r="D665" i="1"/>
  <c r="A666" i="1"/>
  <c r="D666" i="1"/>
  <c r="AJ666" i="1"/>
  <c r="A667" i="1"/>
  <c r="AJ667" i="1"/>
  <c r="D667" i="1"/>
  <c r="A668" i="1"/>
  <c r="D668" i="1"/>
  <c r="AJ668" i="1"/>
  <c r="A669" i="1"/>
  <c r="D669" i="1"/>
  <c r="AJ669" i="1"/>
  <c r="A670" i="1"/>
  <c r="D670" i="1"/>
  <c r="AJ670" i="1"/>
  <c r="AW655" i="1" l="1"/>
  <c r="AU668" i="1"/>
  <c r="AL668" i="1"/>
  <c r="AU667" i="1"/>
  <c r="AL667" i="1"/>
  <c r="AU666" i="1"/>
  <c r="AL666" i="1"/>
  <c r="AU665" i="1"/>
  <c r="AL665" i="1"/>
  <c r="B665" i="1" s="1"/>
  <c r="C665" i="1" s="1"/>
  <c r="AU664" i="1"/>
  <c r="AL664" i="1"/>
  <c r="AM663" i="1"/>
  <c r="AM664" i="1" s="1"/>
  <c r="AM665" i="1" s="1"/>
  <c r="AM666" i="1" s="1"/>
  <c r="AM667" i="1" s="1"/>
  <c r="AM668" i="1" s="1"/>
  <c r="AM669" i="1" s="1"/>
  <c r="AM670" i="1" s="1"/>
  <c r="AU663" i="1"/>
  <c r="AL663" i="1"/>
  <c r="B663" i="1" s="1"/>
  <c r="C663" i="1" s="1"/>
  <c r="AK662" i="1"/>
  <c r="AU662" i="1"/>
  <c r="AV657" i="1"/>
  <c r="AU670" i="1"/>
  <c r="AU669" i="1"/>
  <c r="AX660" i="1"/>
  <c r="AW660" i="1"/>
  <c r="AX659" i="1"/>
  <c r="AW659" i="1"/>
  <c r="AL670" i="1"/>
  <c r="AL669" i="1"/>
  <c r="AI664" i="1"/>
  <c r="AI663" i="1"/>
  <c r="AI662" i="1"/>
  <c r="AI665" i="1"/>
  <c r="AK663" i="1"/>
  <c r="AI666" i="1"/>
  <c r="A671" i="1"/>
  <c r="D671" i="1"/>
  <c r="AI667" i="1"/>
  <c r="AI669" i="1"/>
  <c r="AI668" i="1"/>
  <c r="AI670" i="1"/>
  <c r="AJ671" i="1"/>
  <c r="AV662" i="1" l="1"/>
  <c r="AV663" i="1"/>
  <c r="AX657" i="1"/>
  <c r="AW657" i="1"/>
  <c r="AU671" i="1"/>
  <c r="AM671" i="1"/>
  <c r="AL671" i="1"/>
  <c r="AK664" i="1"/>
  <c r="AK665" i="1"/>
  <c r="AI671" i="1"/>
  <c r="A672" i="1"/>
  <c r="A673" i="1"/>
  <c r="AJ673" i="1"/>
  <c r="D673" i="1"/>
  <c r="A674" i="1"/>
  <c r="D674" i="1" s="1"/>
  <c r="AV664" i="1" l="1"/>
  <c r="AW664" i="1" s="1"/>
  <c r="AL672" i="1"/>
  <c r="AV665" i="1"/>
  <c r="AX663" i="1"/>
  <c r="AW663" i="1"/>
  <c r="AX662" i="1"/>
  <c r="AW662" i="1"/>
  <c r="AU673" i="1"/>
  <c r="AK673" i="1"/>
  <c r="AU674" i="1"/>
  <c r="AL674" i="1"/>
  <c r="AK666" i="1"/>
  <c r="AK674" i="1"/>
  <c r="A675" i="1"/>
  <c r="AI673" i="1"/>
  <c r="AJ674" i="1"/>
  <c r="AI674" i="1"/>
  <c r="AK667" i="1"/>
  <c r="AX664" i="1" l="1"/>
  <c r="AV667" i="1"/>
  <c r="AV666" i="1"/>
  <c r="AX666" i="1" s="1"/>
  <c r="AM674" i="1"/>
  <c r="AX665" i="1"/>
  <c r="AW665" i="1"/>
  <c r="AV673" i="1"/>
  <c r="AX673" i="1" s="1"/>
  <c r="AV674" i="1"/>
  <c r="AL675" i="1"/>
  <c r="AK668" i="1"/>
  <c r="A676" i="1"/>
  <c r="AJ676" i="1"/>
  <c r="A677" i="1"/>
  <c r="D676" i="1"/>
  <c r="AK669" i="1"/>
  <c r="AK670" i="1"/>
  <c r="AK671" i="1" s="1"/>
  <c r="AW666" i="1" l="1"/>
  <c r="AV669" i="1"/>
  <c r="AV668" i="1"/>
  <c r="AX667" i="1"/>
  <c r="AW667" i="1"/>
  <c r="AV671" i="1"/>
  <c r="AW671" i="1" s="1"/>
  <c r="AV670" i="1"/>
  <c r="AW673" i="1"/>
  <c r="AU676" i="1"/>
  <c r="AK676" i="1"/>
  <c r="AX674" i="1"/>
  <c r="AW674" i="1"/>
  <c r="AL677" i="1"/>
  <c r="AJ677" i="1"/>
  <c r="AI676" i="1"/>
  <c r="D677" i="1"/>
  <c r="A678" i="1"/>
  <c r="D678" i="1"/>
  <c r="AJ678" i="1"/>
  <c r="AX668" i="1" l="1"/>
  <c r="AW668" i="1"/>
  <c r="AW669" i="1"/>
  <c r="AX669" i="1"/>
  <c r="AM677" i="1"/>
  <c r="AX671" i="1"/>
  <c r="AX670" i="1"/>
  <c r="AW670" i="1"/>
  <c r="AV676" i="1"/>
  <c r="AX676" i="1" s="1"/>
  <c r="AU677" i="1"/>
  <c r="AM678" i="1"/>
  <c r="AU678" i="1"/>
  <c r="AL678" i="1"/>
  <c r="AI678" i="1"/>
  <c r="A679" i="1"/>
  <c r="D679" i="1"/>
  <c r="AI677" i="1"/>
  <c r="AK677" i="1"/>
  <c r="AK678" i="1"/>
  <c r="A680" i="1"/>
  <c r="AJ680" i="1" s="1"/>
  <c r="AJ679" i="1"/>
  <c r="AL679" i="1" l="1"/>
  <c r="AU679" i="1"/>
  <c r="AW676" i="1"/>
  <c r="AV677" i="1"/>
  <c r="AW677" i="1" s="1"/>
  <c r="AM679" i="1"/>
  <c r="AM680" i="1" s="1"/>
  <c r="AV678" i="1"/>
  <c r="AL680" i="1"/>
  <c r="AI679" i="1"/>
  <c r="A681" i="1"/>
  <c r="D681" i="1"/>
  <c r="AJ681" i="1"/>
  <c r="D680" i="1"/>
  <c r="AK679" i="1"/>
  <c r="A682" i="1"/>
  <c r="AJ682" i="1"/>
  <c r="AU680" i="1" l="1"/>
  <c r="AV679" i="1"/>
  <c r="AX679" i="1" s="1"/>
  <c r="AX677" i="1"/>
  <c r="AU681" i="1"/>
  <c r="AM681" i="1"/>
  <c r="AM682" i="1" s="1"/>
  <c r="AX678" i="1"/>
  <c r="AW678" i="1"/>
  <c r="AL682" i="1"/>
  <c r="AL681" i="1"/>
  <c r="D682" i="1"/>
  <c r="A683" i="1"/>
  <c r="AI681" i="1"/>
  <c r="AK680" i="1"/>
  <c r="AK681" i="1" s="1"/>
  <c r="AI680" i="1"/>
  <c r="AJ683" i="1"/>
  <c r="AV680" i="1" l="1"/>
  <c r="AX680" i="1" s="1"/>
  <c r="AW679" i="1"/>
  <c r="AU682" i="1"/>
  <c r="AM683" i="1"/>
  <c r="AV681" i="1"/>
  <c r="AL683" i="1"/>
  <c r="AI682" i="1"/>
  <c r="A684" i="1"/>
  <c r="D684" i="1"/>
  <c r="AK682" i="1"/>
  <c r="D683" i="1"/>
  <c r="A685" i="1"/>
  <c r="AJ684" i="1"/>
  <c r="AW680" i="1" l="1"/>
  <c r="AU683" i="1"/>
  <c r="AV682" i="1"/>
  <c r="AW682" i="1" s="1"/>
  <c r="AM684" i="1"/>
  <c r="AU684" i="1"/>
  <c r="AX681" i="1"/>
  <c r="AW681" i="1"/>
  <c r="AL685" i="1"/>
  <c r="AL684" i="1"/>
  <c r="A686" i="1"/>
  <c r="AK683" i="1"/>
  <c r="AI684" i="1"/>
  <c r="AI683" i="1"/>
  <c r="AK684" i="1"/>
  <c r="AJ686" i="1"/>
  <c r="AX682" i="1" l="1"/>
  <c r="AV683" i="1"/>
  <c r="AW683" i="1" s="1"/>
  <c r="AV684" i="1"/>
  <c r="A687" i="1"/>
  <c r="D686" i="1"/>
  <c r="A688" i="1"/>
  <c r="D688" i="1"/>
  <c r="AJ688" i="1"/>
  <c r="AL687" i="1" l="1"/>
  <c r="AX683" i="1"/>
  <c r="AK686" i="1"/>
  <c r="AU686" i="1"/>
  <c r="AU688" i="1"/>
  <c r="AK688" i="1"/>
  <c r="AX684" i="1"/>
  <c r="AW684" i="1"/>
  <c r="AI688" i="1"/>
  <c r="AI686" i="1"/>
  <c r="A689" i="1"/>
  <c r="D689" i="1"/>
  <c r="AV686" i="1" l="1"/>
  <c r="AX686" i="1" s="1"/>
  <c r="AV688" i="1"/>
  <c r="AX688" i="1" s="1"/>
  <c r="AU689" i="1"/>
  <c r="AL689" i="1"/>
  <c r="AI689" i="1"/>
  <c r="A690" i="1"/>
  <c r="AK689" i="1"/>
  <c r="AJ689" i="1"/>
  <c r="AW686" i="1" l="1"/>
  <c r="AM689" i="1"/>
  <c r="AW688" i="1"/>
  <c r="AV689" i="1"/>
  <c r="AL690" i="1"/>
  <c r="A691" i="1"/>
  <c r="D691" i="1"/>
  <c r="AJ691" i="1"/>
  <c r="A692" i="1"/>
  <c r="AJ692" i="1"/>
  <c r="D692" i="1"/>
  <c r="A693" i="1"/>
  <c r="AU691" i="1" l="1"/>
  <c r="AK691" i="1"/>
  <c r="AU692" i="1"/>
  <c r="AM692" i="1"/>
  <c r="AL692" i="1"/>
  <c r="AX689" i="1"/>
  <c r="AW689" i="1"/>
  <c r="AL693" i="1"/>
  <c r="AI691" i="1"/>
  <c r="AI692" i="1"/>
  <c r="A694" i="1"/>
  <c r="AK692" i="1"/>
  <c r="D694" i="1"/>
  <c r="AJ694" i="1"/>
  <c r="A695" i="1"/>
  <c r="AV691" i="1" l="1"/>
  <c r="AW691" i="1" s="1"/>
  <c r="AV692" i="1"/>
  <c r="AX692" i="1" s="1"/>
  <c r="AU694" i="1"/>
  <c r="AK694" i="1"/>
  <c r="AL695" i="1"/>
  <c r="A696" i="1"/>
  <c r="A697" i="1"/>
  <c r="D697" i="1"/>
  <c r="AJ697" i="1"/>
  <c r="A698" i="1"/>
  <c r="AI694" i="1"/>
  <c r="AJ696" i="1"/>
  <c r="D696" i="1"/>
  <c r="AX691" i="1" l="1"/>
  <c r="AW692" i="1"/>
  <c r="AK696" i="1"/>
  <c r="AU696" i="1"/>
  <c r="AM697" i="1"/>
  <c r="AU697" i="1"/>
  <c r="AV694" i="1"/>
  <c r="AX694" i="1" s="1"/>
  <c r="AL698" i="1"/>
  <c r="AL697" i="1"/>
  <c r="AI697" i="1"/>
  <c r="A699" i="1"/>
  <c r="AK697" i="1"/>
  <c r="AI696" i="1"/>
  <c r="AV696" i="1" l="1"/>
  <c r="AW694" i="1"/>
  <c r="AV697" i="1"/>
  <c r="D699" i="1"/>
  <c r="A700" i="1"/>
  <c r="AJ699" i="1"/>
  <c r="D700" i="1"/>
  <c r="AK699" i="1" l="1"/>
  <c r="AU699" i="1"/>
  <c r="AX696" i="1"/>
  <c r="AW696" i="1"/>
  <c r="AU700" i="1"/>
  <c r="AX697" i="1"/>
  <c r="AW697" i="1"/>
  <c r="AL700" i="1"/>
  <c r="AI699" i="1"/>
  <c r="AK700" i="1"/>
  <c r="AJ700" i="1"/>
  <c r="AI700" i="1"/>
  <c r="A701" i="1"/>
  <c r="AJ701" i="1"/>
  <c r="D701" i="1"/>
  <c r="AV699" i="1" l="1"/>
  <c r="AX699" i="1" s="1"/>
  <c r="AM700" i="1"/>
  <c r="AM701" i="1" s="1"/>
  <c r="AU701" i="1"/>
  <c r="AV700" i="1"/>
  <c r="AL701" i="1"/>
  <c r="AK701" i="1"/>
  <c r="A702" i="1"/>
  <c r="D702" i="1"/>
  <c r="AI701" i="1"/>
  <c r="AJ702" i="1"/>
  <c r="A703" i="1"/>
  <c r="A704" i="1"/>
  <c r="AW699" i="1" l="1"/>
  <c r="AL702" i="1"/>
  <c r="AU702" i="1"/>
  <c r="AM702" i="1"/>
  <c r="AV701" i="1"/>
  <c r="AX700" i="1"/>
  <c r="AW700" i="1"/>
  <c r="AL703" i="1"/>
  <c r="D704" i="1"/>
  <c r="AI702" i="1"/>
  <c r="A705" i="1"/>
  <c r="AK702" i="1"/>
  <c r="D705" i="1"/>
  <c r="AJ704" i="1"/>
  <c r="AJ705" i="1"/>
  <c r="A706" i="1"/>
  <c r="D706" i="1"/>
  <c r="AJ706" i="1"/>
  <c r="A707" i="1"/>
  <c r="AJ707" i="1"/>
  <c r="D707" i="1"/>
  <c r="A708" i="1"/>
  <c r="D708" i="1"/>
  <c r="AJ708" i="1"/>
  <c r="AU704" i="1" l="1"/>
  <c r="AK704" i="1"/>
  <c r="AV702" i="1"/>
  <c r="AX702" i="1" s="1"/>
  <c r="AU705" i="1"/>
  <c r="AM705" i="1"/>
  <c r="AM706" i="1" s="1"/>
  <c r="AM707" i="1" s="1"/>
  <c r="AM708" i="1" s="1"/>
  <c r="AL705" i="1"/>
  <c r="AU708" i="1"/>
  <c r="AU707" i="1"/>
  <c r="AU706" i="1"/>
  <c r="AX701" i="1"/>
  <c r="AW701" i="1"/>
  <c r="AL708" i="1"/>
  <c r="AL707" i="1"/>
  <c r="AL706" i="1"/>
  <c r="AK705" i="1"/>
  <c r="AI708" i="1"/>
  <c r="AI706" i="1"/>
  <c r="AI707" i="1"/>
  <c r="AI704" i="1"/>
  <c r="AI705" i="1"/>
  <c r="A709" i="1"/>
  <c r="A710" i="1"/>
  <c r="AJ709" i="1"/>
  <c r="D709" i="1"/>
  <c r="D710" i="1"/>
  <c r="AJ710" i="1"/>
  <c r="AU709" i="1" l="1"/>
  <c r="AU710" i="1"/>
  <c r="AL710" i="1"/>
  <c r="AL709" i="1"/>
  <c r="AM709" i="1"/>
  <c r="AM710" i="1" s="1"/>
  <c r="AV704" i="1"/>
  <c r="AX704" i="1" s="1"/>
  <c r="AW702" i="1"/>
  <c r="AV705" i="1"/>
  <c r="AX705" i="1" s="1"/>
  <c r="A711" i="1"/>
  <c r="AI710" i="1"/>
  <c r="AK706" i="1"/>
  <c r="D711" i="1"/>
  <c r="AJ711" i="1"/>
  <c r="AI709" i="1"/>
  <c r="AK707" i="1"/>
  <c r="A712" i="1"/>
  <c r="D712" i="1" s="1"/>
  <c r="AJ712" i="1"/>
  <c r="AU712" i="1" l="1"/>
  <c r="AL712" i="1"/>
  <c r="AU711" i="1"/>
  <c r="AL711" i="1"/>
  <c r="AM711" i="1"/>
  <c r="AM712" i="1" s="1"/>
  <c r="AW704" i="1"/>
  <c r="AV706" i="1"/>
  <c r="AX706" i="1" s="1"/>
  <c r="AV707" i="1"/>
  <c r="AX707" i="1" s="1"/>
  <c r="AW705" i="1"/>
  <c r="AI711" i="1"/>
  <c r="AK708" i="1"/>
  <c r="A713" i="1"/>
  <c r="AI712" i="1"/>
  <c r="AK709" i="1"/>
  <c r="A714" i="1"/>
  <c r="D714" i="1"/>
  <c r="A715" i="1"/>
  <c r="AJ714" i="1"/>
  <c r="A716" i="1"/>
  <c r="AJ716" i="1"/>
  <c r="D716" i="1"/>
  <c r="A717" i="1"/>
  <c r="AJ717" i="1"/>
  <c r="D717" i="1"/>
  <c r="A718" i="1"/>
  <c r="A719" i="1" s="1"/>
  <c r="AL718" i="1" l="1"/>
  <c r="AM717" i="1"/>
  <c r="AU717" i="1"/>
  <c r="AL717" i="1"/>
  <c r="AK716" i="1"/>
  <c r="AU716" i="1"/>
  <c r="AL715" i="1"/>
  <c r="AU714" i="1"/>
  <c r="AK714" i="1"/>
  <c r="AL713" i="1"/>
  <c r="AV708" i="1"/>
  <c r="AW706" i="1"/>
  <c r="AW707" i="1"/>
  <c r="AV709" i="1"/>
  <c r="D719" i="1"/>
  <c r="AI717" i="1"/>
  <c r="AI714" i="1"/>
  <c r="AK717" i="1"/>
  <c r="AI716" i="1"/>
  <c r="AK710" i="1"/>
  <c r="A720" i="1"/>
  <c r="AJ719" i="1"/>
  <c r="AV716" i="1" l="1"/>
  <c r="AX716" i="1" s="1"/>
  <c r="AU719" i="1"/>
  <c r="AK719" i="1"/>
  <c r="AV714" i="1"/>
  <c r="AX714" i="1" s="1"/>
  <c r="AV717" i="1"/>
  <c r="AW717" i="1" s="1"/>
  <c r="AW708" i="1"/>
  <c r="AX708" i="1"/>
  <c r="AV710" i="1"/>
  <c r="AW710" i="1" s="1"/>
  <c r="AW709" i="1"/>
  <c r="AX709" i="1"/>
  <c r="AW716" i="1"/>
  <c r="AL720" i="1"/>
  <c r="AI719" i="1"/>
  <c r="A721" i="1"/>
  <c r="AK711" i="1"/>
  <c r="A722" i="1"/>
  <c r="D721" i="1"/>
  <c r="AJ721" i="1"/>
  <c r="AX717" i="1" l="1"/>
  <c r="AV719" i="1"/>
  <c r="AX719" i="1" s="1"/>
  <c r="AW714" i="1"/>
  <c r="AX710" i="1"/>
  <c r="AU721" i="1"/>
  <c r="AV711" i="1"/>
  <c r="AL721" i="1"/>
  <c r="AM721" i="1"/>
  <c r="AL722" i="1"/>
  <c r="D722" i="1"/>
  <c r="AK712" i="1"/>
  <c r="AI721" i="1"/>
  <c r="AJ722" i="1"/>
  <c r="AK721" i="1"/>
  <c r="A723" i="1"/>
  <c r="AW719" i="1" l="1"/>
  <c r="AV712" i="1"/>
  <c r="AW712" i="1" s="1"/>
  <c r="AM722" i="1"/>
  <c r="AV721" i="1"/>
  <c r="AX721" i="1" s="1"/>
  <c r="AW711" i="1"/>
  <c r="AX711" i="1"/>
  <c r="AU722" i="1"/>
  <c r="AL723" i="1"/>
  <c r="AI722" i="1"/>
  <c r="AK722" i="1"/>
  <c r="A724" i="1"/>
  <c r="AJ724" i="1"/>
  <c r="A725" i="1"/>
  <c r="D725" i="1"/>
  <c r="AJ725" i="1"/>
  <c r="A726" i="1"/>
  <c r="AX712" i="1" l="1"/>
  <c r="AW721" i="1"/>
  <c r="AV722" i="1"/>
  <c r="AW722" i="1" s="1"/>
  <c r="AL726" i="1"/>
  <c r="AU725" i="1"/>
  <c r="AM725" i="1"/>
  <c r="AL725" i="1"/>
  <c r="AI725" i="1"/>
  <c r="D724" i="1"/>
  <c r="A727" i="1"/>
  <c r="A728" i="1"/>
  <c r="AJ728" i="1"/>
  <c r="D727" i="1"/>
  <c r="AJ727" i="1"/>
  <c r="AU724" i="1" l="1"/>
  <c r="AK724" i="1"/>
  <c r="AM728" i="1"/>
  <c r="AL728" i="1"/>
  <c r="AU727" i="1"/>
  <c r="AK727" i="1"/>
  <c r="AX722" i="1"/>
  <c r="AK725" i="1"/>
  <c r="A729" i="1"/>
  <c r="D729" i="1"/>
  <c r="A730" i="1"/>
  <c r="D728" i="1"/>
  <c r="AI724" i="1"/>
  <c r="AI727" i="1"/>
  <c r="AJ729" i="1"/>
  <c r="AV724" i="1" l="1"/>
  <c r="AW724" i="1" s="1"/>
  <c r="AV725" i="1"/>
  <c r="AW725" i="1" s="1"/>
  <c r="AU728" i="1"/>
  <c r="AV727" i="1"/>
  <c r="AW727" i="1" s="1"/>
  <c r="AL730" i="1"/>
  <c r="AU729" i="1"/>
  <c r="AL729" i="1"/>
  <c r="AM729" i="1"/>
  <c r="AI728" i="1"/>
  <c r="AI729" i="1"/>
  <c r="A731" i="1"/>
  <c r="AJ731" i="1"/>
  <c r="AK728" i="1"/>
  <c r="AK729" i="1"/>
  <c r="D731" i="1"/>
  <c r="A732" i="1"/>
  <c r="D732" i="1"/>
  <c r="A733" i="1"/>
  <c r="AJ732" i="1"/>
  <c r="AJ733" i="1"/>
  <c r="A734" i="1"/>
  <c r="D733" i="1"/>
  <c r="AJ734" i="1"/>
  <c r="D734" i="1"/>
  <c r="A735" i="1"/>
  <c r="AJ735" i="1"/>
  <c r="D735" i="1"/>
  <c r="A736" i="1"/>
  <c r="AJ736" i="1"/>
  <c r="D736" i="1"/>
  <c r="A737" i="1"/>
  <c r="D737" i="1"/>
  <c r="AJ737" i="1"/>
  <c r="A738" i="1"/>
  <c r="D738" i="1"/>
  <c r="AJ738" i="1"/>
  <c r="A739" i="1"/>
  <c r="AJ739" i="1"/>
  <c r="D739" i="1"/>
  <c r="A740" i="1"/>
  <c r="D740" i="1"/>
  <c r="AJ740" i="1"/>
  <c r="A741" i="1"/>
  <c r="A742" i="1"/>
  <c r="AJ742" i="1"/>
  <c r="D742" i="1"/>
  <c r="A743" i="1"/>
  <c r="AX724" i="1" l="1"/>
  <c r="AX725" i="1"/>
  <c r="AX727" i="1"/>
  <c r="AV728" i="1"/>
  <c r="AW728" i="1" s="1"/>
  <c r="AK742" i="1"/>
  <c r="AU742" i="1"/>
  <c r="AL741" i="1"/>
  <c r="AU740" i="1"/>
  <c r="AL740" i="1"/>
  <c r="AU739" i="1"/>
  <c r="AL739" i="1"/>
  <c r="AU738" i="1"/>
  <c r="AL738" i="1"/>
  <c r="AU737" i="1"/>
  <c r="AL737" i="1"/>
  <c r="AU736" i="1"/>
  <c r="AL736" i="1"/>
  <c r="AU735" i="1"/>
  <c r="AL735" i="1"/>
  <c r="AU734" i="1"/>
  <c r="AL734" i="1"/>
  <c r="AU733" i="1"/>
  <c r="AL733" i="1"/>
  <c r="AU732" i="1"/>
  <c r="AM732" i="1"/>
  <c r="AM733" i="1" s="1"/>
  <c r="AM734" i="1" s="1"/>
  <c r="AM735" i="1" s="1"/>
  <c r="AM736" i="1" s="1"/>
  <c r="AM737" i="1" s="1"/>
  <c r="AM738" i="1" s="1"/>
  <c r="AM739" i="1" s="1"/>
  <c r="AM740" i="1" s="1"/>
  <c r="AL732" i="1"/>
  <c r="AK731" i="1"/>
  <c r="AU731" i="1"/>
  <c r="AV729" i="1"/>
  <c r="AW729" i="1" s="1"/>
  <c r="AL743" i="1"/>
  <c r="AI735" i="1"/>
  <c r="AI736" i="1"/>
  <c r="AI742" i="1"/>
  <c r="A744" i="1"/>
  <c r="AI740" i="1"/>
  <c r="AI737" i="1"/>
  <c r="AK732" i="1"/>
  <c r="D744" i="1"/>
  <c r="AI733" i="1"/>
  <c r="A745" i="1"/>
  <c r="AJ745" i="1"/>
  <c r="AI732" i="1"/>
  <c r="AI731" i="1"/>
  <c r="AI738" i="1"/>
  <c r="AI739" i="1"/>
  <c r="AI734" i="1"/>
  <c r="AJ744" i="1"/>
  <c r="A746" i="1"/>
  <c r="D745" i="1"/>
  <c r="D746" i="1"/>
  <c r="AJ746" i="1"/>
  <c r="A747" i="1"/>
  <c r="A748" i="1"/>
  <c r="AJ748" i="1" s="1"/>
  <c r="AV742" i="1" l="1"/>
  <c r="AX742" i="1" s="1"/>
  <c r="AX728" i="1"/>
  <c r="AX729" i="1"/>
  <c r="AV731" i="1"/>
  <c r="AX731" i="1" s="1"/>
  <c r="AK744" i="1"/>
  <c r="AU744" i="1"/>
  <c r="AV732" i="1"/>
  <c r="AU746" i="1"/>
  <c r="AM745" i="1"/>
  <c r="AM746" i="1" s="1"/>
  <c r="AU745" i="1"/>
  <c r="AL747" i="1"/>
  <c r="AL746" i="1"/>
  <c r="AL745" i="1"/>
  <c r="D748" i="1"/>
  <c r="AK745" i="1"/>
  <c r="A749" i="1"/>
  <c r="AK733" i="1"/>
  <c r="AJ749" i="1"/>
  <c r="D749" i="1"/>
  <c r="AI746" i="1"/>
  <c r="AI745" i="1"/>
  <c r="A750" i="1"/>
  <c r="AI744" i="1"/>
  <c r="AW742" i="1" l="1"/>
  <c r="AK748" i="1"/>
  <c r="AU748" i="1"/>
  <c r="AW731" i="1"/>
  <c r="AV733" i="1"/>
  <c r="AW733" i="1" s="1"/>
  <c r="AV744" i="1"/>
  <c r="AX744" i="1" s="1"/>
  <c r="AX732" i="1"/>
  <c r="AW732" i="1"/>
  <c r="AX733" i="1"/>
  <c r="AM749" i="1"/>
  <c r="AU749" i="1"/>
  <c r="AL749" i="1"/>
  <c r="AV745" i="1"/>
  <c r="AL750" i="1"/>
  <c r="AJ750" i="1"/>
  <c r="AK746" i="1"/>
  <c r="AI749" i="1"/>
  <c r="AI748" i="1"/>
  <c r="A751" i="1"/>
  <c r="AK734" i="1"/>
  <c r="AK735" i="1" s="1"/>
  <c r="AK749" i="1"/>
  <c r="D750" i="1"/>
  <c r="D751" i="1"/>
  <c r="A752" i="1"/>
  <c r="AJ751" i="1"/>
  <c r="AV748" i="1" l="1"/>
  <c r="AW748" i="1" s="1"/>
  <c r="AM750" i="1"/>
  <c r="AV735" i="1"/>
  <c r="AV734" i="1"/>
  <c r="AV746" i="1"/>
  <c r="AX746" i="1" s="1"/>
  <c r="AW744" i="1"/>
  <c r="AU750" i="1"/>
  <c r="AV749" i="1"/>
  <c r="AW749" i="1" s="1"/>
  <c r="AU751" i="1"/>
  <c r="AM751" i="1"/>
  <c r="AX748" i="1"/>
  <c r="AX745" i="1"/>
  <c r="AW745" i="1"/>
  <c r="AL752" i="1"/>
  <c r="AL751" i="1"/>
  <c r="AK736" i="1"/>
  <c r="A753" i="1"/>
  <c r="AI750" i="1"/>
  <c r="D753" i="1"/>
  <c r="AJ753" i="1"/>
  <c r="A754" i="1"/>
  <c r="AK750" i="1"/>
  <c r="AK751" i="1"/>
  <c r="AI751" i="1"/>
  <c r="AK737" i="1"/>
  <c r="AK738" i="1"/>
  <c r="AV737" i="1" l="1"/>
  <c r="AV736" i="1"/>
  <c r="AW736" i="1" s="1"/>
  <c r="AW746" i="1"/>
  <c r="AW735" i="1"/>
  <c r="AX735" i="1"/>
  <c r="AW734" i="1"/>
  <c r="AX734" i="1"/>
  <c r="AX749" i="1"/>
  <c r="AV750" i="1"/>
  <c r="AX750" i="1" s="1"/>
  <c r="AU753" i="1"/>
  <c r="AK753" i="1"/>
  <c r="AV738" i="1"/>
  <c r="AW737" i="1"/>
  <c r="AX737" i="1"/>
  <c r="AV751" i="1"/>
  <c r="AL754" i="1"/>
  <c r="AK739" i="1"/>
  <c r="D754" i="1"/>
  <c r="AJ754" i="1"/>
  <c r="AI753" i="1"/>
  <c r="A755" i="1"/>
  <c r="AJ755" i="1"/>
  <c r="D755" i="1"/>
  <c r="A756" i="1"/>
  <c r="AJ756" i="1" s="1"/>
  <c r="D756" i="1"/>
  <c r="AX736" i="1" l="1"/>
  <c r="AV753" i="1"/>
  <c r="AX753" i="1" s="1"/>
  <c r="AW750" i="1"/>
  <c r="AU754" i="1"/>
  <c r="AV739" i="1"/>
  <c r="AW738" i="1"/>
  <c r="AX738" i="1"/>
  <c r="AM754" i="1"/>
  <c r="AM755" i="1" s="1"/>
  <c r="AM756" i="1" s="1"/>
  <c r="AU756" i="1"/>
  <c r="AU755" i="1"/>
  <c r="AX751" i="1"/>
  <c r="AW751" i="1"/>
  <c r="AL756" i="1"/>
  <c r="AL755" i="1"/>
  <c r="AK740" i="1"/>
  <c r="AI754" i="1"/>
  <c r="A757" i="1"/>
  <c r="A758" i="1"/>
  <c r="AJ758" i="1"/>
  <c r="D758" i="1"/>
  <c r="AK754" i="1"/>
  <c r="AK755" i="1" s="1"/>
  <c r="AI755" i="1"/>
  <c r="AI756" i="1"/>
  <c r="AW753" i="1" l="1"/>
  <c r="AV754" i="1"/>
  <c r="AX754" i="1" s="1"/>
  <c r="AV740" i="1"/>
  <c r="AX740" i="1" s="1"/>
  <c r="AU758" i="1"/>
  <c r="AK758" i="1"/>
  <c r="AL757" i="1"/>
  <c r="AW739" i="1"/>
  <c r="AX739" i="1"/>
  <c r="AV755" i="1"/>
  <c r="AK756" i="1"/>
  <c r="AI758" i="1"/>
  <c r="A759" i="1"/>
  <c r="A760" i="1"/>
  <c r="A761" i="1" s="1"/>
  <c r="AJ761" i="1"/>
  <c r="A762" i="1"/>
  <c r="D759" i="1"/>
  <c r="D762" i="1"/>
  <c r="D761" i="1"/>
  <c r="AJ759" i="1"/>
  <c r="AW740" i="1" l="1"/>
  <c r="AW754" i="1"/>
  <c r="AV756" i="1"/>
  <c r="AW756" i="1" s="1"/>
  <c r="AV758" i="1"/>
  <c r="AX758" i="1" s="1"/>
  <c r="AU762" i="1"/>
  <c r="AU761" i="1"/>
  <c r="AK761" i="1"/>
  <c r="AL760" i="1"/>
  <c r="AM759" i="1"/>
  <c r="AU759" i="1"/>
  <c r="AL759" i="1"/>
  <c r="AL762" i="1"/>
  <c r="AX755" i="1"/>
  <c r="AW755" i="1"/>
  <c r="AJ762" i="1"/>
  <c r="AK762" i="1"/>
  <c r="A763" i="1"/>
  <c r="AI761" i="1"/>
  <c r="A764" i="1"/>
  <c r="AJ764" i="1" s="1"/>
  <c r="AK759" i="1"/>
  <c r="AI762" i="1"/>
  <c r="AI759" i="1"/>
  <c r="AX756" i="1" l="1"/>
  <c r="AM762" i="1"/>
  <c r="AW758" i="1"/>
  <c r="AV761" i="1"/>
  <c r="AX761" i="1" s="1"/>
  <c r="AV762" i="1"/>
  <c r="AV759" i="1"/>
  <c r="AL763" i="1"/>
  <c r="A765" i="1"/>
  <c r="A766" i="1"/>
  <c r="D764" i="1"/>
  <c r="D765" i="1"/>
  <c r="AU764" i="1" l="1"/>
  <c r="AK764" i="1"/>
  <c r="AW761" i="1"/>
  <c r="AU765" i="1"/>
  <c r="AL765" i="1"/>
  <c r="AL766" i="1"/>
  <c r="AX759" i="1"/>
  <c r="AW759" i="1"/>
  <c r="AX762" i="1"/>
  <c r="AW762" i="1"/>
  <c r="AJ765" i="1"/>
  <c r="AK765" i="1"/>
  <c r="A767" i="1"/>
  <c r="A768" i="1"/>
  <c r="D767" i="1"/>
  <c r="AJ767" i="1"/>
  <c r="AI764" i="1"/>
  <c r="AI765" i="1"/>
  <c r="A769" i="1"/>
  <c r="AJ769" i="1" s="1"/>
  <c r="D768" i="1"/>
  <c r="AV764" i="1" l="1"/>
  <c r="AX764" i="1" s="1"/>
  <c r="AM765" i="1"/>
  <c r="AV765" i="1"/>
  <c r="AX765" i="1" s="1"/>
  <c r="AU767" i="1"/>
  <c r="AK767" i="1"/>
  <c r="AU768" i="1"/>
  <c r="AL768" i="1"/>
  <c r="AL769" i="1"/>
  <c r="AI768" i="1"/>
  <c r="D769" i="1"/>
  <c r="AJ768" i="1"/>
  <c r="AK768" i="1"/>
  <c r="AI767" i="1"/>
  <c r="A770" i="1"/>
  <c r="AJ770" i="1"/>
  <c r="A771" i="1"/>
  <c r="D770" i="1"/>
  <c r="A772" i="1"/>
  <c r="D772" i="1" s="1"/>
  <c r="AW764" i="1" l="1"/>
  <c r="AM768" i="1"/>
  <c r="AM769" i="1" s="1"/>
  <c r="AM770" i="1" s="1"/>
  <c r="AU769" i="1"/>
  <c r="AW765" i="1"/>
  <c r="AU770" i="1"/>
  <c r="AL770" i="1"/>
  <c r="AV767" i="1"/>
  <c r="AX767" i="1" s="1"/>
  <c r="AU772" i="1"/>
  <c r="AK772" i="1"/>
  <c r="AV768" i="1"/>
  <c r="AL771" i="1"/>
  <c r="A773" i="1"/>
  <c r="AI772" i="1"/>
  <c r="AI769" i="1"/>
  <c r="AI770" i="1"/>
  <c r="AJ772" i="1"/>
  <c r="AJ773" i="1"/>
  <c r="AK769" i="1"/>
  <c r="AK770" i="1" s="1"/>
  <c r="D773" i="1"/>
  <c r="AV769" i="1" l="1"/>
  <c r="AX769" i="1" s="1"/>
  <c r="AW767" i="1"/>
  <c r="AV770" i="1"/>
  <c r="AW770" i="1" s="1"/>
  <c r="AV772" i="1"/>
  <c r="AX772" i="1" s="1"/>
  <c r="AM773" i="1"/>
  <c r="AU773" i="1"/>
  <c r="AX768" i="1"/>
  <c r="AW768" i="1"/>
  <c r="AL773" i="1"/>
  <c r="A774" i="1"/>
  <c r="AK773" i="1"/>
  <c r="AI773" i="1"/>
  <c r="AJ774" i="1"/>
  <c r="A775" i="1"/>
  <c r="D774" i="1"/>
  <c r="AW769" i="1" l="1"/>
  <c r="AX770" i="1"/>
  <c r="AW772" i="1"/>
  <c r="AM774" i="1"/>
  <c r="AU774" i="1"/>
  <c r="AV773" i="1"/>
  <c r="AL775" i="1"/>
  <c r="AL774" i="1"/>
  <c r="A776" i="1"/>
  <c r="AJ776" i="1"/>
  <c r="AK774" i="1"/>
  <c r="AI774" i="1"/>
  <c r="A777" i="1"/>
  <c r="A778" i="1"/>
  <c r="AJ777" i="1"/>
  <c r="D776" i="1"/>
  <c r="AK776" i="1" l="1"/>
  <c r="AU776" i="1"/>
  <c r="AM777" i="1"/>
  <c r="AV774" i="1"/>
  <c r="AX773" i="1"/>
  <c r="AW773" i="1"/>
  <c r="AL778" i="1"/>
  <c r="AL777" i="1"/>
  <c r="AI776" i="1"/>
  <c r="A779" i="1"/>
  <c r="D779" i="1"/>
  <c r="D777" i="1"/>
  <c r="AJ779" i="1"/>
  <c r="A780" i="1"/>
  <c r="AJ780" i="1" s="1"/>
  <c r="D780" i="1"/>
  <c r="AV776" i="1" l="1"/>
  <c r="AX776" i="1" s="1"/>
  <c r="AU777" i="1"/>
  <c r="AK779" i="1"/>
  <c r="AU779" i="1"/>
  <c r="AM780" i="1"/>
  <c r="AU780" i="1"/>
  <c r="AX774" i="1"/>
  <c r="AW774" i="1"/>
  <c r="AL780" i="1"/>
  <c r="AI777" i="1"/>
  <c r="A781" i="1"/>
  <c r="AI779" i="1"/>
  <c r="AK780" i="1"/>
  <c r="AI780" i="1"/>
  <c r="AK777" i="1"/>
  <c r="A782" i="1"/>
  <c r="A783" i="1"/>
  <c r="D783" i="1"/>
  <c r="AJ783" i="1"/>
  <c r="AJ782" i="1"/>
  <c r="D782" i="1"/>
  <c r="AW776" i="1" l="1"/>
  <c r="AV777" i="1"/>
  <c r="AX777" i="1" s="1"/>
  <c r="AV779" i="1"/>
  <c r="AX779" i="1" s="1"/>
  <c r="AU783" i="1"/>
  <c r="AM783" i="1"/>
  <c r="AU782" i="1"/>
  <c r="AK782" i="1"/>
  <c r="AV780" i="1"/>
  <c r="AL781" i="1"/>
  <c r="AL783" i="1"/>
  <c r="AI783" i="1"/>
  <c r="AK783" i="1"/>
  <c r="A784" i="1"/>
  <c r="AI782" i="1"/>
  <c r="A785" i="1"/>
  <c r="D785" i="1"/>
  <c r="A786" i="1"/>
  <c r="AJ785" i="1"/>
  <c r="AJ786" i="1"/>
  <c r="D786" i="1"/>
  <c r="A787" i="1"/>
  <c r="D787" i="1"/>
  <c r="AJ787" i="1"/>
  <c r="A788" i="1"/>
  <c r="D788" i="1"/>
  <c r="AJ788" i="1"/>
  <c r="A789" i="1"/>
  <c r="AW777" i="1" l="1"/>
  <c r="AW779" i="1"/>
  <c r="AL784" i="1"/>
  <c r="AU788" i="1"/>
  <c r="AL788" i="1"/>
  <c r="AU787" i="1"/>
  <c r="AL787" i="1"/>
  <c r="AU786" i="1"/>
  <c r="AM786" i="1"/>
  <c r="AM787" i="1" s="1"/>
  <c r="AM788" i="1" s="1"/>
  <c r="AL786" i="1"/>
  <c r="AV782" i="1"/>
  <c r="AX782" i="1" s="1"/>
  <c r="AU785" i="1"/>
  <c r="AK785" i="1"/>
  <c r="AV783" i="1"/>
  <c r="AX780" i="1"/>
  <c r="AW780" i="1"/>
  <c r="AL789" i="1"/>
  <c r="AI785" i="1"/>
  <c r="A790" i="1"/>
  <c r="AK786" i="1"/>
  <c r="AJ790" i="1"/>
  <c r="D790" i="1"/>
  <c r="AI788" i="1"/>
  <c r="AI786" i="1"/>
  <c r="AI787" i="1"/>
  <c r="A791" i="1"/>
  <c r="AJ791" i="1"/>
  <c r="A792" i="1"/>
  <c r="D791" i="1"/>
  <c r="AW782" i="1" l="1"/>
  <c r="AV785" i="1"/>
  <c r="AX785" i="1" s="1"/>
  <c r="AV786" i="1"/>
  <c r="AU791" i="1"/>
  <c r="AM791" i="1"/>
  <c r="AU790" i="1"/>
  <c r="AK790" i="1"/>
  <c r="AW785" i="1"/>
  <c r="AX783" i="1"/>
  <c r="AW783" i="1"/>
  <c r="AL791" i="1"/>
  <c r="AL792" i="1"/>
  <c r="AI791" i="1"/>
  <c r="AK787" i="1"/>
  <c r="A793" i="1"/>
  <c r="AK791" i="1"/>
  <c r="AJ793" i="1"/>
  <c r="AI790" i="1"/>
  <c r="AV787" i="1" l="1"/>
  <c r="AX787" i="1" s="1"/>
  <c r="AV790" i="1"/>
  <c r="AX790" i="1" s="1"/>
  <c r="AX786" i="1"/>
  <c r="AW786" i="1"/>
  <c r="AV791" i="1"/>
  <c r="D793" i="1"/>
  <c r="A794" i="1"/>
  <c r="AK788" i="1"/>
  <c r="D794" i="1"/>
  <c r="A795" i="1"/>
  <c r="AJ794" i="1"/>
  <c r="D795" i="1"/>
  <c r="AJ795" i="1"/>
  <c r="AW787" i="1" l="1"/>
  <c r="AK793" i="1"/>
  <c r="AU793" i="1"/>
  <c r="AU794" i="1"/>
  <c r="AM794" i="1"/>
  <c r="AM795" i="1" s="1"/>
  <c r="AU795" i="1"/>
  <c r="AL794" i="1"/>
  <c r="AV788" i="1"/>
  <c r="AW790" i="1"/>
  <c r="AX791" i="1"/>
  <c r="AW791" i="1"/>
  <c r="AL795" i="1"/>
  <c r="AI794" i="1"/>
  <c r="AK794" i="1"/>
  <c r="AK795" i="1"/>
  <c r="AI793" i="1"/>
  <c r="A796" i="1"/>
  <c r="AI795" i="1"/>
  <c r="A797" i="1"/>
  <c r="A798" i="1" s="1"/>
  <c r="AJ797" i="1"/>
  <c r="D796" i="1"/>
  <c r="D797" i="1"/>
  <c r="AJ796" i="1"/>
  <c r="AV793" i="1" l="1"/>
  <c r="AX793" i="1" s="1"/>
  <c r="AU796" i="1"/>
  <c r="AL796" i="1"/>
  <c r="AM796" i="1"/>
  <c r="AM797" i="1" s="1"/>
  <c r="AU797" i="1"/>
  <c r="AV795" i="1"/>
  <c r="AV794" i="1"/>
  <c r="AX788" i="1"/>
  <c r="AW788" i="1"/>
  <c r="AL797" i="1"/>
  <c r="AL798" i="1"/>
  <c r="AI796" i="1"/>
  <c r="AK796" i="1"/>
  <c r="AK797" i="1" s="1"/>
  <c r="AI797" i="1"/>
  <c r="A799" i="1"/>
  <c r="AJ799" i="1"/>
  <c r="A800" i="1"/>
  <c r="D799" i="1"/>
  <c r="AW793" i="1" l="1"/>
  <c r="AK799" i="1"/>
  <c r="AU799" i="1"/>
  <c r="AV796" i="1"/>
  <c r="AX796" i="1" s="1"/>
  <c r="AV797" i="1"/>
  <c r="AX795" i="1"/>
  <c r="AW795" i="1"/>
  <c r="AX794" i="1"/>
  <c r="AW794" i="1"/>
  <c r="AL800" i="1"/>
  <c r="AI799" i="1"/>
  <c r="A801" i="1"/>
  <c r="A802" i="1"/>
  <c r="AJ801" i="1"/>
  <c r="D801" i="1"/>
  <c r="AV799" i="1" l="1"/>
  <c r="AX799" i="1" s="1"/>
  <c r="AW796" i="1"/>
  <c r="AU801" i="1"/>
  <c r="AK801" i="1"/>
  <c r="AX797" i="1"/>
  <c r="AW797" i="1"/>
  <c r="AL802" i="1"/>
  <c r="A803" i="1"/>
  <c r="AJ803" i="1"/>
  <c r="D803" i="1"/>
  <c r="A804" i="1"/>
  <c r="A805" i="1"/>
  <c r="AJ805" i="1" s="1"/>
  <c r="AJ804" i="1"/>
  <c r="D804" i="1"/>
  <c r="D805" i="1"/>
  <c r="AI801" i="1"/>
  <c r="AW799" i="1" l="1"/>
  <c r="AU803" i="1"/>
  <c r="AK803" i="1"/>
  <c r="AV801" i="1"/>
  <c r="AX801" i="1" s="1"/>
  <c r="AU805" i="1"/>
  <c r="AU804" i="1"/>
  <c r="AM804" i="1"/>
  <c r="AM805" i="1" s="1"/>
  <c r="AL804" i="1"/>
  <c r="AL805" i="1"/>
  <c r="AI803" i="1"/>
  <c r="AI804" i="1"/>
  <c r="A806" i="1"/>
  <c r="AK804" i="1"/>
  <c r="AJ806" i="1"/>
  <c r="AI805" i="1"/>
  <c r="A807" i="1"/>
  <c r="AJ807" i="1"/>
  <c r="D806" i="1"/>
  <c r="AV803" i="1" l="1"/>
  <c r="AX803" i="1" s="1"/>
  <c r="AW801" i="1"/>
  <c r="AU806" i="1"/>
  <c r="AM806" i="1"/>
  <c r="AM807" i="1" s="1"/>
  <c r="AV804" i="1"/>
  <c r="AL806" i="1"/>
  <c r="AL807" i="1"/>
  <c r="D807" i="1"/>
  <c r="AK805" i="1"/>
  <c r="AK806" i="1"/>
  <c r="AI806" i="1"/>
  <c r="A808" i="1"/>
  <c r="A809" i="1"/>
  <c r="AJ808" i="1"/>
  <c r="D808" i="1"/>
  <c r="AU807" i="1" l="1"/>
  <c r="AV805" i="1"/>
  <c r="AW805" i="1" s="1"/>
  <c r="AW803" i="1"/>
  <c r="AU808" i="1"/>
  <c r="AL808" i="1"/>
  <c r="AM808" i="1"/>
  <c r="AV806" i="1"/>
  <c r="AX805" i="1"/>
  <c r="AX804" i="1"/>
  <c r="AW804" i="1"/>
  <c r="AL809" i="1"/>
  <c r="A810" i="1"/>
  <c r="AK807" i="1"/>
  <c r="AK808" i="1" s="1"/>
  <c r="AI808" i="1"/>
  <c r="AI807" i="1"/>
  <c r="AJ810" i="1"/>
  <c r="AV807" i="1" l="1"/>
  <c r="AV808" i="1"/>
  <c r="AX808" i="1" s="1"/>
  <c r="AX807" i="1"/>
  <c r="AW807" i="1"/>
  <c r="AX806" i="1"/>
  <c r="AW806" i="1"/>
  <c r="D810" i="1"/>
  <c r="A811" i="1"/>
  <c r="D811" i="1"/>
  <c r="AJ811" i="1"/>
  <c r="AU810" i="1" l="1"/>
  <c r="AK810" i="1"/>
  <c r="AW808" i="1"/>
  <c r="AU811" i="1"/>
  <c r="AM811" i="1"/>
  <c r="AL811" i="1"/>
  <c r="AI810" i="1"/>
  <c r="A812" i="1"/>
  <c r="AJ812" i="1"/>
  <c r="AK811" i="1"/>
  <c r="AI811" i="1"/>
  <c r="AV810" i="1" l="1"/>
  <c r="AX810" i="1" s="1"/>
  <c r="AM812" i="1"/>
  <c r="AV811" i="1"/>
  <c r="AL812" i="1"/>
  <c r="D812" i="1"/>
  <c r="A813" i="1"/>
  <c r="AW810" i="1" l="1"/>
  <c r="AU812" i="1"/>
  <c r="AX811" i="1"/>
  <c r="AW811" i="1"/>
  <c r="AL813" i="1"/>
  <c r="AK812" i="1"/>
  <c r="AI812" i="1"/>
  <c r="A814" i="1"/>
  <c r="AJ814" i="1"/>
  <c r="D814" i="1"/>
  <c r="A815" i="1"/>
  <c r="AV812" i="1" l="1"/>
  <c r="AX812" i="1" s="1"/>
  <c r="AU814" i="1"/>
  <c r="AK814" i="1"/>
  <c r="AL815" i="1"/>
  <c r="AI814" i="1"/>
  <c r="A816" i="1"/>
  <c r="D816" i="1"/>
  <c r="A817" i="1"/>
  <c r="AJ816" i="1"/>
  <c r="AJ817" i="1"/>
  <c r="A818" i="1"/>
  <c r="D817" i="1"/>
  <c r="AJ818" i="1"/>
  <c r="D818" i="1"/>
  <c r="AW812" i="1" l="1"/>
  <c r="AV814" i="1"/>
  <c r="AX814" i="1" s="1"/>
  <c r="AM817" i="1"/>
  <c r="AU817" i="1"/>
  <c r="AL817" i="1"/>
  <c r="AU816" i="1"/>
  <c r="AK816" i="1"/>
  <c r="AU818" i="1"/>
  <c r="AM818" i="1"/>
  <c r="AL818" i="1"/>
  <c r="A819" i="1"/>
  <c r="AI816" i="1"/>
  <c r="AI817" i="1"/>
  <c r="AI818" i="1"/>
  <c r="AJ819" i="1"/>
  <c r="AK817" i="1"/>
  <c r="D819" i="1"/>
  <c r="AW814" i="1" l="1"/>
  <c r="AV816" i="1"/>
  <c r="AW816" i="1" s="1"/>
  <c r="AV817" i="1"/>
  <c r="AW817" i="1" s="1"/>
  <c r="AM819" i="1"/>
  <c r="AU819" i="1"/>
  <c r="AX816" i="1"/>
  <c r="AL819" i="1"/>
  <c r="AK818" i="1"/>
  <c r="AI819" i="1"/>
  <c r="AK819" i="1"/>
  <c r="A820" i="1"/>
  <c r="D820" i="1"/>
  <c r="AJ820" i="1"/>
  <c r="AV818" i="1" l="1"/>
  <c r="AX818" i="1" s="1"/>
  <c r="AX817" i="1"/>
  <c r="AU820" i="1"/>
  <c r="AM820" i="1"/>
  <c r="AV819" i="1"/>
  <c r="AL820" i="1"/>
  <c r="AK820" i="1"/>
  <c r="AI820" i="1"/>
  <c r="A821" i="1"/>
  <c r="A822" i="1"/>
  <c r="AJ822" i="1"/>
  <c r="D821" i="1"/>
  <c r="AJ821" i="1"/>
  <c r="D822" i="1"/>
  <c r="AW818" i="1" l="1"/>
  <c r="AM821" i="1"/>
  <c r="AU821" i="1"/>
  <c r="AM822" i="1"/>
  <c r="AU822" i="1"/>
  <c r="AV820" i="1"/>
  <c r="AX819" i="1"/>
  <c r="AW819" i="1"/>
  <c r="AL821" i="1"/>
  <c r="AL822" i="1"/>
  <c r="AI822" i="1"/>
  <c r="AI821" i="1"/>
  <c r="AK821" i="1"/>
  <c r="A823" i="1"/>
  <c r="AK822" i="1"/>
  <c r="AJ823" i="1"/>
  <c r="D823" i="1"/>
  <c r="A824" i="1"/>
  <c r="AJ824" i="1"/>
  <c r="D824" i="1"/>
  <c r="AU823" i="1" l="1"/>
  <c r="AL823" i="1"/>
  <c r="AM823" i="1"/>
  <c r="AU824" i="1"/>
  <c r="AM824" i="1"/>
  <c r="AV822" i="1"/>
  <c r="AV821" i="1"/>
  <c r="AX820" i="1"/>
  <c r="AW820" i="1"/>
  <c r="AL824" i="1"/>
  <c r="AK823" i="1"/>
  <c r="AI824" i="1"/>
  <c r="AI823" i="1"/>
  <c r="A825" i="1"/>
  <c r="AK824" i="1"/>
  <c r="D825" i="1"/>
  <c r="AJ825" i="1"/>
  <c r="AV823" i="1" l="1"/>
  <c r="AW823" i="1" s="1"/>
  <c r="AM825" i="1"/>
  <c r="AU825" i="1"/>
  <c r="AV824" i="1"/>
  <c r="AX821" i="1"/>
  <c r="AW821" i="1"/>
  <c r="AX823" i="1"/>
  <c r="AX822" i="1"/>
  <c r="AW822" i="1"/>
  <c r="AL825" i="1"/>
  <c r="AK825" i="1"/>
  <c r="A826" i="1"/>
  <c r="AI825" i="1"/>
  <c r="AJ826" i="1"/>
  <c r="A827" i="1"/>
  <c r="D826" i="1"/>
  <c r="D827" i="1"/>
  <c r="A828" i="1"/>
  <c r="AJ827" i="1"/>
  <c r="AU827" i="1" l="1"/>
  <c r="AL827" i="1"/>
  <c r="AU826" i="1"/>
  <c r="AL826" i="1"/>
  <c r="AM826" i="1"/>
  <c r="AM827" i="1" s="1"/>
  <c r="AV825" i="1"/>
  <c r="AX824" i="1"/>
  <c r="AW824" i="1"/>
  <c r="AL828" i="1"/>
  <c r="AK826" i="1"/>
  <c r="AI827" i="1"/>
  <c r="A829" i="1"/>
  <c r="AI826" i="1"/>
  <c r="AK827" i="1"/>
  <c r="AJ829" i="1"/>
  <c r="AV826" i="1" l="1"/>
  <c r="AW826" i="1" s="1"/>
  <c r="AV827" i="1"/>
  <c r="AW827" i="1" s="1"/>
  <c r="AX825" i="1"/>
  <c r="AW825" i="1"/>
  <c r="D829" i="1"/>
  <c r="A830" i="1"/>
  <c r="D830" i="1"/>
  <c r="AJ830" i="1"/>
  <c r="AX826" i="1" l="1"/>
  <c r="AX827" i="1"/>
  <c r="AK829" i="1"/>
  <c r="AU829" i="1"/>
  <c r="AU830" i="1"/>
  <c r="AM830" i="1"/>
  <c r="AL830" i="1"/>
  <c r="AI830" i="1"/>
  <c r="A831" i="1"/>
  <c r="AI829" i="1"/>
  <c r="AK830" i="1"/>
  <c r="AV829" i="1" l="1"/>
  <c r="AX829" i="1" s="1"/>
  <c r="AV830" i="1"/>
  <c r="AL831" i="1"/>
  <c r="A832" i="1"/>
  <c r="D832" i="1"/>
  <c r="A833" i="1"/>
  <c r="AJ832" i="1"/>
  <c r="A834" i="1"/>
  <c r="D834" i="1"/>
  <c r="AJ834" i="1"/>
  <c r="AW829" i="1" l="1"/>
  <c r="AU834" i="1"/>
  <c r="AK834" i="1"/>
  <c r="AU832" i="1"/>
  <c r="AK832" i="1"/>
  <c r="AX830" i="1"/>
  <c r="AW830" i="1"/>
  <c r="AL833" i="1"/>
  <c r="AI834" i="1"/>
  <c r="A835" i="1"/>
  <c r="A836" i="1"/>
  <c r="D836" i="1"/>
  <c r="D835" i="1"/>
  <c r="AI832" i="1"/>
  <c r="AJ835" i="1"/>
  <c r="AJ836" i="1"/>
  <c r="AV834" i="1" l="1"/>
  <c r="AX834" i="1" s="1"/>
  <c r="AM835" i="1"/>
  <c r="AU836" i="1"/>
  <c r="AM836" i="1"/>
  <c r="AU835" i="1"/>
  <c r="AV832" i="1"/>
  <c r="AL835" i="1"/>
  <c r="AL836" i="1"/>
  <c r="AW834" i="1" l="1"/>
  <c r="AX832" i="1"/>
  <c r="AW832" i="1"/>
  <c r="AI835" i="1"/>
  <c r="AK835" i="1"/>
  <c r="AK836" i="1" s="1"/>
  <c r="AI836" i="1"/>
  <c r="A837" i="1"/>
  <c r="A838" i="1"/>
  <c r="D838" i="1"/>
  <c r="AJ838" i="1"/>
  <c r="AU838" i="1" l="1"/>
  <c r="AK838" i="1"/>
  <c r="AL837" i="1"/>
  <c r="AV836" i="1"/>
  <c r="AW836" i="1" s="1"/>
  <c r="AV835" i="1"/>
  <c r="AX835" i="1" s="1"/>
  <c r="A839" i="1"/>
  <c r="AJ839" i="1"/>
  <c r="AI838" i="1"/>
  <c r="D839" i="1"/>
  <c r="AV838" i="1" l="1"/>
  <c r="AX838" i="1" s="1"/>
  <c r="AW835" i="1"/>
  <c r="AX836" i="1"/>
  <c r="AM839" i="1"/>
  <c r="AU839" i="1"/>
  <c r="AL839" i="1"/>
  <c r="AK839" i="1"/>
  <c r="A840" i="1"/>
  <c r="D840" i="1"/>
  <c r="AI839" i="1"/>
  <c r="A841" i="1"/>
  <c r="D841" i="1"/>
  <c r="AJ840" i="1"/>
  <c r="AJ841" i="1"/>
  <c r="AW838" i="1" l="1"/>
  <c r="AU840" i="1"/>
  <c r="AM840" i="1"/>
  <c r="AU841" i="1"/>
  <c r="AM841" i="1"/>
  <c r="AV839" i="1"/>
  <c r="AL840" i="1"/>
  <c r="AL841" i="1"/>
  <c r="A842" i="1"/>
  <c r="AK840" i="1"/>
  <c r="AK841" i="1"/>
  <c r="AI840" i="1"/>
  <c r="AI841" i="1"/>
  <c r="A843" i="1"/>
  <c r="D843" i="1"/>
  <c r="A844" i="1"/>
  <c r="AJ842" i="1"/>
  <c r="D842" i="1"/>
  <c r="AJ843" i="1"/>
  <c r="AU842" i="1" l="1"/>
  <c r="AL842" i="1"/>
  <c r="AM842" i="1"/>
  <c r="AM843" i="1" s="1"/>
  <c r="AU843" i="1"/>
  <c r="AV841" i="1"/>
  <c r="AV840" i="1"/>
  <c r="AX839" i="1"/>
  <c r="AW839" i="1"/>
  <c r="AL843" i="1"/>
  <c r="AL844" i="1"/>
  <c r="AK842" i="1"/>
  <c r="AK843" i="1"/>
  <c r="AI842" i="1"/>
  <c r="A845" i="1"/>
  <c r="AI843" i="1"/>
  <c r="A846" i="1"/>
  <c r="AJ845" i="1"/>
  <c r="D845" i="1"/>
  <c r="AJ846" i="1"/>
  <c r="D846" i="1"/>
  <c r="AU845" i="1" l="1"/>
  <c r="AK845" i="1"/>
  <c r="AV842" i="1"/>
  <c r="AW842" i="1" s="1"/>
  <c r="AM846" i="1"/>
  <c r="AU846" i="1"/>
  <c r="AV843" i="1"/>
  <c r="AX841" i="1"/>
  <c r="AW841" i="1"/>
  <c r="AX840" i="1"/>
  <c r="AW840" i="1"/>
  <c r="AL846" i="1"/>
  <c r="AI845" i="1"/>
  <c r="AI846" i="1"/>
  <c r="A847" i="1"/>
  <c r="AK846" i="1"/>
  <c r="A848" i="1"/>
  <c r="D848" i="1"/>
  <c r="AJ848" i="1"/>
  <c r="AX842" i="1" l="1"/>
  <c r="AU848" i="1"/>
  <c r="AK848" i="1"/>
  <c r="AV845" i="1"/>
  <c r="AV846" i="1"/>
  <c r="AX843" i="1"/>
  <c r="AW843" i="1"/>
  <c r="AL847" i="1"/>
  <c r="AI848" i="1"/>
  <c r="A849" i="1"/>
  <c r="A850" i="1"/>
  <c r="A851" i="1" s="1"/>
  <c r="D850" i="1"/>
  <c r="AJ850" i="1"/>
  <c r="AJ851" i="1"/>
  <c r="D851" i="1"/>
  <c r="AV848" i="1" l="1"/>
  <c r="AX848" i="1" s="1"/>
  <c r="AU851" i="1"/>
  <c r="AM851" i="1"/>
  <c r="AU850" i="1"/>
  <c r="AK850" i="1"/>
  <c r="AX845" i="1"/>
  <c r="AW845" i="1"/>
  <c r="AL849" i="1"/>
  <c r="AX846" i="1"/>
  <c r="AW846" i="1"/>
  <c r="AL851" i="1"/>
  <c r="AI851" i="1"/>
  <c r="AK851" i="1"/>
  <c r="AI850" i="1"/>
  <c r="A852" i="1"/>
  <c r="D852" i="1"/>
  <c r="AJ852" i="1"/>
  <c r="A853" i="1"/>
  <c r="A854" i="1" s="1"/>
  <c r="AJ854" i="1"/>
  <c r="D854" i="1"/>
  <c r="AW848" i="1" l="1"/>
  <c r="AV850" i="1"/>
  <c r="AX850" i="1" s="1"/>
  <c r="AU854" i="1"/>
  <c r="AK854" i="1"/>
  <c r="AM852" i="1"/>
  <c r="AU852" i="1"/>
  <c r="AV851" i="1"/>
  <c r="AW850" i="1"/>
  <c r="AL853" i="1"/>
  <c r="AL852" i="1"/>
  <c r="AI854" i="1"/>
  <c r="AI852" i="1"/>
  <c r="AK852" i="1"/>
  <c r="A855" i="1"/>
  <c r="D855" i="1"/>
  <c r="AJ855" i="1"/>
  <c r="AV854" i="1" l="1"/>
  <c r="AX854" i="1" s="1"/>
  <c r="AM855" i="1"/>
  <c r="AU855" i="1"/>
  <c r="AV852" i="1"/>
  <c r="AX851" i="1"/>
  <c r="AW851" i="1"/>
  <c r="AL855" i="1"/>
  <c r="AI855" i="1"/>
  <c r="AK855" i="1"/>
  <c r="A856" i="1"/>
  <c r="AJ856" i="1"/>
  <c r="D856" i="1"/>
  <c r="A857" i="1"/>
  <c r="AW854" i="1" l="1"/>
  <c r="AU856" i="1"/>
  <c r="AM856" i="1"/>
  <c r="AV855" i="1"/>
  <c r="AX852" i="1"/>
  <c r="AW852" i="1"/>
  <c r="AL856" i="1"/>
  <c r="AL857" i="1"/>
  <c r="AK856" i="1"/>
  <c r="AI856" i="1"/>
  <c r="A858" i="1"/>
  <c r="A859" i="1"/>
  <c r="D859" i="1"/>
  <c r="AJ858" i="1"/>
  <c r="D858" i="1"/>
  <c r="AJ859" i="1"/>
  <c r="AM859" i="1" l="1"/>
  <c r="AU858" i="1"/>
  <c r="AK858" i="1"/>
  <c r="AU859" i="1"/>
  <c r="AV856" i="1"/>
  <c r="AX855" i="1"/>
  <c r="AW855" i="1"/>
  <c r="AL859" i="1"/>
  <c r="AI859" i="1"/>
  <c r="AI858" i="1"/>
  <c r="AK859" i="1"/>
  <c r="A860" i="1"/>
  <c r="D860" i="1"/>
  <c r="AJ860" i="1"/>
  <c r="AM860" i="1" l="1"/>
  <c r="AU860" i="1"/>
  <c r="AV859" i="1"/>
  <c r="AV858" i="1"/>
  <c r="AX856" i="1"/>
  <c r="AW856" i="1"/>
  <c r="AL860" i="1"/>
  <c r="AI860" i="1"/>
  <c r="AK860" i="1"/>
  <c r="A861" i="1"/>
  <c r="D861" i="1"/>
  <c r="AJ861" i="1"/>
  <c r="A862" i="1"/>
  <c r="AM861" i="1" l="1"/>
  <c r="AU861" i="1"/>
  <c r="AV860" i="1"/>
  <c r="AX858" i="1"/>
  <c r="AW858" i="1"/>
  <c r="AX859" i="1"/>
  <c r="AW859" i="1"/>
  <c r="AL861" i="1"/>
  <c r="AL862" i="1"/>
  <c r="AI861" i="1"/>
  <c r="AK861" i="1"/>
  <c r="A863" i="1"/>
  <c r="A864" i="1"/>
  <c r="D863" i="1"/>
  <c r="AJ864" i="1"/>
  <c r="AJ863" i="1"/>
  <c r="D864" i="1"/>
  <c r="AU864" i="1" l="1"/>
  <c r="AM864" i="1"/>
  <c r="AU863" i="1"/>
  <c r="AK863" i="1"/>
  <c r="AV861" i="1"/>
  <c r="AX860" i="1"/>
  <c r="AW860" i="1"/>
  <c r="AL864" i="1"/>
  <c r="AK864" i="1"/>
  <c r="AI863" i="1"/>
  <c r="AI864" i="1"/>
  <c r="A865" i="1"/>
  <c r="AJ865" i="1"/>
  <c r="D865" i="1"/>
  <c r="AV863" i="1" l="1"/>
  <c r="AX863" i="1" s="1"/>
  <c r="AU865" i="1"/>
  <c r="AM865" i="1"/>
  <c r="AV864" i="1"/>
  <c r="AX861" i="1"/>
  <c r="AW861" i="1"/>
  <c r="AL865" i="1"/>
  <c r="AK865" i="1"/>
  <c r="AI865" i="1"/>
  <c r="A866" i="1"/>
  <c r="A867" i="1"/>
  <c r="A868" i="1"/>
  <c r="AJ866" i="1"/>
  <c r="D866" i="1"/>
  <c r="AJ868" i="1"/>
  <c r="D868" i="1"/>
  <c r="AW863" i="1" l="1"/>
  <c r="AU868" i="1"/>
  <c r="AK868" i="1"/>
  <c r="AU866" i="1"/>
  <c r="AM866" i="1"/>
  <c r="AV865" i="1"/>
  <c r="AX864" i="1"/>
  <c r="AW864" i="1"/>
  <c r="AL867" i="1"/>
  <c r="AL866" i="1"/>
  <c r="AI868" i="1"/>
  <c r="AK866" i="1"/>
  <c r="AI866" i="1"/>
  <c r="A869" i="1"/>
  <c r="A870" i="1"/>
  <c r="AJ870" i="1"/>
  <c r="D870" i="1"/>
  <c r="AU870" i="1" l="1"/>
  <c r="AK870" i="1"/>
  <c r="AV868" i="1"/>
  <c r="AX868" i="1" s="1"/>
  <c r="AV866" i="1"/>
  <c r="AX865" i="1"/>
  <c r="AW865" i="1"/>
  <c r="AL869" i="1"/>
  <c r="AI870" i="1"/>
  <c r="A871" i="1"/>
  <c r="A872" i="1"/>
  <c r="D871" i="1"/>
  <c r="AJ871" i="1"/>
  <c r="D872" i="1"/>
  <c r="AJ872" i="1"/>
  <c r="AV870" i="1" l="1"/>
  <c r="AX870" i="1" s="1"/>
  <c r="AU872" i="1"/>
  <c r="AM871" i="1"/>
  <c r="AM872" i="1" s="1"/>
  <c r="AU871" i="1"/>
  <c r="AW870" i="1"/>
  <c r="AW868" i="1"/>
  <c r="AX866" i="1"/>
  <c r="AW866" i="1"/>
  <c r="AL872" i="1"/>
  <c r="AL871" i="1"/>
  <c r="AI872" i="1"/>
  <c r="AK871" i="1"/>
  <c r="AK872" i="1"/>
  <c r="AI871" i="1"/>
  <c r="A873" i="1"/>
  <c r="A874" i="1"/>
  <c r="A875" i="1"/>
  <c r="AJ873" i="1"/>
  <c r="D873" i="1"/>
  <c r="D875" i="1"/>
  <c r="AJ875" i="1"/>
  <c r="AU875" i="1" l="1"/>
  <c r="AK875" i="1"/>
  <c r="AU873" i="1"/>
  <c r="AM873" i="1"/>
  <c r="AV872" i="1"/>
  <c r="AV871" i="1"/>
  <c r="AL873" i="1"/>
  <c r="AL874" i="1"/>
  <c r="AI875" i="1"/>
  <c r="AK873" i="1"/>
  <c r="AI873" i="1"/>
  <c r="A876" i="1"/>
  <c r="AJ876" i="1"/>
  <c r="D876" i="1"/>
  <c r="AV875" i="1" l="1"/>
  <c r="AX875" i="1" s="1"/>
  <c r="AU876" i="1"/>
  <c r="AM876" i="1"/>
  <c r="AV873" i="1"/>
  <c r="AX871" i="1"/>
  <c r="AW871" i="1"/>
  <c r="AX872" i="1"/>
  <c r="AW872" i="1"/>
  <c r="AL876" i="1"/>
  <c r="AK876" i="1"/>
  <c r="AI876" i="1"/>
  <c r="A877" i="1"/>
  <c r="D877" i="1"/>
  <c r="AJ877" i="1"/>
  <c r="AW875" i="1" l="1"/>
  <c r="AM877" i="1"/>
  <c r="AU877" i="1"/>
  <c r="AV876" i="1"/>
  <c r="AX873" i="1"/>
  <c r="AW873" i="1"/>
  <c r="AL877" i="1"/>
  <c r="AK877" i="1"/>
  <c r="AI877" i="1"/>
  <c r="A878" i="1"/>
  <c r="AJ878" i="1"/>
  <c r="D878" i="1"/>
  <c r="A879" i="1"/>
  <c r="AU878" i="1" l="1"/>
  <c r="AM878" i="1"/>
  <c r="AV877" i="1"/>
  <c r="AX876" i="1"/>
  <c r="AW876" i="1"/>
  <c r="AL878" i="1"/>
  <c r="AL879" i="1"/>
  <c r="AK878" i="1"/>
  <c r="AI878" i="1"/>
  <c r="A880" i="1"/>
  <c r="A881" i="1"/>
  <c r="D881" i="1"/>
  <c r="AJ881" i="1"/>
  <c r="D880" i="1"/>
  <c r="AJ880" i="1"/>
  <c r="AU880" i="1" l="1"/>
  <c r="AK880" i="1"/>
  <c r="AM881" i="1"/>
  <c r="AU881" i="1"/>
  <c r="AV878" i="1"/>
  <c r="AX877" i="1"/>
  <c r="AW877" i="1"/>
  <c r="AL881" i="1"/>
  <c r="AI880" i="1"/>
  <c r="AI881" i="1"/>
  <c r="AK881" i="1"/>
  <c r="A882" i="1"/>
  <c r="A883" i="1"/>
  <c r="A884" i="1"/>
  <c r="AJ882" i="1"/>
  <c r="D882" i="1"/>
  <c r="AJ883" i="1"/>
  <c r="D883" i="1"/>
  <c r="AU883" i="1" l="1"/>
  <c r="AU882" i="1"/>
  <c r="AM882" i="1"/>
  <c r="AM883" i="1" s="1"/>
  <c r="AV881" i="1"/>
  <c r="AV880" i="1"/>
  <c r="AX878" i="1"/>
  <c r="AW878" i="1"/>
  <c r="AL883" i="1"/>
  <c r="AL882" i="1"/>
  <c r="AL884" i="1"/>
  <c r="A4" i="10"/>
  <c r="AI883" i="1"/>
  <c r="AK882" i="1"/>
  <c r="AI882" i="1"/>
  <c r="A885" i="1"/>
  <c r="A886" i="1"/>
  <c r="AK883" i="1"/>
  <c r="D886" i="1"/>
  <c r="AJ886" i="1"/>
  <c r="D885" i="1"/>
  <c r="AJ885" i="1"/>
  <c r="AU885" i="1" l="1"/>
  <c r="AK885" i="1"/>
  <c r="AM886" i="1"/>
  <c r="AU886" i="1"/>
  <c r="AV883" i="1"/>
  <c r="AV882" i="1"/>
  <c r="AX880" i="1"/>
  <c r="AW880" i="1"/>
  <c r="AX881" i="1"/>
  <c r="AW881" i="1"/>
  <c r="AL886" i="1"/>
  <c r="J5" i="13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AI885" i="1"/>
  <c r="AI886" i="1"/>
  <c r="AK886" i="1"/>
  <c r="A887" i="1"/>
  <c r="AJ887" i="1"/>
  <c r="D887" i="1"/>
  <c r="A888" i="1"/>
  <c r="AV885" i="1" l="1"/>
  <c r="AX885" i="1" s="1"/>
  <c r="AU887" i="1"/>
  <c r="AM887" i="1"/>
  <c r="AV886" i="1"/>
  <c r="AX882" i="1"/>
  <c r="AW882" i="1"/>
  <c r="AX883" i="1"/>
  <c r="AW883" i="1"/>
  <c r="AL887" i="1"/>
  <c r="AL888" i="1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AK887" i="1"/>
  <c r="AI887" i="1"/>
  <c r="A889" i="1"/>
  <c r="A890" i="1"/>
  <c r="A891" i="1" s="1"/>
  <c r="D889" i="1"/>
  <c r="D891" i="1"/>
  <c r="AJ890" i="1"/>
  <c r="D890" i="1"/>
  <c r="AJ889" i="1"/>
  <c r="AJ891" i="1"/>
  <c r="AW885" i="1" l="1"/>
  <c r="AU890" i="1"/>
  <c r="AM890" i="1"/>
  <c r="AM891" i="1" s="1"/>
  <c r="AU891" i="1"/>
  <c r="AU889" i="1"/>
  <c r="AK889" i="1"/>
  <c r="AV887" i="1"/>
  <c r="AX886" i="1"/>
  <c r="AW886" i="1"/>
  <c r="AL890" i="1"/>
  <c r="AL891" i="1"/>
  <c r="AI891" i="1"/>
  <c r="AK890" i="1"/>
  <c r="AI890" i="1"/>
  <c r="AK891" i="1"/>
  <c r="AI889" i="1"/>
  <c r="A892" i="1"/>
  <c r="D892" i="1"/>
  <c r="AJ892" i="1"/>
  <c r="AV889" i="1" l="1"/>
  <c r="AX889" i="1" s="1"/>
  <c r="AM892" i="1"/>
  <c r="AU892" i="1"/>
  <c r="AV891" i="1"/>
  <c r="AV890" i="1"/>
  <c r="AW889" i="1"/>
  <c r="AX887" i="1"/>
  <c r="AW887" i="1"/>
  <c r="AL892" i="1"/>
  <c r="AI892" i="1"/>
  <c r="AK892" i="1"/>
  <c r="A893" i="1"/>
  <c r="D893" i="1"/>
  <c r="AJ893" i="1"/>
  <c r="AM893" i="1" l="1"/>
  <c r="AU893" i="1"/>
  <c r="AV892" i="1"/>
  <c r="AX891" i="1"/>
  <c r="AW891" i="1"/>
  <c r="AX890" i="1"/>
  <c r="AW890" i="1"/>
  <c r="AL893" i="1"/>
  <c r="A3" i="10"/>
  <c r="AK893" i="1"/>
  <c r="AI893" i="1"/>
  <c r="A894" i="1"/>
  <c r="A895" i="1"/>
  <c r="AJ895" i="1"/>
  <c r="D895" i="1"/>
  <c r="AU895" i="1" l="1"/>
  <c r="AK895" i="1"/>
  <c r="AV893" i="1"/>
  <c r="AX892" i="1"/>
  <c r="AW892" i="1"/>
  <c r="AL894" i="1"/>
  <c r="M3" i="10"/>
  <c r="N3" i="10"/>
  <c r="I3" i="10" s="1"/>
  <c r="K1" i="10" s="1"/>
  <c r="G3" i="10"/>
  <c r="E3" i="10"/>
  <c r="D3" i="10"/>
  <c r="H3" i="10"/>
  <c r="B3" i="10"/>
  <c r="C3" i="10"/>
  <c r="F3" i="10"/>
  <c r="AI895" i="1"/>
  <c r="A896" i="1"/>
  <c r="D896" i="1"/>
  <c r="AJ896" i="1"/>
  <c r="AV895" i="1" l="1"/>
  <c r="AX895" i="1" s="1"/>
  <c r="AM896" i="1"/>
  <c r="AU896" i="1"/>
  <c r="AX893" i="1"/>
  <c r="AW893" i="1"/>
  <c r="AL896" i="1"/>
  <c r="J3" i="10"/>
  <c r="AI896" i="1"/>
  <c r="AK896" i="1"/>
  <c r="A897" i="1"/>
  <c r="A898" i="1"/>
  <c r="AJ898" i="1"/>
  <c r="D898" i="1"/>
  <c r="AW895" i="1" l="1"/>
  <c r="AU898" i="1"/>
  <c r="AK898" i="1"/>
  <c r="AV896" i="1"/>
  <c r="AL897" i="1"/>
  <c r="K3" i="10"/>
  <c r="AI898" i="1"/>
  <c r="A899" i="1"/>
  <c r="D899" i="1"/>
  <c r="AJ899" i="1"/>
  <c r="A900" i="1"/>
  <c r="AV898" i="1" l="1"/>
  <c r="AX898" i="1" s="1"/>
  <c r="AM899" i="1"/>
  <c r="AU899" i="1"/>
  <c r="AX896" i="1"/>
  <c r="AW896" i="1"/>
  <c r="AL899" i="1"/>
  <c r="AL900" i="1"/>
  <c r="L3" i="10"/>
  <c r="AK899" i="1"/>
  <c r="AI899" i="1"/>
  <c r="A901" i="1"/>
  <c r="AJ901" i="1"/>
  <c r="D901" i="1"/>
  <c r="A902" i="1"/>
  <c r="D902" i="1"/>
  <c r="AJ902" i="1"/>
  <c r="AW898" i="1" l="1"/>
  <c r="AM902" i="1"/>
  <c r="AU902" i="1"/>
  <c r="AU901" i="1"/>
  <c r="AK901" i="1"/>
  <c r="AV899" i="1"/>
  <c r="AL902" i="1"/>
  <c r="AS601" i="1"/>
  <c r="AU601" i="1" s="1"/>
  <c r="AV601" i="1" s="1"/>
  <c r="AS562" i="1"/>
  <c r="AU562" i="1" s="1"/>
  <c r="AV562" i="1" s="1"/>
  <c r="AW562" i="1" s="1"/>
  <c r="AS544" i="1"/>
  <c r="AU544" i="1" s="1"/>
  <c r="AV544" i="1" s="1"/>
  <c r="AW544" i="1" s="1"/>
  <c r="AS590" i="1"/>
  <c r="AS547" i="1"/>
  <c r="AU547" i="1" s="1"/>
  <c r="AV547" i="1" s="1"/>
  <c r="AW547" i="1" s="1"/>
  <c r="AS527" i="1"/>
  <c r="AU527" i="1" s="1"/>
  <c r="AV527" i="1" s="1"/>
  <c r="AW527" i="1" s="1"/>
  <c r="AS461" i="1"/>
  <c r="AU461" i="1" s="1"/>
  <c r="AV461" i="1" s="1"/>
  <c r="AW461" i="1" s="1"/>
  <c r="AS505" i="1"/>
  <c r="AU505" i="1" s="1"/>
  <c r="AV505" i="1" s="1"/>
  <c r="AW505" i="1" s="1"/>
  <c r="AS493" i="1"/>
  <c r="AU493" i="1" s="1"/>
  <c r="AV493" i="1" s="1"/>
  <c r="AW493" i="1" s="1"/>
  <c r="AS489" i="1"/>
  <c r="AU489" i="1" s="1"/>
  <c r="AV489" i="1" s="1"/>
  <c r="AW489" i="1" s="1"/>
  <c r="AS481" i="1"/>
  <c r="AU481" i="1" s="1"/>
  <c r="AV481" i="1" s="1"/>
  <c r="AW481" i="1" s="1"/>
  <c r="AS470" i="1"/>
  <c r="AU470" i="1" s="1"/>
  <c r="AV470" i="1" s="1"/>
  <c r="AW470" i="1" s="1"/>
  <c r="AS445" i="1"/>
  <c r="AU445" i="1" s="1"/>
  <c r="AV445" i="1" s="1"/>
  <c r="AW445" i="1" s="1"/>
  <c r="AS422" i="1"/>
  <c r="AU422" i="1" s="1"/>
  <c r="AV422" i="1" s="1"/>
  <c r="AW422" i="1" s="1"/>
  <c r="AS593" i="1"/>
  <c r="AS579" i="1"/>
  <c r="AS564" i="1"/>
  <c r="AS548" i="1"/>
  <c r="AU548" i="1" s="1"/>
  <c r="AV548" i="1" s="1"/>
  <c r="AW548" i="1" s="1"/>
  <c r="AS436" i="1"/>
  <c r="AS575" i="1"/>
  <c r="AU575" i="1" s="1"/>
  <c r="AV575" i="1" s="1"/>
  <c r="AS554" i="1"/>
  <c r="AU554" i="1" s="1"/>
  <c r="AV554" i="1" s="1"/>
  <c r="AW554" i="1" s="1"/>
  <c r="AS542" i="1"/>
  <c r="AU542" i="1" s="1"/>
  <c r="AV542" i="1" s="1"/>
  <c r="AW542" i="1" s="1"/>
  <c r="AS514" i="1"/>
  <c r="AU514" i="1" s="1"/>
  <c r="AV514" i="1" s="1"/>
  <c r="AW514" i="1" s="1"/>
  <c r="AS600" i="1"/>
  <c r="AS588" i="1"/>
  <c r="AS543" i="1"/>
  <c r="AU543" i="1" s="1"/>
  <c r="AV543" i="1" s="1"/>
  <c r="AW543" i="1" s="1"/>
  <c r="AS523" i="1"/>
  <c r="AU523" i="1" s="1"/>
  <c r="AV523" i="1" s="1"/>
  <c r="AW523" i="1" s="1"/>
  <c r="AS598" i="1"/>
  <c r="AS586" i="1"/>
  <c r="AU586" i="1" s="1"/>
  <c r="AV586" i="1" s="1"/>
  <c r="AS582" i="1"/>
  <c r="AU582" i="1" s="1"/>
  <c r="AV582" i="1" s="1"/>
  <c r="AS574" i="1"/>
  <c r="AU574" i="1" s="1"/>
  <c r="AV574" i="1" s="1"/>
  <c r="AS568" i="1"/>
  <c r="AU568" i="1" s="1"/>
  <c r="AV568" i="1" s="1"/>
  <c r="AS563" i="1"/>
  <c r="AS559" i="1"/>
  <c r="AU559" i="1" s="1"/>
  <c r="AV559" i="1" s="1"/>
  <c r="AW559" i="1" s="1"/>
  <c r="AS545" i="1"/>
  <c r="AU545" i="1" s="1"/>
  <c r="AV545" i="1" s="1"/>
  <c r="AW545" i="1" s="1"/>
  <c r="AS539" i="1"/>
  <c r="AU539" i="1" s="1"/>
  <c r="AV539" i="1" s="1"/>
  <c r="AW539" i="1" s="1"/>
  <c r="AS517" i="1"/>
  <c r="AU517" i="1" s="1"/>
  <c r="AV517" i="1" s="1"/>
  <c r="AS595" i="1"/>
  <c r="AS581" i="1"/>
  <c r="AU581" i="1" s="1"/>
  <c r="AV581" i="1" s="1"/>
  <c r="AS552" i="1"/>
  <c r="AU552" i="1" s="1"/>
  <c r="AV552" i="1" s="1"/>
  <c r="AW552" i="1" s="1"/>
  <c r="AS386" i="1"/>
  <c r="AU386" i="1" s="1"/>
  <c r="AV386" i="1" s="1"/>
  <c r="AS51" i="1"/>
  <c r="AU51" i="1" s="1"/>
  <c r="AV51" i="1" s="1"/>
  <c r="AW51" i="1" s="1"/>
  <c r="AS41" i="1"/>
  <c r="AS605" i="1"/>
  <c r="AU605" i="1" s="1"/>
  <c r="AV605" i="1" s="1"/>
  <c r="AW605" i="1" s="1"/>
  <c r="AS573" i="1"/>
  <c r="AU573" i="1" s="1"/>
  <c r="AV573" i="1" s="1"/>
  <c r="AS550" i="1"/>
  <c r="AU550" i="1" s="1"/>
  <c r="AV550" i="1" s="1"/>
  <c r="AW550" i="1" s="1"/>
  <c r="AS540" i="1"/>
  <c r="AU540" i="1" s="1"/>
  <c r="AV540" i="1" s="1"/>
  <c r="AS520" i="1"/>
  <c r="AU520" i="1" s="1"/>
  <c r="AV520" i="1" s="1"/>
  <c r="AW520" i="1" s="1"/>
  <c r="AS498" i="1"/>
  <c r="AU498" i="1" s="1"/>
  <c r="AV498" i="1" s="1"/>
  <c r="AW498" i="1" s="1"/>
  <c r="AS594" i="1"/>
  <c r="AU594" i="1" s="1"/>
  <c r="AV594" i="1" s="1"/>
  <c r="AS553" i="1"/>
  <c r="AU553" i="1" s="1"/>
  <c r="AV553" i="1" s="1"/>
  <c r="AW553" i="1" s="1"/>
  <c r="AS495" i="1"/>
  <c r="AU495" i="1" s="1"/>
  <c r="AV495" i="1" s="1"/>
  <c r="AW495" i="1" s="1"/>
  <c r="AS491" i="1"/>
  <c r="AU491" i="1" s="1"/>
  <c r="AV491" i="1" s="1"/>
  <c r="AW491" i="1" s="1"/>
  <c r="AS487" i="1"/>
  <c r="AU487" i="1" s="1"/>
  <c r="AV487" i="1" s="1"/>
  <c r="AW487" i="1" s="1"/>
  <c r="AS472" i="1"/>
  <c r="AU472" i="1" s="1"/>
  <c r="AV472" i="1" s="1"/>
  <c r="AW472" i="1" s="1"/>
  <c r="AS468" i="1"/>
  <c r="AS597" i="1"/>
  <c r="AU597" i="1" s="1"/>
  <c r="AV597" i="1" s="1"/>
  <c r="AS589" i="1"/>
  <c r="AS569" i="1"/>
  <c r="AS556" i="1"/>
  <c r="AU556" i="1" s="1"/>
  <c r="AV556" i="1" s="1"/>
  <c r="AW556" i="1" s="1"/>
  <c r="AS426" i="1"/>
  <c r="AS419" i="1"/>
  <c r="AS603" i="1"/>
  <c r="AU603" i="1" s="1"/>
  <c r="AV603" i="1" s="1"/>
  <c r="AS571" i="1"/>
  <c r="AS546" i="1"/>
  <c r="AU546" i="1" s="1"/>
  <c r="AV546" i="1" s="1"/>
  <c r="AW546" i="1" s="1"/>
  <c r="AS592" i="1"/>
  <c r="AS549" i="1"/>
  <c r="AU549" i="1" s="1"/>
  <c r="AV549" i="1" s="1"/>
  <c r="AW549" i="1" s="1"/>
  <c r="AS606" i="1"/>
  <c r="AU606" i="1" s="1"/>
  <c r="AV606" i="1" s="1"/>
  <c r="AW606" i="1" s="1"/>
  <c r="AS596" i="1"/>
  <c r="AU596" i="1" s="1"/>
  <c r="AV596" i="1" s="1"/>
  <c r="AS584" i="1"/>
  <c r="AU584" i="1" s="1"/>
  <c r="AV584" i="1" s="1"/>
  <c r="AS576" i="1"/>
  <c r="AU576" i="1" s="1"/>
  <c r="AV576" i="1" s="1"/>
  <c r="AS570" i="1"/>
  <c r="AU570" i="1" s="1"/>
  <c r="AV570" i="1" s="1"/>
  <c r="AS565" i="1"/>
  <c r="AS561" i="1"/>
  <c r="AU561" i="1" s="1"/>
  <c r="AV561" i="1" s="1"/>
  <c r="AW561" i="1" s="1"/>
  <c r="AS557" i="1"/>
  <c r="AS541" i="1"/>
  <c r="AU541" i="1" s="1"/>
  <c r="AV541" i="1" s="1"/>
  <c r="AW541" i="1" s="1"/>
  <c r="AS533" i="1"/>
  <c r="AU533" i="1" s="1"/>
  <c r="AV533" i="1" s="1"/>
  <c r="AW533" i="1" s="1"/>
  <c r="AS507" i="1"/>
  <c r="AU507" i="1" s="1"/>
  <c r="AV507" i="1" s="1"/>
  <c r="AW507" i="1" s="1"/>
  <c r="AS599" i="1"/>
  <c r="AS591" i="1"/>
  <c r="AU591" i="1" s="1"/>
  <c r="AV591" i="1" s="1"/>
  <c r="AS577" i="1"/>
  <c r="AU577" i="1" s="1"/>
  <c r="AV577" i="1" s="1"/>
  <c r="AS53" i="1"/>
  <c r="AU53" i="1" s="1"/>
  <c r="AV53" i="1" s="1"/>
  <c r="AS133" i="1"/>
  <c r="AS234" i="1"/>
  <c r="AS39" i="1"/>
  <c r="AS328" i="1"/>
  <c r="AS224" i="1"/>
  <c r="AS148" i="1"/>
  <c r="AU148" i="1" s="1"/>
  <c r="AV148" i="1" s="1"/>
  <c r="AS249" i="1"/>
  <c r="AK902" i="1"/>
  <c r="AI902" i="1"/>
  <c r="AI901" i="1"/>
  <c r="A903" i="1"/>
  <c r="AJ903" i="1"/>
  <c r="D903" i="1"/>
  <c r="A904" i="1"/>
  <c r="D904" i="1"/>
  <c r="AJ904" i="1"/>
  <c r="A905" i="1"/>
  <c r="AJ905" i="1"/>
  <c r="D905" i="1"/>
  <c r="AU905" i="1" l="1"/>
  <c r="AU904" i="1"/>
  <c r="AU903" i="1"/>
  <c r="AM903" i="1"/>
  <c r="AM904" i="1" s="1"/>
  <c r="AM905" i="1" s="1"/>
  <c r="AV902" i="1"/>
  <c r="AV901" i="1"/>
  <c r="AX899" i="1"/>
  <c r="AW899" i="1"/>
  <c r="AL904" i="1"/>
  <c r="AL903" i="1"/>
  <c r="AL905" i="1"/>
  <c r="AX596" i="1"/>
  <c r="AW596" i="1"/>
  <c r="AX581" i="1"/>
  <c r="AW581" i="1"/>
  <c r="AX576" i="1"/>
  <c r="AW576" i="1"/>
  <c r="AX570" i="1"/>
  <c r="AW570" i="1"/>
  <c r="AX574" i="1"/>
  <c r="AW574" i="1"/>
  <c r="AX568" i="1"/>
  <c r="AW568" i="1"/>
  <c r="AX386" i="1"/>
  <c r="AW386" i="1"/>
  <c r="AX148" i="1"/>
  <c r="AW148" i="1"/>
  <c r="AU426" i="1"/>
  <c r="AV426" i="1" s="1"/>
  <c r="AW426" i="1" s="1"/>
  <c r="AU436" i="1"/>
  <c r="AV436" i="1" s="1"/>
  <c r="AW436" i="1" s="1"/>
  <c r="AU160" i="1"/>
  <c r="AV160" i="1" s="1"/>
  <c r="AW160" i="1" s="1"/>
  <c r="AU152" i="1"/>
  <c r="AV152" i="1" s="1"/>
  <c r="AW152" i="1" s="1"/>
  <c r="AU557" i="1"/>
  <c r="AV557" i="1" s="1"/>
  <c r="AW557" i="1" s="1"/>
  <c r="AU571" i="1"/>
  <c r="AV571" i="1" s="1"/>
  <c r="AX571" i="1" s="1"/>
  <c r="AU589" i="1"/>
  <c r="AV589" i="1" s="1"/>
  <c r="AX589" i="1" s="1"/>
  <c r="AU595" i="1"/>
  <c r="AV595" i="1" s="1"/>
  <c r="AW595" i="1" s="1"/>
  <c r="AU598" i="1"/>
  <c r="AV598" i="1" s="1"/>
  <c r="AX598" i="1" s="1"/>
  <c r="AU600" i="1"/>
  <c r="AV600" i="1" s="1"/>
  <c r="AX600" i="1" s="1"/>
  <c r="AU564" i="1"/>
  <c r="AV564" i="1" s="1"/>
  <c r="AW564" i="1" s="1"/>
  <c r="AU593" i="1"/>
  <c r="AV593" i="1" s="1"/>
  <c r="AW593" i="1" s="1"/>
  <c r="AU599" i="1"/>
  <c r="AV599" i="1" s="1"/>
  <c r="AX599" i="1" s="1"/>
  <c r="AU565" i="1"/>
  <c r="AV565" i="1" s="1"/>
  <c r="AW565" i="1" s="1"/>
  <c r="AU569" i="1"/>
  <c r="AV569" i="1" s="1"/>
  <c r="AX569" i="1" s="1"/>
  <c r="AU563" i="1"/>
  <c r="AV563" i="1" s="1"/>
  <c r="AW563" i="1" s="1"/>
  <c r="AU588" i="1"/>
  <c r="AV588" i="1" s="1"/>
  <c r="AW588" i="1" s="1"/>
  <c r="AU579" i="1"/>
  <c r="AV579" i="1" s="1"/>
  <c r="AW579" i="1" s="1"/>
  <c r="AU590" i="1"/>
  <c r="AV590" i="1" s="1"/>
  <c r="AW590" i="1" s="1"/>
  <c r="AX603" i="1"/>
  <c r="AW603" i="1"/>
  <c r="AW601" i="1"/>
  <c r="AX601" i="1"/>
  <c r="AX597" i="1"/>
  <c r="AW597" i="1"/>
  <c r="AX594" i="1"/>
  <c r="AW594" i="1"/>
  <c r="AX591" i="1"/>
  <c r="AW591" i="1"/>
  <c r="AX586" i="1"/>
  <c r="AW586" i="1"/>
  <c r="AX584" i="1"/>
  <c r="AW584" i="1"/>
  <c r="AX582" i="1"/>
  <c r="AW582" i="1"/>
  <c r="AX577" i="1"/>
  <c r="AW577" i="1"/>
  <c r="AX575" i="1"/>
  <c r="AW575" i="1"/>
  <c r="AX573" i="1"/>
  <c r="AW573" i="1"/>
  <c r="AU249" i="1"/>
  <c r="AV249" i="1" s="1"/>
  <c r="AW249" i="1" s="1"/>
  <c r="AU224" i="1"/>
  <c r="AV224" i="1" s="1"/>
  <c r="AW224" i="1" s="1"/>
  <c r="AU223" i="1"/>
  <c r="AV223" i="1" s="1"/>
  <c r="AW223" i="1" s="1"/>
  <c r="AU39" i="1"/>
  <c r="AV39" i="1" s="1"/>
  <c r="AW39" i="1" s="1"/>
  <c r="AU133" i="1"/>
  <c r="AV133" i="1" s="1"/>
  <c r="AW133" i="1" s="1"/>
  <c r="AX507" i="1"/>
  <c r="AX549" i="1"/>
  <c r="AU419" i="1"/>
  <c r="AV419" i="1" s="1"/>
  <c r="AW419" i="1" s="1"/>
  <c r="AX556" i="1"/>
  <c r="AX472" i="1"/>
  <c r="AX487" i="1"/>
  <c r="AX495" i="1"/>
  <c r="AX553" i="1"/>
  <c r="AX540" i="1"/>
  <c r="AU163" i="1"/>
  <c r="AV163" i="1" s="1"/>
  <c r="AW163" i="1" s="1"/>
  <c r="AX552" i="1"/>
  <c r="AX539" i="1"/>
  <c r="AX559" i="1"/>
  <c r="AX523" i="1"/>
  <c r="AX514" i="1"/>
  <c r="AX542" i="1"/>
  <c r="AU469" i="1"/>
  <c r="AV469" i="1" s="1"/>
  <c r="AW469" i="1" s="1"/>
  <c r="AX422" i="1"/>
  <c r="AX481" i="1"/>
  <c r="AX489" i="1"/>
  <c r="AX461" i="1"/>
  <c r="AX527" i="1"/>
  <c r="AX544" i="1"/>
  <c r="AU164" i="1"/>
  <c r="AV164" i="1" s="1"/>
  <c r="AW164" i="1" s="1"/>
  <c r="AU234" i="1"/>
  <c r="AV234" i="1" s="1"/>
  <c r="AX53" i="1"/>
  <c r="AX533" i="1"/>
  <c r="AX541" i="1"/>
  <c r="AX561" i="1"/>
  <c r="AX606" i="1"/>
  <c r="AX546" i="1"/>
  <c r="AU468" i="1"/>
  <c r="AV468" i="1" s="1"/>
  <c r="AW468" i="1" s="1"/>
  <c r="AX491" i="1"/>
  <c r="AX498" i="1"/>
  <c r="AX520" i="1"/>
  <c r="AX550" i="1"/>
  <c r="AX605" i="1"/>
  <c r="AU41" i="1"/>
  <c r="AV41" i="1" s="1"/>
  <c r="AW41" i="1" s="1"/>
  <c r="AX51" i="1"/>
  <c r="AX517" i="1"/>
  <c r="AX545" i="1"/>
  <c r="AX543" i="1"/>
  <c r="AX554" i="1"/>
  <c r="AX548" i="1"/>
  <c r="AX445" i="1"/>
  <c r="AX470" i="1"/>
  <c r="AX493" i="1"/>
  <c r="AX505" i="1"/>
  <c r="AU447" i="1"/>
  <c r="AV447" i="1" s="1"/>
  <c r="AW447" i="1" s="1"/>
  <c r="AX547" i="1"/>
  <c r="AX562" i="1"/>
  <c r="AI905" i="1"/>
  <c r="AK903" i="1"/>
  <c r="AI904" i="1"/>
  <c r="AI903" i="1"/>
  <c r="A906" i="1"/>
  <c r="AK904" i="1"/>
  <c r="AK905" i="1"/>
  <c r="D906" i="1"/>
  <c r="AJ906" i="1"/>
  <c r="AM906" i="1" l="1"/>
  <c r="AU906" i="1"/>
  <c r="AV905" i="1"/>
  <c r="AV904" i="1"/>
  <c r="AV903" i="1"/>
  <c r="AX901" i="1"/>
  <c r="AW901" i="1"/>
  <c r="AX902" i="1"/>
  <c r="AW902" i="1"/>
  <c r="AL906" i="1"/>
  <c r="AX426" i="1"/>
  <c r="AX436" i="1"/>
  <c r="AX160" i="1"/>
  <c r="AX152" i="1"/>
  <c r="AX564" i="1"/>
  <c r="AX579" i="1"/>
  <c r="AX563" i="1"/>
  <c r="AX557" i="1"/>
  <c r="AW598" i="1"/>
  <c r="AX565" i="1"/>
  <c r="AX595" i="1"/>
  <c r="AX590" i="1"/>
  <c r="AW571" i="1"/>
  <c r="AW589" i="1"/>
  <c r="AW599" i="1"/>
  <c r="AW569" i="1"/>
  <c r="AX588" i="1"/>
  <c r="AX593" i="1"/>
  <c r="AW600" i="1"/>
  <c r="AX468" i="1"/>
  <c r="AX164" i="1"/>
  <c r="AX469" i="1"/>
  <c r="AX41" i="1"/>
  <c r="AX234" i="1"/>
  <c r="AX447" i="1"/>
  <c r="AX163" i="1"/>
  <c r="AX419" i="1"/>
  <c r="AX133" i="1"/>
  <c r="AX39" i="1"/>
  <c r="AX223" i="1"/>
  <c r="AX224" i="1"/>
  <c r="AX249" i="1"/>
  <c r="AI906" i="1"/>
  <c r="AK906" i="1"/>
  <c r="A907" i="1"/>
  <c r="A908" i="1"/>
  <c r="A909" i="1" s="1"/>
  <c r="D909" i="1"/>
  <c r="AJ909" i="1"/>
  <c r="D908" i="1"/>
  <c r="AJ908" i="1"/>
  <c r="AU908" i="1" l="1"/>
  <c r="AK908" i="1"/>
  <c r="AV908" i="1" s="1"/>
  <c r="AX908" i="1" s="1"/>
  <c r="AM909" i="1"/>
  <c r="AU909" i="1"/>
  <c r="AV906" i="1"/>
  <c r="AX904" i="1"/>
  <c r="AW904" i="1"/>
  <c r="AX903" i="1"/>
  <c r="AW903" i="1"/>
  <c r="AX905" i="1"/>
  <c r="AW905" i="1"/>
  <c r="AL907" i="1"/>
  <c r="AL909" i="1"/>
  <c r="AU183" i="1"/>
  <c r="AV183" i="1" s="1"/>
  <c r="AX183" i="1" s="1"/>
  <c r="AU182" i="1"/>
  <c r="AV182" i="1" s="1"/>
  <c r="AX182" i="1" s="1"/>
  <c r="AU260" i="1"/>
  <c r="AV260" i="1" s="1"/>
  <c r="AX260" i="1" s="1"/>
  <c r="AI908" i="1"/>
  <c r="AK909" i="1"/>
  <c r="AI909" i="1"/>
  <c r="A910" i="1"/>
  <c r="A911" i="1"/>
  <c r="A912" i="1"/>
  <c r="A913" i="1" s="1"/>
  <c r="AJ910" i="1"/>
  <c r="D910" i="1"/>
  <c r="AJ911" i="1"/>
  <c r="D911" i="1"/>
  <c r="AJ913" i="1"/>
  <c r="D913" i="1"/>
  <c r="AU913" i="1" l="1"/>
  <c r="AK913" i="1"/>
  <c r="AW908" i="1"/>
  <c r="AU911" i="1"/>
  <c r="AU910" i="1"/>
  <c r="AM910" i="1"/>
  <c r="AM911" i="1" s="1"/>
  <c r="AV909" i="1"/>
  <c r="AX906" i="1"/>
  <c r="AW906" i="1"/>
  <c r="AL911" i="1"/>
  <c r="AL910" i="1"/>
  <c r="AL912" i="1"/>
  <c r="AW183" i="1"/>
  <c r="AW182" i="1"/>
  <c r="AW260" i="1"/>
  <c r="AI913" i="1"/>
  <c r="AI911" i="1"/>
  <c r="AK910" i="1"/>
  <c r="AI910" i="1"/>
  <c r="A914" i="1"/>
  <c r="AK911" i="1"/>
  <c r="D914" i="1"/>
  <c r="AJ914" i="1"/>
  <c r="AV913" i="1" l="1"/>
  <c r="AX913" i="1" s="1"/>
  <c r="AM914" i="1"/>
  <c r="AU914" i="1"/>
  <c r="AV911" i="1"/>
  <c r="AV910" i="1"/>
  <c r="AX909" i="1"/>
  <c r="AW909" i="1"/>
  <c r="AL914" i="1"/>
  <c r="AU339" i="1"/>
  <c r="AV339" i="1" s="1"/>
  <c r="AX339" i="1" s="1"/>
  <c r="AU337" i="1"/>
  <c r="AV337" i="1" s="1"/>
  <c r="AW337" i="1" s="1"/>
  <c r="AU58" i="1"/>
  <c r="AV58" i="1" s="1"/>
  <c r="AW58" i="1" s="1"/>
  <c r="AK914" i="1"/>
  <c r="AI914" i="1"/>
  <c r="A915" i="1"/>
  <c r="A916" i="1"/>
  <c r="AJ916" i="1"/>
  <c r="D916" i="1"/>
  <c r="AW913" i="1" l="1"/>
  <c r="AU916" i="1"/>
  <c r="AK916" i="1"/>
  <c r="AV914" i="1"/>
  <c r="AX910" i="1"/>
  <c r="AW910" i="1"/>
  <c r="AX911" i="1"/>
  <c r="AW911" i="1"/>
  <c r="AL915" i="1"/>
  <c r="AW339" i="1"/>
  <c r="AX58" i="1"/>
  <c r="AX337" i="1"/>
  <c r="AI916" i="1"/>
  <c r="A917" i="1"/>
  <c r="D917" i="1"/>
  <c r="AJ917" i="1"/>
  <c r="A918" i="1"/>
  <c r="A919" i="1" s="1"/>
  <c r="D919" i="1"/>
  <c r="AJ919" i="1"/>
  <c r="AU919" i="1" l="1"/>
  <c r="AK919" i="1"/>
  <c r="AV919" i="1" s="1"/>
  <c r="AX919" i="1" s="1"/>
  <c r="AV916" i="1"/>
  <c r="AX916" i="1" s="1"/>
  <c r="AM917" i="1"/>
  <c r="AU917" i="1"/>
  <c r="AW916" i="1"/>
  <c r="AX914" i="1"/>
  <c r="AW914" i="1"/>
  <c r="AL918" i="1"/>
  <c r="AL917" i="1"/>
  <c r="AS525" i="1"/>
  <c r="AS490" i="1"/>
  <c r="AS486" i="1"/>
  <c r="AU486" i="1" s="1"/>
  <c r="AV486" i="1" s="1"/>
  <c r="AS480" i="1"/>
  <c r="AU480" i="1" s="1"/>
  <c r="AV480" i="1" s="1"/>
  <c r="AS534" i="1"/>
  <c r="AU534" i="1" s="1"/>
  <c r="AV534" i="1" s="1"/>
  <c r="AS499" i="1"/>
  <c r="AU499" i="1" s="1"/>
  <c r="AV499" i="1" s="1"/>
  <c r="AS524" i="1"/>
  <c r="AU524" i="1" s="1"/>
  <c r="AV524" i="1" s="1"/>
  <c r="AS513" i="1"/>
  <c r="AU513" i="1" s="1"/>
  <c r="AV513" i="1" s="1"/>
  <c r="AS508" i="1"/>
  <c r="AS501" i="1"/>
  <c r="AU501" i="1" s="1"/>
  <c r="AV501" i="1" s="1"/>
  <c r="AS475" i="1"/>
  <c r="AU475" i="1" s="1"/>
  <c r="AV475" i="1" s="1"/>
  <c r="AS518" i="1"/>
  <c r="AU518" i="1" s="1"/>
  <c r="AV518" i="1" s="1"/>
  <c r="AS537" i="1"/>
  <c r="AU537" i="1" s="1"/>
  <c r="AV537" i="1" s="1"/>
  <c r="AS532" i="1"/>
  <c r="AU532" i="1" s="1"/>
  <c r="AV532" i="1" s="1"/>
  <c r="AS516" i="1"/>
  <c r="AU516" i="1" s="1"/>
  <c r="AV516" i="1" s="1"/>
  <c r="AS477" i="1"/>
  <c r="AU477" i="1" s="1"/>
  <c r="AV477" i="1" s="1"/>
  <c r="AS526" i="1"/>
  <c r="AS535" i="1"/>
  <c r="AU535" i="1" s="1"/>
  <c r="AV535" i="1" s="1"/>
  <c r="AS528" i="1"/>
  <c r="AS511" i="1"/>
  <c r="AU511" i="1" s="1"/>
  <c r="AV511" i="1" s="1"/>
  <c r="AS530" i="1"/>
  <c r="AU530" i="1" s="1"/>
  <c r="AV530" i="1" s="1"/>
  <c r="AS536" i="1"/>
  <c r="AU536" i="1" s="1"/>
  <c r="AV536" i="1" s="1"/>
  <c r="AS515" i="1"/>
  <c r="AU515" i="1" s="1"/>
  <c r="AV515" i="1" s="1"/>
  <c r="AS424" i="1"/>
  <c r="AU424" i="1" s="1"/>
  <c r="AV424" i="1" s="1"/>
  <c r="AS442" i="1"/>
  <c r="AU442" i="1" s="1"/>
  <c r="AV442" i="1" s="1"/>
  <c r="AS280" i="1"/>
  <c r="AS418" i="1"/>
  <c r="AU418" i="1" s="1"/>
  <c r="AV418" i="1" s="1"/>
  <c r="AS58" i="1"/>
  <c r="AS375" i="1"/>
  <c r="AU375" i="1" s="1"/>
  <c r="AV375" i="1" s="1"/>
  <c r="AS140" i="1"/>
  <c r="AU140" i="1" s="1"/>
  <c r="AV140" i="1" s="1"/>
  <c r="AS166" i="1"/>
  <c r="AU166" i="1" s="1"/>
  <c r="AV166" i="1" s="1"/>
  <c r="AS438" i="1"/>
  <c r="AU438" i="1" s="1"/>
  <c r="AV438" i="1" s="1"/>
  <c r="AS367" i="1"/>
  <c r="AU367" i="1" s="1"/>
  <c r="AV367" i="1" s="1"/>
  <c r="AS449" i="1"/>
  <c r="AU449" i="1" s="1"/>
  <c r="AV449" i="1" s="1"/>
  <c r="AS207" i="1"/>
  <c r="AS213" i="1"/>
  <c r="AS452" i="1"/>
  <c r="AS161" i="1"/>
  <c r="AS421" i="1"/>
  <c r="AS467" i="1"/>
  <c r="AU467" i="1" s="1"/>
  <c r="AV467" i="1" s="1"/>
  <c r="AS427" i="1"/>
  <c r="AU427" i="1" s="1"/>
  <c r="AV427" i="1" s="1"/>
  <c r="AS215" i="1"/>
  <c r="AS74" i="1"/>
  <c r="AS462" i="1"/>
  <c r="AS111" i="1"/>
  <c r="AS240" i="1"/>
  <c r="AS178" i="1"/>
  <c r="AS11" i="1"/>
  <c r="AU11" i="1" s="1"/>
  <c r="AV11" i="1" s="1"/>
  <c r="AS354" i="1"/>
  <c r="AU354" i="1" s="1"/>
  <c r="AV354" i="1" s="1"/>
  <c r="AS151" i="1"/>
  <c r="AS197" i="1"/>
  <c r="AS61" i="1"/>
  <c r="AU61" i="1" s="1"/>
  <c r="AV61" i="1" s="1"/>
  <c r="AS247" i="1"/>
  <c r="AS100" i="1"/>
  <c r="AU100" i="1" s="1"/>
  <c r="AV100" i="1" s="1"/>
  <c r="AS432" i="1"/>
  <c r="AU432" i="1" s="1"/>
  <c r="AV432" i="1" s="1"/>
  <c r="AS136" i="1"/>
  <c r="AS435" i="1"/>
  <c r="AU435" i="1" s="1"/>
  <c r="AV435" i="1" s="1"/>
  <c r="AS308" i="1"/>
  <c r="AU308" i="1" s="1"/>
  <c r="AV308" i="1" s="1"/>
  <c r="AS113" i="1"/>
  <c r="AS128" i="1"/>
  <c r="AU128" i="1" s="1"/>
  <c r="AV128" i="1" s="1"/>
  <c r="AS48" i="1"/>
  <c r="AU48" i="1" s="1"/>
  <c r="AV48" i="1" s="1"/>
  <c r="AS337" i="1"/>
  <c r="AS460" i="1"/>
  <c r="AS211" i="1"/>
  <c r="AU211" i="1" s="1"/>
  <c r="AV211" i="1" s="1"/>
  <c r="AS302" i="1"/>
  <c r="AU302" i="1" s="1"/>
  <c r="AV302" i="1" s="1"/>
  <c r="AS130" i="1"/>
  <c r="AS13" i="1"/>
  <c r="AU13" i="1" s="1"/>
  <c r="AV13" i="1" s="1"/>
  <c r="AS431" i="1"/>
  <c r="AU431" i="1" s="1"/>
  <c r="AV431" i="1" s="1"/>
  <c r="AS209" i="1"/>
  <c r="AS458" i="1"/>
  <c r="AS407" i="1"/>
  <c r="AU407" i="1" s="1"/>
  <c r="AV407" i="1" s="1"/>
  <c r="AS446" i="1"/>
  <c r="AU446" i="1" s="1"/>
  <c r="AV446" i="1" s="1"/>
  <c r="AS253" i="1"/>
  <c r="AU253" i="1" s="1"/>
  <c r="AV253" i="1" s="1"/>
  <c r="AS229" i="1"/>
  <c r="AU229" i="1" s="1"/>
  <c r="AV229" i="1" s="1"/>
  <c r="AS115" i="1"/>
  <c r="AS37" i="1"/>
  <c r="AU37" i="1" s="1"/>
  <c r="AV37" i="1" s="1"/>
  <c r="AS456" i="1"/>
  <c r="AU456" i="1" s="1"/>
  <c r="AV456" i="1" s="1"/>
  <c r="AS434" i="1"/>
  <c r="AS146" i="1"/>
  <c r="AS512" i="1"/>
  <c r="AU512" i="1" s="1"/>
  <c r="AV512" i="1" s="1"/>
  <c r="AS488" i="1"/>
  <c r="AU488" i="1" s="1"/>
  <c r="AV488" i="1" s="1"/>
  <c r="AS482" i="1"/>
  <c r="AU482" i="1" s="1"/>
  <c r="AV482" i="1" s="1"/>
  <c r="AS476" i="1"/>
  <c r="AU476" i="1" s="1"/>
  <c r="AV476" i="1" s="1"/>
  <c r="AS504" i="1"/>
  <c r="AU504" i="1" s="1"/>
  <c r="AV504" i="1" s="1"/>
  <c r="AS473" i="1"/>
  <c r="AS521" i="1"/>
  <c r="AU521" i="1" s="1"/>
  <c r="AV521" i="1" s="1"/>
  <c r="AS510" i="1"/>
  <c r="AU510" i="1" s="1"/>
  <c r="AV510" i="1" s="1"/>
  <c r="AS531" i="1"/>
  <c r="AS483" i="1"/>
  <c r="AU483" i="1" s="1"/>
  <c r="AV483" i="1" s="1"/>
  <c r="AS496" i="1"/>
  <c r="AU496" i="1" s="1"/>
  <c r="AV496" i="1" s="1"/>
  <c r="AS529" i="1"/>
  <c r="AS519" i="1"/>
  <c r="AU519" i="1" s="1"/>
  <c r="AV519" i="1" s="1"/>
  <c r="AS494" i="1"/>
  <c r="AU494" i="1" s="1"/>
  <c r="AV494" i="1" s="1"/>
  <c r="AS485" i="1"/>
  <c r="AU485" i="1" s="1"/>
  <c r="AV485" i="1" s="1"/>
  <c r="AS492" i="1"/>
  <c r="AU492" i="1" s="1"/>
  <c r="AV492" i="1" s="1"/>
  <c r="AS502" i="1"/>
  <c r="AU502" i="1" s="1"/>
  <c r="AV502" i="1" s="1"/>
  <c r="AS497" i="1"/>
  <c r="AU497" i="1" s="1"/>
  <c r="AV497" i="1" s="1"/>
  <c r="AS478" i="1"/>
  <c r="AU478" i="1" s="1"/>
  <c r="AV478" i="1" s="1"/>
  <c r="AS479" i="1"/>
  <c r="AS474" i="1"/>
  <c r="AS506" i="1"/>
  <c r="AS522" i="1"/>
  <c r="AU522" i="1" s="1"/>
  <c r="AV522" i="1" s="1"/>
  <c r="AS24" i="1"/>
  <c r="AU24" i="1" s="1"/>
  <c r="AV24" i="1" s="1"/>
  <c r="AS447" i="1"/>
  <c r="AS451" i="1"/>
  <c r="AU451" i="1" s="1"/>
  <c r="AV451" i="1" s="1"/>
  <c r="AS371" i="1"/>
  <c r="AU371" i="1" s="1"/>
  <c r="AV371" i="1" s="1"/>
  <c r="AS394" i="1"/>
  <c r="AS455" i="1"/>
  <c r="AS439" i="1"/>
  <c r="AU439" i="1" s="1"/>
  <c r="AV439" i="1" s="1"/>
  <c r="AS428" i="1"/>
  <c r="AU428" i="1" s="1"/>
  <c r="AV428" i="1" s="1"/>
  <c r="AS63" i="1"/>
  <c r="AS450" i="1"/>
  <c r="AU450" i="1" s="1"/>
  <c r="AV450" i="1" s="1"/>
  <c r="AS124" i="1"/>
  <c r="AS453" i="1"/>
  <c r="AU453" i="1" s="1"/>
  <c r="AV453" i="1" s="1"/>
  <c r="AS457" i="1"/>
  <c r="AU457" i="1" s="1"/>
  <c r="AV457" i="1" s="1"/>
  <c r="AS88" i="1"/>
  <c r="AU88" i="1" s="1"/>
  <c r="AV88" i="1" s="1"/>
  <c r="AS260" i="1"/>
  <c r="AS425" i="1"/>
  <c r="AU425" i="1" s="1"/>
  <c r="AV425" i="1" s="1"/>
  <c r="AS321" i="1"/>
  <c r="AU321" i="1" s="1"/>
  <c r="AV321" i="1" s="1"/>
  <c r="AS454" i="1"/>
  <c r="AU454" i="1" s="1"/>
  <c r="AV454" i="1" s="1"/>
  <c r="AS429" i="1"/>
  <c r="AU429" i="1" s="1"/>
  <c r="AV429" i="1" s="1"/>
  <c r="AS217" i="1"/>
  <c r="AS20" i="1"/>
  <c r="AU20" i="1" s="1"/>
  <c r="AV20" i="1" s="1"/>
  <c r="AS469" i="1"/>
  <c r="AS471" i="1"/>
  <c r="AU471" i="1" s="1"/>
  <c r="AV471" i="1" s="1"/>
  <c r="AS430" i="1"/>
  <c r="AS18" i="1"/>
  <c r="AU18" i="1" s="1"/>
  <c r="AV18" i="1" s="1"/>
  <c r="AS440" i="1"/>
  <c r="AS444" i="1"/>
  <c r="AU444" i="1" s="1"/>
  <c r="AV444" i="1" s="1"/>
  <c r="AS94" i="1"/>
  <c r="AS313" i="1"/>
  <c r="AU313" i="1" s="1"/>
  <c r="AV313" i="1" s="1"/>
  <c r="AS268" i="1"/>
  <c r="AU268" i="1" s="1"/>
  <c r="AV268" i="1" s="1"/>
  <c r="AS403" i="1"/>
  <c r="AU403" i="1" s="1"/>
  <c r="AV403" i="1" s="1"/>
  <c r="AS437" i="1"/>
  <c r="AS292" i="1"/>
  <c r="AU292" i="1" s="1"/>
  <c r="AV292" i="1" s="1"/>
  <c r="AS350" i="1"/>
  <c r="AU350" i="1" s="1"/>
  <c r="AV350" i="1" s="1"/>
  <c r="AS433" i="1"/>
  <c r="AU433" i="1" s="1"/>
  <c r="AV433" i="1" s="1"/>
  <c r="AS417" i="1"/>
  <c r="AS459" i="1"/>
  <c r="AU459" i="1" s="1"/>
  <c r="AV459" i="1" s="1"/>
  <c r="AS86" i="1"/>
  <c r="AU86" i="1" s="1"/>
  <c r="AV86" i="1" s="1"/>
  <c r="AS204" i="1"/>
  <c r="AU204" i="1" s="1"/>
  <c r="AV204" i="1" s="1"/>
  <c r="AS238" i="1"/>
  <c r="AS448" i="1"/>
  <c r="AU448" i="1" s="1"/>
  <c r="AV448" i="1" s="1"/>
  <c r="AS222" i="1"/>
  <c r="AU222" i="1" s="1"/>
  <c r="AV222" i="1" s="1"/>
  <c r="AS423" i="1"/>
  <c r="AU423" i="1" s="1"/>
  <c r="AV423" i="1" s="1"/>
  <c r="AS26" i="1"/>
  <c r="AU26" i="1" s="1"/>
  <c r="AV26" i="1" s="1"/>
  <c r="AS192" i="1"/>
  <c r="AU192" i="1" s="1"/>
  <c r="AV192" i="1" s="1"/>
  <c r="AS22" i="1"/>
  <c r="AU22" i="1" s="1"/>
  <c r="AV22" i="1" s="1"/>
  <c r="AS466" i="1"/>
  <c r="AS339" i="1"/>
  <c r="AS463" i="1"/>
  <c r="AS231" i="1"/>
  <c r="AU231" i="1" s="1"/>
  <c r="AV231" i="1" s="1"/>
  <c r="AS420" i="1"/>
  <c r="AS362" i="1"/>
  <c r="AU362" i="1" s="1"/>
  <c r="AV362" i="1" s="1"/>
  <c r="AS464" i="1"/>
  <c r="AS465" i="1"/>
  <c r="AS441" i="1"/>
  <c r="AU441" i="1" s="1"/>
  <c r="AV441" i="1" s="1"/>
  <c r="AS243" i="1"/>
  <c r="AU243" i="1" s="1"/>
  <c r="AV243" i="1" s="1"/>
  <c r="AS6" i="1"/>
  <c r="AI919" i="1"/>
  <c r="AK917" i="1"/>
  <c r="AI917" i="1"/>
  <c r="A920" i="1"/>
  <c r="A921" i="1"/>
  <c r="AJ921" i="1"/>
  <c r="D921" i="1"/>
  <c r="AJ920" i="1"/>
  <c r="D920" i="1"/>
  <c r="AU920" i="1" l="1"/>
  <c r="AM920" i="1"/>
  <c r="AU921" i="1"/>
  <c r="AM921" i="1"/>
  <c r="AW919" i="1"/>
  <c r="AV917" i="1"/>
  <c r="AL920" i="1"/>
  <c r="AL921" i="1"/>
  <c r="AX512" i="1"/>
  <c r="AW512" i="1"/>
  <c r="AW459" i="1"/>
  <c r="AX459" i="1"/>
  <c r="AX407" i="1"/>
  <c r="AW407" i="1"/>
  <c r="AW403" i="1"/>
  <c r="AX403" i="1"/>
  <c r="AX313" i="1"/>
  <c r="AW313" i="1"/>
  <c r="AX308" i="1"/>
  <c r="AW308" i="1"/>
  <c r="AX86" i="1"/>
  <c r="AW86" i="1"/>
  <c r="AX88" i="1"/>
  <c r="AW88" i="1"/>
  <c r="AW140" i="1"/>
  <c r="AX140" i="1"/>
  <c r="AX18" i="1"/>
  <c r="AW18" i="1"/>
  <c r="AW13" i="1"/>
  <c r="AX13" i="1"/>
  <c r="AW61" i="1"/>
  <c r="AX61" i="1"/>
  <c r="AW11" i="1"/>
  <c r="AX11" i="1"/>
  <c r="AU437" i="1"/>
  <c r="AV437" i="1" s="1"/>
  <c r="AX437" i="1" s="1"/>
  <c r="AU440" i="1"/>
  <c r="AV440" i="1" s="1"/>
  <c r="AX440" i="1" s="1"/>
  <c r="AU430" i="1"/>
  <c r="AV430" i="1" s="1"/>
  <c r="AX430" i="1" s="1"/>
  <c r="AU434" i="1"/>
  <c r="AV434" i="1" s="1"/>
  <c r="AW434" i="1" s="1"/>
  <c r="AW448" i="1"/>
  <c r="AX448" i="1"/>
  <c r="AW446" i="1"/>
  <c r="AX446" i="1"/>
  <c r="AX418" i="1"/>
  <c r="AW418" i="1"/>
  <c r="AU158" i="1"/>
  <c r="AV158" i="1" s="1"/>
  <c r="AW158" i="1" s="1"/>
  <c r="AU157" i="1"/>
  <c r="AV157" i="1" s="1"/>
  <c r="AW157" i="1" s="1"/>
  <c r="AU154" i="1"/>
  <c r="AV154" i="1" s="1"/>
  <c r="AW154" i="1" s="1"/>
  <c r="AU156" i="1"/>
  <c r="AV156" i="1" s="1"/>
  <c r="AW156" i="1" s="1"/>
  <c r="AU155" i="1"/>
  <c r="AV155" i="1" s="1"/>
  <c r="AW155" i="1" s="1"/>
  <c r="AU168" i="1"/>
  <c r="AV168" i="1" s="1"/>
  <c r="AX168" i="1" s="1"/>
  <c r="AU252" i="1"/>
  <c r="AV252" i="1" s="1"/>
  <c r="AW252" i="1" s="1"/>
  <c r="AU31" i="1"/>
  <c r="AV31" i="1" s="1"/>
  <c r="AW31" i="1" s="1"/>
  <c r="AU159" i="1"/>
  <c r="AV159" i="1" s="1"/>
  <c r="AW159" i="1" s="1"/>
  <c r="AU6" i="1"/>
  <c r="AV6" i="1" s="1"/>
  <c r="AW441" i="1"/>
  <c r="AX441" i="1"/>
  <c r="AX362" i="1"/>
  <c r="AW362" i="1"/>
  <c r="AU420" i="1"/>
  <c r="AV420" i="1" s="1"/>
  <c r="AX22" i="1"/>
  <c r="AW22" i="1"/>
  <c r="AX192" i="1"/>
  <c r="AW192" i="1"/>
  <c r="AX423" i="1"/>
  <c r="AW423" i="1"/>
  <c r="AW204" i="1"/>
  <c r="AX204" i="1"/>
  <c r="AW350" i="1"/>
  <c r="AX350" i="1"/>
  <c r="AX292" i="1"/>
  <c r="AW292" i="1"/>
  <c r="AU94" i="1"/>
  <c r="AV94" i="1" s="1"/>
  <c r="AX444" i="1"/>
  <c r="AW444" i="1"/>
  <c r="AW430" i="1"/>
  <c r="AW20" i="1"/>
  <c r="AX20" i="1"/>
  <c r="AU217" i="1"/>
  <c r="AV217" i="1" s="1"/>
  <c r="AW454" i="1"/>
  <c r="AX454" i="1"/>
  <c r="AW321" i="1"/>
  <c r="AX321" i="1"/>
  <c r="AX425" i="1"/>
  <c r="AW425" i="1"/>
  <c r="AW457" i="1"/>
  <c r="AX457" i="1"/>
  <c r="AX453" i="1"/>
  <c r="AW453" i="1"/>
  <c r="AW450" i="1"/>
  <c r="AX450" i="1"/>
  <c r="AU63" i="1"/>
  <c r="AV63" i="1" s="1"/>
  <c r="AW451" i="1"/>
  <c r="AX451" i="1"/>
  <c r="AW24" i="1"/>
  <c r="AX24" i="1"/>
  <c r="AU506" i="1"/>
  <c r="AV506" i="1" s="1"/>
  <c r="AU479" i="1"/>
  <c r="AV479" i="1" s="1"/>
  <c r="AW497" i="1"/>
  <c r="AX497" i="1"/>
  <c r="AW492" i="1"/>
  <c r="AX492" i="1"/>
  <c r="AW494" i="1"/>
  <c r="AX494" i="1"/>
  <c r="AU529" i="1"/>
  <c r="AV529" i="1" s="1"/>
  <c r="AX483" i="1"/>
  <c r="AW483" i="1"/>
  <c r="AW510" i="1"/>
  <c r="AX510" i="1"/>
  <c r="AU473" i="1"/>
  <c r="AV473" i="1" s="1"/>
  <c r="AX476" i="1"/>
  <c r="AW476" i="1"/>
  <c r="AX488" i="1"/>
  <c r="AW488" i="1"/>
  <c r="AU146" i="1"/>
  <c r="AV146" i="1" s="1"/>
  <c r="AX37" i="1"/>
  <c r="AW37" i="1"/>
  <c r="AW229" i="1"/>
  <c r="AX229" i="1"/>
  <c r="AW253" i="1"/>
  <c r="AX253" i="1"/>
  <c r="AX211" i="1"/>
  <c r="AW211" i="1"/>
  <c r="AW48" i="1"/>
  <c r="AX48" i="1"/>
  <c r="AW128" i="1"/>
  <c r="AX128" i="1"/>
  <c r="AU113" i="1"/>
  <c r="AV113" i="1" s="1"/>
  <c r="AX435" i="1"/>
  <c r="AW435" i="1"/>
  <c r="AX432" i="1"/>
  <c r="AW432" i="1"/>
  <c r="AU246" i="1"/>
  <c r="AV246" i="1" s="1"/>
  <c r="AX100" i="1"/>
  <c r="AW100" i="1"/>
  <c r="AU197" i="1"/>
  <c r="AV197" i="1" s="1"/>
  <c r="AW354" i="1"/>
  <c r="AX354" i="1"/>
  <c r="AU240" i="1"/>
  <c r="AV240" i="1" s="1"/>
  <c r="AU111" i="1"/>
  <c r="AV111" i="1" s="1"/>
  <c r="AU74" i="1"/>
  <c r="AV74" i="1" s="1"/>
  <c r="AU421" i="1"/>
  <c r="AV421" i="1" s="1"/>
  <c r="AW449" i="1"/>
  <c r="AX449" i="1"/>
  <c r="AX375" i="1"/>
  <c r="AW375" i="1"/>
  <c r="AU280" i="1"/>
  <c r="AV280" i="1" s="1"/>
  <c r="AX424" i="1"/>
  <c r="AW424" i="1"/>
  <c r="AW536" i="1"/>
  <c r="AX536" i="1"/>
  <c r="AW511" i="1"/>
  <c r="AX511" i="1"/>
  <c r="AW535" i="1"/>
  <c r="AX535" i="1"/>
  <c r="AW477" i="1"/>
  <c r="AX477" i="1"/>
  <c r="AW532" i="1"/>
  <c r="AX532" i="1"/>
  <c r="AW518" i="1"/>
  <c r="AX518" i="1"/>
  <c r="AW501" i="1"/>
  <c r="AX501" i="1"/>
  <c r="AW513" i="1"/>
  <c r="AX513" i="1"/>
  <c r="AW499" i="1"/>
  <c r="AX499" i="1"/>
  <c r="AW480" i="1"/>
  <c r="AX480" i="1"/>
  <c r="AW243" i="1"/>
  <c r="AX243" i="1"/>
  <c r="AW231" i="1"/>
  <c r="AX231" i="1"/>
  <c r="AW26" i="1"/>
  <c r="AX26" i="1"/>
  <c r="AX222" i="1"/>
  <c r="AW222" i="1"/>
  <c r="AU238" i="1"/>
  <c r="AV238" i="1" s="1"/>
  <c r="AU417" i="1"/>
  <c r="AV417" i="1" s="1"/>
  <c r="AX433" i="1"/>
  <c r="AW433" i="1"/>
  <c r="AU170" i="1"/>
  <c r="AV170" i="1" s="1"/>
  <c r="AW268" i="1"/>
  <c r="AX268" i="1"/>
  <c r="AX471" i="1"/>
  <c r="AW471" i="1"/>
  <c r="AW429" i="1"/>
  <c r="AX429" i="1"/>
  <c r="AU124" i="1"/>
  <c r="AV124" i="1" s="1"/>
  <c r="AW428" i="1"/>
  <c r="AX428" i="1"/>
  <c r="AX439" i="1"/>
  <c r="AW439" i="1"/>
  <c r="AW371" i="1"/>
  <c r="AX371" i="1"/>
  <c r="AW522" i="1"/>
  <c r="AX522" i="1"/>
  <c r="AU474" i="1"/>
  <c r="AV474" i="1" s="1"/>
  <c r="AW478" i="1"/>
  <c r="AX478" i="1"/>
  <c r="AW502" i="1"/>
  <c r="AX502" i="1"/>
  <c r="AX485" i="1"/>
  <c r="AW485" i="1"/>
  <c r="AW519" i="1"/>
  <c r="AX519" i="1"/>
  <c r="AW496" i="1"/>
  <c r="AX496" i="1"/>
  <c r="AU531" i="1"/>
  <c r="AV531" i="1" s="1"/>
  <c r="AW521" i="1"/>
  <c r="AX521" i="1"/>
  <c r="AW504" i="1"/>
  <c r="AX504" i="1"/>
  <c r="AX482" i="1"/>
  <c r="AW482" i="1"/>
  <c r="AW456" i="1"/>
  <c r="AX456" i="1"/>
  <c r="AU115" i="1"/>
  <c r="AV115" i="1" s="1"/>
  <c r="AU248" i="1"/>
  <c r="AV248" i="1" s="1"/>
  <c r="AU209" i="1"/>
  <c r="AV209" i="1" s="1"/>
  <c r="AW431" i="1"/>
  <c r="AX431" i="1"/>
  <c r="AU130" i="1"/>
  <c r="AV130" i="1" s="1"/>
  <c r="AW302" i="1"/>
  <c r="AX302" i="1"/>
  <c r="AU136" i="1"/>
  <c r="AV136" i="1" s="1"/>
  <c r="AU247" i="1"/>
  <c r="AV247" i="1" s="1"/>
  <c r="AU178" i="1"/>
  <c r="AV178" i="1" s="1"/>
  <c r="AU215" i="1"/>
  <c r="AV215" i="1" s="1"/>
  <c r="AW427" i="1"/>
  <c r="AX427" i="1"/>
  <c r="AX467" i="1"/>
  <c r="AW467" i="1"/>
  <c r="AU213" i="1"/>
  <c r="AV213" i="1" s="1"/>
  <c r="AU207" i="1"/>
  <c r="AV207" i="1" s="1"/>
  <c r="AX367" i="1"/>
  <c r="AW367" i="1"/>
  <c r="AW438" i="1"/>
  <c r="AX438" i="1"/>
  <c r="AX166" i="1"/>
  <c r="AW166" i="1"/>
  <c r="AX442" i="1"/>
  <c r="AW442" i="1"/>
  <c r="AU244" i="1"/>
  <c r="AV244" i="1" s="1"/>
  <c r="AW515" i="1"/>
  <c r="AX515" i="1"/>
  <c r="AW530" i="1"/>
  <c r="AX530" i="1"/>
  <c r="AU528" i="1"/>
  <c r="AV528" i="1" s="1"/>
  <c r="AU526" i="1"/>
  <c r="AV526" i="1" s="1"/>
  <c r="AW516" i="1"/>
  <c r="AX516" i="1"/>
  <c r="AW537" i="1"/>
  <c r="AX537" i="1"/>
  <c r="AW475" i="1"/>
  <c r="AX475" i="1"/>
  <c r="AU508" i="1"/>
  <c r="AV508" i="1" s="1"/>
  <c r="AW524" i="1"/>
  <c r="AX524" i="1"/>
  <c r="AW534" i="1"/>
  <c r="AX534" i="1"/>
  <c r="AX486" i="1"/>
  <c r="AW486" i="1"/>
  <c r="AU525" i="1"/>
  <c r="AV525" i="1" s="1"/>
  <c r="AK920" i="1"/>
  <c r="AI920" i="1"/>
  <c r="AI921" i="1"/>
  <c r="AK921" i="1"/>
  <c r="A922" i="1"/>
  <c r="A923" i="1"/>
  <c r="D922" i="1"/>
  <c r="AJ922" i="1"/>
  <c r="D923" i="1"/>
  <c r="AJ923" i="1"/>
  <c r="AU923" i="1" l="1"/>
  <c r="AM922" i="1"/>
  <c r="AM923" i="1" s="1"/>
  <c r="AU922" i="1"/>
  <c r="AV921" i="1"/>
  <c r="AV920" i="1"/>
  <c r="AX917" i="1"/>
  <c r="AW917" i="1"/>
  <c r="AL922" i="1"/>
  <c r="AL923" i="1"/>
  <c r="AW437" i="1"/>
  <c r="AW440" i="1"/>
  <c r="AX434" i="1"/>
  <c r="AX252" i="1"/>
  <c r="AW168" i="1"/>
  <c r="AX31" i="1"/>
  <c r="AX155" i="1"/>
  <c r="AX156" i="1"/>
  <c r="AX159" i="1"/>
  <c r="AX157" i="1"/>
  <c r="AX158" i="1"/>
  <c r="AX154" i="1"/>
  <c r="AW207" i="1"/>
  <c r="AX207" i="1"/>
  <c r="AW136" i="1"/>
  <c r="AX136" i="1"/>
  <c r="AW248" i="1"/>
  <c r="AX248" i="1"/>
  <c r="AW474" i="1"/>
  <c r="AX474" i="1"/>
  <c r="AW124" i="1"/>
  <c r="AX124" i="1"/>
  <c r="AW238" i="1"/>
  <c r="AX238" i="1"/>
  <c r="AX280" i="1"/>
  <c r="AW280" i="1"/>
  <c r="AX111" i="1"/>
  <c r="AW111" i="1"/>
  <c r="AX197" i="1"/>
  <c r="AW197" i="1"/>
  <c r="AW246" i="1"/>
  <c r="AX246" i="1"/>
  <c r="AW113" i="1"/>
  <c r="AX113" i="1"/>
  <c r="AW473" i="1"/>
  <c r="AX473" i="1"/>
  <c r="AW508" i="1"/>
  <c r="AX508" i="1"/>
  <c r="AW526" i="1"/>
  <c r="AX526" i="1"/>
  <c r="AW528" i="1"/>
  <c r="AX528" i="1"/>
  <c r="AW531" i="1"/>
  <c r="AX531" i="1"/>
  <c r="AW529" i="1"/>
  <c r="AX529" i="1"/>
  <c r="AW479" i="1"/>
  <c r="AX479" i="1"/>
  <c r="AW506" i="1"/>
  <c r="AX506" i="1"/>
  <c r="AW525" i="1"/>
  <c r="AX525" i="1"/>
  <c r="AW244" i="1"/>
  <c r="AX244" i="1"/>
  <c r="AW213" i="1"/>
  <c r="AX213" i="1"/>
  <c r="AW215" i="1"/>
  <c r="AX215" i="1"/>
  <c r="AW178" i="1"/>
  <c r="AX178" i="1"/>
  <c r="AX247" i="1"/>
  <c r="AW247" i="1"/>
  <c r="AW130" i="1"/>
  <c r="AX130" i="1"/>
  <c r="AW209" i="1"/>
  <c r="AX209" i="1"/>
  <c r="AW115" i="1"/>
  <c r="AX115" i="1"/>
  <c r="AW170" i="1"/>
  <c r="AX170" i="1"/>
  <c r="AW417" i="1"/>
  <c r="AX417" i="1"/>
  <c r="AW421" i="1"/>
  <c r="AX421" i="1"/>
  <c r="AW74" i="1"/>
  <c r="AX74" i="1"/>
  <c r="AW240" i="1"/>
  <c r="AX240" i="1"/>
  <c r="AX146" i="1"/>
  <c r="AW146" i="1"/>
  <c r="AW63" i="1"/>
  <c r="AX63" i="1"/>
  <c r="AW217" i="1"/>
  <c r="AX217" i="1"/>
  <c r="AX94" i="1"/>
  <c r="AW94" i="1"/>
  <c r="AW420" i="1"/>
  <c r="AX420" i="1"/>
  <c r="AW6" i="1"/>
  <c r="AX6" i="1"/>
  <c r="AK922" i="1"/>
  <c r="AI922" i="1"/>
  <c r="AI923" i="1"/>
  <c r="A924" i="1"/>
  <c r="A925" i="1"/>
  <c r="AK923" i="1"/>
  <c r="AJ925" i="1"/>
  <c r="D925" i="1"/>
  <c r="AJ924" i="1"/>
  <c r="D924" i="1"/>
  <c r="AE916" i="1"/>
  <c r="AF916" i="1"/>
  <c r="AF917" i="1"/>
  <c r="AE917" i="1"/>
  <c r="AE909" i="1"/>
  <c r="AE908" i="1"/>
  <c r="AF908" i="1"/>
  <c r="AE911" i="1"/>
  <c r="AF909" i="1"/>
  <c r="AF910" i="1"/>
  <c r="AE910" i="1"/>
  <c r="AF911" i="1"/>
  <c r="AF901" i="1"/>
  <c r="AF902" i="1"/>
  <c r="AE903" i="1"/>
  <c r="AE904" i="1"/>
  <c r="AF905" i="1"/>
  <c r="AE905" i="1"/>
  <c r="AE901" i="1"/>
  <c r="AE902" i="1"/>
  <c r="AF903" i="1"/>
  <c r="AF904" i="1"/>
  <c r="AF886" i="1"/>
  <c r="AE886" i="1"/>
  <c r="AF885" i="1"/>
  <c r="AE887" i="1"/>
  <c r="AE885" i="1"/>
  <c r="AF887" i="1"/>
  <c r="AE881" i="1"/>
  <c r="AF880" i="1"/>
  <c r="AE883" i="1"/>
  <c r="AF883" i="1"/>
  <c r="AE880" i="1"/>
  <c r="AF881" i="1"/>
  <c r="AF882" i="1"/>
  <c r="AE882" i="1"/>
  <c r="AF878" i="1"/>
  <c r="AE878" i="1"/>
  <c r="AE854" i="1"/>
  <c r="AF854" i="1"/>
  <c r="AE856" i="1"/>
  <c r="AF855" i="1"/>
  <c r="AE855" i="1"/>
  <c r="AF856" i="1"/>
  <c r="AF848" i="1"/>
  <c r="AF851" i="1"/>
  <c r="AE850" i="1"/>
  <c r="AF852" i="1"/>
  <c r="AE848" i="1"/>
  <c r="AE851" i="1"/>
  <c r="AF850" i="1"/>
  <c r="AE852" i="1"/>
  <c r="AF845" i="1"/>
  <c r="AE845" i="1"/>
  <c r="AE846" i="1"/>
  <c r="AF836" i="1"/>
  <c r="AE386" i="1"/>
  <c r="AE381" i="1"/>
  <c r="AF84" i="1"/>
  <c r="AF333" i="1"/>
  <c r="AF446" i="1"/>
  <c r="AF90" i="1"/>
  <c r="AF216" i="1"/>
  <c r="AE131" i="1"/>
  <c r="AF717" i="1"/>
  <c r="AE635" i="1"/>
  <c r="AE836" i="1"/>
  <c r="AF107" i="1"/>
  <c r="AE468" i="1"/>
  <c r="AF653" i="1"/>
  <c r="AE308" i="1"/>
  <c r="AE8" i="1"/>
  <c r="AE790" i="1"/>
  <c r="AF727" i="1"/>
  <c r="AF239" i="1"/>
  <c r="AF438" i="1"/>
  <c r="AE636" i="1"/>
  <c r="AE464" i="1"/>
  <c r="AF148" i="1"/>
  <c r="AE4" i="1"/>
  <c r="AE319" i="1"/>
  <c r="AE793" i="1"/>
  <c r="AF161" i="1"/>
  <c r="AF647" i="1"/>
  <c r="AE527" i="1"/>
  <c r="AE19" i="1"/>
  <c r="AE580" i="1"/>
  <c r="AE834" i="1"/>
  <c r="AE265" i="1"/>
  <c r="AF353" i="1"/>
  <c r="AF113" i="1"/>
  <c r="AF247" i="1"/>
  <c r="AE268" i="1"/>
  <c r="AE696" i="1"/>
  <c r="AE406" i="1"/>
  <c r="AF608" i="1"/>
  <c r="AF296" i="1"/>
  <c r="AE98" i="1"/>
  <c r="AE259" i="1"/>
  <c r="AE539" i="1"/>
  <c r="AE254" i="1"/>
  <c r="AF805" i="1"/>
  <c r="AE801" i="1"/>
  <c r="AE725" i="1"/>
  <c r="AE717" i="1"/>
  <c r="AE764" i="1"/>
  <c r="AF85" i="1"/>
  <c r="AE342" i="1"/>
  <c r="AF542" i="1"/>
  <c r="AF791" i="1"/>
  <c r="AF610" i="1"/>
  <c r="AE173" i="1"/>
  <c r="AE306" i="1"/>
  <c r="AE467" i="1"/>
  <c r="AE237" i="1"/>
  <c r="AF571" i="1"/>
  <c r="AF242" i="1"/>
  <c r="AF637" i="1"/>
  <c r="AF596" i="1"/>
  <c r="AE286" i="1"/>
  <c r="AF633" i="1"/>
  <c r="AF289" i="1"/>
  <c r="AF700" i="1"/>
  <c r="AE762" i="1"/>
  <c r="AF511" i="1"/>
  <c r="AF636" i="1"/>
  <c r="AE570" i="1"/>
  <c r="AF758" i="1"/>
  <c r="AE251" i="1"/>
  <c r="AE134" i="1"/>
  <c r="AF134" i="1"/>
  <c r="AE267" i="1"/>
  <c r="AE266" i="1"/>
  <c r="AE212" i="1"/>
  <c r="AE652" i="1"/>
  <c r="AF38" i="1"/>
  <c r="AF701" i="1"/>
  <c r="AF301" i="1"/>
  <c r="AF657" i="1"/>
  <c r="AF489" i="1"/>
  <c r="AF537" i="1"/>
  <c r="AE587" i="1"/>
  <c r="AF83" i="1"/>
  <c r="AF72" i="1"/>
  <c r="AF808" i="1"/>
  <c r="AE17" i="1"/>
  <c r="AF427" i="1"/>
  <c r="AE779" i="1"/>
  <c r="AF392" i="1"/>
  <c r="AE81" i="1"/>
  <c r="AE270" i="1"/>
  <c r="AF799" i="1"/>
  <c r="AF746" i="1"/>
  <c r="AE11" i="1"/>
  <c r="AE63" i="1"/>
  <c r="AE583" i="1"/>
  <c r="AE49" i="1"/>
  <c r="AE419" i="1"/>
  <c r="AE221" i="1"/>
  <c r="AE395" i="1"/>
  <c r="AE429" i="1"/>
  <c r="AE238" i="1"/>
  <c r="AE20" i="1"/>
  <c r="AF437" i="1"/>
  <c r="AF694" i="1"/>
  <c r="AF455" i="1"/>
  <c r="AF624" i="1"/>
  <c r="AE737" i="1"/>
  <c r="AF57" i="1"/>
  <c r="AE27" i="1"/>
  <c r="AE84" i="1"/>
  <c r="AE425" i="1"/>
  <c r="AE185" i="1"/>
  <c r="AE219" i="1"/>
  <c r="AE285" i="1"/>
  <c r="AF488" i="1"/>
  <c r="AE72" i="1"/>
  <c r="AE688" i="1"/>
  <c r="AF351" i="1"/>
  <c r="AE107" i="1"/>
  <c r="AF399" i="1"/>
  <c r="AE137" i="1"/>
  <c r="AE753" i="1"/>
  <c r="AE177" i="1"/>
  <c r="AF377" i="1"/>
  <c r="AF189" i="1"/>
  <c r="AF794" i="1"/>
  <c r="AE806" i="1"/>
  <c r="AF142" i="1"/>
  <c r="AF684" i="1"/>
  <c r="AF370" i="1"/>
  <c r="AE28" i="1"/>
  <c r="AF480" i="1"/>
  <c r="AF117" i="1"/>
  <c r="AF764" i="1"/>
  <c r="AF173" i="1"/>
  <c r="AF780" i="1"/>
  <c r="AF474" i="1"/>
  <c r="AE60" i="1"/>
  <c r="AE220" i="1"/>
  <c r="AF634" i="1"/>
  <c r="AE742" i="1"/>
  <c r="AE780" i="1"/>
  <c r="AE138" i="1"/>
  <c r="AF358" i="1"/>
  <c r="AF681" i="1"/>
  <c r="AF192" i="1"/>
  <c r="AF139" i="1"/>
  <c r="AF807" i="1"/>
  <c r="AF179" i="1"/>
  <c r="AF159" i="1"/>
  <c r="AF528" i="1"/>
  <c r="AF144" i="1"/>
  <c r="AE423" i="1"/>
  <c r="AE533" i="1"/>
  <c r="AE10" i="1"/>
  <c r="AF359" i="1"/>
  <c r="AF265" i="1"/>
  <c r="AF660" i="1"/>
  <c r="AF725" i="1"/>
  <c r="AE612" i="1"/>
  <c r="AE250" i="1"/>
  <c r="AE345" i="1"/>
  <c r="AF212" i="1"/>
  <c r="AF505" i="1"/>
  <c r="AE722" i="1"/>
  <c r="AE474" i="1"/>
  <c r="AF266" i="1"/>
  <c r="AE318" i="1"/>
  <c r="AE625" i="1"/>
  <c r="AE99" i="1"/>
  <c r="AE277" i="1"/>
  <c r="AF609" i="1"/>
  <c r="AE420" i="1"/>
  <c r="AE453" i="1"/>
  <c r="AE225" i="1"/>
  <c r="AF81" i="1"/>
  <c r="AE21" i="1"/>
  <c r="AF396" i="1"/>
  <c r="AE152" i="1"/>
  <c r="AE86" i="1"/>
  <c r="AF35" i="1"/>
  <c r="AF749" i="1"/>
  <c r="AF801" i="1"/>
  <c r="AF78" i="1"/>
  <c r="AF312" i="1"/>
  <c r="AF788" i="1"/>
  <c r="AE460" i="1"/>
  <c r="AE619" i="1"/>
  <c r="AE677" i="1"/>
  <c r="AE153" i="1"/>
  <c r="AF42" i="1"/>
  <c r="AE492" i="1"/>
  <c r="AF214" i="1"/>
  <c r="AE531" i="1"/>
  <c r="AE126" i="1"/>
  <c r="AE796" i="1"/>
  <c r="AE746" i="1"/>
  <c r="AE732" i="1"/>
  <c r="AE50" i="1"/>
  <c r="AF46" i="1"/>
  <c r="AF429" i="1"/>
  <c r="AE551" i="1"/>
  <c r="AE198" i="1"/>
  <c r="AF583" i="1"/>
  <c r="AE609" i="1"/>
  <c r="AF420" i="1"/>
  <c r="AE175" i="1"/>
  <c r="AF60" i="1"/>
  <c r="AF722" i="1"/>
  <c r="AF105" i="1"/>
  <c r="AF621" i="1"/>
  <c r="AE710" i="1"/>
  <c r="AF846" i="1"/>
  <c r="AF797" i="1"/>
  <c r="AE338" i="1"/>
  <c r="AE807" i="1"/>
  <c r="AF5" i="1"/>
  <c r="AF322" i="1"/>
  <c r="AE574" i="1"/>
  <c r="AF388" i="1"/>
  <c r="AF697" i="1"/>
  <c r="AF786" i="1"/>
  <c r="AF547" i="1"/>
  <c r="AF582" i="1"/>
  <c r="AE791" i="1"/>
  <c r="AF467" i="1"/>
  <c r="AF645" i="1"/>
  <c r="AF96" i="1"/>
  <c r="AE74" i="1"/>
  <c r="AE379" i="1"/>
  <c r="AF220" i="1"/>
  <c r="AE226" i="1"/>
  <c r="AE52" i="1"/>
  <c r="AF332" i="1"/>
  <c r="AE521" i="1"/>
  <c r="AE443" i="1"/>
  <c r="AF131" i="1"/>
  <c r="AE803" i="1"/>
  <c r="AE805" i="1"/>
  <c r="AE224" i="1"/>
  <c r="AF356" i="1"/>
  <c r="AE48" i="1"/>
  <c r="AE471" i="1"/>
  <c r="AE44" i="1"/>
  <c r="AE665" i="1"/>
  <c r="AF806" i="1"/>
  <c r="AF92" i="1"/>
  <c r="AF442" i="1"/>
  <c r="AE38" i="1"/>
  <c r="AF518" i="1"/>
  <c r="AF398" i="1"/>
  <c r="AF151" i="1"/>
  <c r="AE367" i="1"/>
  <c r="AF21" i="1"/>
  <c r="AE79" i="1"/>
  <c r="AF581" i="1"/>
  <c r="AF393" i="1"/>
  <c r="AF273" i="1"/>
  <c r="AF299" i="1"/>
  <c r="AF507" i="1"/>
  <c r="AE797" i="1"/>
  <c r="AE697" i="1"/>
  <c r="AF314" i="1"/>
  <c r="AF416" i="1"/>
  <c r="AF17" i="1"/>
  <c r="AF496" i="1"/>
  <c r="AF514" i="1"/>
  <c r="AF255" i="1"/>
  <c r="AE87" i="1"/>
  <c r="AF785" i="1"/>
  <c r="AE294" i="1"/>
  <c r="AF504" i="1"/>
  <c r="AF646" i="1"/>
  <c r="AE563" i="1"/>
  <c r="AF99" i="1"/>
  <c r="AE296" i="1"/>
  <c r="AF331" i="1"/>
  <c r="AF98" i="1"/>
  <c r="AE514" i="1"/>
  <c r="AE416" i="1"/>
  <c r="AF426" i="1"/>
  <c r="AF679" i="1"/>
  <c r="AF30" i="1"/>
  <c r="AF27" i="1"/>
  <c r="AF319" i="1"/>
  <c r="AE139" i="1"/>
  <c r="AE293" i="1"/>
  <c r="AF428" i="1"/>
  <c r="AF400" i="1"/>
  <c r="AE64" i="1"/>
  <c r="AF160" i="1"/>
  <c r="AF471" i="1"/>
  <c r="AE325" i="1"/>
  <c r="AE106" i="1"/>
  <c r="AF519" i="1"/>
  <c r="AF678" i="1"/>
  <c r="AF433" i="1"/>
  <c r="AF584" i="1"/>
  <c r="AF462" i="1"/>
  <c r="AF272" i="1"/>
  <c r="AF523" i="1"/>
  <c r="AF796" i="1"/>
  <c r="AF795" i="1"/>
  <c r="AE12" i="1"/>
  <c r="AF404" i="1"/>
  <c r="AE34" i="1"/>
  <c r="AF373" i="1"/>
  <c r="AE67" i="1"/>
  <c r="AE835" i="1"/>
  <c r="AE480" i="1"/>
  <c r="AE586" i="1"/>
  <c r="AF34" i="1"/>
  <c r="AE711" i="1"/>
  <c r="AE692" i="1"/>
  <c r="AF195" i="1"/>
  <c r="AE56" i="1"/>
  <c r="AF119" i="1"/>
  <c r="AF630" i="1"/>
  <c r="AF753" i="1"/>
  <c r="AE209" i="1"/>
  <c r="AF143" i="1"/>
  <c r="AE631" i="1"/>
  <c r="AF56" i="1"/>
  <c r="AE300" i="1"/>
  <c r="AF375" i="1"/>
  <c r="AF655" i="1"/>
  <c r="AF586" i="1"/>
  <c r="AE616" i="1"/>
  <c r="AE333" i="1"/>
  <c r="AE505" i="1"/>
  <c r="AF804" i="1"/>
  <c r="AF551" i="1"/>
  <c r="AE568" i="1"/>
  <c r="AF11" i="1"/>
  <c r="AE361" i="1"/>
  <c r="AF546" i="1"/>
  <c r="AE24" i="1"/>
  <c r="AF403" i="1"/>
  <c r="AF477" i="1"/>
  <c r="AF509" i="1"/>
  <c r="AE532" i="1"/>
  <c r="AE227" i="1"/>
  <c r="AF138" i="1"/>
  <c r="AF557" i="1"/>
  <c r="AE634" i="1"/>
  <c r="AF535" i="1"/>
  <c r="AF567" i="1"/>
  <c r="AE408" i="1"/>
  <c r="AF628" i="1"/>
  <c r="AF626" i="1"/>
  <c r="AF470" i="1"/>
  <c r="AF834" i="1"/>
  <c r="AE544" i="1"/>
  <c r="AF568" i="1"/>
  <c r="AF213" i="1"/>
  <c r="AE451" i="1"/>
  <c r="AE101" i="1"/>
  <c r="AE786" i="1"/>
  <c r="AF566" i="1"/>
  <c r="AE380" i="1"/>
  <c r="AF261" i="1"/>
  <c r="AE600" i="1"/>
  <c r="AE589" i="1"/>
  <c r="AF120" i="1"/>
  <c r="AF423" i="1"/>
  <c r="AF793" i="1"/>
  <c r="AE794" i="1"/>
  <c r="AE349" i="1"/>
  <c r="AF54" i="1"/>
  <c r="AF19" i="1"/>
  <c r="AE311" i="1"/>
  <c r="AF349" i="1"/>
  <c r="AE230" i="1"/>
  <c r="AE470" i="1"/>
  <c r="AF408" i="1"/>
  <c r="AE45" i="1"/>
  <c r="AE383" i="1"/>
  <c r="AE158" i="1"/>
  <c r="AE42" i="1"/>
  <c r="AF103" i="1"/>
  <c r="AF140" i="1"/>
  <c r="AE174" i="1"/>
  <c r="AF291" i="1"/>
  <c r="AE7" i="1"/>
  <c r="AE156" i="1"/>
  <c r="AF175" i="1"/>
  <c r="AE59" i="1"/>
  <c r="AF740" i="1"/>
  <c r="AE136" i="1"/>
  <c r="AE117" i="1"/>
  <c r="AF79" i="1"/>
  <c r="AE127" i="1"/>
  <c r="AE261" i="1"/>
  <c r="AE160" i="1"/>
  <c r="AF327" i="1"/>
  <c r="AE239" i="1"/>
  <c r="AE716" i="1"/>
  <c r="AF642" i="1"/>
  <c r="AE603" i="1"/>
  <c r="AE260" i="1"/>
  <c r="AE808" i="1"/>
  <c r="AE642" i="1"/>
  <c r="AE298" i="1"/>
  <c r="AE39" i="1"/>
  <c r="AE795" i="1"/>
  <c r="AE662" i="1"/>
  <c r="AF441" i="1"/>
  <c r="AF218" i="1"/>
  <c r="AE244" i="1"/>
  <c r="AF282" i="1"/>
  <c r="AE799" i="1"/>
  <c r="AF559" i="1"/>
  <c r="AF659" i="1"/>
  <c r="AF401" i="1"/>
  <c r="AE431" i="1"/>
  <c r="AE473" i="1"/>
  <c r="AF617" i="1"/>
  <c r="AE6" i="1"/>
  <c r="AE765" i="1"/>
  <c r="AF469" i="1"/>
  <c r="AF397" i="1"/>
  <c r="AE758" i="1"/>
  <c r="AF671" i="1"/>
  <c r="AF774" i="1"/>
  <c r="AF385" i="1"/>
  <c r="AE73" i="1"/>
  <c r="AF238" i="1"/>
  <c r="AF325" i="1"/>
  <c r="AF524" i="1"/>
  <c r="AE504" i="1"/>
  <c r="AF249" i="1"/>
  <c r="AF627" i="1"/>
  <c r="AF439" i="1"/>
  <c r="AE639" i="1"/>
  <c r="AF744" i="1"/>
  <c r="AF556" i="1"/>
  <c r="AE307" i="1"/>
  <c r="AF821" i="1"/>
  <c r="AE388" i="1"/>
  <c r="AF200" i="1"/>
  <c r="AE530" i="1"/>
  <c r="AF512" i="1"/>
  <c r="AE498" i="1"/>
  <c r="AF817" i="1"/>
  <c r="AE399" i="1"/>
  <c r="AE450" i="1"/>
  <c r="AF765" i="1"/>
  <c r="AE162" i="1"/>
  <c r="AF114" i="1"/>
  <c r="AE671" i="1"/>
  <c r="AE233" i="1"/>
  <c r="AE750" i="1"/>
  <c r="AE119" i="1"/>
  <c r="AE448" i="1"/>
  <c r="AE729" i="1"/>
  <c r="AF729" i="1"/>
  <c r="AE404" i="1"/>
  <c r="AF696" i="1"/>
  <c r="AF100" i="1"/>
  <c r="AE547" i="1"/>
  <c r="AE69" i="1"/>
  <c r="AF666" i="1"/>
  <c r="AE282" i="1"/>
  <c r="AF298" i="1"/>
  <c r="AF750" i="1"/>
  <c r="AF152" i="1"/>
  <c r="AF611" i="1"/>
  <c r="AE706" i="1"/>
  <c r="AE41" i="1"/>
  <c r="AF555" i="1"/>
  <c r="AF300" i="1"/>
  <c r="AF49" i="1"/>
  <c r="AE516" i="1"/>
  <c r="AF170" i="1"/>
  <c r="AF536" i="1"/>
  <c r="AF458" i="1"/>
  <c r="AE496" i="1"/>
  <c r="AF384" i="1"/>
  <c r="AE287" i="1"/>
  <c r="AE228" i="1"/>
  <c r="AF425" i="1"/>
  <c r="AF293" i="1"/>
  <c r="AF313" i="1"/>
  <c r="AE434" i="1"/>
  <c r="AF145" i="1"/>
  <c r="AF360" i="1"/>
  <c r="AE719" i="1"/>
  <c r="AF185" i="1"/>
  <c r="AF490" i="1"/>
  <c r="AF128" i="1"/>
  <c r="AE674" i="1"/>
  <c r="AF554" i="1"/>
  <c r="AE550" i="1"/>
  <c r="AE648" i="1"/>
  <c r="AF549" i="1"/>
  <c r="AF494" i="1"/>
  <c r="AF199" i="1"/>
  <c r="AF147" i="1"/>
  <c r="AF177" i="1"/>
  <c r="AF15" i="1"/>
  <c r="AE411" i="1"/>
  <c r="AE615" i="1"/>
  <c r="AE772" i="1"/>
  <c r="AF186" i="1"/>
  <c r="AE25" i="1"/>
  <c r="AE5" i="1"/>
  <c r="AF544" i="1"/>
  <c r="AF552" i="1"/>
  <c r="AE120" i="1"/>
  <c r="AE509" i="1"/>
  <c r="AE164" i="1"/>
  <c r="AE377" i="1"/>
  <c r="AE637" i="1"/>
  <c r="AF782" i="1"/>
  <c r="AE819" i="1"/>
  <c r="AE341" i="1"/>
  <c r="AE257" i="1"/>
  <c r="AF708" i="1"/>
  <c r="AE142" i="1"/>
  <c r="AE327" i="1"/>
  <c r="AE818" i="1"/>
  <c r="AE332" i="1"/>
  <c r="AE213" i="1"/>
  <c r="AE88" i="1"/>
  <c r="AE558" i="1"/>
  <c r="AE438" i="1"/>
  <c r="AF281" i="1"/>
  <c r="AF550" i="1"/>
  <c r="AE125" i="1"/>
  <c r="AE630" i="1"/>
  <c r="AE506" i="1"/>
  <c r="AE135" i="1"/>
  <c r="AE727" i="1"/>
  <c r="AF389" i="1"/>
  <c r="AE657" i="1"/>
  <c r="AF136" i="1"/>
  <c r="AF37" i="1"/>
  <c r="AE617" i="1"/>
  <c r="AE515" i="1"/>
  <c r="AE767" i="1"/>
  <c r="AF712" i="1"/>
  <c r="AE524" i="1"/>
  <c r="AE264" i="1"/>
  <c r="AF187" i="1"/>
  <c r="AF69" i="1"/>
  <c r="AE157" i="1"/>
  <c r="AE206" i="1"/>
  <c r="AF409" i="1"/>
  <c r="AE130" i="1"/>
  <c r="AE622" i="1"/>
  <c r="AF728" i="1"/>
  <c r="AF50" i="1"/>
  <c r="AE289" i="1"/>
  <c r="AE398" i="1"/>
  <c r="AE179" i="1"/>
  <c r="AF545" i="1"/>
  <c r="AE523" i="1"/>
  <c r="AE111" i="1"/>
  <c r="AE199" i="1"/>
  <c r="AE608" i="1"/>
  <c r="AE686" i="1"/>
  <c r="AF686" i="1"/>
  <c r="AE320" i="1"/>
  <c r="AF288" i="1"/>
  <c r="AF688" i="1"/>
  <c r="AE83" i="1"/>
  <c r="AE676" i="1"/>
  <c r="AF456" i="1"/>
  <c r="AE75" i="1"/>
  <c r="AE400" i="1"/>
  <c r="AE362" i="1"/>
  <c r="AF390" i="1"/>
  <c r="AF483" i="1"/>
  <c r="AE826" i="1"/>
  <c r="AF240" i="1"/>
  <c r="AF448" i="1"/>
  <c r="AF714" i="1"/>
  <c r="AE488" i="1"/>
  <c r="AF516" i="1"/>
  <c r="AE814" i="1"/>
  <c r="AF652" i="1"/>
  <c r="AF320" i="1"/>
  <c r="AE650" i="1"/>
  <c r="AF26" i="1"/>
  <c r="AE114" i="1"/>
  <c r="AE663" i="1"/>
  <c r="AE721" i="1"/>
  <c r="AE124" i="1"/>
  <c r="AE599" i="1"/>
  <c r="AE507" i="1"/>
  <c r="AE588" i="1"/>
  <c r="AF445" i="1"/>
  <c r="AE123" i="1"/>
  <c r="AE316" i="1"/>
  <c r="AF106" i="1"/>
  <c r="AF77" i="1"/>
  <c r="AE144" i="1"/>
  <c r="AF600" i="1"/>
  <c r="AE343" i="1"/>
  <c r="AE105" i="1"/>
  <c r="AF198" i="1"/>
  <c r="AF739" i="1"/>
  <c r="AF485" i="1"/>
  <c r="AF435" i="1"/>
  <c r="AE397" i="1"/>
  <c r="AE500" i="1"/>
  <c r="AF500" i="1"/>
  <c r="AF677" i="1"/>
  <c r="AF225" i="1"/>
  <c r="AE704" i="1"/>
  <c r="AF44" i="1"/>
  <c r="AE263" i="1"/>
  <c r="AE365" i="1"/>
  <c r="AE567" i="1"/>
  <c r="AF125" i="1"/>
  <c r="AE196" i="1"/>
  <c r="AF150" i="1"/>
  <c r="AE3" i="1"/>
  <c r="AE559" i="1"/>
  <c r="AE427" i="1"/>
  <c r="AE699" i="1"/>
  <c r="AF541" i="1"/>
  <c r="AE445" i="1"/>
  <c r="AF80" i="1"/>
  <c r="AF18" i="1"/>
  <c r="AE414" i="1"/>
  <c r="AE331" i="1"/>
  <c r="AE740" i="1"/>
  <c r="AF330" i="1"/>
  <c r="AE783" i="1"/>
  <c r="AF606" i="1"/>
  <c r="AE200" i="1"/>
  <c r="AE371" i="1"/>
  <c r="AE511" i="1"/>
  <c r="AE734" i="1"/>
  <c r="AF141" i="1"/>
  <c r="AE455" i="1"/>
  <c r="AE444" i="1"/>
  <c r="AE770" i="1"/>
  <c r="AE761" i="1"/>
  <c r="AE304" i="1"/>
  <c r="AF638" i="1"/>
  <c r="AE374" i="1"/>
  <c r="AF232" i="1"/>
  <c r="AE456" i="1"/>
  <c r="AE415" i="1"/>
  <c r="AF124" i="1"/>
  <c r="AF222" i="1"/>
  <c r="AE116" i="1"/>
  <c r="AF346" i="1"/>
  <c r="AE664" i="1"/>
  <c r="AE218" i="1"/>
  <c r="AF64" i="1"/>
  <c r="AF270" i="1"/>
  <c r="AE255" i="1"/>
  <c r="AF88" i="1"/>
  <c r="AF772" i="1"/>
  <c r="AE768" i="1"/>
  <c r="AE822" i="1"/>
  <c r="AE680" i="1"/>
  <c r="AE745" i="1"/>
  <c r="AE189" i="1"/>
  <c r="AE187" i="1"/>
  <c r="AE489" i="1"/>
  <c r="AE820" i="1"/>
  <c r="AE735" i="1"/>
  <c r="AE481" i="1"/>
  <c r="AE621" i="1"/>
  <c r="AE458" i="1"/>
  <c r="AF665" i="1"/>
  <c r="AE271" i="1"/>
  <c r="AF522" i="1"/>
  <c r="AE582" i="1"/>
  <c r="AF591" i="1"/>
  <c r="AF65" i="1"/>
  <c r="AE172" i="1"/>
  <c r="AE571" i="1"/>
  <c r="AE410" i="1"/>
  <c r="AF667" i="1"/>
  <c r="AE310" i="1"/>
  <c r="AE246" i="1"/>
  <c r="AE351" i="1"/>
  <c r="AF13" i="1"/>
  <c r="AE774" i="1"/>
  <c r="AF767" i="1"/>
  <c r="AE673" i="1"/>
  <c r="AF520" i="1"/>
  <c r="AE402" i="1"/>
  <c r="AE193" i="1"/>
  <c r="AF532" i="1"/>
  <c r="AF95" i="1"/>
  <c r="AE667" i="1"/>
  <c r="AF683" i="1"/>
  <c r="AF460" i="1"/>
  <c r="AE557" i="1"/>
  <c r="AE728" i="1"/>
  <c r="AF305" i="1"/>
  <c r="AF25" i="1"/>
  <c r="AE702" i="1"/>
  <c r="AF773" i="1"/>
  <c r="AF345" i="1"/>
  <c r="AE552" i="1"/>
  <c r="AF167" i="1"/>
  <c r="AF326" i="1"/>
  <c r="AF699" i="1"/>
  <c r="AF221" i="1"/>
  <c r="AF421" i="1"/>
  <c r="AE297" i="1"/>
  <c r="AE113" i="1"/>
  <c r="AF367" i="1"/>
  <c r="AF668" i="1"/>
  <c r="AF376" i="1"/>
  <c r="AF253" i="1"/>
  <c r="AE65" i="1"/>
  <c r="AF395" i="1"/>
  <c r="AE15" i="1"/>
  <c r="AF62" i="1"/>
  <c r="AE57" i="1"/>
  <c r="AF157" i="1"/>
  <c r="AE705" i="1"/>
  <c r="AF407" i="1"/>
  <c r="AE205" i="1"/>
  <c r="AE378" i="1"/>
  <c r="AF736" i="1"/>
  <c r="AF595" i="1"/>
  <c r="AE323" i="1"/>
  <c r="AF55" i="1"/>
  <c r="AF570" i="1"/>
  <c r="AF406" i="1"/>
  <c r="AF87" i="1"/>
  <c r="AE446" i="1"/>
  <c r="AF756" i="1"/>
  <c r="AE627" i="1"/>
  <c r="AF414" i="1"/>
  <c r="AE366" i="1"/>
  <c r="AF263" i="1"/>
  <c r="AF464" i="1"/>
  <c r="AE283" i="1"/>
  <c r="AF236" i="1"/>
  <c r="AE80" i="1"/>
  <c r="AF498" i="1"/>
  <c r="AE681" i="1"/>
  <c r="AF207" i="1"/>
  <c r="AF206" i="1"/>
  <c r="AE241" i="1"/>
  <c r="AF754" i="1"/>
  <c r="AE689" i="1"/>
  <c r="AF365" i="1"/>
  <c r="AF184" i="1"/>
  <c r="AE76" i="1"/>
  <c r="AF41" i="1"/>
  <c r="AE519" i="1"/>
  <c r="AF180" i="1"/>
  <c r="AE503" i="1"/>
  <c r="AE744" i="1"/>
  <c r="AF285" i="1"/>
  <c r="AF454" i="1"/>
  <c r="AF769" i="1"/>
  <c r="AF820" i="1"/>
  <c r="AE573" i="1"/>
  <c r="AF347" i="1"/>
  <c r="AF734" i="1"/>
  <c r="AF761" i="1"/>
  <c r="AF308" i="1"/>
  <c r="AE186" i="1"/>
  <c r="AF254" i="1"/>
  <c r="AE549" i="1"/>
  <c r="AE129" i="1"/>
  <c r="AF337" i="1"/>
  <c r="AF468" i="1"/>
  <c r="AE336" i="1"/>
  <c r="AF45" i="1"/>
  <c r="AE459" i="1"/>
  <c r="AF689" i="1"/>
  <c r="AF260" i="1"/>
  <c r="AF674" i="1"/>
  <c r="AF174" i="1"/>
  <c r="AE756" i="1"/>
  <c r="AE463" i="1"/>
  <c r="AE412" i="1"/>
  <c r="AF562" i="1"/>
  <c r="AE195" i="1"/>
  <c r="AF604" i="1"/>
  <c r="AE466" i="1"/>
  <c r="AE694" i="1"/>
  <c r="AE252" i="1"/>
  <c r="AF486" i="1"/>
  <c r="AE700" i="1"/>
  <c r="AE95" i="1"/>
  <c r="AF122" i="1"/>
  <c r="AF588" i="1"/>
  <c r="AF479" i="1"/>
  <c r="AE313" i="1"/>
  <c r="AF745" i="1"/>
  <c r="AF732" i="1"/>
  <c r="AF639" i="1"/>
  <c r="AF348" i="1"/>
  <c r="AE777" i="1"/>
  <c r="AF776" i="1"/>
  <c r="AF825" i="1"/>
  <c r="AE340" i="1"/>
  <c r="AF742" i="1"/>
  <c r="AF711" i="1"/>
  <c r="AF525" i="1"/>
  <c r="AE334" i="1"/>
  <c r="AE322" i="1"/>
  <c r="AF417" i="1"/>
  <c r="AE560" i="1"/>
  <c r="AF381" i="1"/>
  <c r="AE610" i="1"/>
  <c r="AE346" i="1"/>
  <c r="AF9" i="1"/>
  <c r="AF738" i="1"/>
  <c r="AF415" i="1"/>
  <c r="AE647" i="1"/>
  <c r="AE35" i="1"/>
  <c r="AF783" i="1"/>
  <c r="AE773" i="1"/>
  <c r="AE823" i="1"/>
  <c r="AF539" i="1"/>
  <c r="AE591" i="1"/>
  <c r="AF431" i="1"/>
  <c r="AF12" i="1"/>
  <c r="AE669" i="1"/>
  <c r="AE817" i="1"/>
  <c r="AE838" i="1"/>
  <c r="AF842" i="1"/>
  <c r="AE841" i="1"/>
  <c r="AE477" i="1"/>
  <c r="AF271" i="1"/>
  <c r="AF669" i="1"/>
  <c r="AE584" i="1"/>
  <c r="AE816" i="1"/>
  <c r="AF527" i="1"/>
  <c r="AE54" i="1"/>
  <c r="AF172" i="1"/>
  <c r="AE33" i="1"/>
  <c r="AF163" i="1"/>
  <c r="AE811" i="1"/>
  <c r="AE832" i="1"/>
  <c r="AE604" i="1"/>
  <c r="AF380" i="1"/>
  <c r="AE554" i="1"/>
  <c r="AF130" i="1"/>
  <c r="AE215" i="1"/>
  <c r="AE147" i="1"/>
  <c r="AF224" i="1"/>
  <c r="AE707" i="1"/>
  <c r="AF453" i="1"/>
  <c r="AE46" i="1"/>
  <c r="AF576" i="1"/>
  <c r="AF357" i="1"/>
  <c r="AE55" i="1"/>
  <c r="AE180" i="1"/>
  <c r="AE240" i="1"/>
  <c r="AE232" i="1"/>
  <c r="AF673" i="1"/>
  <c r="AE810" i="1"/>
  <c r="AF832" i="1"/>
  <c r="AE534" i="1"/>
  <c r="AF74" i="1"/>
  <c r="AF704" i="1"/>
  <c r="AE769" i="1"/>
  <c r="AE128" i="1"/>
  <c r="AF822" i="1"/>
  <c r="AE842" i="1"/>
  <c r="AE843" i="1"/>
  <c r="AE840" i="1"/>
  <c r="AF502" i="1"/>
  <c r="AE85" i="1"/>
  <c r="AF444" i="1"/>
  <c r="AF86" i="1"/>
  <c r="AF304" i="1"/>
  <c r="AE541" i="1"/>
  <c r="AF48" i="1"/>
  <c r="AE108" i="1"/>
  <c r="AE785" i="1"/>
  <c r="AE288" i="1"/>
  <c r="AF457" i="1"/>
  <c r="AF664" i="1"/>
  <c r="AF205" i="1"/>
  <c r="AF759" i="1"/>
  <c r="AE207" i="1"/>
  <c r="AE787" i="1"/>
  <c r="AF123" i="1"/>
  <c r="AE684" i="1"/>
  <c r="AE148" i="1"/>
  <c r="AF153" i="1"/>
  <c r="AF294" i="1"/>
  <c r="AF835" i="1"/>
  <c r="AE486" i="1"/>
  <c r="AF73" i="1"/>
  <c r="AF75" i="1"/>
  <c r="AF219" i="1"/>
  <c r="AF121" i="1"/>
  <c r="AE788" i="1"/>
  <c r="AF622" i="1"/>
  <c r="AE393" i="1"/>
  <c r="AF340" i="1"/>
  <c r="AE528" i="1"/>
  <c r="AE169" i="1"/>
  <c r="AF648" i="1"/>
  <c r="AE804" i="1"/>
  <c r="AE328" i="1"/>
  <c r="AF510" i="1"/>
  <c r="AE93" i="1"/>
  <c r="AE145" i="1"/>
  <c r="AE360" i="1"/>
  <c r="AF803" i="1"/>
  <c r="AE330" i="1"/>
  <c r="AF129" i="1"/>
  <c r="AF676" i="1"/>
  <c r="AF450" i="1"/>
  <c r="AE510" i="1"/>
  <c r="AE439" i="1"/>
  <c r="AF790" i="1"/>
  <c r="AE442" i="1"/>
  <c r="AE329" i="1"/>
  <c r="AF643" i="1"/>
  <c r="AF379" i="1"/>
  <c r="AF534" i="1"/>
  <c r="AE47" i="1"/>
  <c r="AF530" i="1"/>
  <c r="AE520" i="1"/>
  <c r="AE231" i="1"/>
  <c r="AF67" i="1"/>
  <c r="AE165" i="1"/>
  <c r="AE782" i="1"/>
  <c r="AF203" i="1"/>
  <c r="AF264" i="1"/>
  <c r="AE208" i="1"/>
  <c r="AE421" i="1"/>
  <c r="AF387" i="1"/>
  <c r="AE192" i="1"/>
  <c r="AE565" i="1"/>
  <c r="AE170" i="1"/>
  <c r="AF102" i="1"/>
  <c r="AF386" i="1"/>
  <c r="AF252" i="1"/>
  <c r="AE203" i="1"/>
  <c r="AE201" i="1"/>
  <c r="AE151" i="1"/>
  <c r="AE666" i="1"/>
  <c r="AE626" i="1"/>
  <c r="AE751" i="1"/>
  <c r="AF531" i="1"/>
  <c r="AE326" i="1"/>
  <c r="AE683" i="1"/>
  <c r="AF814" i="1"/>
  <c r="AE579" i="1"/>
  <c r="AF164" i="1"/>
  <c r="AF748" i="1"/>
  <c r="AE90" i="1"/>
  <c r="AE776" i="1"/>
  <c r="AF768" i="1"/>
  <c r="AF819" i="1"/>
  <c r="AF297" i="1"/>
  <c r="AF680" i="1"/>
  <c r="AF169" i="1"/>
  <c r="AE457" i="1"/>
  <c r="AF603" i="1"/>
  <c r="AF492" i="1"/>
  <c r="AE256" i="1"/>
  <c r="AF165" i="1"/>
  <c r="AF110" i="1"/>
  <c r="AE51" i="1"/>
  <c r="AF515" i="1"/>
  <c r="AF724" i="1"/>
  <c r="AE104" i="1"/>
  <c r="AE299" i="1"/>
  <c r="AE462" i="1"/>
  <c r="AF209" i="1"/>
  <c r="AE355" i="1"/>
  <c r="AE653" i="1"/>
  <c r="AE624" i="1"/>
  <c r="AF329" i="1"/>
  <c r="AF227" i="1"/>
  <c r="AE403" i="1"/>
  <c r="AF40" i="1"/>
  <c r="AF629" i="1"/>
  <c r="AF411" i="1"/>
  <c r="AE167" i="1"/>
  <c r="AF4" i="1"/>
  <c r="AF473" i="1"/>
  <c r="AE601" i="1"/>
  <c r="AE494" i="1"/>
  <c r="AF731" i="1"/>
  <c r="AE61" i="1"/>
  <c r="AF257" i="1"/>
  <c r="AF307" i="1"/>
  <c r="AE376" i="1"/>
  <c r="AF787" i="1"/>
  <c r="AF779" i="1"/>
  <c r="AF154" i="1"/>
  <c r="AE407" i="1"/>
  <c r="AE435" i="1"/>
  <c r="AF565" i="1"/>
  <c r="AF33" i="1"/>
  <c r="AE578" i="1"/>
  <c r="AF719" i="1"/>
  <c r="AF506" i="1"/>
  <c r="AF402" i="1"/>
  <c r="AE236" i="1"/>
  <c r="AE595" i="1"/>
  <c r="AE714" i="1"/>
  <c r="AE566" i="1"/>
  <c r="AF418" i="1"/>
  <c r="AF133" i="1"/>
  <c r="AF32" i="1"/>
  <c r="AF101" i="1"/>
  <c r="AF578" i="1"/>
  <c r="AE30" i="1"/>
  <c r="AF737" i="1"/>
  <c r="AF336" i="1"/>
  <c r="AF343" i="1"/>
  <c r="AE375" i="1"/>
  <c r="AF28" i="1"/>
  <c r="AF598" i="1"/>
  <c r="AE641" i="1"/>
  <c r="AF640" i="1"/>
  <c r="AF36" i="1"/>
  <c r="AE542" i="1"/>
  <c r="AE291" i="1"/>
  <c r="AF391" i="1"/>
  <c r="AF459" i="1"/>
  <c r="AF823" i="1"/>
  <c r="AE433" i="1"/>
  <c r="AE475" i="1"/>
  <c r="AE490" i="1"/>
  <c r="AE469" i="1"/>
  <c r="AE303" i="1"/>
  <c r="AF810" i="1"/>
  <c r="AF830" i="1"/>
  <c r="AF383" i="1"/>
  <c r="AE483" i="1"/>
  <c r="AF361" i="1"/>
  <c r="AF108" i="1"/>
  <c r="AE37" i="1"/>
  <c r="AE409" i="1"/>
  <c r="AF275" i="1"/>
  <c r="AF751" i="1"/>
  <c r="AF682" i="1"/>
  <c r="AF735" i="1"/>
  <c r="AE143" i="1"/>
  <c r="AF762" i="1"/>
  <c r="AE121" i="1"/>
  <c r="AF461" i="1"/>
  <c r="AF371" i="1"/>
  <c r="AE476" i="1"/>
  <c r="AF560" i="1"/>
  <c r="AF590" i="1"/>
  <c r="AF323" i="1"/>
  <c r="AE253" i="1"/>
  <c r="AE426" i="1"/>
  <c r="AE146" i="1"/>
  <c r="AE32" i="1"/>
  <c r="AF127" i="1"/>
  <c r="AE485" i="1"/>
  <c r="AE562" i="1"/>
  <c r="AF597" i="1"/>
  <c r="AE62" i="1"/>
  <c r="AE385" i="1"/>
  <c r="AF641" i="1"/>
  <c r="AF579" i="1"/>
  <c r="AF208" i="1"/>
  <c r="AF29" i="1"/>
  <c r="AF230" i="1"/>
  <c r="AF91" i="1"/>
  <c r="AE14" i="1"/>
  <c r="AF146" i="1"/>
  <c r="AE731" i="1"/>
  <c r="AE364" i="1"/>
  <c r="AE337" i="1"/>
  <c r="AE301" i="1"/>
  <c r="AE708" i="1"/>
  <c r="AE357" i="1"/>
  <c r="AE392" i="1"/>
  <c r="AE140" i="1"/>
  <c r="AF593" i="1"/>
  <c r="AF705" i="1"/>
  <c r="AF306" i="1"/>
  <c r="AF94" i="1"/>
  <c r="AF310" i="1"/>
  <c r="AF614" i="1"/>
  <c r="AF812" i="1"/>
  <c r="AE829" i="1"/>
  <c r="AE593" i="1"/>
  <c r="AE620" i="1"/>
  <c r="AF334" i="1"/>
  <c r="AF23" i="1"/>
  <c r="AF355" i="1"/>
  <c r="AE821" i="1"/>
  <c r="AE77" i="1"/>
  <c r="AE390" i="1"/>
  <c r="AF158" i="1"/>
  <c r="AF311" i="1"/>
  <c r="AE512" i="1"/>
  <c r="AE682" i="1"/>
  <c r="AE590" i="1"/>
  <c r="AF104" i="1"/>
  <c r="AF620" i="1"/>
  <c r="AF378" i="1"/>
  <c r="AF702" i="1"/>
  <c r="AE522" i="1"/>
  <c r="AE235" i="1"/>
  <c r="AE660" i="1"/>
  <c r="AE546" i="1"/>
  <c r="AE461" i="1"/>
  <c r="AF20" i="1"/>
  <c r="AE389" i="1"/>
  <c r="AE275" i="1"/>
  <c r="AE422" i="1"/>
  <c r="AF267" i="1"/>
  <c r="AF662" i="1"/>
  <c r="AE736" i="1"/>
  <c r="AE184" i="1"/>
  <c r="AF572" i="1"/>
  <c r="AF650" i="1"/>
  <c r="AE214" i="1"/>
  <c r="AF466" i="1"/>
  <c r="AF619" i="1"/>
  <c r="AF241" i="1"/>
  <c r="AF616" i="1"/>
  <c r="AE754" i="1"/>
  <c r="AF631" i="1"/>
  <c r="AE133" i="1"/>
  <c r="AF70" i="1"/>
  <c r="AF434" i="1"/>
  <c r="AF478" i="1"/>
  <c r="AF202" i="1"/>
  <c r="AF235" i="1"/>
  <c r="AF47" i="1"/>
  <c r="AF503" i="1"/>
  <c r="AF625" i="1"/>
  <c r="AE738" i="1"/>
  <c r="AF182" i="1"/>
  <c r="AF316" i="1"/>
  <c r="AE655" i="1"/>
  <c r="AF251" i="1"/>
  <c r="AF268" i="1"/>
  <c r="AF196" i="1"/>
  <c r="AE384" i="1"/>
  <c r="AE359" i="1"/>
  <c r="AE247" i="1"/>
  <c r="AE678" i="1"/>
  <c r="AE66" i="1"/>
  <c r="AF286" i="1"/>
  <c r="AE356" i="1"/>
  <c r="AE26" i="1"/>
  <c r="AF422" i="1"/>
  <c r="AE191" i="1"/>
  <c r="AF229" i="1"/>
  <c r="AF24" i="1"/>
  <c r="AE91" i="1"/>
  <c r="AF563" i="1"/>
  <c r="AE281" i="1"/>
  <c r="AF66" i="1"/>
  <c r="AE122" i="1"/>
  <c r="AF93" i="1"/>
  <c r="AE347" i="1"/>
  <c r="AF364" i="1"/>
  <c r="AF126" i="1"/>
  <c r="AF472" i="1"/>
  <c r="AE712" i="1"/>
  <c r="AE733" i="1"/>
  <c r="AF501" i="1"/>
  <c r="AF691" i="1"/>
  <c r="AE513" i="1"/>
  <c r="AF155" i="1"/>
  <c r="AF816" i="1"/>
  <c r="AE709" i="1"/>
  <c r="AF369" i="1"/>
  <c r="AF63" i="1"/>
  <c r="AE739" i="1"/>
  <c r="AF463" i="1"/>
  <c r="AF777" i="1"/>
  <c r="AE824" i="1"/>
  <c r="AE102" i="1"/>
  <c r="AF7" i="1"/>
  <c r="AE202" i="1"/>
  <c r="AF412" i="1"/>
  <c r="AE525" i="1"/>
  <c r="AF710" i="1"/>
  <c r="AE92" i="1"/>
  <c r="AF259" i="1"/>
  <c r="AE749" i="1"/>
  <c r="AF6" i="1"/>
  <c r="AF287" i="1"/>
  <c r="AE96" i="1"/>
  <c r="AE373" i="1"/>
  <c r="AE229" i="1"/>
  <c r="AF521" i="1"/>
  <c r="AF533" i="1"/>
  <c r="AF481" i="1"/>
  <c r="AF39" i="1"/>
  <c r="AF8" i="1"/>
  <c r="AF3" i="1"/>
  <c r="AE679" i="1"/>
  <c r="AE348" i="1"/>
  <c r="AE628" i="1"/>
  <c r="AF135" i="1"/>
  <c r="AF338" i="1"/>
  <c r="AE640" i="1"/>
  <c r="AE182" i="1"/>
  <c r="AE370" i="1"/>
  <c r="AF709" i="1"/>
  <c r="AF526" i="1"/>
  <c r="AF558" i="1"/>
  <c r="AE545" i="1"/>
  <c r="AF335" i="1"/>
  <c r="AF692" i="1"/>
  <c r="AF770" i="1"/>
  <c r="AF755" i="1"/>
  <c r="AF201" i="1"/>
  <c r="AE691" i="1"/>
  <c r="AE9" i="1"/>
  <c r="AE387" i="1"/>
  <c r="AE572" i="1"/>
  <c r="AF283" i="1"/>
  <c r="AF250" i="1"/>
  <c r="AF246" i="1"/>
  <c r="AF635" i="1"/>
  <c r="AE29" i="1"/>
  <c r="AE100" i="1"/>
  <c r="AF476" i="1"/>
  <c r="AF362" i="1"/>
  <c r="AF318" i="1"/>
  <c r="AE597" i="1"/>
  <c r="AE401" i="1"/>
  <c r="AF303" i="1"/>
  <c r="AF51" i="1"/>
  <c r="AE155" i="1"/>
  <c r="AF612" i="1"/>
  <c r="AE654" i="1"/>
  <c r="AE629" i="1"/>
  <c r="AE314" i="1"/>
  <c r="AF231" i="1"/>
  <c r="AF59" i="1"/>
  <c r="AE646" i="1"/>
  <c r="AE70" i="1"/>
  <c r="AF573" i="1"/>
  <c r="AE611" i="1"/>
  <c r="AE759" i="1"/>
  <c r="AE249" i="1"/>
  <c r="AE536" i="1"/>
  <c r="AE18" i="1"/>
  <c r="AE581" i="1"/>
  <c r="AE437" i="1"/>
  <c r="AF237" i="1"/>
  <c r="AF440" i="1"/>
  <c r="AE428" i="1"/>
  <c r="AE436" i="1"/>
  <c r="AE537" i="1"/>
  <c r="AE478" i="1"/>
  <c r="AE643" i="1"/>
  <c r="AE633" i="1"/>
  <c r="AE154" i="1"/>
  <c r="AF14" i="1"/>
  <c r="AF707" i="1"/>
  <c r="AE638" i="1"/>
  <c r="AE312" i="1"/>
  <c r="AE596" i="1"/>
  <c r="AE418" i="1"/>
  <c r="AF233" i="1"/>
  <c r="AE94" i="1"/>
  <c r="AE670" i="1"/>
  <c r="AF328" i="1"/>
  <c r="AE216" i="1"/>
  <c r="AF663" i="1"/>
  <c r="AF513" i="1"/>
  <c r="AF410" i="1"/>
  <c r="AF10" i="1"/>
  <c r="AE78" i="1"/>
  <c r="AF601" i="1"/>
  <c r="AF716" i="1"/>
  <c r="AF374" i="1"/>
  <c r="AE272" i="1"/>
  <c r="AE161" i="1"/>
  <c r="AF76" i="1"/>
  <c r="AF211" i="1"/>
  <c r="AF475" i="1"/>
  <c r="AE441" i="1"/>
  <c r="AF443" i="1"/>
  <c r="AF580" i="1"/>
  <c r="AF256" i="1"/>
  <c r="AF341" i="1"/>
  <c r="AE211" i="1"/>
  <c r="AF706" i="1"/>
  <c r="AE417" i="1"/>
  <c r="AE23" i="1"/>
  <c r="AF156" i="1"/>
  <c r="AE645" i="1"/>
  <c r="AF733" i="1"/>
  <c r="AF574" i="1"/>
  <c r="AE472" i="1"/>
  <c r="AE555" i="1"/>
  <c r="AF589" i="1"/>
  <c r="AE479" i="1"/>
  <c r="AE668" i="1"/>
  <c r="AE755" i="1"/>
  <c r="AF654" i="1"/>
  <c r="AE353" i="1"/>
  <c r="AF116" i="1"/>
  <c r="AE13" i="1"/>
  <c r="AE827" i="1"/>
  <c r="AF215" i="1"/>
  <c r="AF451" i="1"/>
  <c r="AE454" i="1"/>
  <c r="AF137" i="1"/>
  <c r="AF436" i="1"/>
  <c r="AF818" i="1"/>
  <c r="AF193" i="1"/>
  <c r="AE159" i="1"/>
  <c r="AE518" i="1"/>
  <c r="AF277" i="1"/>
  <c r="AE576" i="1"/>
  <c r="AF615" i="1"/>
  <c r="AF279" i="1"/>
  <c r="AE279" i="1"/>
  <c r="AF342" i="1"/>
  <c r="AE305" i="1"/>
  <c r="AE701" i="1"/>
  <c r="AE556" i="1"/>
  <c r="AE659" i="1"/>
  <c r="AF366" i="1"/>
  <c r="AF61" i="1"/>
  <c r="AF670" i="1"/>
  <c r="AF226" i="1"/>
  <c r="AE724" i="1"/>
  <c r="AF824" i="1"/>
  <c r="AF52" i="1"/>
  <c r="AE103" i="1"/>
  <c r="AE110" i="1"/>
  <c r="AE606" i="1"/>
  <c r="AE502" i="1"/>
  <c r="AE812" i="1"/>
  <c r="AF829" i="1"/>
  <c r="AF841" i="1"/>
  <c r="AF839" i="1"/>
  <c r="AE839" i="1"/>
  <c r="AE335" i="1"/>
  <c r="AE396" i="1"/>
  <c r="AF599" i="1"/>
  <c r="AF811" i="1"/>
  <c r="AE830" i="1"/>
  <c r="AE163" i="1"/>
  <c r="AE369" i="1"/>
  <c r="AF162" i="1"/>
  <c r="AE150" i="1"/>
  <c r="AF721" i="1"/>
  <c r="AF826" i="1"/>
  <c r="AE141" i="1"/>
  <c r="AF561" i="1"/>
  <c r="AF587" i="1"/>
  <c r="AF228" i="1"/>
  <c r="AE748" i="1"/>
  <c r="AE358" i="1"/>
  <c r="AE614" i="1"/>
  <c r="AF191" i="1"/>
  <c r="AE40" i="1"/>
  <c r="AE391" i="1"/>
  <c r="AE526" i="1"/>
  <c r="AE561" i="1"/>
  <c r="AF111" i="1"/>
  <c r="AE501" i="1"/>
  <c r="AE273" i="1"/>
  <c r="AF244" i="1"/>
  <c r="AE440" i="1"/>
  <c r="AE222" i="1"/>
  <c r="AE825" i="1"/>
  <c r="AE598" i="1"/>
  <c r="AE535" i="1"/>
  <c r="AE36" i="1"/>
  <c r="AF419" i="1"/>
  <c r="AE242" i="1"/>
  <c r="AF827" i="1"/>
  <c r="AF843" i="1"/>
  <c r="AF840" i="1"/>
  <c r="AF838" i="1"/>
  <c r="AF861" i="1"/>
  <c r="AE861" i="1"/>
  <c r="AF858" i="1"/>
  <c r="AE858" i="1"/>
  <c r="AE860" i="1"/>
  <c r="AF860" i="1"/>
  <c r="AE859" i="1"/>
  <c r="AF859" i="1"/>
  <c r="AF868" i="1"/>
  <c r="AE868" i="1"/>
  <c r="AF864" i="1"/>
  <c r="AE864" i="1"/>
  <c r="AF865" i="1"/>
  <c r="AE866" i="1"/>
  <c r="AF866" i="1"/>
  <c r="AE865" i="1"/>
  <c r="AE863" i="1"/>
  <c r="AF863" i="1"/>
  <c r="AE872" i="1"/>
  <c r="AE871" i="1"/>
  <c r="AE873" i="1"/>
  <c r="AF873" i="1"/>
  <c r="AF871" i="1"/>
  <c r="AF870" i="1"/>
  <c r="AF872" i="1"/>
  <c r="AE870" i="1"/>
  <c r="AF877" i="1"/>
  <c r="AE875" i="1"/>
  <c r="AE877" i="1"/>
  <c r="AF876" i="1"/>
  <c r="AE876" i="1"/>
  <c r="AF875" i="1"/>
  <c r="AF893" i="1"/>
  <c r="AF890" i="1"/>
  <c r="AE890" i="1"/>
  <c r="AE893" i="1"/>
  <c r="AE892" i="1"/>
  <c r="AF889" i="1"/>
  <c r="AE889" i="1"/>
  <c r="AF892" i="1"/>
  <c r="AE891" i="1"/>
  <c r="AF891" i="1"/>
  <c r="AE896" i="1"/>
  <c r="AF895" i="1"/>
  <c r="AF896" i="1"/>
  <c r="AE895" i="1"/>
  <c r="AF899" i="1"/>
  <c r="AF898" i="1"/>
  <c r="AE899" i="1"/>
  <c r="AE898" i="1"/>
  <c r="AE906" i="1"/>
  <c r="AF906" i="1"/>
  <c r="AE914" i="1"/>
  <c r="AF914" i="1"/>
  <c r="AE913" i="1"/>
  <c r="AF913" i="1"/>
  <c r="AU924" i="1" l="1"/>
  <c r="AL868" i="1"/>
  <c r="B868" i="1" s="1"/>
  <c r="C868" i="1" s="1"/>
  <c r="AL694" i="1"/>
  <c r="B694" i="1" s="1"/>
  <c r="C694" i="1" s="1"/>
  <c r="AL498" i="1"/>
  <c r="B498" i="1" s="1"/>
  <c r="C498" i="1" s="1"/>
  <c r="AL279" i="1"/>
  <c r="B279" i="1" s="1"/>
  <c r="C279" i="1" s="1"/>
  <c r="AL767" i="1"/>
  <c r="B767" i="1" s="1"/>
  <c r="C767" i="1" s="1"/>
  <c r="AL259" i="1"/>
  <c r="B259" i="1" s="1"/>
  <c r="C259" i="1" s="1"/>
  <c r="AL761" i="1"/>
  <c r="B761" i="1" s="1"/>
  <c r="C761" i="1" s="1"/>
  <c r="AL606" i="1"/>
  <c r="B606" i="1" s="1"/>
  <c r="C606" i="1" s="1"/>
  <c r="AL688" i="1"/>
  <c r="B688" i="1" s="1"/>
  <c r="C688" i="1" s="1"/>
  <c r="AL691" i="1"/>
  <c r="B691" i="1" s="1"/>
  <c r="C691" i="1" s="1"/>
  <c r="AL90" i="1"/>
  <c r="B90" i="1" s="1"/>
  <c r="C90" i="1" s="1"/>
  <c r="AL205" i="1"/>
  <c r="B205" i="1" s="1"/>
  <c r="C205" i="1" s="1"/>
  <c r="AL211" i="1"/>
  <c r="B211" i="1" s="1"/>
  <c r="C211" i="1" s="1"/>
  <c r="AL453" i="1"/>
  <c r="B453" i="1" s="1"/>
  <c r="C453" i="1" s="1"/>
  <c r="AL614" i="1"/>
  <c r="B614" i="1" s="1"/>
  <c r="C614" i="1" s="1"/>
  <c r="AL662" i="1"/>
  <c r="B662" i="1" s="1"/>
  <c r="C662" i="1" s="1"/>
  <c r="AL325" i="1"/>
  <c r="B325" i="1" s="1"/>
  <c r="C325" i="1" s="1"/>
  <c r="AL633" i="1"/>
  <c r="B633" i="1" s="1"/>
  <c r="C633" i="1" s="1"/>
  <c r="AL650" i="1"/>
  <c r="B650" i="1" s="1"/>
  <c r="C650" i="1" s="1"/>
  <c r="AL291" i="1"/>
  <c r="B291" i="1" s="1"/>
  <c r="C291" i="1" s="1"/>
  <c r="AL875" i="1"/>
  <c r="B875" i="1" s="1"/>
  <c r="C875" i="1" s="1"/>
  <c r="AL179" i="1"/>
  <c r="B179" i="1" s="1"/>
  <c r="C179" i="1" s="1"/>
  <c r="AL395" i="1"/>
  <c r="B395" i="1" s="1"/>
  <c r="C395" i="1" s="1"/>
  <c r="AL431" i="1"/>
  <c r="B431" i="1" s="1"/>
  <c r="C431" i="1" s="1"/>
  <c r="AL744" i="1"/>
  <c r="B744" i="1" s="1"/>
  <c r="C744" i="1" s="1"/>
  <c r="AL116" i="1"/>
  <c r="B116" i="1" s="1"/>
  <c r="C116" i="1" s="1"/>
  <c r="AL608" i="1"/>
  <c r="B608" i="1" s="1"/>
  <c r="C608" i="1" s="1"/>
  <c r="AL182" i="1"/>
  <c r="B182" i="1" s="1"/>
  <c r="C182" i="1" s="1"/>
  <c r="AL576" i="1"/>
  <c r="B576" i="1" s="1"/>
  <c r="C576" i="1" s="1"/>
  <c r="AL539" i="1"/>
  <c r="B539" i="1" s="1"/>
  <c r="C539" i="1" s="1"/>
  <c r="AL488" i="1"/>
  <c r="B488" i="1" s="1"/>
  <c r="C488" i="1" s="1"/>
  <c r="AL518" i="1"/>
  <c r="B518" i="1" s="1"/>
  <c r="C518" i="1" s="1"/>
  <c r="AL270" i="1"/>
  <c r="B270" i="1" s="1"/>
  <c r="C270" i="1" s="1"/>
  <c r="AL373" i="1"/>
  <c r="B373" i="1" s="1"/>
  <c r="C373" i="1" s="1"/>
  <c r="AL790" i="1"/>
  <c r="B790" i="1" s="1"/>
  <c r="C790" i="1" s="1"/>
  <c r="AL322" i="1"/>
  <c r="B322" i="1" s="1"/>
  <c r="C322" i="1" s="1"/>
  <c r="AL530" i="1"/>
  <c r="B530" i="1" s="1"/>
  <c r="C530" i="1" s="1"/>
  <c r="AL719" i="1"/>
  <c r="B719" i="1" s="1"/>
  <c r="C719" i="1" s="1"/>
  <c r="AL496" i="1"/>
  <c r="B496" i="1" s="1"/>
  <c r="C496" i="1" s="1"/>
  <c r="AL816" i="1"/>
  <c r="B816" i="1" s="1"/>
  <c r="C816" i="1" s="1"/>
  <c r="AL554" i="1"/>
  <c r="B554" i="1" s="1"/>
  <c r="C554" i="1" s="1"/>
  <c r="AL850" i="1"/>
  <c r="B850" i="1" s="1"/>
  <c r="C850" i="1" s="1"/>
  <c r="AL191" i="1"/>
  <c r="B191" i="1" s="1"/>
  <c r="C191" i="1" s="1"/>
  <c r="AL450" i="1"/>
  <c r="B450" i="1" s="1"/>
  <c r="C450" i="1" s="1"/>
  <c r="AL406" i="1"/>
  <c r="B406" i="1" s="1"/>
  <c r="C406" i="1" s="1"/>
  <c r="AL44" i="1"/>
  <c r="B44" i="1" s="1"/>
  <c r="C44" i="1" s="1"/>
  <c r="AL3" i="1"/>
  <c r="B3" i="1" s="1"/>
  <c r="C3" i="1" s="1"/>
  <c r="AL782" i="1"/>
  <c r="B782" i="1" s="1"/>
  <c r="C782" i="1" s="1"/>
  <c r="AL898" i="1"/>
  <c r="B898" i="1" s="1"/>
  <c r="C898" i="1" s="1"/>
  <c r="AL483" i="1"/>
  <c r="B483" i="1" s="1"/>
  <c r="C483" i="1" s="1"/>
  <c r="AL838" i="1"/>
  <c r="B838" i="1" s="1"/>
  <c r="C838" i="1" s="1"/>
  <c r="AL303" i="1"/>
  <c r="B303" i="1" s="1"/>
  <c r="C303" i="1" s="1"/>
  <c r="AL793" i="1"/>
  <c r="B793" i="1" s="1"/>
  <c r="C793" i="1" s="1"/>
  <c r="AL686" i="1"/>
  <c r="B686" i="1" s="1"/>
  <c r="C686" i="1" s="1"/>
  <c r="AL870" i="1"/>
  <c r="B870" i="1" s="1"/>
  <c r="C870" i="1" s="1"/>
  <c r="AL863" i="1"/>
  <c r="B863" i="1" s="1"/>
  <c r="C863" i="1" s="1"/>
  <c r="AL544" i="1"/>
  <c r="B544" i="1" s="1"/>
  <c r="C544" i="1" s="1"/>
  <c r="AL832" i="1"/>
  <c r="B832" i="1" s="1"/>
  <c r="C832" i="1" s="1"/>
  <c r="AL570" i="1"/>
  <c r="B570" i="1" s="1"/>
  <c r="C570" i="1" s="1"/>
  <c r="AL624" i="1"/>
  <c r="B624" i="1" s="1"/>
  <c r="C624" i="1" s="1"/>
  <c r="AL23" i="1"/>
  <c r="B23" i="1" s="1"/>
  <c r="C23" i="1" s="1"/>
  <c r="AL224" i="1"/>
  <c r="B224" i="1" s="1"/>
  <c r="C224" i="1" s="1"/>
  <c r="AL492" i="1"/>
  <c r="B492" i="1" s="1"/>
  <c r="C492" i="1" s="1"/>
  <c r="AL889" i="1"/>
  <c r="B889" i="1" s="1"/>
  <c r="C889" i="1" s="1"/>
  <c r="AL172" i="1"/>
  <c r="B172" i="1" s="1"/>
  <c r="C172" i="1" s="1"/>
  <c r="AL731" i="1"/>
  <c r="B731" i="1" s="1"/>
  <c r="C731" i="1" s="1"/>
  <c r="AL764" i="1"/>
  <c r="B764" i="1" s="1"/>
  <c r="C764" i="1" s="1"/>
  <c r="AL285" i="1"/>
  <c r="B285" i="1" s="1"/>
  <c r="C285" i="1" s="1"/>
  <c r="AL345" i="1"/>
  <c r="B345" i="1" s="1"/>
  <c r="C345" i="1" s="1"/>
  <c r="AL845" i="1"/>
  <c r="B845" i="1" s="1"/>
  <c r="C845" i="1" s="1"/>
  <c r="AL799" i="1"/>
  <c r="B799" i="1" s="1"/>
  <c r="C799" i="1" s="1"/>
  <c r="AL169" i="1"/>
  <c r="B169" i="1" s="1"/>
  <c r="C169" i="1" s="1"/>
  <c r="AL17" i="1"/>
  <c r="B17" i="1" s="1"/>
  <c r="C17" i="1" s="1"/>
  <c r="AL801" i="1"/>
  <c r="B801" i="1" s="1"/>
  <c r="C801" i="1" s="1"/>
  <c r="AL714" i="1"/>
  <c r="B714" i="1" s="1"/>
  <c r="C714" i="1" s="1"/>
  <c r="AL310" i="1"/>
  <c r="B310" i="1" s="1"/>
  <c r="C310" i="1" s="1"/>
  <c r="AL369" i="1"/>
  <c r="B369" i="1" s="1"/>
  <c r="C369" i="1" s="1"/>
  <c r="AL854" i="1"/>
  <c r="B854" i="1" s="1"/>
  <c r="C854" i="1" s="1"/>
  <c r="AL779" i="1"/>
  <c r="B779" i="1" s="1"/>
  <c r="C779" i="1" s="1"/>
  <c r="AL727" i="1"/>
  <c r="B727" i="1" s="1"/>
  <c r="C727" i="1" s="1"/>
  <c r="AL848" i="1"/>
  <c r="B848" i="1" s="1"/>
  <c r="C848" i="1" s="1"/>
  <c r="AL673" i="1"/>
  <c r="B673" i="1" s="1"/>
  <c r="C673" i="1" s="1"/>
  <c r="AL603" i="1"/>
  <c r="B603" i="1" s="1"/>
  <c r="C603" i="1" s="1"/>
  <c r="AL919" i="1"/>
  <c r="B919" i="1" s="1"/>
  <c r="C919" i="1" s="1"/>
  <c r="AL32" i="1"/>
  <c r="B32" i="1" s="1"/>
  <c r="C32" i="1" s="1"/>
  <c r="AL541" i="1"/>
  <c r="B541" i="1" s="1"/>
  <c r="C541" i="1" s="1"/>
  <c r="AL549" i="1"/>
  <c r="B549" i="1" s="1"/>
  <c r="C549" i="1" s="1"/>
  <c r="AL83" i="1"/>
  <c r="B83" i="1" s="1"/>
  <c r="C83" i="1" s="1"/>
  <c r="AL810" i="1"/>
  <c r="B810" i="1" s="1"/>
  <c r="C810" i="1" s="1"/>
  <c r="AL704" i="1"/>
  <c r="B704" i="1" s="1"/>
  <c r="C704" i="1" s="1"/>
  <c r="AL448" i="1"/>
  <c r="B448" i="1" s="1"/>
  <c r="C448" i="1" s="1"/>
  <c r="AL716" i="1"/>
  <c r="B716" i="1" s="1"/>
  <c r="C716" i="1" s="1"/>
  <c r="AL98" i="1"/>
  <c r="B98" i="1" s="1"/>
  <c r="C98" i="1" s="1"/>
  <c r="AL885" i="1"/>
  <c r="B885" i="1" s="1"/>
  <c r="C885" i="1" s="1"/>
  <c r="AL509" i="1"/>
  <c r="B509" i="1" s="1"/>
  <c r="C509" i="1" s="1"/>
  <c r="AL880" i="1"/>
  <c r="B880" i="1" s="1"/>
  <c r="C880" i="1" s="1"/>
  <c r="AL834" i="1"/>
  <c r="B834" i="1" s="1"/>
  <c r="C834" i="1" s="1"/>
  <c r="AL753" i="1"/>
  <c r="B753" i="1" s="1"/>
  <c r="C753" i="1" s="1"/>
  <c r="AL113" i="1"/>
  <c r="B113" i="1" s="1"/>
  <c r="C113" i="1" s="1"/>
  <c r="AL913" i="1"/>
  <c r="B913" i="1" s="1"/>
  <c r="C913" i="1" s="1"/>
  <c r="AL177" i="1"/>
  <c r="B177" i="1" s="1"/>
  <c r="C177" i="1" s="1"/>
  <c r="AL500" i="1"/>
  <c r="B500" i="1" s="1"/>
  <c r="C500" i="1" s="1"/>
  <c r="AL676" i="1"/>
  <c r="B676" i="1" s="1"/>
  <c r="C676" i="1" s="1"/>
  <c r="AL318" i="1"/>
  <c r="B318" i="1" s="1"/>
  <c r="C318" i="1" s="1"/>
  <c r="AL119" i="1"/>
  <c r="B119" i="1" s="1"/>
  <c r="C119" i="1" s="1"/>
  <c r="AL316" i="1"/>
  <c r="B316" i="1" s="1"/>
  <c r="C316" i="1" s="1"/>
  <c r="AL355" i="1"/>
  <c r="B355" i="1" s="1"/>
  <c r="C355" i="1" s="1"/>
  <c r="AL908" i="1"/>
  <c r="B908" i="1" s="1"/>
  <c r="C908" i="1" s="1"/>
  <c r="AL110" i="1"/>
  <c r="B110" i="1" s="1"/>
  <c r="C110" i="1" s="1"/>
  <c r="AL167" i="1"/>
  <c r="B167" i="1" s="1"/>
  <c r="C167" i="1" s="1"/>
  <c r="AL340" i="1"/>
  <c r="B340" i="1" s="1"/>
  <c r="C340" i="1" s="1"/>
  <c r="AL353" i="1"/>
  <c r="B353" i="1" s="1"/>
  <c r="C353" i="1" s="1"/>
  <c r="AL293" i="1"/>
  <c r="B293" i="1" s="1"/>
  <c r="C293" i="1" s="1"/>
  <c r="AL198" i="1"/>
  <c r="B198" i="1" s="1"/>
  <c r="C198" i="1" s="1"/>
  <c r="AL578" i="1"/>
  <c r="B578" i="1" s="1"/>
  <c r="C578" i="1" s="1"/>
  <c r="AL466" i="1"/>
  <c r="B466" i="1" s="1"/>
  <c r="C466" i="1" s="1"/>
  <c r="AL59" i="1"/>
  <c r="B59" i="1" s="1"/>
  <c r="C59" i="1" s="1"/>
  <c r="AL244" i="1"/>
  <c r="B244" i="1" s="1"/>
  <c r="C244" i="1" s="1"/>
  <c r="AL696" i="1"/>
  <c r="B696" i="1" s="1"/>
  <c r="C696" i="1" s="1"/>
  <c r="AL645" i="1"/>
  <c r="B645" i="1" s="1"/>
  <c r="C645" i="1" s="1"/>
  <c r="AL133" i="1"/>
  <c r="B133" i="1" s="1"/>
  <c r="C133" i="1" s="1"/>
  <c r="AL776" i="1"/>
  <c r="B776" i="1" s="1"/>
  <c r="C776" i="1" s="1"/>
  <c r="AL724" i="1"/>
  <c r="B724" i="1" s="1"/>
  <c r="C724" i="1" s="1"/>
  <c r="AL803" i="1"/>
  <c r="B803" i="1" s="1"/>
  <c r="C803" i="1" s="1"/>
  <c r="AL485" i="1"/>
  <c r="B485" i="1" s="1"/>
  <c r="C485" i="1" s="1"/>
  <c r="AL758" i="1"/>
  <c r="B758" i="1" s="1"/>
  <c r="C758" i="1" s="1"/>
  <c r="AL281" i="1"/>
  <c r="B281" i="1" s="1"/>
  <c r="C281" i="1" s="1"/>
  <c r="AL69" i="1"/>
  <c r="B69" i="1" s="1"/>
  <c r="C69" i="1" s="1"/>
  <c r="AL916" i="1"/>
  <c r="B916" i="1" s="1"/>
  <c r="C916" i="1" s="1"/>
  <c r="AL277" i="1"/>
  <c r="B277" i="1" s="1"/>
  <c r="C277" i="1" s="1"/>
  <c r="AL195" i="1"/>
  <c r="B195" i="1" s="1"/>
  <c r="C195" i="1" s="1"/>
  <c r="AL586" i="1"/>
  <c r="B586" i="1" s="1"/>
  <c r="C586" i="1" s="1"/>
  <c r="AL184" i="1"/>
  <c r="B184" i="1" s="1"/>
  <c r="C184" i="1" s="1"/>
  <c r="AL657" i="1"/>
  <c r="B657" i="1" s="1"/>
  <c r="C657" i="1" s="1"/>
  <c r="AL189" i="1"/>
  <c r="B189" i="1" s="1"/>
  <c r="C189" i="1" s="1"/>
  <c r="AL742" i="1"/>
  <c r="B742" i="1" s="1"/>
  <c r="C742" i="1" s="1"/>
  <c r="AL494" i="1"/>
  <c r="B494" i="1" s="1"/>
  <c r="C494" i="1" s="1"/>
  <c r="AL772" i="1"/>
  <c r="B772" i="1" s="1"/>
  <c r="C772" i="1" s="1"/>
  <c r="AL425" i="1"/>
  <c r="B425" i="1" s="1"/>
  <c r="C425" i="1" s="1"/>
  <c r="AL619" i="1"/>
  <c r="B619" i="1" s="1"/>
  <c r="C619" i="1" s="1"/>
  <c r="AL858" i="1"/>
  <c r="B858" i="1" s="1"/>
  <c r="C858" i="1" s="1"/>
  <c r="AL72" i="1"/>
  <c r="B72" i="1" s="1"/>
  <c r="C72" i="1" s="1"/>
  <c r="AL652" i="1"/>
  <c r="B652" i="1" s="1"/>
  <c r="C652" i="1" s="1"/>
  <c r="AL593" i="1"/>
  <c r="B593" i="1" s="1"/>
  <c r="C593" i="1" s="1"/>
  <c r="AL383" i="1"/>
  <c r="B383" i="1" s="1"/>
  <c r="C383" i="1" s="1"/>
  <c r="AL901" i="1"/>
  <c r="B901" i="1" s="1"/>
  <c r="C901" i="1" s="1"/>
  <c r="AL748" i="1"/>
  <c r="B748" i="1" s="1"/>
  <c r="C748" i="1" s="1"/>
  <c r="AL829" i="1"/>
  <c r="B829" i="1" s="1"/>
  <c r="C829" i="1" s="1"/>
  <c r="AL699" i="1"/>
  <c r="B699" i="1" s="1"/>
  <c r="C699" i="1" s="1"/>
  <c r="AL235" i="1"/>
  <c r="B235" i="1" s="1"/>
  <c r="C235" i="1" s="1"/>
  <c r="AL785" i="1"/>
  <c r="B785" i="1" s="1"/>
  <c r="C785" i="1" s="1"/>
  <c r="AL433" i="1"/>
  <c r="B433" i="1" s="1"/>
  <c r="C433" i="1" s="1"/>
  <c r="AL895" i="1"/>
  <c r="B895" i="1" s="1"/>
  <c r="C895" i="1" s="1"/>
  <c r="AL351" i="1"/>
  <c r="B351" i="1" s="1"/>
  <c r="C351" i="1" s="1"/>
  <c r="AL150" i="1"/>
  <c r="B150" i="1" s="1"/>
  <c r="C150" i="1" s="1"/>
  <c r="AL263" i="1"/>
  <c r="B263" i="1" s="1"/>
  <c r="C263" i="1" s="1"/>
  <c r="AL659" i="1"/>
  <c r="B659" i="1" s="1"/>
  <c r="C659" i="1" s="1"/>
  <c r="AL246" i="1"/>
  <c r="B246" i="1" s="1"/>
  <c r="C246" i="1" s="1"/>
  <c r="AL565" i="1"/>
  <c r="B565" i="1" s="1"/>
  <c r="C565" i="1" s="1"/>
  <c r="AL218" i="1"/>
  <c r="B218" i="1" s="1"/>
  <c r="C218" i="1" s="1"/>
  <c r="AL595" i="1"/>
  <c r="B595" i="1" s="1"/>
  <c r="C595" i="1" s="1"/>
  <c r="AL275" i="1"/>
  <c r="B275" i="1" s="1"/>
  <c r="C275" i="1" s="1"/>
  <c r="AL364" i="1"/>
  <c r="B364" i="1" s="1"/>
  <c r="C364" i="1" s="1"/>
  <c r="AL249" i="1"/>
  <c r="B249" i="1" s="1"/>
  <c r="C249" i="1" s="1"/>
  <c r="AL414" i="1"/>
  <c r="B414" i="1" s="1"/>
  <c r="C414" i="1" s="1"/>
  <c r="AL814" i="1"/>
  <c r="B814" i="1" s="1"/>
  <c r="C814" i="1" s="1"/>
  <c r="AL296" i="1"/>
  <c r="B296" i="1" s="1"/>
  <c r="C296" i="1" s="1"/>
  <c r="AL54" i="1"/>
  <c r="B54" i="1" s="1"/>
  <c r="C54" i="1" s="1"/>
  <c r="AM924" i="1"/>
  <c r="AU925" i="1"/>
  <c r="AM925" i="1"/>
  <c r="AV923" i="1"/>
  <c r="AV922" i="1"/>
  <c r="AX920" i="1"/>
  <c r="AW920" i="1"/>
  <c r="AX921" i="1"/>
  <c r="AW921" i="1"/>
  <c r="AL924" i="1"/>
  <c r="AL925" i="1"/>
  <c r="B5" i="14"/>
  <c r="B4" i="11"/>
  <c r="B3" i="6"/>
  <c r="B4" i="6" s="1"/>
  <c r="B5" i="11"/>
  <c r="AK924" i="1"/>
  <c r="AF924" i="1"/>
  <c r="AF923" i="1"/>
  <c r="AF919" i="1"/>
  <c r="AE921" i="1"/>
  <c r="AE923" i="1"/>
  <c r="AF922" i="1"/>
  <c r="AE919" i="1"/>
  <c r="AE920" i="1"/>
  <c r="AF925" i="1"/>
  <c r="AE925" i="1"/>
  <c r="AI925" i="1"/>
  <c r="AK925" i="1"/>
  <c r="AE924" i="1"/>
  <c r="AI924" i="1"/>
  <c r="AF920" i="1"/>
  <c r="AE922" i="1"/>
  <c r="AF921" i="1"/>
  <c r="A926" i="1"/>
  <c r="A927" i="1"/>
  <c r="AV925" i="1" l="1"/>
  <c r="AV924" i="1"/>
  <c r="AX922" i="1"/>
  <c r="AW922" i="1"/>
  <c r="AX923" i="1"/>
  <c r="AW923" i="1"/>
  <c r="AL926" i="1"/>
  <c r="AL927" i="1"/>
  <c r="C5" i="14"/>
  <c r="C5" i="11"/>
  <c r="C3" i="6"/>
  <c r="C4" i="6"/>
  <c r="C4" i="11"/>
  <c r="A928" i="1"/>
  <c r="A929" i="1" s="1"/>
  <c r="A930" i="1"/>
  <c r="AX924" i="1" l="1"/>
  <c r="AW924" i="1"/>
  <c r="AX925" i="1"/>
  <c r="AW925" i="1"/>
  <c r="AL929" i="1"/>
  <c r="AL928" i="1"/>
  <c r="AL930" i="1"/>
  <c r="A5" i="14"/>
  <c r="A3" i="6"/>
  <c r="A4" i="11"/>
  <c r="A5" i="11"/>
  <c r="A4" i="6"/>
  <c r="A931" i="1"/>
  <c r="A932" i="1"/>
  <c r="AL931" i="1" l="1"/>
  <c r="AL932" i="1"/>
  <c r="B4" i="14"/>
  <c r="C4" i="14" s="1"/>
  <c r="A4" i="14" s="1"/>
  <c r="A933" i="1"/>
  <c r="AL933" i="1" l="1"/>
  <c r="A934" i="1"/>
  <c r="A935" i="1"/>
  <c r="A936" i="1"/>
  <c r="AL935" i="1" l="1"/>
  <c r="AL934" i="1"/>
  <c r="AL936" i="1"/>
  <c r="A937" i="1"/>
  <c r="AL937" i="1" l="1"/>
  <c r="A938" i="1"/>
  <c r="A939" i="1" s="1"/>
  <c r="AL939" i="1" l="1"/>
  <c r="AL938" i="1"/>
  <c r="A940" i="1"/>
  <c r="A941" i="1" s="1"/>
  <c r="AL941" i="1" l="1"/>
  <c r="AL940" i="1"/>
  <c r="B1" i="3"/>
  <c r="B2" i="3" s="1"/>
  <c r="J4" i="14" l="1"/>
  <c r="J5" i="14" l="1"/>
  <c r="J5" i="11" l="1"/>
  <c r="I5" i="11" l="1"/>
  <c r="K5" i="11" s="1"/>
  <c r="L5" i="11" s="1"/>
  <c r="M5" i="11" s="1"/>
  <c r="J4" i="11"/>
  <c r="J3" i="6" l="1"/>
  <c r="J4" i="6" l="1"/>
  <c r="H4" i="6" l="1"/>
  <c r="G4" i="6"/>
  <c r="F4" i="6"/>
  <c r="D4" i="6" l="1"/>
  <c r="E3" i="6"/>
  <c r="E4" i="6"/>
  <c r="G3" i="6"/>
  <c r="D3" i="6"/>
  <c r="H3" i="6" l="1"/>
  <c r="F3" i="6"/>
  <c r="E5" i="11" l="1"/>
  <c r="G5" i="11"/>
  <c r="D5" i="11"/>
  <c r="H5" i="11"/>
  <c r="F5" i="11" l="1"/>
  <c r="E4" i="11"/>
  <c r="G4" i="11"/>
  <c r="E5" i="14"/>
  <c r="H5" i="14"/>
  <c r="E4" i="14"/>
  <c r="D4" i="11"/>
  <c r="G5" i="14"/>
  <c r="D4" i="14"/>
  <c r="H4" i="11"/>
  <c r="D5" i="14"/>
  <c r="G4" i="14"/>
  <c r="H4" i="14"/>
  <c r="F5" i="14"/>
  <c r="F4" i="14" l="1"/>
  <c r="F4" i="11"/>
  <c r="I4" i="11" l="1"/>
  <c r="I3" i="6"/>
  <c r="I4" i="14" l="1"/>
  <c r="K3" i="6"/>
  <c r="L3" i="6" s="1"/>
  <c r="M3" i="6" s="1"/>
  <c r="K4" i="11"/>
  <c r="L4" i="11" s="1"/>
  <c r="M4" i="11" l="1"/>
  <c r="K4" i="14" l="1"/>
  <c r="L4" i="14" s="1"/>
  <c r="M4" i="14" s="1"/>
  <c r="I5" i="14" l="1"/>
  <c r="I4" i="6" l="1"/>
  <c r="K4" i="6" l="1"/>
  <c r="L4" i="6" s="1"/>
  <c r="M4" i="6" s="1"/>
  <c r="K5" i="14"/>
  <c r="L5" i="14" s="1"/>
  <c r="M5" i="14" s="1"/>
  <c r="B3" i="12" l="1"/>
  <c r="C3" i="12" l="1"/>
  <c r="J3" i="12" l="1"/>
  <c r="I3" i="12" s="1"/>
  <c r="K3" i="12" l="1"/>
  <c r="A3" i="12"/>
  <c r="D3" i="12"/>
  <c r="G3" i="12"/>
  <c r="E3" i="12"/>
  <c r="L3" i="12" l="1"/>
  <c r="F3" i="12"/>
  <c r="M3" i="12" l="1"/>
  <c r="H3" i="12" l="1"/>
  <c r="AS318" i="1" l="1"/>
  <c r="AU318" i="1" s="1"/>
  <c r="AV318" i="1" s="1"/>
  <c r="AS311" i="1"/>
  <c r="AU311" i="1" s="1"/>
  <c r="AV311" i="1" s="1"/>
  <c r="AS145" i="1"/>
  <c r="AU145" i="1" s="1"/>
  <c r="AV145" i="1" s="1"/>
  <c r="AS245" i="1"/>
  <c r="AS366" i="1"/>
  <c r="AS167" i="1"/>
  <c r="AS352" i="1"/>
  <c r="AS181" i="1"/>
  <c r="AS47" i="1"/>
  <c r="AS263" i="1"/>
  <c r="AS274" i="1"/>
  <c r="AS84" i="1"/>
  <c r="AS378" i="1"/>
  <c r="AU378" i="1" s="1"/>
  <c r="AV378" i="1" s="1"/>
  <c r="AS152" i="1"/>
  <c r="AS99" i="1"/>
  <c r="AS340" i="1"/>
  <c r="AU340" i="1" s="1"/>
  <c r="AV340" i="1" s="1"/>
  <c r="AS307" i="1"/>
  <c r="AU307" i="1" s="1"/>
  <c r="AV307" i="1" s="1"/>
  <c r="AS220" i="1"/>
  <c r="AU220" i="1" s="1"/>
  <c r="AV220" i="1" s="1"/>
  <c r="AS87" i="1"/>
  <c r="AU87" i="1" s="1"/>
  <c r="AV87" i="1" s="1"/>
  <c r="AS194" i="1"/>
  <c r="AU194" i="1" s="1"/>
  <c r="AV194" i="1" s="1"/>
  <c r="AS179" i="1"/>
  <c r="AU179" i="1" s="1"/>
  <c r="AV179" i="1" s="1"/>
  <c r="AS69" i="1"/>
  <c r="AS314" i="1"/>
  <c r="AU314" i="1" s="1"/>
  <c r="AV314" i="1" s="1"/>
  <c r="AS286" i="1"/>
  <c r="AS230" i="1"/>
  <c r="AU230" i="1" s="1"/>
  <c r="AV230" i="1" s="1"/>
  <c r="AS265" i="1"/>
  <c r="AS81" i="1"/>
  <c r="AS396" i="1"/>
  <c r="AS95" i="1"/>
  <c r="AS14" i="1"/>
  <c r="AU14" i="1" s="1"/>
  <c r="AV14" i="1" s="1"/>
  <c r="AS114" i="1"/>
  <c r="AU114" i="1" s="1"/>
  <c r="AV114" i="1" s="1"/>
  <c r="AS12" i="1"/>
  <c r="AU12" i="1" s="1"/>
  <c r="AV12" i="1" s="1"/>
  <c r="AS325" i="1"/>
  <c r="AU325" i="1" s="1"/>
  <c r="AV325" i="1" s="1"/>
  <c r="AS244" i="1"/>
  <c r="AS333" i="1"/>
  <c r="AU333" i="1" s="1"/>
  <c r="AV333" i="1" s="1"/>
  <c r="AS118" i="1"/>
  <c r="AS123" i="1"/>
  <c r="AS329" i="1"/>
  <c r="AU329" i="1" s="1"/>
  <c r="AV329" i="1" s="1"/>
  <c r="AS295" i="1"/>
  <c r="AU295" i="1" s="1"/>
  <c r="AV295" i="1" s="1"/>
  <c r="AS332" i="1"/>
  <c r="AU332" i="1" s="1"/>
  <c r="AV332" i="1" s="1"/>
  <c r="AS364" i="1"/>
  <c r="AU364" i="1" s="1"/>
  <c r="AV364" i="1" s="1"/>
  <c r="AS357" i="1"/>
  <c r="AS164" i="1"/>
  <c r="AS257" i="1"/>
  <c r="AS277" i="1"/>
  <c r="AS134" i="1"/>
  <c r="AU134" i="1" s="1"/>
  <c r="AV134" i="1" s="1"/>
  <c r="AS107" i="1"/>
  <c r="AU107" i="1" s="1"/>
  <c r="AV107" i="1" s="1"/>
  <c r="AS343" i="1"/>
  <c r="AS397" i="1"/>
  <c r="AS98" i="1"/>
  <c r="AU98" i="1" s="1"/>
  <c r="AV98" i="1" s="1"/>
  <c r="AS131" i="1"/>
  <c r="AU131" i="1" s="1"/>
  <c r="AV131" i="1" s="1"/>
  <c r="AS349" i="1"/>
  <c r="AS273" i="1"/>
  <c r="AU273" i="1" s="1"/>
  <c r="AV273" i="1" s="1"/>
  <c r="AS72" i="1"/>
  <c r="AS336" i="1"/>
  <c r="AU336" i="1" s="1"/>
  <c r="AV336" i="1" s="1"/>
  <c r="AS93" i="1"/>
  <c r="AS82" i="1"/>
  <c r="AU82" i="1" s="1"/>
  <c r="AV82" i="1" s="1"/>
  <c r="AS258" i="1"/>
  <c r="AU258" i="1" s="1"/>
  <c r="AV258" i="1" s="1"/>
  <c r="AS141" i="1"/>
  <c r="AU141" i="1" s="1"/>
  <c r="AV141" i="1" s="1"/>
  <c r="AS171" i="1"/>
  <c r="AS55" i="1"/>
  <c r="AS389" i="1"/>
  <c r="AS90" i="1"/>
  <c r="AU90" i="1" s="1"/>
  <c r="AV90" i="1" s="1"/>
  <c r="AS196" i="1"/>
  <c r="AU196" i="1" s="1"/>
  <c r="AV196" i="1" s="1"/>
  <c r="AS186" i="1"/>
  <c r="AU186" i="1" s="1"/>
  <c r="AV186" i="1" s="1"/>
  <c r="AS276" i="1"/>
  <c r="AS348" i="1"/>
  <c r="AS117" i="1"/>
  <c r="AS356" i="1"/>
  <c r="AS121" i="1"/>
  <c r="AS42" i="1"/>
  <c r="AS16" i="1"/>
  <c r="AS399" i="1"/>
  <c r="AU399" i="1" s="1"/>
  <c r="AV399" i="1" s="1"/>
  <c r="AS46" i="1"/>
  <c r="AS225" i="1"/>
  <c r="AU225" i="1" s="1"/>
  <c r="AV225" i="1" s="1"/>
  <c r="AS278" i="1"/>
  <c r="AU278" i="1" s="1"/>
  <c r="AV278" i="1" s="1"/>
  <c r="AS338" i="1"/>
  <c r="AU338" i="1" s="1"/>
  <c r="AV338" i="1" s="1"/>
  <c r="AS346" i="1"/>
  <c r="AS261" i="1"/>
  <c r="AS49" i="1"/>
  <c r="AU49" i="1" s="1"/>
  <c r="AV49" i="1" s="1"/>
  <c r="AS105" i="1"/>
  <c r="AS319" i="1"/>
  <c r="AU319" i="1" s="1"/>
  <c r="AV319" i="1" s="1"/>
  <c r="AS96" i="1"/>
  <c r="AS50" i="1"/>
  <c r="AS125" i="1"/>
  <c r="AS279" i="1"/>
  <c r="AU279" i="1" s="1"/>
  <c r="AV279" i="1" s="1"/>
  <c r="AS254" i="1"/>
  <c r="AU254" i="1" s="1"/>
  <c r="AV254" i="1" s="1"/>
  <c r="AS373" i="1"/>
  <c r="AU373" i="1" s="1"/>
  <c r="AV373" i="1" s="1"/>
  <c r="AS168" i="1"/>
  <c r="AS282" i="1"/>
  <c r="AS398" i="1"/>
  <c r="AU398" i="1" s="1"/>
  <c r="AV398" i="1" s="1"/>
  <c r="AS208" i="1"/>
  <c r="AS149" i="1"/>
  <c r="AU149" i="1" s="1"/>
  <c r="AV149" i="1" s="1"/>
  <c r="AS85" i="1"/>
  <c r="AS30" i="1"/>
  <c r="AU30" i="1" s="1"/>
  <c r="AV30" i="1" s="1"/>
  <c r="AS345" i="1"/>
  <c r="AS172" i="1"/>
  <c r="AS317" i="1"/>
  <c r="AU317" i="1" s="1"/>
  <c r="AV317" i="1" s="1"/>
  <c r="AS335" i="1"/>
  <c r="AU335" i="1" s="1"/>
  <c r="AV335" i="1" s="1"/>
  <c r="AS393" i="1"/>
  <c r="AS320" i="1"/>
  <c r="AU320" i="1" s="1"/>
  <c r="AV320" i="1" s="1"/>
  <c r="AS40" i="1"/>
  <c r="AU40" i="1" s="1"/>
  <c r="AV40" i="1" s="1"/>
  <c r="AS33" i="1"/>
  <c r="AU33" i="1" s="1"/>
  <c r="AV33" i="1" s="1"/>
  <c r="AS223" i="1"/>
  <c r="AS187" i="1"/>
  <c r="AU187" i="1" s="1"/>
  <c r="AV187" i="1" s="1"/>
  <c r="AS391" i="1"/>
  <c r="AS296" i="1"/>
  <c r="AU296" i="1" s="1"/>
  <c r="AV296" i="1" s="1"/>
  <c r="AS162" i="1"/>
  <c r="AS52" i="1"/>
  <c r="AS76" i="1"/>
  <c r="AS68" i="1"/>
  <c r="AS203" i="1"/>
  <c r="AS103" i="1"/>
  <c r="AS387" i="1"/>
  <c r="AS228" i="1"/>
  <c r="AU228" i="1" s="1"/>
  <c r="AV228" i="1" s="1"/>
  <c r="AS341" i="1"/>
  <c r="AU341" i="1" s="1"/>
  <c r="AV341" i="1" s="1"/>
  <c r="AS189" i="1"/>
  <c r="AS270" i="1"/>
  <c r="AU270" i="1" s="1"/>
  <c r="AV270" i="1" s="1"/>
  <c r="AS334" i="1"/>
  <c r="AU334" i="1" s="1"/>
  <c r="AV334" i="1" s="1"/>
  <c r="AS212" i="1"/>
  <c r="AS119" i="1"/>
  <c r="AS56" i="1"/>
  <c r="AU56" i="1" s="1"/>
  <c r="AV56" i="1" s="1"/>
  <c r="AS71" i="1"/>
  <c r="AU71" i="1" s="1"/>
  <c r="AV71" i="1" s="1"/>
  <c r="AS410" i="1"/>
  <c r="AU410" i="1" s="1"/>
  <c r="AV410" i="1" s="1"/>
  <c r="AS31" i="1"/>
  <c r="AS404" i="1"/>
  <c r="AU404" i="1" s="1"/>
  <c r="AV404" i="1" s="1"/>
  <c r="AS195" i="1"/>
  <c r="AS177" i="1"/>
  <c r="AS25" i="1"/>
  <c r="AU25" i="1" s="1"/>
  <c r="AV25" i="1" s="1"/>
  <c r="AS157" i="1"/>
  <c r="AS414" i="1"/>
  <c r="AU414" i="1" s="1"/>
  <c r="AV414" i="1" s="1"/>
  <c r="AS219" i="1"/>
  <c r="AU219" i="1" s="1"/>
  <c r="AV219" i="1" s="1"/>
  <c r="AS395" i="1"/>
  <c r="AS29" i="1"/>
  <c r="AU29" i="1" s="1"/>
  <c r="AV29" i="1" s="1"/>
  <c r="AS385" i="1"/>
  <c r="AU385" i="1" s="1"/>
  <c r="AV385" i="1" s="1"/>
  <c r="AS374" i="1"/>
  <c r="AS241" i="1"/>
  <c r="AU241" i="1" s="1"/>
  <c r="AV241" i="1" s="1"/>
  <c r="AS372" i="1"/>
  <c r="AU372" i="1" s="1"/>
  <c r="AV372" i="1" s="1"/>
  <c r="AS376" i="1"/>
  <c r="AU376" i="1" s="1"/>
  <c r="AV376" i="1" s="1"/>
  <c r="AS132" i="1"/>
  <c r="AU132" i="1" s="1"/>
  <c r="AV132" i="1" s="1"/>
  <c r="AS43" i="1"/>
  <c r="AS67" i="1"/>
  <c r="AS73" i="1"/>
  <c r="AS312" i="1"/>
  <c r="AU312" i="1" s="1"/>
  <c r="AV312" i="1" s="1"/>
  <c r="AS384" i="1"/>
  <c r="AU384" i="1" s="1"/>
  <c r="AV384" i="1" s="1"/>
  <c r="AS109" i="1"/>
  <c r="AS237" i="1"/>
  <c r="AU237" i="1" s="1"/>
  <c r="AV237" i="1" s="1"/>
  <c r="AS188" i="1"/>
  <c r="AU188" i="1" s="1"/>
  <c r="AV188" i="1" s="1"/>
  <c r="AS78" i="1"/>
  <c r="AU78" i="1" s="1"/>
  <c r="AV78" i="1" s="1"/>
  <c r="AS266" i="1"/>
  <c r="AS262" i="1"/>
  <c r="AS198" i="1"/>
  <c r="AS137" i="1"/>
  <c r="AU137" i="1" s="1"/>
  <c r="AV137" i="1" s="1"/>
  <c r="AS155" i="1"/>
  <c r="AS112" i="1"/>
  <c r="AU112" i="1" s="1"/>
  <c r="AV112" i="1" s="1"/>
  <c r="AS294" i="1"/>
  <c r="AU294" i="1" s="1"/>
  <c r="AV294" i="1" s="1"/>
  <c r="AS370" i="1"/>
  <c r="AS255" i="1"/>
  <c r="AS327" i="1"/>
  <c r="AU327" i="1" s="1"/>
  <c r="AV327" i="1" s="1"/>
  <c r="AS75" i="1"/>
  <c r="AS264" i="1"/>
  <c r="AS92" i="1"/>
  <c r="AS7" i="1"/>
  <c r="AS5" i="1"/>
  <c r="AS9" i="1"/>
  <c r="AS358" i="1"/>
  <c r="AS390" i="1"/>
  <c r="AS169" i="1"/>
  <c r="AS299" i="1"/>
  <c r="AS415" i="1"/>
  <c r="AU415" i="1" s="1"/>
  <c r="AV415" i="1" s="1"/>
  <c r="AS380" i="1"/>
  <c r="AU380" i="1" s="1"/>
  <c r="AV380" i="1" s="1"/>
  <c r="AS406" i="1"/>
  <c r="AU406" i="1" s="1"/>
  <c r="AV406" i="1" s="1"/>
  <c r="AS89" i="1"/>
  <c r="AU89" i="1" s="1"/>
  <c r="AV89" i="1" s="1"/>
  <c r="AS65" i="1"/>
  <c r="AU65" i="1" s="1"/>
  <c r="AV65" i="1" s="1"/>
  <c r="AS303" i="1"/>
  <c r="AU303" i="1" s="1"/>
  <c r="AV303" i="1" s="1"/>
  <c r="AS129" i="1"/>
  <c r="AU129" i="1" s="1"/>
  <c r="AV129" i="1" s="1"/>
  <c r="AS361" i="1"/>
  <c r="AU361" i="1" s="1"/>
  <c r="AV361" i="1" s="1"/>
  <c r="AS160" i="1"/>
  <c r="AS139" i="1"/>
  <c r="AU139" i="1" s="1"/>
  <c r="AV139" i="1" s="1"/>
  <c r="AS392" i="1"/>
  <c r="AS205" i="1"/>
  <c r="AS77" i="1"/>
  <c r="AS159" i="1"/>
  <c r="AS135" i="1"/>
  <c r="AU135" i="1" s="1"/>
  <c r="AV135" i="1" s="1"/>
  <c r="AS226" i="1"/>
  <c r="AU226" i="1" s="1"/>
  <c r="AV226" i="1" s="1"/>
  <c r="AS66" i="1"/>
  <c r="AS256" i="1"/>
  <c r="AU256" i="1" s="1"/>
  <c r="AV256" i="1" s="1"/>
  <c r="AS330" i="1"/>
  <c r="AU330" i="1" s="1"/>
  <c r="AV330" i="1" s="1"/>
  <c r="AS200" i="1"/>
  <c r="AS400" i="1"/>
  <c r="AU400" i="1" s="1"/>
  <c r="AV400" i="1" s="1"/>
  <c r="AS182" i="1"/>
  <c r="AS36" i="1"/>
  <c r="AU36" i="1" s="1"/>
  <c r="AV36" i="1" s="1"/>
  <c r="AS193" i="1"/>
  <c r="AU193" i="1" s="1"/>
  <c r="AV193" i="1" s="1"/>
  <c r="AS289" i="1"/>
  <c r="AU289" i="1" s="1"/>
  <c r="AV289" i="1" s="1"/>
  <c r="AS306" i="1"/>
  <c r="AU306" i="1" s="1"/>
  <c r="AV306" i="1" s="1"/>
  <c r="AS275" i="1"/>
  <c r="AS290" i="1"/>
  <c r="AS288" i="1"/>
  <c r="AU288" i="1" s="1"/>
  <c r="AV288" i="1" s="1"/>
  <c r="AS122" i="1"/>
  <c r="AS300" i="1"/>
  <c r="AU300" i="1" s="1"/>
  <c r="AV300" i="1" s="1"/>
  <c r="AS301" i="1"/>
  <c r="AU301" i="1" s="1"/>
  <c r="AV301" i="1" s="1"/>
  <c r="AS409" i="1"/>
  <c r="AU409" i="1" s="1"/>
  <c r="AV409" i="1" s="1"/>
  <c r="AS284" i="1"/>
  <c r="AS267" i="1"/>
  <c r="AS17" i="1"/>
  <c r="AU17" i="1" s="1"/>
  <c r="AV17" i="1" s="1"/>
  <c r="AS252" i="1"/>
  <c r="AS309" i="1"/>
  <c r="AU309" i="1" s="1"/>
  <c r="AV309" i="1" s="1"/>
  <c r="AS363" i="1"/>
  <c r="AS138" i="1"/>
  <c r="AU138" i="1" s="1"/>
  <c r="AV138" i="1" s="1"/>
  <c r="AS44" i="1"/>
  <c r="AS142" i="1"/>
  <c r="AU142" i="1" s="1"/>
  <c r="AV142" i="1" s="1"/>
  <c r="AS379" i="1"/>
  <c r="AU379" i="1" s="1"/>
  <c r="AV379" i="1" s="1"/>
  <c r="AS15" i="1"/>
  <c r="AU15" i="1" s="1"/>
  <c r="AV15" i="1" s="1"/>
  <c r="AS218" i="1"/>
  <c r="AU218" i="1" s="1"/>
  <c r="AV218" i="1" s="1"/>
  <c r="AS331" i="1"/>
  <c r="AU331" i="1" s="1"/>
  <c r="AV331" i="1" s="1"/>
  <c r="AS368" i="1"/>
  <c r="AU368" i="1" s="1"/>
  <c r="AV368" i="1" s="1"/>
  <c r="AS183" i="1"/>
  <c r="AS101" i="1"/>
  <c r="AU101" i="1" s="1"/>
  <c r="AV101" i="1" s="1"/>
  <c r="AS287" i="1"/>
  <c r="AU287" i="1" s="1"/>
  <c r="AV287" i="1" s="1"/>
  <c r="AS359" i="1"/>
  <c r="AS413" i="1"/>
  <c r="AU413" i="1" s="1"/>
  <c r="AV413" i="1" s="1"/>
  <c r="AS233" i="1"/>
  <c r="AU233" i="1" s="1"/>
  <c r="AV233" i="1" s="1"/>
  <c r="AS304" i="1"/>
  <c r="AU304" i="1" s="1"/>
  <c r="AV304" i="1" s="1"/>
  <c r="AS144" i="1"/>
  <c r="AU144" i="1" s="1"/>
  <c r="AV144" i="1" s="1"/>
  <c r="AS353" i="1"/>
  <c r="AS236" i="1"/>
  <c r="AU236" i="1" s="1"/>
  <c r="AV236" i="1" s="1"/>
  <c r="AS170" i="1"/>
  <c r="AS369" i="1"/>
  <c r="AU369" i="1" s="1"/>
  <c r="AV369" i="1" s="1"/>
  <c r="AS285" i="1"/>
  <c r="AS221" i="1"/>
  <c r="AU221" i="1" s="1"/>
  <c r="AV221" i="1" s="1"/>
  <c r="AS64" i="1"/>
  <c r="AS382" i="1"/>
  <c r="AU382" i="1" s="1"/>
  <c r="AV382" i="1" s="1"/>
  <c r="AS28" i="1"/>
  <c r="AU28" i="1" s="1"/>
  <c r="AV28" i="1" s="1"/>
  <c r="AS83" i="1"/>
  <c r="AS154" i="1"/>
  <c r="AS283" i="1"/>
  <c r="AS381" i="1"/>
  <c r="AS315" i="1"/>
  <c r="AU315" i="1" s="1"/>
  <c r="AV315" i="1" s="1"/>
  <c r="AS147" i="1"/>
  <c r="AU147" i="1" s="1"/>
  <c r="AV147" i="1" s="1"/>
  <c r="AS272" i="1"/>
  <c r="AU272" i="1" s="1"/>
  <c r="AV272" i="1" s="1"/>
  <c r="AS116" i="1"/>
  <c r="AS239" i="1"/>
  <c r="AU239" i="1" s="1"/>
  <c r="AV239" i="1" s="1"/>
  <c r="AS297" i="1"/>
  <c r="AU297" i="1" s="1"/>
  <c r="AV297" i="1" s="1"/>
  <c r="AS405" i="1"/>
  <c r="AU405" i="1" s="1"/>
  <c r="AV405" i="1" s="1"/>
  <c r="AS156" i="1"/>
  <c r="AS185" i="1"/>
  <c r="AU185" i="1" s="1"/>
  <c r="AV185" i="1" s="1"/>
  <c r="AS4" i="1"/>
  <c r="AS3" i="1"/>
  <c r="AU3" i="1" s="1"/>
  <c r="AV3" i="1" s="1"/>
  <c r="AS120" i="1"/>
  <c r="AS191" i="1"/>
  <c r="AU191" i="1" s="1"/>
  <c r="AV191" i="1" s="1"/>
  <c r="AS34" i="1"/>
  <c r="AU34" i="1" s="1"/>
  <c r="AV34" i="1" s="1"/>
  <c r="AS62" i="1"/>
  <c r="AS165" i="1"/>
  <c r="AS163" i="1"/>
  <c r="AS259" i="1"/>
  <c r="AU259" i="1" s="1"/>
  <c r="AV259" i="1" s="1"/>
  <c r="AS175" i="1"/>
  <c r="AS150" i="1"/>
  <c r="AU150" i="1" s="1"/>
  <c r="AV150" i="1" s="1"/>
  <c r="AS106" i="1"/>
  <c r="AS127" i="1"/>
  <c r="AU127" i="1" s="1"/>
  <c r="AV127" i="1" s="1"/>
  <c r="AS383" i="1"/>
  <c r="AU383" i="1" s="1"/>
  <c r="AV383" i="1" s="1"/>
  <c r="AS355" i="1"/>
  <c r="AU355" i="1" s="1"/>
  <c r="AV355" i="1" s="1"/>
  <c r="AS214" i="1"/>
  <c r="AU214" i="1" s="1"/>
  <c r="AV214" i="1" s="1"/>
  <c r="AS305" i="1"/>
  <c r="AU305" i="1" s="1"/>
  <c r="AV305" i="1" s="1"/>
  <c r="AS19" i="1"/>
  <c r="AU19" i="1" s="1"/>
  <c r="AV19" i="1" s="1"/>
  <c r="AS293" i="1"/>
  <c r="AU293" i="1" s="1"/>
  <c r="AV293" i="1" s="1"/>
  <c r="AS102" i="1"/>
  <c r="AS80" i="1"/>
  <c r="AU80" i="1" s="1"/>
  <c r="AV80" i="1" s="1"/>
  <c r="AS342" i="1"/>
  <c r="AS351" i="1"/>
  <c r="AS411" i="1"/>
  <c r="AS322" i="1"/>
  <c r="AU322" i="1" s="1"/>
  <c r="AV322" i="1" s="1"/>
  <c r="AS246" i="1"/>
  <c r="AS180" i="1"/>
  <c r="AU180" i="1" s="1"/>
  <c r="AV180" i="1" s="1"/>
  <c r="AS176" i="1"/>
  <c r="AS54" i="1"/>
  <c r="AS316" i="1"/>
  <c r="AU316" i="1" s="1"/>
  <c r="AV316" i="1" s="1"/>
  <c r="AS91" i="1"/>
  <c r="AU91" i="1" s="1"/>
  <c r="AV91" i="1" s="1"/>
  <c r="AS108" i="1"/>
  <c r="AU108" i="1" s="1"/>
  <c r="AV108" i="1" s="1"/>
  <c r="AS70" i="1"/>
  <c r="AS248" i="1"/>
  <c r="AS27" i="1"/>
  <c r="AU27" i="1" s="1"/>
  <c r="AV27" i="1" s="1"/>
  <c r="AS174" i="1"/>
  <c r="AS235" i="1"/>
  <c r="AU235" i="1" s="1"/>
  <c r="AV235" i="1" s="1"/>
  <c r="AS326" i="1"/>
  <c r="AU326" i="1" s="1"/>
  <c r="AV326" i="1" s="1"/>
  <c r="AS324" i="1"/>
  <c r="AU324" i="1" s="1"/>
  <c r="AV324" i="1" s="1"/>
  <c r="AS408" i="1"/>
  <c r="AS232" i="1"/>
  <c r="AU232" i="1" s="1"/>
  <c r="AV232" i="1" s="1"/>
  <c r="AS365" i="1"/>
  <c r="AS298" i="1"/>
  <c r="AS153" i="1"/>
  <c r="AS126" i="1"/>
  <c r="AS104" i="1"/>
  <c r="AU104" i="1" s="1"/>
  <c r="AV104" i="1" s="1"/>
  <c r="AS310" i="1"/>
  <c r="AU310" i="1" s="1"/>
  <c r="AV310" i="1" s="1"/>
  <c r="AS202" i="1"/>
  <c r="AS227" i="1"/>
  <c r="AU227" i="1" s="1"/>
  <c r="AV227" i="1" s="1"/>
  <c r="AS57" i="1"/>
  <c r="AS416" i="1"/>
  <c r="AS206" i="1"/>
  <c r="AS271" i="1"/>
  <c r="AS45" i="1"/>
  <c r="AS97" i="1"/>
  <c r="AS412" i="1"/>
  <c r="AS210" i="1"/>
  <c r="AS281" i="1"/>
  <c r="AU281" i="1" s="1"/>
  <c r="AV281" i="1" s="1"/>
  <c r="AS60" i="1"/>
  <c r="AS323" i="1"/>
  <c r="AU323" i="1" s="1"/>
  <c r="AV323" i="1" s="1"/>
  <c r="AS242" i="1"/>
  <c r="AU242" i="1" s="1"/>
  <c r="AV242" i="1" s="1"/>
  <c r="AS143" i="1"/>
  <c r="AU143" i="1" s="1"/>
  <c r="AV143" i="1" s="1"/>
  <c r="AS173" i="1"/>
  <c r="AS401" i="1"/>
  <c r="AU401" i="1" s="1"/>
  <c r="AV401" i="1" s="1"/>
  <c r="AS360" i="1"/>
  <c r="AS269" i="1"/>
  <c r="AS216" i="1"/>
  <c r="AU216" i="1" s="1"/>
  <c r="AV216" i="1" s="1"/>
  <c r="AS377" i="1"/>
  <c r="AU377" i="1" s="1"/>
  <c r="AV377" i="1" s="1"/>
  <c r="AS291" i="1"/>
  <c r="AS158" i="1"/>
  <c r="AS388" i="1"/>
  <c r="AS38" i="1"/>
  <c r="AU38" i="1" s="1"/>
  <c r="AV38" i="1" s="1"/>
  <c r="AS59" i="1"/>
  <c r="AS35" i="1"/>
  <c r="AU35" i="1" s="1"/>
  <c r="AV35" i="1" s="1"/>
  <c r="AS23" i="1"/>
  <c r="AU23" i="1" s="1"/>
  <c r="AV23" i="1" s="1"/>
  <c r="AS347" i="1"/>
  <c r="AS190" i="1"/>
  <c r="AS344" i="1"/>
  <c r="AS110" i="1"/>
  <c r="AS201" i="1"/>
  <c r="AS402" i="1"/>
  <c r="AU402" i="1" s="1"/>
  <c r="AV402" i="1" s="1"/>
  <c r="AS21" i="1"/>
  <c r="AU21" i="1" s="1"/>
  <c r="AV21" i="1" s="1"/>
  <c r="AS199" i="1"/>
  <c r="AS250" i="1"/>
  <c r="AU250" i="1" s="1"/>
  <c r="AV250" i="1" s="1"/>
  <c r="AS8" i="1"/>
  <c r="AU8" i="1" s="1"/>
  <c r="AV8" i="1" s="1"/>
  <c r="AS10" i="1"/>
  <c r="AX35" i="1" l="1"/>
  <c r="AW35" i="1"/>
  <c r="AW19" i="1"/>
  <c r="AX19" i="1"/>
  <c r="AX147" i="1"/>
  <c r="AW147" i="1"/>
  <c r="AX28" i="1"/>
  <c r="AW28" i="1"/>
  <c r="AW15" i="1"/>
  <c r="AX15" i="1"/>
  <c r="AX17" i="1"/>
  <c r="AW17" i="1"/>
  <c r="AW139" i="1"/>
  <c r="AX139" i="1"/>
  <c r="AW29" i="1"/>
  <c r="AX29" i="1"/>
  <c r="AW49" i="1"/>
  <c r="AX49" i="1"/>
  <c r="AW14" i="1"/>
  <c r="AX14" i="1"/>
  <c r="AW27" i="1"/>
  <c r="AX27" i="1"/>
  <c r="AW180" i="1"/>
  <c r="AX180" i="1"/>
  <c r="AX34" i="1"/>
  <c r="AW34" i="1"/>
  <c r="AX144" i="1"/>
  <c r="AW144" i="1"/>
  <c r="AX36" i="1"/>
  <c r="AW36" i="1"/>
  <c r="AW137" i="1"/>
  <c r="AX137" i="1"/>
  <c r="AW187" i="1"/>
  <c r="AX187" i="1"/>
  <c r="AX33" i="1"/>
  <c r="AW33" i="1"/>
  <c r="AX30" i="1"/>
  <c r="AW30" i="1"/>
  <c r="AX141" i="1"/>
  <c r="AW141" i="1"/>
  <c r="AX87" i="1"/>
  <c r="AW87" i="1"/>
  <c r="AX145" i="1"/>
  <c r="AW145" i="1"/>
  <c r="AU416" i="1"/>
  <c r="AV416" i="1" s="1"/>
  <c r="AW416" i="1" s="1"/>
  <c r="AU201" i="1"/>
  <c r="AV201" i="1" s="1"/>
  <c r="AX201" i="1" s="1"/>
  <c r="AU412" i="1"/>
  <c r="AV412" i="1" s="1"/>
  <c r="AX412" i="1" s="1"/>
  <c r="AU45" i="1"/>
  <c r="AV45" i="1" s="1"/>
  <c r="AW45" i="1" s="1"/>
  <c r="AU206" i="1"/>
  <c r="AV206" i="1" s="1"/>
  <c r="AW206" i="1" s="1"/>
  <c r="AU57" i="1"/>
  <c r="AV57" i="1" s="1"/>
  <c r="AW57" i="1" s="1"/>
  <c r="AU202" i="1"/>
  <c r="AV202" i="1" s="1"/>
  <c r="AW202" i="1" s="1"/>
  <c r="AU365" i="1"/>
  <c r="AV365" i="1" s="1"/>
  <c r="AW365" i="1" s="1"/>
  <c r="AU408" i="1"/>
  <c r="AV408" i="1" s="1"/>
  <c r="AX408" i="1" s="1"/>
  <c r="AU174" i="1"/>
  <c r="AV174" i="1" s="1"/>
  <c r="AW174" i="1" s="1"/>
  <c r="AU176" i="1"/>
  <c r="AV176" i="1" s="1"/>
  <c r="AX176" i="1" s="1"/>
  <c r="AU411" i="1"/>
  <c r="AV411" i="1" s="1"/>
  <c r="AX411" i="1" s="1"/>
  <c r="AU342" i="1"/>
  <c r="AV342" i="1" s="1"/>
  <c r="AW342" i="1" s="1"/>
  <c r="AU102" i="1"/>
  <c r="AV102" i="1" s="1"/>
  <c r="AX102" i="1" s="1"/>
  <c r="AU106" i="1"/>
  <c r="AV106" i="1" s="1"/>
  <c r="AX106" i="1" s="1"/>
  <c r="AU175" i="1"/>
  <c r="AV175" i="1" s="1"/>
  <c r="AX175" i="1" s="1"/>
  <c r="AU62" i="1"/>
  <c r="AV62" i="1" s="1"/>
  <c r="AW62" i="1" s="1"/>
  <c r="AU116" i="1"/>
  <c r="AV116" i="1" s="1"/>
  <c r="AW116" i="1" s="1"/>
  <c r="AU381" i="1"/>
  <c r="AV381" i="1" s="1"/>
  <c r="AW381" i="1" s="1"/>
  <c r="AU64" i="1"/>
  <c r="AV64" i="1" s="1"/>
  <c r="AW64" i="1" s="1"/>
  <c r="AU285" i="1"/>
  <c r="AV285" i="1" s="1"/>
  <c r="AW285" i="1" s="1"/>
  <c r="AU353" i="1"/>
  <c r="AV353" i="1" s="1"/>
  <c r="AX353" i="1" s="1"/>
  <c r="AU284" i="1"/>
  <c r="AV284" i="1" s="1"/>
  <c r="AW284" i="1" s="1"/>
  <c r="AU122" i="1"/>
  <c r="AV122" i="1" s="1"/>
  <c r="AW122" i="1" s="1"/>
  <c r="AU290" i="1"/>
  <c r="AV290" i="1" s="1"/>
  <c r="AW290" i="1" s="1"/>
  <c r="AU200" i="1"/>
  <c r="AV200" i="1" s="1"/>
  <c r="AW200" i="1" s="1"/>
  <c r="AU205" i="1"/>
  <c r="AV205" i="1" s="1"/>
  <c r="AX205" i="1" s="1"/>
  <c r="AU299" i="1"/>
  <c r="AV299" i="1" s="1"/>
  <c r="AW299" i="1" s="1"/>
  <c r="AU390" i="1"/>
  <c r="AV390" i="1" s="1"/>
  <c r="AW390" i="1" s="1"/>
  <c r="AU9" i="1"/>
  <c r="AV9" i="1" s="1"/>
  <c r="AW9" i="1" s="1"/>
  <c r="AU92" i="1"/>
  <c r="AV92" i="1" s="1"/>
  <c r="AX92" i="1" s="1"/>
  <c r="AU75" i="1"/>
  <c r="AV75" i="1" s="1"/>
  <c r="AW75" i="1" s="1"/>
  <c r="AU255" i="1"/>
  <c r="AV255" i="1" s="1"/>
  <c r="AX255" i="1" s="1"/>
  <c r="AU198" i="1"/>
  <c r="AV198" i="1" s="1"/>
  <c r="AW198" i="1" s="1"/>
  <c r="AU266" i="1"/>
  <c r="AV266" i="1" s="1"/>
  <c r="AW266" i="1" s="1"/>
  <c r="AU109" i="1"/>
  <c r="AV109" i="1" s="1"/>
  <c r="AX109" i="1" s="1"/>
  <c r="AU67" i="1"/>
  <c r="AV67" i="1" s="1"/>
  <c r="AW67" i="1" s="1"/>
  <c r="AU374" i="1"/>
  <c r="AV374" i="1" s="1"/>
  <c r="AX374" i="1" s="1"/>
  <c r="AU177" i="1"/>
  <c r="AV177" i="1" s="1"/>
  <c r="AW177" i="1" s="1"/>
  <c r="AU212" i="1"/>
  <c r="AV212" i="1" s="1"/>
  <c r="AX212" i="1" s="1"/>
  <c r="AU387" i="1"/>
  <c r="AV387" i="1" s="1"/>
  <c r="AX387" i="1" s="1"/>
  <c r="AU203" i="1"/>
  <c r="AV203" i="1" s="1"/>
  <c r="AX203" i="1" s="1"/>
  <c r="AU76" i="1"/>
  <c r="AV76" i="1" s="1"/>
  <c r="AW76" i="1" s="1"/>
  <c r="AU391" i="1"/>
  <c r="AV391" i="1" s="1"/>
  <c r="AX391" i="1" s="1"/>
  <c r="AU393" i="1"/>
  <c r="AV393" i="1" s="1"/>
  <c r="AW393" i="1" s="1"/>
  <c r="AU345" i="1"/>
  <c r="AV345" i="1" s="1"/>
  <c r="AX345" i="1" s="1"/>
  <c r="AU85" i="1"/>
  <c r="AV85" i="1" s="1"/>
  <c r="AX85" i="1" s="1"/>
  <c r="AU208" i="1"/>
  <c r="AV208" i="1" s="1"/>
  <c r="AW208" i="1" s="1"/>
  <c r="AU282" i="1"/>
  <c r="AV282" i="1" s="1"/>
  <c r="AW282" i="1" s="1"/>
  <c r="AU50" i="1"/>
  <c r="AV50" i="1" s="1"/>
  <c r="AX50" i="1" s="1"/>
  <c r="AU346" i="1"/>
  <c r="AV346" i="1" s="1"/>
  <c r="AW346" i="1" s="1"/>
  <c r="AU46" i="1"/>
  <c r="AV46" i="1" s="1"/>
  <c r="AW46" i="1" s="1"/>
  <c r="AU121" i="1"/>
  <c r="AV121" i="1" s="1"/>
  <c r="AW121" i="1" s="1"/>
  <c r="AU117" i="1"/>
  <c r="AV117" i="1" s="1"/>
  <c r="AW117" i="1" s="1"/>
  <c r="AU276" i="1"/>
  <c r="AV276" i="1" s="1"/>
  <c r="AW276" i="1" s="1"/>
  <c r="AU389" i="1"/>
  <c r="AV389" i="1" s="1"/>
  <c r="AW389" i="1" s="1"/>
  <c r="AU171" i="1"/>
  <c r="AV171" i="1" s="1"/>
  <c r="AW171" i="1" s="1"/>
  <c r="AU93" i="1"/>
  <c r="AV93" i="1" s="1"/>
  <c r="AX93" i="1" s="1"/>
  <c r="AU72" i="1"/>
  <c r="AV72" i="1" s="1"/>
  <c r="AW72" i="1" s="1"/>
  <c r="AU349" i="1"/>
  <c r="AV349" i="1" s="1"/>
  <c r="AW349" i="1" s="1"/>
  <c r="AU343" i="1"/>
  <c r="AV343" i="1" s="1"/>
  <c r="AW343" i="1" s="1"/>
  <c r="AU257" i="1"/>
  <c r="AV257" i="1" s="1"/>
  <c r="AW257" i="1" s="1"/>
  <c r="AU357" i="1"/>
  <c r="AV357" i="1" s="1"/>
  <c r="AX357" i="1" s="1"/>
  <c r="AU118" i="1"/>
  <c r="AV118" i="1" s="1"/>
  <c r="AX118" i="1" s="1"/>
  <c r="AU396" i="1"/>
  <c r="AV396" i="1" s="1"/>
  <c r="AW396" i="1" s="1"/>
  <c r="AU265" i="1"/>
  <c r="AV265" i="1" s="1"/>
  <c r="AX265" i="1" s="1"/>
  <c r="AU286" i="1"/>
  <c r="AV286" i="1" s="1"/>
  <c r="AX286" i="1" s="1"/>
  <c r="AU69" i="1"/>
  <c r="AV69" i="1" s="1"/>
  <c r="AX69" i="1" s="1"/>
  <c r="AU84" i="1"/>
  <c r="AV84" i="1" s="1"/>
  <c r="AX84" i="1" s="1"/>
  <c r="AU263" i="1"/>
  <c r="AV263" i="1" s="1"/>
  <c r="AX263" i="1" s="1"/>
  <c r="AU344" i="1"/>
  <c r="AV344" i="1" s="1"/>
  <c r="AW344" i="1" s="1"/>
  <c r="AU347" i="1"/>
  <c r="AV347" i="1" s="1"/>
  <c r="AW347" i="1" s="1"/>
  <c r="AU269" i="1"/>
  <c r="AV269" i="1" s="1"/>
  <c r="AW269" i="1" s="1"/>
  <c r="AU10" i="1"/>
  <c r="AV10" i="1" s="1"/>
  <c r="AW10" i="1" s="1"/>
  <c r="AU199" i="1"/>
  <c r="AV199" i="1" s="1"/>
  <c r="AX199" i="1" s="1"/>
  <c r="AU110" i="1"/>
  <c r="AV110" i="1" s="1"/>
  <c r="AX110" i="1" s="1"/>
  <c r="AU190" i="1"/>
  <c r="AV190" i="1" s="1"/>
  <c r="AW190" i="1" s="1"/>
  <c r="AU59" i="1"/>
  <c r="AV59" i="1" s="1"/>
  <c r="AW59" i="1" s="1"/>
  <c r="AU388" i="1"/>
  <c r="AV388" i="1" s="1"/>
  <c r="AW388" i="1" s="1"/>
  <c r="AU291" i="1"/>
  <c r="AV291" i="1" s="1"/>
  <c r="AW291" i="1" s="1"/>
  <c r="AU360" i="1"/>
  <c r="AV360" i="1" s="1"/>
  <c r="AW360" i="1" s="1"/>
  <c r="AU173" i="1"/>
  <c r="AV173" i="1" s="1"/>
  <c r="AW173" i="1" s="1"/>
  <c r="AU60" i="1"/>
  <c r="AV60" i="1" s="1"/>
  <c r="AW60" i="1" s="1"/>
  <c r="AU210" i="1"/>
  <c r="AV210" i="1" s="1"/>
  <c r="AW210" i="1" s="1"/>
  <c r="AU97" i="1"/>
  <c r="AV97" i="1" s="1"/>
  <c r="AW97" i="1" s="1"/>
  <c r="AU271" i="1"/>
  <c r="AV271" i="1" s="1"/>
  <c r="AW271" i="1" s="1"/>
  <c r="AU126" i="1"/>
  <c r="AV126" i="1" s="1"/>
  <c r="AW126" i="1" s="1"/>
  <c r="AU298" i="1"/>
  <c r="AV298" i="1" s="1"/>
  <c r="AW298" i="1" s="1"/>
  <c r="AU70" i="1"/>
  <c r="AV70" i="1" s="1"/>
  <c r="AW70" i="1" s="1"/>
  <c r="AU54" i="1"/>
  <c r="AV54" i="1" s="1"/>
  <c r="AW54" i="1" s="1"/>
  <c r="AU351" i="1"/>
  <c r="AV351" i="1" s="1"/>
  <c r="AX351" i="1" s="1"/>
  <c r="AU120" i="1"/>
  <c r="AV120" i="1" s="1"/>
  <c r="AW120" i="1" s="1"/>
  <c r="AU4" i="1"/>
  <c r="AV4" i="1" s="1"/>
  <c r="AX4" i="1" s="1"/>
  <c r="AU283" i="1"/>
  <c r="AV283" i="1" s="1"/>
  <c r="AW283" i="1" s="1"/>
  <c r="AU83" i="1"/>
  <c r="AV83" i="1" s="1"/>
  <c r="AX83" i="1" s="1"/>
  <c r="AU359" i="1"/>
  <c r="AV359" i="1" s="1"/>
  <c r="AW359" i="1" s="1"/>
  <c r="AU44" i="1"/>
  <c r="AV44" i="1" s="1"/>
  <c r="AW44" i="1" s="1"/>
  <c r="AU363" i="1"/>
  <c r="AV363" i="1" s="1"/>
  <c r="AW363" i="1" s="1"/>
  <c r="AU267" i="1"/>
  <c r="AV267" i="1" s="1"/>
  <c r="AW267" i="1" s="1"/>
  <c r="AU275" i="1"/>
  <c r="AV275" i="1" s="1"/>
  <c r="AW275" i="1" s="1"/>
  <c r="AU66" i="1"/>
  <c r="AV66" i="1" s="1"/>
  <c r="AX66" i="1" s="1"/>
  <c r="AU77" i="1"/>
  <c r="AV77" i="1" s="1"/>
  <c r="AW77" i="1" s="1"/>
  <c r="AU392" i="1"/>
  <c r="AV392" i="1" s="1"/>
  <c r="AW392" i="1" s="1"/>
  <c r="AU358" i="1"/>
  <c r="AV358" i="1" s="1"/>
  <c r="AW358" i="1" s="1"/>
  <c r="AU5" i="1"/>
  <c r="AV5" i="1" s="1"/>
  <c r="AX5" i="1" s="1"/>
  <c r="AU7" i="1"/>
  <c r="AV7" i="1" s="1"/>
  <c r="AW7" i="1" s="1"/>
  <c r="AU264" i="1"/>
  <c r="AV264" i="1" s="1"/>
  <c r="AW264" i="1" s="1"/>
  <c r="AU370" i="1"/>
  <c r="AV370" i="1" s="1"/>
  <c r="AX370" i="1" s="1"/>
  <c r="AU262" i="1"/>
  <c r="AV262" i="1" s="1"/>
  <c r="AX262" i="1" s="1"/>
  <c r="AU73" i="1"/>
  <c r="AV73" i="1" s="1"/>
  <c r="AW73" i="1" s="1"/>
  <c r="AU43" i="1"/>
  <c r="AV43" i="1" s="1"/>
  <c r="AW43" i="1" s="1"/>
  <c r="AU395" i="1"/>
  <c r="AV395" i="1" s="1"/>
  <c r="AW395" i="1" s="1"/>
  <c r="AU195" i="1"/>
  <c r="AV195" i="1" s="1"/>
  <c r="AW195" i="1" s="1"/>
  <c r="AU119" i="1"/>
  <c r="AV119" i="1" s="1"/>
  <c r="AW119" i="1" s="1"/>
  <c r="AU189" i="1"/>
  <c r="AV189" i="1" s="1"/>
  <c r="AW189" i="1" s="1"/>
  <c r="AU103" i="1"/>
  <c r="AV103" i="1" s="1"/>
  <c r="AW103" i="1" s="1"/>
  <c r="AU68" i="1"/>
  <c r="AV68" i="1" s="1"/>
  <c r="AX68" i="1" s="1"/>
  <c r="AU52" i="1"/>
  <c r="AV52" i="1" s="1"/>
  <c r="AW52" i="1" s="1"/>
  <c r="AU172" i="1"/>
  <c r="AV172" i="1" s="1"/>
  <c r="AW172" i="1" s="1"/>
  <c r="AU125" i="1"/>
  <c r="AV125" i="1" s="1"/>
  <c r="AW125" i="1" s="1"/>
  <c r="AU96" i="1"/>
  <c r="AV96" i="1" s="1"/>
  <c r="AX96" i="1" s="1"/>
  <c r="AU105" i="1"/>
  <c r="AV105" i="1" s="1"/>
  <c r="AW105" i="1" s="1"/>
  <c r="AU261" i="1"/>
  <c r="AV261" i="1" s="1"/>
  <c r="AX261" i="1" s="1"/>
  <c r="AU42" i="1"/>
  <c r="AV42" i="1" s="1"/>
  <c r="AW42" i="1" s="1"/>
  <c r="AU356" i="1"/>
  <c r="AV356" i="1" s="1"/>
  <c r="AX356" i="1" s="1"/>
  <c r="AU348" i="1"/>
  <c r="AV348" i="1" s="1"/>
  <c r="AX348" i="1" s="1"/>
  <c r="AU55" i="1"/>
  <c r="AV55" i="1" s="1"/>
  <c r="AW55" i="1" s="1"/>
  <c r="AU397" i="1"/>
  <c r="AV397" i="1" s="1"/>
  <c r="AW397" i="1" s="1"/>
  <c r="AU277" i="1"/>
  <c r="AV277" i="1" s="1"/>
  <c r="AW277" i="1" s="1"/>
  <c r="AU123" i="1"/>
  <c r="AV123" i="1" s="1"/>
  <c r="AW123" i="1" s="1"/>
  <c r="AU95" i="1"/>
  <c r="AV95" i="1" s="1"/>
  <c r="AX95" i="1" s="1"/>
  <c r="AU81" i="1"/>
  <c r="AV81" i="1" s="1"/>
  <c r="AX81" i="1" s="1"/>
  <c r="AU99" i="1"/>
  <c r="AV99" i="1" s="1"/>
  <c r="AX99" i="1" s="1"/>
  <c r="AU274" i="1"/>
  <c r="AV274" i="1" s="1"/>
  <c r="AX274" i="1" s="1"/>
  <c r="AU47" i="1"/>
  <c r="AV47" i="1" s="1"/>
  <c r="AX47" i="1" s="1"/>
  <c r="AU352" i="1"/>
  <c r="AV352" i="1" s="1"/>
  <c r="AW352" i="1" s="1"/>
  <c r="AU366" i="1"/>
  <c r="AV366" i="1" s="1"/>
  <c r="AW366" i="1" s="1"/>
  <c r="AX250" i="1"/>
  <c r="AW250" i="1"/>
  <c r="AW21" i="1"/>
  <c r="AX21" i="1"/>
  <c r="AW38" i="1"/>
  <c r="AX38" i="1"/>
  <c r="AX377" i="1"/>
  <c r="AW377" i="1"/>
  <c r="AW401" i="1"/>
  <c r="AX401" i="1"/>
  <c r="AX143" i="1"/>
  <c r="AW143" i="1"/>
  <c r="AW323" i="1"/>
  <c r="AX323" i="1"/>
  <c r="AX281" i="1"/>
  <c r="AW281" i="1"/>
  <c r="AX104" i="1"/>
  <c r="AW104" i="1"/>
  <c r="AW326" i="1"/>
  <c r="AX326" i="1"/>
  <c r="AW108" i="1"/>
  <c r="AX108" i="1"/>
  <c r="AW316" i="1"/>
  <c r="AX316" i="1"/>
  <c r="AW214" i="1"/>
  <c r="AX214" i="1"/>
  <c r="AX383" i="1"/>
  <c r="AW383" i="1"/>
  <c r="AX191" i="1"/>
  <c r="AW191" i="1"/>
  <c r="AX3" i="1"/>
  <c r="AW3" i="1"/>
  <c r="AW297" i="1"/>
  <c r="AX297" i="1"/>
  <c r="AX304" i="1"/>
  <c r="AW304" i="1"/>
  <c r="AW413" i="1"/>
  <c r="AX413" i="1"/>
  <c r="AX287" i="1"/>
  <c r="AW287" i="1"/>
  <c r="AW331" i="1"/>
  <c r="AX331" i="1"/>
  <c r="AW142" i="1"/>
  <c r="AX142" i="1"/>
  <c r="AW138" i="1"/>
  <c r="AX138" i="1"/>
  <c r="AW309" i="1"/>
  <c r="AX309" i="1"/>
  <c r="AX301" i="1"/>
  <c r="AW301" i="1"/>
  <c r="AW306" i="1"/>
  <c r="AX306" i="1"/>
  <c r="AW193" i="1"/>
  <c r="AX193" i="1"/>
  <c r="AX256" i="1"/>
  <c r="AW256" i="1"/>
  <c r="AX226" i="1"/>
  <c r="AW226" i="1"/>
  <c r="AW361" i="1"/>
  <c r="AX361" i="1"/>
  <c r="AX303" i="1"/>
  <c r="AW303" i="1"/>
  <c r="AX89" i="1"/>
  <c r="AW89" i="1"/>
  <c r="AX380" i="1"/>
  <c r="AW380" i="1"/>
  <c r="AX294" i="1"/>
  <c r="AW294" i="1"/>
  <c r="AW188" i="1"/>
  <c r="AX188" i="1"/>
  <c r="AX312" i="1"/>
  <c r="AW312" i="1"/>
  <c r="AW132" i="1"/>
  <c r="AX132" i="1"/>
  <c r="AW372" i="1"/>
  <c r="AX372" i="1"/>
  <c r="AX219" i="1"/>
  <c r="AW219" i="1"/>
  <c r="AW404" i="1"/>
  <c r="AX404" i="1"/>
  <c r="AX410" i="1"/>
  <c r="AW410" i="1"/>
  <c r="AX56" i="1"/>
  <c r="AW56" i="1"/>
  <c r="AW270" i="1"/>
  <c r="AX270" i="1"/>
  <c r="AW341" i="1"/>
  <c r="AX341" i="1"/>
  <c r="AW40" i="1"/>
  <c r="AX40" i="1"/>
  <c r="AX317" i="1"/>
  <c r="AW317" i="1"/>
  <c r="AX373" i="1"/>
  <c r="AW373" i="1"/>
  <c r="AX279" i="1"/>
  <c r="AW279" i="1"/>
  <c r="AX319" i="1"/>
  <c r="AW319" i="1"/>
  <c r="AW278" i="1"/>
  <c r="AX278" i="1"/>
  <c r="AX196" i="1"/>
  <c r="AW196" i="1"/>
  <c r="AX258" i="1"/>
  <c r="AW258" i="1"/>
  <c r="AW98" i="1"/>
  <c r="AX98" i="1"/>
  <c r="AX134" i="1"/>
  <c r="AW134" i="1"/>
  <c r="AX332" i="1"/>
  <c r="AW332" i="1"/>
  <c r="AX329" i="1"/>
  <c r="AW329" i="1"/>
  <c r="AW12" i="1"/>
  <c r="AX12" i="1"/>
  <c r="AW194" i="1"/>
  <c r="AX194" i="1"/>
  <c r="AW220" i="1"/>
  <c r="AX220" i="1"/>
  <c r="AX340" i="1"/>
  <c r="AW340" i="1"/>
  <c r="AW311" i="1"/>
  <c r="AX311" i="1"/>
  <c r="AW8" i="1"/>
  <c r="AX8" i="1"/>
  <c r="AW402" i="1"/>
  <c r="AX402" i="1"/>
  <c r="AW23" i="1"/>
  <c r="AX23" i="1"/>
  <c r="AX216" i="1"/>
  <c r="AW216" i="1"/>
  <c r="AX242" i="1"/>
  <c r="AW242" i="1"/>
  <c r="AW227" i="1"/>
  <c r="AX227" i="1"/>
  <c r="AX310" i="1"/>
  <c r="AW310" i="1"/>
  <c r="AX232" i="1"/>
  <c r="AW232" i="1"/>
  <c r="AW324" i="1"/>
  <c r="AX324" i="1"/>
  <c r="AW235" i="1"/>
  <c r="AX235" i="1"/>
  <c r="AW91" i="1"/>
  <c r="AX91" i="1"/>
  <c r="AX322" i="1"/>
  <c r="AW322" i="1"/>
  <c r="AX80" i="1"/>
  <c r="AW80" i="1"/>
  <c r="AW293" i="1"/>
  <c r="AX293" i="1"/>
  <c r="AX305" i="1"/>
  <c r="AW305" i="1"/>
  <c r="AW355" i="1"/>
  <c r="AX355" i="1"/>
  <c r="AW127" i="1"/>
  <c r="AX127" i="1"/>
  <c r="AW150" i="1"/>
  <c r="AX150" i="1"/>
  <c r="AW259" i="1"/>
  <c r="AX259" i="1"/>
  <c r="AX185" i="1"/>
  <c r="AW185" i="1"/>
  <c r="AX405" i="1"/>
  <c r="AW405" i="1"/>
  <c r="AW239" i="1"/>
  <c r="AX239" i="1"/>
  <c r="AX272" i="1"/>
  <c r="AW272" i="1"/>
  <c r="AX315" i="1"/>
  <c r="AW315" i="1"/>
  <c r="AW382" i="1"/>
  <c r="AX382" i="1"/>
  <c r="AX221" i="1"/>
  <c r="AW221" i="1"/>
  <c r="AX369" i="1"/>
  <c r="AW369" i="1"/>
  <c r="AX236" i="1"/>
  <c r="AW236" i="1"/>
  <c r="AX233" i="1"/>
  <c r="AW233" i="1"/>
  <c r="AW101" i="1"/>
  <c r="AX101" i="1"/>
  <c r="AW368" i="1"/>
  <c r="AX368" i="1"/>
  <c r="AX218" i="1"/>
  <c r="AW218" i="1"/>
  <c r="AX379" i="1"/>
  <c r="AW379" i="1"/>
  <c r="AW409" i="1"/>
  <c r="AX409" i="1"/>
  <c r="AW300" i="1"/>
  <c r="AX300" i="1"/>
  <c r="AW288" i="1"/>
  <c r="AX288" i="1"/>
  <c r="AX289" i="1"/>
  <c r="AW289" i="1"/>
  <c r="AX400" i="1"/>
  <c r="AW400" i="1"/>
  <c r="AX330" i="1"/>
  <c r="AW330" i="1"/>
  <c r="AX135" i="1"/>
  <c r="AW135" i="1"/>
  <c r="AW129" i="1"/>
  <c r="AX129" i="1"/>
  <c r="AW65" i="1"/>
  <c r="AX65" i="1"/>
  <c r="AX406" i="1"/>
  <c r="AW406" i="1"/>
  <c r="AW415" i="1"/>
  <c r="AX415" i="1"/>
  <c r="AW327" i="1"/>
  <c r="AX327" i="1"/>
  <c r="AW112" i="1"/>
  <c r="AX112" i="1"/>
  <c r="AX78" i="1"/>
  <c r="AW78" i="1"/>
  <c r="AX237" i="1"/>
  <c r="AW237" i="1"/>
  <c r="AX384" i="1"/>
  <c r="AW384" i="1"/>
  <c r="AW376" i="1"/>
  <c r="AX376" i="1"/>
  <c r="AX241" i="1"/>
  <c r="AW241" i="1"/>
  <c r="AX385" i="1"/>
  <c r="AW385" i="1"/>
  <c r="AX414" i="1"/>
  <c r="AW414" i="1"/>
  <c r="AW25" i="1"/>
  <c r="AX25" i="1"/>
  <c r="AX71" i="1"/>
  <c r="AW71" i="1"/>
  <c r="AW334" i="1"/>
  <c r="AX334" i="1"/>
  <c r="AX228" i="1"/>
  <c r="AW228" i="1"/>
  <c r="AW296" i="1"/>
  <c r="AX296" i="1"/>
  <c r="AW320" i="1"/>
  <c r="AX320" i="1"/>
  <c r="AW335" i="1"/>
  <c r="AX335" i="1"/>
  <c r="AX149" i="1"/>
  <c r="AW149" i="1"/>
  <c r="AW398" i="1"/>
  <c r="AX398" i="1"/>
  <c r="AX254" i="1"/>
  <c r="AW254" i="1"/>
  <c r="AW338" i="1"/>
  <c r="AX338" i="1"/>
  <c r="AX225" i="1"/>
  <c r="AW225" i="1"/>
  <c r="AW399" i="1"/>
  <c r="AX399" i="1"/>
  <c r="AX186" i="1"/>
  <c r="AW186" i="1"/>
  <c r="AW90" i="1"/>
  <c r="AX90" i="1"/>
  <c r="AW82" i="1"/>
  <c r="AX82" i="1"/>
  <c r="AX336" i="1"/>
  <c r="AW336" i="1"/>
  <c r="AX273" i="1"/>
  <c r="AW273" i="1"/>
  <c r="AX131" i="1"/>
  <c r="AW131" i="1"/>
  <c r="AW107" i="1"/>
  <c r="AX107" i="1"/>
  <c r="AW364" i="1"/>
  <c r="AX364" i="1"/>
  <c r="AX295" i="1"/>
  <c r="AW295" i="1"/>
  <c r="AX333" i="1"/>
  <c r="AW333" i="1"/>
  <c r="AX325" i="1"/>
  <c r="AW325" i="1"/>
  <c r="AW114" i="1"/>
  <c r="AX114" i="1"/>
  <c r="AW230" i="1"/>
  <c r="AX230" i="1"/>
  <c r="AX314" i="1"/>
  <c r="AW314" i="1"/>
  <c r="AW179" i="1"/>
  <c r="AX179" i="1"/>
  <c r="AX307" i="1"/>
  <c r="AW307" i="1"/>
  <c r="AX378" i="1"/>
  <c r="AW378" i="1"/>
  <c r="AX318" i="1"/>
  <c r="AW318" i="1"/>
  <c r="AX416" i="1" l="1"/>
  <c r="AW412" i="1"/>
  <c r="AX202" i="1"/>
  <c r="AX45" i="1"/>
  <c r="AW201" i="1"/>
  <c r="AW106" i="1"/>
  <c r="AX59" i="1"/>
  <c r="AW176" i="1"/>
  <c r="AX206" i="1"/>
  <c r="AX264" i="1"/>
  <c r="AX76" i="1"/>
  <c r="AW261" i="1"/>
  <c r="AX72" i="1"/>
  <c r="AX9" i="1"/>
  <c r="AW95" i="1"/>
  <c r="AX189" i="1"/>
  <c r="AW66" i="1"/>
  <c r="AX271" i="1"/>
  <c r="AW286" i="1"/>
  <c r="AX346" i="1"/>
  <c r="AX266" i="1"/>
  <c r="AW353" i="1"/>
  <c r="AW47" i="1"/>
  <c r="AX55" i="1"/>
  <c r="AX172" i="1"/>
  <c r="AX43" i="1"/>
  <c r="AW5" i="1"/>
  <c r="AX44" i="1"/>
  <c r="AX54" i="1"/>
  <c r="AX173" i="1"/>
  <c r="AX10" i="1"/>
  <c r="AW357" i="1"/>
  <c r="AX276" i="1"/>
  <c r="AW85" i="1"/>
  <c r="AX177" i="1"/>
  <c r="AW92" i="1"/>
  <c r="AX200" i="1"/>
  <c r="AX116" i="1"/>
  <c r="AX342" i="1"/>
  <c r="AW408" i="1"/>
  <c r="AX366" i="1"/>
  <c r="AW99" i="1"/>
  <c r="AX277" i="1"/>
  <c r="AW356" i="1"/>
  <c r="AW96" i="1"/>
  <c r="AW68" i="1"/>
  <c r="AX195" i="1"/>
  <c r="AW262" i="1"/>
  <c r="AX392" i="1"/>
  <c r="AX267" i="1"/>
  <c r="AW83" i="1"/>
  <c r="AX120" i="1"/>
  <c r="AX298" i="1"/>
  <c r="AX210" i="1"/>
  <c r="AX291" i="1"/>
  <c r="AW110" i="1"/>
  <c r="AW84" i="1"/>
  <c r="AX396" i="1"/>
  <c r="AX343" i="1"/>
  <c r="AX171" i="1"/>
  <c r="AX121" i="1"/>
  <c r="AX282" i="1"/>
  <c r="AX393" i="1"/>
  <c r="AW387" i="1"/>
  <c r="AX67" i="1"/>
  <c r="AW255" i="1"/>
  <c r="AX299" i="1"/>
  <c r="AX122" i="1"/>
  <c r="AX64" i="1"/>
  <c r="AX62" i="1"/>
  <c r="AW102" i="1"/>
  <c r="AW411" i="1"/>
  <c r="AX174" i="1"/>
  <c r="AX365" i="1"/>
  <c r="AX57" i="1"/>
  <c r="AX347" i="1"/>
  <c r="AX352" i="1"/>
  <c r="AW274" i="1"/>
  <c r="AW81" i="1"/>
  <c r="AX123" i="1"/>
  <c r="AX397" i="1"/>
  <c r="AW348" i="1"/>
  <c r="AX42" i="1"/>
  <c r="AX105" i="1"/>
  <c r="AX125" i="1"/>
  <c r="AX52" i="1"/>
  <c r="AX103" i="1"/>
  <c r="AX119" i="1"/>
  <c r="AX395" i="1"/>
  <c r="AX73" i="1"/>
  <c r="AW370" i="1"/>
  <c r="AX7" i="1"/>
  <c r="AX358" i="1"/>
  <c r="AX77" i="1"/>
  <c r="AX275" i="1"/>
  <c r="AX363" i="1"/>
  <c r="AX359" i="1"/>
  <c r="AX283" i="1"/>
  <c r="AW4" i="1"/>
  <c r="AW351" i="1"/>
  <c r="AX70" i="1"/>
  <c r="AX126" i="1"/>
  <c r="AX97" i="1"/>
  <c r="AX60" i="1"/>
  <c r="AX360" i="1"/>
  <c r="AX388" i="1"/>
  <c r="AX190" i="1"/>
  <c r="AW199" i="1"/>
  <c r="AW263" i="1"/>
  <c r="AW69" i="1"/>
  <c r="AW265" i="1"/>
  <c r="AW118" i="1"/>
  <c r="AX257" i="1"/>
  <c r="AX349" i="1"/>
  <c r="AW93" i="1"/>
  <c r="AX389" i="1"/>
  <c r="AX117" i="1"/>
  <c r="AX46" i="1"/>
  <c r="AW50" i="1"/>
  <c r="AX208" i="1"/>
  <c r="AW345" i="1"/>
  <c r="AW391" i="1"/>
  <c r="AW203" i="1"/>
  <c r="AW212" i="1"/>
  <c r="AW374" i="1"/>
  <c r="AW109" i="1"/>
  <c r="AX198" i="1"/>
  <c r="AX75" i="1"/>
  <c r="AX390" i="1"/>
  <c r="AW205" i="1"/>
  <c r="AX290" i="1"/>
  <c r="AX284" i="1"/>
  <c r="AX285" i="1"/>
  <c r="AX381" i="1"/>
  <c r="AW175" i="1"/>
  <c r="AX269" i="1"/>
  <c r="AX344" i="1"/>
  <c r="B5" i="8" l="1"/>
  <c r="J5" i="8" l="1"/>
  <c r="C5" i="8"/>
  <c r="B3" i="11"/>
  <c r="C3" i="11" l="1"/>
  <c r="J3" i="11" l="1"/>
  <c r="I5" i="8" l="1"/>
  <c r="K5" i="8" l="1"/>
  <c r="I3" i="11" l="1"/>
  <c r="K3" i="11" s="1"/>
  <c r="L5" i="8"/>
  <c r="M5" i="8" s="1"/>
  <c r="B4" i="8"/>
  <c r="L3" i="11" l="1"/>
  <c r="J4" i="8"/>
  <c r="I4" i="8"/>
  <c r="C4" i="8"/>
  <c r="K4" i="8" l="1"/>
  <c r="L4" i="8" s="1"/>
  <c r="M3" i="11"/>
  <c r="M4" i="8" l="1"/>
  <c r="A4" i="8" l="1"/>
  <c r="A5" i="8"/>
  <c r="A3" i="11"/>
  <c r="E3" i="11"/>
  <c r="G5" i="8"/>
  <c r="D3" i="11"/>
  <c r="F5" i="8"/>
  <c r="D5" i="8"/>
  <c r="G3" i="11"/>
  <c r="E5" i="8"/>
  <c r="E4" i="8"/>
  <c r="D4" i="8"/>
  <c r="G4" i="8"/>
  <c r="H5" i="8" l="1"/>
  <c r="H3" i="11"/>
  <c r="F3" i="11"/>
  <c r="F4" i="8"/>
  <c r="H4" i="8" l="1"/>
  <c r="A91" i="2" l="1"/>
  <c r="F91" i="2" s="1"/>
  <c r="B91" i="2" l="1"/>
  <c r="D91" i="2" l="1"/>
  <c r="C91" i="2"/>
  <c r="K91" i="2" l="1"/>
  <c r="L91" i="2"/>
  <c r="E91" i="2"/>
  <c r="N91" i="2"/>
  <c r="M91" i="2" l="1"/>
  <c r="I91" i="2"/>
  <c r="H91" i="2"/>
  <c r="G91" i="2" l="1"/>
  <c r="J91" i="2"/>
  <c r="O91" i="2" l="1"/>
  <c r="R91" i="2"/>
  <c r="P91" i="2" l="1"/>
  <c r="Q91" i="2" s="1"/>
  <c r="A83" i="2"/>
  <c r="A93" i="2" s="1"/>
  <c r="A88" i="2"/>
  <c r="A86" i="2" s="1"/>
  <c r="A85" i="2"/>
  <c r="A89" i="2"/>
  <c r="A90" i="2"/>
  <c r="A87" i="2"/>
  <c r="A2" i="2"/>
  <c r="G93" i="2" l="1"/>
  <c r="F85" i="2"/>
  <c r="F86" i="2"/>
  <c r="F93" i="2"/>
  <c r="F88" i="2"/>
  <c r="B93" i="2"/>
  <c r="H93" i="2"/>
  <c r="F90" i="2"/>
  <c r="F87" i="2"/>
  <c r="I93" i="2"/>
  <c r="F89" i="2"/>
  <c r="F83" i="2"/>
  <c r="A3" i="2"/>
  <c r="F2" i="2"/>
  <c r="B3" i="7"/>
  <c r="A4" i="2"/>
  <c r="A5" i="2" s="1"/>
  <c r="A6" i="2" s="1"/>
  <c r="J93" i="2"/>
  <c r="G3" i="2" l="1"/>
  <c r="R3" i="2"/>
  <c r="G6" i="2"/>
  <c r="R6" i="2"/>
  <c r="G5" i="2"/>
  <c r="R5" i="2"/>
  <c r="R4" i="2"/>
  <c r="G4" i="2"/>
  <c r="D93" i="2"/>
  <c r="E93" i="2"/>
  <c r="L93" i="2"/>
  <c r="K93" i="2"/>
  <c r="N93" i="2"/>
  <c r="B3" i="2"/>
  <c r="C3" i="2"/>
  <c r="H3" i="2"/>
  <c r="F6" i="2"/>
  <c r="B5" i="2"/>
  <c r="J4" i="2"/>
  <c r="J5" i="2"/>
  <c r="I4" i="2"/>
  <c r="A7" i="2"/>
  <c r="H6" i="2"/>
  <c r="B4" i="2"/>
  <c r="B6" i="2"/>
  <c r="C5" i="2"/>
  <c r="D3" i="7"/>
  <c r="I3" i="2"/>
  <c r="J3" i="2"/>
  <c r="F3" i="2"/>
  <c r="B3" i="5" s="1"/>
  <c r="J6" i="2"/>
  <c r="I5" i="2"/>
  <c r="C6" i="2"/>
  <c r="H4" i="2"/>
  <c r="I6" i="2"/>
  <c r="H5" i="2"/>
  <c r="C4" i="2"/>
  <c r="F5" i="2"/>
  <c r="F4" i="2"/>
  <c r="E3" i="2" l="1"/>
  <c r="K3" i="2"/>
  <c r="L3" i="2"/>
  <c r="L6" i="2"/>
  <c r="E6" i="2"/>
  <c r="K6" i="2"/>
  <c r="K4" i="2"/>
  <c r="E4" i="2"/>
  <c r="L4" i="2"/>
  <c r="E5" i="2"/>
  <c r="L5" i="2"/>
  <c r="K5" i="2"/>
  <c r="G7" i="2"/>
  <c r="R7" i="2"/>
  <c r="M4" i="2"/>
  <c r="M93" i="2"/>
  <c r="B4" i="5"/>
  <c r="H3" i="5"/>
  <c r="F3" i="5"/>
  <c r="G3" i="5"/>
  <c r="C7" i="2"/>
  <c r="J7" i="2"/>
  <c r="D3" i="5"/>
  <c r="E3" i="5"/>
  <c r="C3" i="5"/>
  <c r="N3" i="2"/>
  <c r="N5" i="2"/>
  <c r="I7" i="2"/>
  <c r="N4" i="2"/>
  <c r="H7" i="2"/>
  <c r="B7" i="2"/>
  <c r="F7" i="2"/>
  <c r="N6" i="2"/>
  <c r="B5" i="5"/>
  <c r="B6" i="5"/>
  <c r="M6" i="2" l="1"/>
  <c r="M3" i="2"/>
  <c r="I3" i="5" s="1"/>
  <c r="J3" i="5"/>
  <c r="A3" i="5"/>
  <c r="I4" i="5"/>
  <c r="I6" i="5"/>
  <c r="J6" i="5"/>
  <c r="J4" i="5"/>
  <c r="J5" i="5"/>
  <c r="O3" i="2"/>
  <c r="P3" i="2" s="1"/>
  <c r="Q3" i="2" s="1"/>
  <c r="M5" i="2"/>
  <c r="I5" i="5" s="1"/>
  <c r="E7" i="2"/>
  <c r="L7" i="2"/>
  <c r="K7" i="2"/>
  <c r="O6" i="2"/>
  <c r="P6" i="2" s="1"/>
  <c r="Q6" i="2" s="1"/>
  <c r="O4" i="2"/>
  <c r="P4" i="2" s="1"/>
  <c r="Q4" i="2" s="1"/>
  <c r="R90" i="2"/>
  <c r="B90" i="2"/>
  <c r="E6" i="5"/>
  <c r="G6" i="5"/>
  <c r="H6" i="5"/>
  <c r="H5" i="5"/>
  <c r="F5" i="5"/>
  <c r="G5" i="5"/>
  <c r="B7" i="5"/>
  <c r="C4" i="5"/>
  <c r="E4" i="5"/>
  <c r="F4" i="5"/>
  <c r="N7" i="2"/>
  <c r="D6" i="5"/>
  <c r="C6" i="5"/>
  <c r="F6" i="5"/>
  <c r="E5" i="5"/>
  <c r="D5" i="5"/>
  <c r="C5" i="5"/>
  <c r="G4" i="5"/>
  <c r="H4" i="5"/>
  <c r="D4" i="5"/>
  <c r="O5" i="2" l="1"/>
  <c r="P5" i="2" s="1"/>
  <c r="Q5" i="2" s="1"/>
  <c r="K3" i="5"/>
  <c r="L3" i="5" s="1"/>
  <c r="M3" i="5" s="1"/>
  <c r="K5" i="5"/>
  <c r="L5" i="5" s="1"/>
  <c r="M5" i="5" s="1"/>
  <c r="K4" i="5"/>
  <c r="L4" i="5" s="1"/>
  <c r="M4" i="5" s="1"/>
  <c r="K6" i="5"/>
  <c r="L6" i="5" s="1"/>
  <c r="M6" i="5" s="1"/>
  <c r="A5" i="5"/>
  <c r="A6" i="5"/>
  <c r="A4" i="5"/>
  <c r="J7" i="5"/>
  <c r="M7" i="2"/>
  <c r="D90" i="2"/>
  <c r="L90" i="2"/>
  <c r="K90" i="2"/>
  <c r="E90" i="2"/>
  <c r="N90" i="2"/>
  <c r="H7" i="5"/>
  <c r="F7" i="5"/>
  <c r="C7" i="5"/>
  <c r="E7" i="5"/>
  <c r="D7" i="5"/>
  <c r="G7" i="5"/>
  <c r="A7" i="5" l="1"/>
  <c r="O7" i="2"/>
  <c r="P7" i="2" s="1"/>
  <c r="Q7" i="2" s="1"/>
  <c r="I7" i="5"/>
  <c r="K7" i="5" s="1"/>
  <c r="L7" i="5" s="1"/>
  <c r="M7" i="5" s="1"/>
  <c r="M90" i="2"/>
  <c r="O90" i="2" s="1"/>
  <c r="P90" i="2" s="1"/>
  <c r="Q90" i="2" s="1"/>
  <c r="R2" i="2" l="1"/>
  <c r="R88" i="2"/>
  <c r="R85" i="2"/>
  <c r="R86" i="2"/>
  <c r="O93" i="2"/>
  <c r="R93" i="2"/>
  <c r="B88" i="2"/>
  <c r="C83" i="2"/>
  <c r="C88" i="2"/>
  <c r="B83" i="2"/>
  <c r="B86" i="2"/>
  <c r="C93" i="2"/>
  <c r="C86" i="2"/>
  <c r="B85" i="2"/>
  <c r="B89" i="2"/>
  <c r="C85" i="2"/>
  <c r="C89" i="2"/>
  <c r="B87" i="2"/>
  <c r="C87" i="2"/>
  <c r="C90" i="2"/>
  <c r="B2" i="2"/>
  <c r="C2" i="2"/>
  <c r="D87" i="2" l="1"/>
  <c r="D89" i="2"/>
  <c r="D85" i="2"/>
  <c r="D86" i="2"/>
  <c r="D83" i="2"/>
  <c r="D88" i="2"/>
  <c r="L86" i="2"/>
  <c r="E86" i="2"/>
  <c r="K86" i="2"/>
  <c r="K89" i="2"/>
  <c r="L89" i="2"/>
  <c r="E89" i="2"/>
  <c r="L85" i="2"/>
  <c r="E85" i="2"/>
  <c r="K85" i="2"/>
  <c r="K88" i="2"/>
  <c r="E88" i="2"/>
  <c r="L88" i="2"/>
  <c r="M88" i="2" s="1"/>
  <c r="K2" i="2"/>
  <c r="L2" i="2"/>
  <c r="E2" i="2"/>
  <c r="P93" i="2"/>
  <c r="Q93" i="2" s="1"/>
  <c r="R89" i="2"/>
  <c r="N86" i="2"/>
  <c r="N89" i="2"/>
  <c r="N88" i="2"/>
  <c r="N85" i="2"/>
  <c r="C3" i="7"/>
  <c r="N2" i="2"/>
  <c r="A3" i="7" l="1"/>
  <c r="J3" i="7"/>
  <c r="M85" i="2"/>
  <c r="O85" i="2" s="1"/>
  <c r="P85" i="2" s="1"/>
  <c r="Q85" i="2" s="1"/>
  <c r="M89" i="2"/>
  <c r="O89" i="2" s="1"/>
  <c r="P89" i="2" s="1"/>
  <c r="Q89" i="2" s="1"/>
  <c r="O88" i="2"/>
  <c r="P88" i="2" s="1"/>
  <c r="Q88" i="2" s="1"/>
  <c r="M2" i="2"/>
  <c r="M86" i="2"/>
  <c r="O86" i="2" s="1"/>
  <c r="P86" i="2" s="1"/>
  <c r="Q86" i="2" s="1"/>
  <c r="G90" i="2"/>
  <c r="K87" i="2"/>
  <c r="L87" i="2"/>
  <c r="E87" i="2"/>
  <c r="I90" i="2"/>
  <c r="H90" i="2"/>
  <c r="N87" i="2"/>
  <c r="J90" i="2"/>
  <c r="O2" i="2" l="1"/>
  <c r="P2" i="2" s="1"/>
  <c r="Q2" i="2" s="1"/>
  <c r="I3" i="7"/>
  <c r="M87" i="2"/>
  <c r="O87" i="2" s="1"/>
  <c r="R87" i="2"/>
  <c r="K3" i="7" l="1"/>
  <c r="P87" i="2"/>
  <c r="Q87" i="2" s="1"/>
  <c r="K83" i="2"/>
  <c r="L83" i="2"/>
  <c r="E83" i="2"/>
  <c r="N83" i="2"/>
  <c r="L3" i="7" l="1"/>
  <c r="M3" i="7" s="1"/>
  <c r="M83" i="2"/>
  <c r="O83" i="2" l="1"/>
  <c r="R83" i="2"/>
  <c r="P83" i="2" l="1"/>
  <c r="Q83" i="2" s="1"/>
  <c r="J2" i="2"/>
  <c r="G2" i="2" l="1"/>
  <c r="H3" i="7"/>
  <c r="E3" i="7"/>
  <c r="H2" i="2"/>
  <c r="I2" i="2"/>
  <c r="I86" i="2" l="1"/>
  <c r="I87" i="2"/>
  <c r="I88" i="2"/>
  <c r="I85" i="2"/>
  <c r="I89" i="2"/>
  <c r="I83" i="2"/>
  <c r="G3" i="7"/>
  <c r="F3" i="7"/>
  <c r="G87" i="2" l="1"/>
  <c r="G86" i="2" l="1"/>
  <c r="G89" i="2" l="1"/>
  <c r="H87" i="2" l="1"/>
  <c r="H86" i="2"/>
  <c r="H88" i="2"/>
  <c r="G88" i="2" l="1"/>
  <c r="G83" i="2"/>
  <c r="G85" i="2"/>
  <c r="H83" i="2"/>
  <c r="H85" i="2"/>
  <c r="H89" i="2"/>
  <c r="J89" i="2"/>
  <c r="J85" i="2"/>
  <c r="J86" i="2"/>
  <c r="J83" i="2"/>
  <c r="J88" i="2"/>
  <c r="J87" i="2"/>
  <c r="A84" i="2" l="1"/>
  <c r="F84" i="2" s="1"/>
  <c r="A92" i="2"/>
  <c r="H92" i="2" s="1"/>
  <c r="D2" i="2"/>
  <c r="D4" i="2"/>
  <c r="D7" i="2"/>
  <c r="D6" i="2"/>
  <c r="D5" i="2"/>
  <c r="D3" i="2"/>
  <c r="J84" i="2"/>
  <c r="A8" i="2"/>
  <c r="G92" i="2" l="1"/>
  <c r="N84" i="2"/>
  <c r="B84" i="2"/>
  <c r="D84" i="2" s="1"/>
  <c r="G84" i="2"/>
  <c r="K84" i="2"/>
  <c r="I84" i="2"/>
  <c r="H84" i="2"/>
  <c r="R84" i="2"/>
  <c r="L84" i="2"/>
  <c r="C84" i="2"/>
  <c r="G8" i="2"/>
  <c r="R8" i="2"/>
  <c r="F92" i="2"/>
  <c r="L92" i="2"/>
  <c r="N92" i="2"/>
  <c r="R92" i="2"/>
  <c r="B92" i="2"/>
  <c r="C92" i="2"/>
  <c r="I92" i="2"/>
  <c r="K92" i="2"/>
  <c r="C8" i="2"/>
  <c r="F8" i="2"/>
  <c r="B8" i="2"/>
  <c r="I8" i="2"/>
  <c r="J92" i="2"/>
  <c r="A9" i="2"/>
  <c r="H8" i="2"/>
  <c r="J8" i="2"/>
  <c r="G9" i="2" l="1"/>
  <c r="R9" i="2"/>
  <c r="M84" i="2"/>
  <c r="O84" i="2" s="1"/>
  <c r="P84" i="2" s="1"/>
  <c r="Q84" i="2" s="1"/>
  <c r="E84" i="2"/>
  <c r="M92" i="2"/>
  <c r="O92" i="2" s="1"/>
  <c r="E8" i="2"/>
  <c r="D8" i="2"/>
  <c r="L8" i="2"/>
  <c r="K8" i="2"/>
  <c r="P92" i="2"/>
  <c r="Q92" i="2" s="1"/>
  <c r="E92" i="2"/>
  <c r="D92" i="2"/>
  <c r="J9" i="2"/>
  <c r="H9" i="2"/>
  <c r="I9" i="2"/>
  <c r="C9" i="2"/>
  <c r="B8" i="5"/>
  <c r="B9" i="2"/>
  <c r="N8" i="2"/>
  <c r="A10" i="2"/>
  <c r="F9" i="2"/>
  <c r="B3" i="4" s="1"/>
  <c r="A11" i="2"/>
  <c r="J8" i="5" l="1"/>
  <c r="G11" i="2"/>
  <c r="R11" i="2"/>
  <c r="E9" i="2"/>
  <c r="L9" i="2"/>
  <c r="D9" i="2"/>
  <c r="K9" i="2"/>
  <c r="G10" i="2"/>
  <c r="R10" i="2"/>
  <c r="M8" i="2"/>
  <c r="I8" i="5" s="1"/>
  <c r="K8" i="5" s="1"/>
  <c r="L8" i="5" s="1"/>
  <c r="M8" i="5" s="1"/>
  <c r="C8" i="5"/>
  <c r="G8" i="5"/>
  <c r="D8" i="5"/>
  <c r="E3" i="4"/>
  <c r="C11" i="2"/>
  <c r="C10" i="2"/>
  <c r="B10" i="2"/>
  <c r="F3" i="4"/>
  <c r="I11" i="2"/>
  <c r="D3" i="4"/>
  <c r="J10" i="2"/>
  <c r="I10" i="2"/>
  <c r="H3" i="4"/>
  <c r="J11" i="2"/>
  <c r="E8" i="5"/>
  <c r="F8" i="5"/>
  <c r="H8" i="5"/>
  <c r="I3" i="4"/>
  <c r="B11" i="2"/>
  <c r="H10" i="2"/>
  <c r="G3" i="4"/>
  <c r="H11" i="2"/>
  <c r="C3" i="4"/>
  <c r="F11" i="2"/>
  <c r="F10" i="2"/>
  <c r="J3" i="4"/>
  <c r="A12" i="2"/>
  <c r="A13" i="2" s="1"/>
  <c r="N9" i="2"/>
  <c r="B4" i="4"/>
  <c r="M9" i="2" l="1"/>
  <c r="A8" i="5"/>
  <c r="G13" i="2"/>
  <c r="R13" i="2"/>
  <c r="R12" i="2"/>
  <c r="G12" i="2"/>
  <c r="E10" i="2"/>
  <c r="D10" i="2"/>
  <c r="L10" i="2"/>
  <c r="K10" i="2"/>
  <c r="E11" i="2"/>
  <c r="D11" i="2"/>
  <c r="K11" i="2"/>
  <c r="L11" i="2"/>
  <c r="K3" i="4"/>
  <c r="L3" i="4" s="1"/>
  <c r="M3" i="4" s="1"/>
  <c r="N3" i="4"/>
  <c r="A3" i="4"/>
  <c r="O9" i="2"/>
  <c r="P9" i="2" s="1"/>
  <c r="Q9" i="2" s="1"/>
  <c r="O8" i="2"/>
  <c r="B12" i="2"/>
  <c r="J13" i="2"/>
  <c r="B5" i="4"/>
  <c r="H4" i="4"/>
  <c r="J12" i="2"/>
  <c r="D4" i="4"/>
  <c r="F12" i="2"/>
  <c r="C13" i="2"/>
  <c r="I4" i="4"/>
  <c r="H12" i="2"/>
  <c r="B13" i="2"/>
  <c r="C12" i="2"/>
  <c r="J4" i="4"/>
  <c r="F13" i="2"/>
  <c r="B3" i="14" s="1"/>
  <c r="F4" i="4"/>
  <c r="I12" i="2"/>
  <c r="I13" i="2"/>
  <c r="E4" i="4"/>
  <c r="N11" i="2"/>
  <c r="A14" i="2"/>
  <c r="H13" i="2"/>
  <c r="C4" i="4"/>
  <c r="N10" i="2"/>
  <c r="G4" i="4"/>
  <c r="M11" i="2" l="1"/>
  <c r="O11" i="2" s="1"/>
  <c r="P11" i="2" s="1"/>
  <c r="Q11" i="2" s="1"/>
  <c r="E13" i="2"/>
  <c r="D13" i="2"/>
  <c r="K13" i="2"/>
  <c r="L13" i="2"/>
  <c r="E12" i="2"/>
  <c r="D12" i="2"/>
  <c r="L12" i="2"/>
  <c r="K12" i="2"/>
  <c r="N4" i="4"/>
  <c r="A4" i="4"/>
  <c r="K4" i="4"/>
  <c r="L4" i="4" s="1"/>
  <c r="M4" i="4" s="1"/>
  <c r="G14" i="2"/>
  <c r="R14" i="2"/>
  <c r="M10" i="2"/>
  <c r="O10" i="2" s="1"/>
  <c r="P10" i="2" s="1"/>
  <c r="Q10" i="2" s="1"/>
  <c r="P8" i="2"/>
  <c r="Q8" i="2" s="1"/>
  <c r="A15" i="2"/>
  <c r="G3" i="14"/>
  <c r="H3" i="14"/>
  <c r="H14" i="2"/>
  <c r="E3" i="14"/>
  <c r="C3" i="14"/>
  <c r="I5" i="4"/>
  <c r="J14" i="2"/>
  <c r="H5" i="4"/>
  <c r="I14" i="2"/>
  <c r="D3" i="14"/>
  <c r="J5" i="4"/>
  <c r="N12" i="2"/>
  <c r="B14" i="2"/>
  <c r="F3" i="14"/>
  <c r="C5" i="4"/>
  <c r="A16" i="2"/>
  <c r="N13" i="2"/>
  <c r="D5" i="4"/>
  <c r="F14" i="2"/>
  <c r="B3" i="9" s="1"/>
  <c r="F5" i="4"/>
  <c r="C14" i="2"/>
  <c r="A17" i="2"/>
  <c r="B6" i="4"/>
  <c r="E5" i="4"/>
  <c r="G5" i="4"/>
  <c r="R15" i="2" l="1"/>
  <c r="G15" i="2"/>
  <c r="M13" i="2"/>
  <c r="I3" i="14" s="1"/>
  <c r="G17" i="2"/>
  <c r="R17" i="2"/>
  <c r="E14" i="2"/>
  <c r="D14" i="2"/>
  <c r="L14" i="2"/>
  <c r="K14" i="2"/>
  <c r="N5" i="4"/>
  <c r="A5" i="4"/>
  <c r="K5" i="4"/>
  <c r="L5" i="4" s="1"/>
  <c r="M5" i="4" s="1"/>
  <c r="A3" i="14"/>
  <c r="J3" i="14"/>
  <c r="K3" i="14" s="1"/>
  <c r="L3" i="14" s="1"/>
  <c r="M3" i="14" s="1"/>
  <c r="R16" i="2"/>
  <c r="G16" i="2"/>
  <c r="M12" i="2"/>
  <c r="O12" i="2" s="1"/>
  <c r="P12" i="2" s="1"/>
  <c r="Q12" i="2" s="1"/>
  <c r="O13" i="2"/>
  <c r="P13" i="2" s="1"/>
  <c r="Q13" i="2" s="1"/>
  <c r="J15" i="2"/>
  <c r="B15" i="2"/>
  <c r="J17" i="2"/>
  <c r="H6" i="4"/>
  <c r="C15" i="2"/>
  <c r="H15" i="2"/>
  <c r="I15" i="2"/>
  <c r="F15" i="2"/>
  <c r="G3" i="9"/>
  <c r="H17" i="2"/>
  <c r="D6" i="4"/>
  <c r="B7" i="4"/>
  <c r="I3" i="9"/>
  <c r="I17" i="2"/>
  <c r="H16" i="2"/>
  <c r="H3" i="9"/>
  <c r="A18" i="2"/>
  <c r="N14" i="2"/>
  <c r="I6" i="4"/>
  <c r="I16" i="2"/>
  <c r="E3" i="9"/>
  <c r="B17" i="2"/>
  <c r="J6" i="4"/>
  <c r="C3" i="9"/>
  <c r="C17" i="2"/>
  <c r="F6" i="4"/>
  <c r="C16" i="2"/>
  <c r="F3" i="9"/>
  <c r="F17" i="2"/>
  <c r="E6" i="4"/>
  <c r="B16" i="2"/>
  <c r="J3" i="9"/>
  <c r="G6" i="4"/>
  <c r="J16" i="2"/>
  <c r="C6" i="4"/>
  <c r="D3" i="9"/>
  <c r="F16" i="2"/>
  <c r="E15" i="2" l="1"/>
  <c r="D15" i="2"/>
  <c r="L15" i="2"/>
  <c r="K15" i="2"/>
  <c r="M14" i="2"/>
  <c r="D16" i="2"/>
  <c r="E16" i="2"/>
  <c r="L16" i="2"/>
  <c r="K16" i="2"/>
  <c r="E17" i="2"/>
  <c r="D17" i="2"/>
  <c r="K17" i="2"/>
  <c r="L17" i="2"/>
  <c r="K3" i="9"/>
  <c r="L3" i="9" s="1"/>
  <c r="M3" i="9" s="1"/>
  <c r="A6" i="4"/>
  <c r="N6" i="4"/>
  <c r="K6" i="4"/>
  <c r="L6" i="4" s="1"/>
  <c r="M6" i="4" s="1"/>
  <c r="R18" i="2"/>
  <c r="G18" i="2"/>
  <c r="A3" i="9"/>
  <c r="O14" i="2"/>
  <c r="P14" i="2" s="1"/>
  <c r="Q14" i="2" s="1"/>
  <c r="B9" i="5"/>
  <c r="N15" i="2"/>
  <c r="I7" i="4"/>
  <c r="E7" i="4"/>
  <c r="J7" i="4"/>
  <c r="N16" i="2"/>
  <c r="B18" i="2"/>
  <c r="A19" i="2"/>
  <c r="D7" i="4"/>
  <c r="N17" i="2"/>
  <c r="F7" i="4"/>
  <c r="A20" i="2"/>
  <c r="C7" i="4"/>
  <c r="F18" i="2"/>
  <c r="G7" i="4"/>
  <c r="H18" i="2"/>
  <c r="J18" i="2"/>
  <c r="C18" i="2"/>
  <c r="I18" i="2"/>
  <c r="H7" i="4"/>
  <c r="B10" i="5"/>
  <c r="M15" i="2" l="1"/>
  <c r="O15" i="2" s="1"/>
  <c r="P15" i="2" s="1"/>
  <c r="Q15" i="2" s="1"/>
  <c r="R19" i="2"/>
  <c r="G19" i="2"/>
  <c r="J9" i="5"/>
  <c r="J10" i="5"/>
  <c r="M16" i="2"/>
  <c r="I9" i="5" s="1"/>
  <c r="M17" i="2"/>
  <c r="I10" i="5" s="1"/>
  <c r="K10" i="5" s="1"/>
  <c r="L10" i="5" s="1"/>
  <c r="M10" i="5" s="1"/>
  <c r="E18" i="2"/>
  <c r="D18" i="2"/>
  <c r="L18" i="2"/>
  <c r="K18" i="2"/>
  <c r="K7" i="4"/>
  <c r="L7" i="4" s="1"/>
  <c r="M7" i="4" s="1"/>
  <c r="N7" i="4"/>
  <c r="A7" i="4"/>
  <c r="G20" i="2"/>
  <c r="R20" i="2"/>
  <c r="O17" i="2"/>
  <c r="P17" i="2" s="1"/>
  <c r="Q17" i="2" s="1"/>
  <c r="O16" i="2"/>
  <c r="P16" i="2" s="1"/>
  <c r="Q16" i="2" s="1"/>
  <c r="G10" i="5"/>
  <c r="D10" i="5"/>
  <c r="H10" i="5"/>
  <c r="B11" i="5"/>
  <c r="F19" i="2"/>
  <c r="B8" i="4" s="1"/>
  <c r="C19" i="2"/>
  <c r="H19" i="2"/>
  <c r="E9" i="5"/>
  <c r="D9" i="5"/>
  <c r="F9" i="5"/>
  <c r="H20" i="2"/>
  <c r="I20" i="2"/>
  <c r="B20" i="2"/>
  <c r="J20" i="2"/>
  <c r="C20" i="2"/>
  <c r="N18" i="2"/>
  <c r="F20" i="2"/>
  <c r="B9" i="4" s="1"/>
  <c r="F10" i="5"/>
  <c r="C10" i="5"/>
  <c r="E10" i="5"/>
  <c r="A21" i="2"/>
  <c r="J19" i="2"/>
  <c r="I19" i="2"/>
  <c r="B19" i="2"/>
  <c r="C9" i="5"/>
  <c r="H9" i="5"/>
  <c r="G9" i="5"/>
  <c r="A22" i="2"/>
  <c r="K9" i="5" l="1"/>
  <c r="L9" i="5" s="1"/>
  <c r="M9" i="5" s="1"/>
  <c r="A9" i="5"/>
  <c r="E19" i="2"/>
  <c r="K19" i="2"/>
  <c r="D19" i="2"/>
  <c r="L19" i="2"/>
  <c r="M19" i="2" s="1"/>
  <c r="R21" i="2"/>
  <c r="G21" i="2"/>
  <c r="A10" i="5"/>
  <c r="J11" i="5"/>
  <c r="M18" i="2"/>
  <c r="I11" i="5" s="1"/>
  <c r="G22" i="2"/>
  <c r="R22" i="2"/>
  <c r="E20" i="2"/>
  <c r="D20" i="2"/>
  <c r="L20" i="2"/>
  <c r="K20" i="2"/>
  <c r="A23" i="2"/>
  <c r="N19" i="2"/>
  <c r="H21" i="2"/>
  <c r="F21" i="2"/>
  <c r="B3" i="8" s="1"/>
  <c r="I21" i="2"/>
  <c r="H8" i="4"/>
  <c r="D8" i="4"/>
  <c r="J8" i="4"/>
  <c r="C8" i="4"/>
  <c r="F11" i="5"/>
  <c r="G11" i="5"/>
  <c r="C11" i="5"/>
  <c r="C22" i="2"/>
  <c r="G9" i="4"/>
  <c r="H9" i="4"/>
  <c r="B22" i="2"/>
  <c r="J9" i="4"/>
  <c r="J22" i="2"/>
  <c r="I22" i="2"/>
  <c r="E11" i="5"/>
  <c r="D11" i="5"/>
  <c r="A24" i="2"/>
  <c r="F9" i="4"/>
  <c r="H22" i="2"/>
  <c r="E9" i="4"/>
  <c r="N20" i="2"/>
  <c r="I9" i="4"/>
  <c r="A25" i="2"/>
  <c r="D9" i="4"/>
  <c r="C21" i="2"/>
  <c r="J21" i="2"/>
  <c r="B21" i="2"/>
  <c r="G8" i="4"/>
  <c r="F8" i="4"/>
  <c r="I8" i="4"/>
  <c r="E8" i="4"/>
  <c r="H11" i="5"/>
  <c r="F22" i="2"/>
  <c r="C9" i="4"/>
  <c r="B10" i="4"/>
  <c r="O18" i="2" l="1"/>
  <c r="P18" i="2" s="1"/>
  <c r="Q18" i="2" s="1"/>
  <c r="K8" i="4"/>
  <c r="L8" i="4" s="1"/>
  <c r="M8" i="4" s="1"/>
  <c r="E21" i="2"/>
  <c r="L21" i="2"/>
  <c r="D21" i="2"/>
  <c r="K21" i="2"/>
  <c r="A11" i="5"/>
  <c r="A8" i="4"/>
  <c r="N8" i="4"/>
  <c r="R23" i="2"/>
  <c r="G23" i="2"/>
  <c r="O19" i="2"/>
  <c r="P19" i="2" s="1"/>
  <c r="Q19" i="2" s="1"/>
  <c r="K11" i="5"/>
  <c r="L11" i="5" s="1"/>
  <c r="M11" i="5" s="1"/>
  <c r="M20" i="2"/>
  <c r="G25" i="2"/>
  <c r="R25" i="2"/>
  <c r="K9" i="4"/>
  <c r="L9" i="4" s="1"/>
  <c r="M9" i="4" s="1"/>
  <c r="E22" i="2"/>
  <c r="D22" i="2"/>
  <c r="K22" i="2"/>
  <c r="L22" i="2"/>
  <c r="A9" i="4"/>
  <c r="N9" i="4"/>
  <c r="G24" i="2"/>
  <c r="R24" i="2"/>
  <c r="O20" i="2"/>
  <c r="P20" i="2" s="1"/>
  <c r="Q20" i="2" s="1"/>
  <c r="N21" i="2"/>
  <c r="I3" i="8"/>
  <c r="J3" i="8"/>
  <c r="H3" i="8"/>
  <c r="E3" i="8"/>
  <c r="J23" i="2"/>
  <c r="C23" i="2"/>
  <c r="I23" i="2"/>
  <c r="F10" i="4"/>
  <c r="E10" i="4"/>
  <c r="A26" i="2"/>
  <c r="J25" i="2"/>
  <c r="J24" i="2"/>
  <c r="F24" i="2"/>
  <c r="H10" i="4"/>
  <c r="D10" i="4"/>
  <c r="I25" i="2"/>
  <c r="I24" i="2"/>
  <c r="A27" i="2"/>
  <c r="J10" i="4"/>
  <c r="C10" i="4"/>
  <c r="N22" i="2"/>
  <c r="C24" i="2"/>
  <c r="H25" i="2"/>
  <c r="C25" i="2"/>
  <c r="H24" i="2"/>
  <c r="G3" i="8"/>
  <c r="C3" i="8"/>
  <c r="D3" i="8"/>
  <c r="F3" i="8"/>
  <c r="F23" i="2"/>
  <c r="B12" i="5" s="1"/>
  <c r="B23" i="2"/>
  <c r="H23" i="2"/>
  <c r="F25" i="2"/>
  <c r="B25" i="2"/>
  <c r="G10" i="4"/>
  <c r="I10" i="4"/>
  <c r="B24" i="2"/>
  <c r="M21" i="2" l="1"/>
  <c r="E23" i="2"/>
  <c r="K23" i="2"/>
  <c r="D23" i="2"/>
  <c r="L23" i="2"/>
  <c r="A3" i="8"/>
  <c r="K3" i="8"/>
  <c r="L3" i="8" s="1"/>
  <c r="M3" i="8" s="1"/>
  <c r="O21" i="2"/>
  <c r="P21" i="2" s="1"/>
  <c r="Q21" i="2" s="1"/>
  <c r="M22" i="2"/>
  <c r="R27" i="2"/>
  <c r="G27" i="2"/>
  <c r="E24" i="2"/>
  <c r="D24" i="2"/>
  <c r="K24" i="2"/>
  <c r="L24" i="2"/>
  <c r="E25" i="2"/>
  <c r="D25" i="2"/>
  <c r="L25" i="2"/>
  <c r="K25" i="2"/>
  <c r="G26" i="2"/>
  <c r="R26" i="2"/>
  <c r="K10" i="4"/>
  <c r="L10" i="4" s="1"/>
  <c r="M10" i="4" s="1"/>
  <c r="N10" i="4"/>
  <c r="A10" i="4"/>
  <c r="O22" i="2"/>
  <c r="P22" i="2" s="1"/>
  <c r="Q22" i="2" s="1"/>
  <c r="N23" i="2"/>
  <c r="E12" i="5"/>
  <c r="H12" i="5"/>
  <c r="F12" i="5"/>
  <c r="F27" i="2"/>
  <c r="N25" i="2"/>
  <c r="F26" i="2"/>
  <c r="H27" i="2"/>
  <c r="C27" i="2"/>
  <c r="C26" i="2"/>
  <c r="J26" i="2"/>
  <c r="J27" i="2"/>
  <c r="I27" i="2"/>
  <c r="H26" i="2"/>
  <c r="B26" i="2"/>
  <c r="A28" i="2"/>
  <c r="N24" i="2"/>
  <c r="I26" i="2"/>
  <c r="B27" i="2"/>
  <c r="C12" i="5"/>
  <c r="G12" i="5"/>
  <c r="D12" i="5"/>
  <c r="B13" i="5"/>
  <c r="B11" i="4"/>
  <c r="B14" i="5"/>
  <c r="M23" i="2" l="1"/>
  <c r="I12" i="5" s="1"/>
  <c r="A12" i="5"/>
  <c r="J12" i="5"/>
  <c r="K12" i="5" s="1"/>
  <c r="L12" i="5" s="1"/>
  <c r="M12" i="5" s="1"/>
  <c r="J13" i="5"/>
  <c r="J14" i="5"/>
  <c r="M25" i="2"/>
  <c r="I14" i="5" s="1"/>
  <c r="E27" i="2"/>
  <c r="D27" i="2"/>
  <c r="K27" i="2"/>
  <c r="L27" i="2"/>
  <c r="E26" i="2"/>
  <c r="D26" i="2"/>
  <c r="L26" i="2"/>
  <c r="K26" i="2"/>
  <c r="R28" i="2"/>
  <c r="G28" i="2"/>
  <c r="M24" i="2"/>
  <c r="I13" i="5" s="1"/>
  <c r="O23" i="2"/>
  <c r="P23" i="2" s="1"/>
  <c r="Q23" i="2" s="1"/>
  <c r="F14" i="5"/>
  <c r="E14" i="5"/>
  <c r="D14" i="5"/>
  <c r="D13" i="5"/>
  <c r="F13" i="5"/>
  <c r="E13" i="5"/>
  <c r="G11" i="4"/>
  <c r="D11" i="4"/>
  <c r="I28" i="2"/>
  <c r="H28" i="2"/>
  <c r="E11" i="4"/>
  <c r="H11" i="4"/>
  <c r="C28" i="2"/>
  <c r="F28" i="2"/>
  <c r="B12" i="4"/>
  <c r="J11" i="4"/>
  <c r="G14" i="5"/>
  <c r="H14" i="5"/>
  <c r="C14" i="5"/>
  <c r="H13" i="5"/>
  <c r="G13" i="5"/>
  <c r="C13" i="5"/>
  <c r="A29" i="2"/>
  <c r="I11" i="4"/>
  <c r="C11" i="4"/>
  <c r="A30" i="2"/>
  <c r="A31" i="2" s="1"/>
  <c r="N27" i="2"/>
  <c r="J28" i="2"/>
  <c r="F11" i="4"/>
  <c r="N26" i="2"/>
  <c r="B28" i="2"/>
  <c r="K13" i="5" l="1"/>
  <c r="L13" i="5" s="1"/>
  <c r="M13" i="5" s="1"/>
  <c r="O25" i="2"/>
  <c r="P25" i="2" s="1"/>
  <c r="Q25" i="2" s="1"/>
  <c r="G29" i="2"/>
  <c r="R29" i="2"/>
  <c r="A13" i="5"/>
  <c r="A14" i="5"/>
  <c r="K14" i="5"/>
  <c r="L14" i="5" s="1"/>
  <c r="M14" i="5" s="1"/>
  <c r="G31" i="2"/>
  <c r="R31" i="2"/>
  <c r="E28" i="2"/>
  <c r="D28" i="2"/>
  <c r="L28" i="2"/>
  <c r="K28" i="2"/>
  <c r="G30" i="2"/>
  <c r="R30" i="2"/>
  <c r="A11" i="4"/>
  <c r="N11" i="4"/>
  <c r="K11" i="4"/>
  <c r="L11" i="4" s="1"/>
  <c r="M11" i="4" s="1"/>
  <c r="O24" i="2"/>
  <c r="P24" i="2" s="1"/>
  <c r="Q24" i="2" s="1"/>
  <c r="M26" i="2"/>
  <c r="O26" i="2" s="1"/>
  <c r="P26" i="2" s="1"/>
  <c r="Q26" i="2" s="1"/>
  <c r="M27" i="2"/>
  <c r="O27" i="2" s="1"/>
  <c r="P27" i="2" s="1"/>
  <c r="Q27" i="2" s="1"/>
  <c r="B36" i="5"/>
  <c r="J29" i="2"/>
  <c r="I29" i="2"/>
  <c r="B29" i="2"/>
  <c r="F30" i="2"/>
  <c r="I12" i="4"/>
  <c r="H31" i="2"/>
  <c r="I30" i="2"/>
  <c r="G12" i="4"/>
  <c r="J31" i="2"/>
  <c r="H30" i="2"/>
  <c r="E12" i="4"/>
  <c r="A32" i="2"/>
  <c r="N28" i="2"/>
  <c r="B13" i="4"/>
  <c r="F12" i="4"/>
  <c r="C29" i="2"/>
  <c r="H29" i="2"/>
  <c r="F29" i="2"/>
  <c r="B15" i="5" s="1"/>
  <c r="B31" i="2"/>
  <c r="J30" i="2"/>
  <c r="C12" i="4"/>
  <c r="F31" i="2"/>
  <c r="C30" i="2"/>
  <c r="H12" i="4"/>
  <c r="C31" i="2"/>
  <c r="D12" i="4"/>
  <c r="I31" i="2"/>
  <c r="B30" i="2"/>
  <c r="J12" i="4"/>
  <c r="A33" i="2"/>
  <c r="D29" i="2" l="1"/>
  <c r="K29" i="2"/>
  <c r="E29" i="2"/>
  <c r="L29" i="2"/>
  <c r="M28" i="2"/>
  <c r="O28" i="2" s="1"/>
  <c r="P28" i="2" s="1"/>
  <c r="Q28" i="2" s="1"/>
  <c r="G33" i="2"/>
  <c r="R33" i="2"/>
  <c r="D30" i="2"/>
  <c r="E30" i="2"/>
  <c r="L30" i="2"/>
  <c r="K30" i="2"/>
  <c r="G32" i="2"/>
  <c r="R32" i="2"/>
  <c r="A12" i="4"/>
  <c r="N12" i="4"/>
  <c r="K12" i="4"/>
  <c r="L12" i="4" s="1"/>
  <c r="M12" i="4" s="1"/>
  <c r="E31" i="2"/>
  <c r="D31" i="2"/>
  <c r="K31" i="2"/>
  <c r="L31" i="2"/>
  <c r="D36" i="5"/>
  <c r="F36" i="5"/>
  <c r="H36" i="5"/>
  <c r="E36" i="5"/>
  <c r="C36" i="5"/>
  <c r="G36" i="5"/>
  <c r="B40" i="5"/>
  <c r="C15" i="5"/>
  <c r="G15" i="5"/>
  <c r="F15" i="5"/>
  <c r="B16" i="5"/>
  <c r="J33" i="2"/>
  <c r="C13" i="4"/>
  <c r="F32" i="2"/>
  <c r="I33" i="2"/>
  <c r="F13" i="4"/>
  <c r="N31" i="2"/>
  <c r="B33" i="2"/>
  <c r="I13" i="4"/>
  <c r="I32" i="2"/>
  <c r="H33" i="2"/>
  <c r="H32" i="2"/>
  <c r="H15" i="5"/>
  <c r="D15" i="5"/>
  <c r="E15" i="5"/>
  <c r="N29" i="2"/>
  <c r="D13" i="4"/>
  <c r="F33" i="2"/>
  <c r="B17" i="5" s="1"/>
  <c r="B14" i="4"/>
  <c r="J13" i="4"/>
  <c r="J32" i="2"/>
  <c r="H13" i="4"/>
  <c r="B32" i="2"/>
  <c r="A34" i="2"/>
  <c r="A35" i="2" s="1"/>
  <c r="E13" i="4"/>
  <c r="N30" i="2"/>
  <c r="C33" i="2"/>
  <c r="G13" i="4"/>
  <c r="C32" i="2"/>
  <c r="B4" i="7"/>
  <c r="M29" i="2" l="1"/>
  <c r="I15" i="5" s="1"/>
  <c r="J15" i="5"/>
  <c r="A15" i="5"/>
  <c r="J16" i="5"/>
  <c r="M30" i="2"/>
  <c r="O30" i="2" s="1"/>
  <c r="P30" i="2" s="1"/>
  <c r="Q30" i="2" s="1"/>
  <c r="R35" i="2"/>
  <c r="G35" i="2"/>
  <c r="E32" i="2"/>
  <c r="D32" i="2"/>
  <c r="L32" i="2"/>
  <c r="K32" i="2"/>
  <c r="A36" i="5"/>
  <c r="J36" i="5"/>
  <c r="K13" i="4"/>
  <c r="L13" i="4" s="1"/>
  <c r="M13" i="4" s="1"/>
  <c r="A13" i="4"/>
  <c r="N13" i="4"/>
  <c r="E33" i="2"/>
  <c r="D33" i="2"/>
  <c r="L33" i="2"/>
  <c r="K33" i="2"/>
  <c r="R34" i="2"/>
  <c r="G34" i="2"/>
  <c r="O29" i="2"/>
  <c r="P29" i="2" s="1"/>
  <c r="Q29" i="2" s="1"/>
  <c r="M31" i="2"/>
  <c r="O31" i="2" s="1"/>
  <c r="P31" i="2" s="1"/>
  <c r="Q31" i="2" s="1"/>
  <c r="F40" i="5"/>
  <c r="D40" i="5"/>
  <c r="E40" i="5"/>
  <c r="G40" i="5"/>
  <c r="C40" i="5"/>
  <c r="H40" i="5"/>
  <c r="B39" i="5"/>
  <c r="B37" i="5"/>
  <c r="C16" i="5"/>
  <c r="D16" i="5"/>
  <c r="F16" i="5"/>
  <c r="G17" i="5"/>
  <c r="C17" i="5"/>
  <c r="B35" i="2"/>
  <c r="H17" i="5"/>
  <c r="D4" i="7"/>
  <c r="I35" i="2"/>
  <c r="J14" i="4"/>
  <c r="I34" i="2"/>
  <c r="C34" i="2"/>
  <c r="J35" i="2"/>
  <c r="E14" i="4"/>
  <c r="N33" i="2"/>
  <c r="F35" i="2"/>
  <c r="H14" i="4"/>
  <c r="H34" i="2"/>
  <c r="C4" i="7"/>
  <c r="N32" i="2"/>
  <c r="F17" i="5"/>
  <c r="E17" i="5"/>
  <c r="C14" i="4"/>
  <c r="D17" i="5"/>
  <c r="G4" i="7"/>
  <c r="I14" i="4"/>
  <c r="F4" i="7"/>
  <c r="C35" i="2"/>
  <c r="H4" i="7"/>
  <c r="D14" i="4"/>
  <c r="J34" i="2"/>
  <c r="G14" i="4"/>
  <c r="H16" i="5"/>
  <c r="G16" i="5"/>
  <c r="E16" i="5"/>
  <c r="E4" i="7"/>
  <c r="H35" i="2"/>
  <c r="B34" i="2"/>
  <c r="F14" i="4"/>
  <c r="F34" i="2"/>
  <c r="A36" i="2"/>
  <c r="K15" i="5" l="1"/>
  <c r="L15" i="5" s="1"/>
  <c r="M15" i="5" s="1"/>
  <c r="A16" i="5"/>
  <c r="J17" i="5"/>
  <c r="A17" i="5"/>
  <c r="I36" i="5"/>
  <c r="K36" i="5" s="1"/>
  <c r="L36" i="5" s="1"/>
  <c r="M36" i="5" s="1"/>
  <c r="I16" i="5"/>
  <c r="K16" i="5" s="1"/>
  <c r="L16" i="5" s="1"/>
  <c r="M16" i="5" s="1"/>
  <c r="M32" i="2"/>
  <c r="J40" i="5"/>
  <c r="A14" i="4"/>
  <c r="N14" i="4"/>
  <c r="J4" i="7"/>
  <c r="D35" i="2"/>
  <c r="E35" i="2"/>
  <c r="K35" i="2"/>
  <c r="L35" i="2"/>
  <c r="G36" i="2"/>
  <c r="R36" i="2"/>
  <c r="A40" i="5"/>
  <c r="A4" i="7"/>
  <c r="D34" i="2"/>
  <c r="E34" i="2"/>
  <c r="L34" i="2"/>
  <c r="K34" i="2"/>
  <c r="K14" i="4"/>
  <c r="L14" i="4" s="1"/>
  <c r="M14" i="4" s="1"/>
  <c r="M33" i="2"/>
  <c r="I17" i="5" s="1"/>
  <c r="K17" i="5" s="1"/>
  <c r="L17" i="5" s="1"/>
  <c r="M17" i="5" s="1"/>
  <c r="O32" i="2"/>
  <c r="P32" i="2" s="1"/>
  <c r="Q32" i="2" s="1"/>
  <c r="I4" i="7"/>
  <c r="K4" i="7" s="1"/>
  <c r="L4" i="7" s="1"/>
  <c r="M4" i="7" s="1"/>
  <c r="C37" i="5"/>
  <c r="H37" i="5"/>
  <c r="D37" i="5"/>
  <c r="F39" i="5"/>
  <c r="E39" i="5"/>
  <c r="C39" i="5"/>
  <c r="G37" i="5"/>
  <c r="E37" i="5"/>
  <c r="F37" i="5"/>
  <c r="D39" i="5"/>
  <c r="H39" i="5"/>
  <c r="G39" i="5"/>
  <c r="B38" i="5"/>
  <c r="A37" i="2"/>
  <c r="A38" i="2"/>
  <c r="B36" i="2"/>
  <c r="N35" i="2"/>
  <c r="A39" i="2"/>
  <c r="I36" i="2"/>
  <c r="F36" i="2"/>
  <c r="N34" i="2"/>
  <c r="H36" i="2"/>
  <c r="B18" i="5"/>
  <c r="J36" i="2"/>
  <c r="C36" i="2"/>
  <c r="B19" i="5"/>
  <c r="R37" i="2" l="1"/>
  <c r="G37" i="2"/>
  <c r="J19" i="5"/>
  <c r="J18" i="5"/>
  <c r="M34" i="2"/>
  <c r="I18" i="5" s="1"/>
  <c r="R39" i="2"/>
  <c r="G39" i="2"/>
  <c r="J37" i="5"/>
  <c r="J39" i="5"/>
  <c r="E36" i="2"/>
  <c r="D36" i="2"/>
  <c r="L36" i="2"/>
  <c r="K36" i="2"/>
  <c r="A39" i="5"/>
  <c r="R38" i="2"/>
  <c r="G38" i="2"/>
  <c r="A37" i="5"/>
  <c r="O34" i="2"/>
  <c r="P34" i="2" s="1"/>
  <c r="Q34" i="2" s="1"/>
  <c r="I39" i="5"/>
  <c r="K39" i="5" s="1"/>
  <c r="L39" i="5" s="1"/>
  <c r="M39" i="5" s="1"/>
  <c r="O33" i="2"/>
  <c r="P33" i="2" s="1"/>
  <c r="Q33" i="2" s="1"/>
  <c r="I40" i="5"/>
  <c r="K40" i="5" s="1"/>
  <c r="L40" i="5" s="1"/>
  <c r="M40" i="5" s="1"/>
  <c r="M35" i="2"/>
  <c r="I19" i="5" s="1"/>
  <c r="K19" i="5" s="1"/>
  <c r="L19" i="5" s="1"/>
  <c r="M19" i="5" s="1"/>
  <c r="B41" i="5"/>
  <c r="D38" i="5"/>
  <c r="C38" i="5"/>
  <c r="E38" i="5"/>
  <c r="H38" i="5"/>
  <c r="G38" i="5"/>
  <c r="F38" i="5"/>
  <c r="E19" i="5"/>
  <c r="F19" i="5"/>
  <c r="D19" i="5"/>
  <c r="C18" i="5"/>
  <c r="E18" i="5"/>
  <c r="F18" i="5"/>
  <c r="B20" i="5"/>
  <c r="F37" i="2"/>
  <c r="I37" i="2"/>
  <c r="B37" i="2"/>
  <c r="F38" i="2"/>
  <c r="C19" i="5"/>
  <c r="G19" i="5"/>
  <c r="H19" i="5"/>
  <c r="D18" i="5"/>
  <c r="H18" i="5"/>
  <c r="G18" i="5"/>
  <c r="C37" i="2"/>
  <c r="J37" i="2"/>
  <c r="H37" i="2"/>
  <c r="I39" i="2"/>
  <c r="J38" i="2"/>
  <c r="B39" i="2"/>
  <c r="N36" i="2"/>
  <c r="I38" i="2"/>
  <c r="B15" i="4"/>
  <c r="A40" i="2"/>
  <c r="H38" i="2"/>
  <c r="J39" i="2"/>
  <c r="F39" i="2"/>
  <c r="H39" i="2"/>
  <c r="C39" i="2"/>
  <c r="B38" i="2"/>
  <c r="C38" i="2"/>
  <c r="B21" i="5"/>
  <c r="K18" i="5" l="1"/>
  <c r="L18" i="5" s="1"/>
  <c r="M18" i="5" s="1"/>
  <c r="A19" i="5"/>
  <c r="D37" i="2"/>
  <c r="L37" i="2"/>
  <c r="E37" i="2"/>
  <c r="K37" i="2"/>
  <c r="M37" i="2" s="1"/>
  <c r="A18" i="5"/>
  <c r="J20" i="5"/>
  <c r="M36" i="2"/>
  <c r="I20" i="5" s="1"/>
  <c r="E38" i="2"/>
  <c r="D38" i="2"/>
  <c r="L38" i="2"/>
  <c r="K38" i="2"/>
  <c r="J38" i="5"/>
  <c r="E39" i="2"/>
  <c r="D39" i="2"/>
  <c r="K39" i="2"/>
  <c r="L39" i="2"/>
  <c r="R40" i="2"/>
  <c r="G40" i="2"/>
  <c r="A38" i="5"/>
  <c r="J41" i="5"/>
  <c r="O35" i="2"/>
  <c r="P35" i="2" s="1"/>
  <c r="Q35" i="2" s="1"/>
  <c r="I37" i="5"/>
  <c r="K37" i="5" s="1"/>
  <c r="L37" i="5" s="1"/>
  <c r="M37" i="5" s="1"/>
  <c r="O36" i="2"/>
  <c r="P36" i="2" s="1"/>
  <c r="Q36" i="2" s="1"/>
  <c r="I41" i="5"/>
  <c r="I38" i="5"/>
  <c r="H41" i="5"/>
  <c r="G41" i="5"/>
  <c r="E41" i="5"/>
  <c r="F41" i="5"/>
  <c r="D41" i="5"/>
  <c r="C41" i="5"/>
  <c r="G21" i="5"/>
  <c r="C21" i="5"/>
  <c r="F21" i="5"/>
  <c r="A41" i="2"/>
  <c r="N37" i="2"/>
  <c r="F20" i="5"/>
  <c r="D20" i="5"/>
  <c r="G20" i="5"/>
  <c r="F15" i="4"/>
  <c r="C15" i="4"/>
  <c r="B40" i="2"/>
  <c r="E15" i="4"/>
  <c r="G15" i="4"/>
  <c r="A42" i="2"/>
  <c r="N38" i="2"/>
  <c r="I40" i="2"/>
  <c r="A43" i="2"/>
  <c r="H40" i="2"/>
  <c r="J15" i="4"/>
  <c r="I15" i="4"/>
  <c r="B16" i="4"/>
  <c r="D15" i="4"/>
  <c r="F40" i="2"/>
  <c r="E21" i="5"/>
  <c r="H21" i="5"/>
  <c r="D21" i="5"/>
  <c r="C20" i="5"/>
  <c r="H20" i="5"/>
  <c r="E20" i="5"/>
  <c r="J40" i="2"/>
  <c r="H15" i="4"/>
  <c r="N39" i="2"/>
  <c r="C40" i="2"/>
  <c r="K38" i="5" l="1"/>
  <c r="L38" i="5" s="1"/>
  <c r="M38" i="5" s="1"/>
  <c r="A20" i="5"/>
  <c r="J21" i="5"/>
  <c r="R41" i="2"/>
  <c r="G41" i="2"/>
  <c r="A21" i="5"/>
  <c r="I21" i="5"/>
  <c r="K21" i="5" s="1"/>
  <c r="L21" i="5" s="1"/>
  <c r="M21" i="5" s="1"/>
  <c r="O37" i="2"/>
  <c r="P37" i="2" s="1"/>
  <c r="Q37" i="2" s="1"/>
  <c r="K20" i="5"/>
  <c r="L20" i="5" s="1"/>
  <c r="M20" i="5" s="1"/>
  <c r="M39" i="2"/>
  <c r="O39" i="2" s="1"/>
  <c r="P39" i="2" s="1"/>
  <c r="Q39" i="2" s="1"/>
  <c r="M38" i="2"/>
  <c r="G43" i="2"/>
  <c r="R43" i="2"/>
  <c r="A41" i="5"/>
  <c r="D40" i="2"/>
  <c r="E40" i="2"/>
  <c r="L40" i="2"/>
  <c r="K40" i="2"/>
  <c r="M40" i="2" s="1"/>
  <c r="R42" i="2"/>
  <c r="G42" i="2"/>
  <c r="K15" i="4"/>
  <c r="L15" i="4" s="1"/>
  <c r="M15" i="4" s="1"/>
  <c r="N15" i="4"/>
  <c r="A15" i="4"/>
  <c r="K41" i="5"/>
  <c r="L41" i="5" s="1"/>
  <c r="M41" i="5" s="1"/>
  <c r="O38" i="2"/>
  <c r="P38" i="2" s="1"/>
  <c r="Q38" i="2" s="1"/>
  <c r="F41" i="2"/>
  <c r="J41" i="2"/>
  <c r="I41" i="2"/>
  <c r="C41" i="2"/>
  <c r="H41" i="2"/>
  <c r="B41" i="2"/>
  <c r="B17" i="4"/>
  <c r="B43" i="2"/>
  <c r="B42" i="2"/>
  <c r="J43" i="2"/>
  <c r="C42" i="2"/>
  <c r="J16" i="4"/>
  <c r="G16" i="4"/>
  <c r="H43" i="2"/>
  <c r="N40" i="2"/>
  <c r="F16" i="4"/>
  <c r="C16" i="4"/>
  <c r="F42" i="2"/>
  <c r="A44" i="2"/>
  <c r="C43" i="2"/>
  <c r="H42" i="2"/>
  <c r="I42" i="2"/>
  <c r="E16" i="4"/>
  <c r="H16" i="4"/>
  <c r="A45" i="2"/>
  <c r="F43" i="2"/>
  <c r="I43" i="2"/>
  <c r="J42" i="2"/>
  <c r="I16" i="4"/>
  <c r="D16" i="4"/>
  <c r="E41" i="2" l="1"/>
  <c r="K41" i="2"/>
  <c r="D41" i="2"/>
  <c r="L41" i="2"/>
  <c r="R45" i="2"/>
  <c r="G45" i="2"/>
  <c r="A16" i="4"/>
  <c r="N16" i="4"/>
  <c r="K16" i="4"/>
  <c r="L16" i="4" s="1"/>
  <c r="M16" i="4" s="1"/>
  <c r="E42" i="2"/>
  <c r="D42" i="2"/>
  <c r="L42" i="2"/>
  <c r="K42" i="2"/>
  <c r="D43" i="2"/>
  <c r="E43" i="2"/>
  <c r="L43" i="2"/>
  <c r="K43" i="2"/>
  <c r="R44" i="2"/>
  <c r="G44" i="2"/>
  <c r="M41" i="2"/>
  <c r="O40" i="2"/>
  <c r="P40" i="2" s="1"/>
  <c r="Q40" i="2" s="1"/>
  <c r="B43" i="5"/>
  <c r="N41" i="2"/>
  <c r="H45" i="2"/>
  <c r="H17" i="4"/>
  <c r="J44" i="2"/>
  <c r="F45" i="2"/>
  <c r="I17" i="4"/>
  <c r="C44" i="2"/>
  <c r="A46" i="2"/>
  <c r="J17" i="4"/>
  <c r="N42" i="2"/>
  <c r="J45" i="2"/>
  <c r="E17" i="4"/>
  <c r="F44" i="2"/>
  <c r="A47" i="2"/>
  <c r="B45" i="2"/>
  <c r="G17" i="4"/>
  <c r="I44" i="2"/>
  <c r="D17" i="4"/>
  <c r="H44" i="2"/>
  <c r="N43" i="2"/>
  <c r="C45" i="2"/>
  <c r="C17" i="4"/>
  <c r="B44" i="2"/>
  <c r="I45" i="2"/>
  <c r="F17" i="4"/>
  <c r="B18" i="4"/>
  <c r="O41" i="2" l="1"/>
  <c r="P41" i="2" s="1"/>
  <c r="Q41" i="2" s="1"/>
  <c r="M43" i="2"/>
  <c r="O43" i="2" s="1"/>
  <c r="P43" i="2" s="1"/>
  <c r="Q43" i="2" s="1"/>
  <c r="M42" i="2"/>
  <c r="O42" i="2" s="1"/>
  <c r="P42" i="2" s="1"/>
  <c r="Q42" i="2" s="1"/>
  <c r="G47" i="2"/>
  <c r="R47" i="2"/>
  <c r="K17" i="4"/>
  <c r="L17" i="4" s="1"/>
  <c r="M17" i="4" s="1"/>
  <c r="E44" i="2"/>
  <c r="D44" i="2"/>
  <c r="K44" i="2"/>
  <c r="L44" i="2"/>
  <c r="A17" i="4"/>
  <c r="N17" i="4"/>
  <c r="E45" i="2"/>
  <c r="D45" i="2"/>
  <c r="K45" i="2"/>
  <c r="L45" i="2"/>
  <c r="G46" i="2"/>
  <c r="R46" i="2"/>
  <c r="B42" i="5"/>
  <c r="F43" i="5"/>
  <c r="G43" i="5"/>
  <c r="C43" i="5"/>
  <c r="E43" i="5"/>
  <c r="H43" i="5"/>
  <c r="D43" i="5"/>
  <c r="B22" i="5"/>
  <c r="A48" i="2"/>
  <c r="H18" i="4"/>
  <c r="C46" i="2"/>
  <c r="I47" i="2"/>
  <c r="B19" i="4"/>
  <c r="F18" i="4"/>
  <c r="J46" i="2"/>
  <c r="E18" i="4"/>
  <c r="F46" i="2"/>
  <c r="J47" i="2"/>
  <c r="D18" i="4"/>
  <c r="N44" i="2"/>
  <c r="B5" i="7"/>
  <c r="A49" i="2"/>
  <c r="H47" i="2"/>
  <c r="I18" i="4"/>
  <c r="I46" i="2"/>
  <c r="C47" i="2"/>
  <c r="C18" i="4"/>
  <c r="N45" i="2"/>
  <c r="B47" i="2"/>
  <c r="G18" i="4"/>
  <c r="B46" i="2"/>
  <c r="F47" i="2"/>
  <c r="J18" i="4"/>
  <c r="H46" i="2"/>
  <c r="B3" i="17"/>
  <c r="B23" i="5"/>
  <c r="J22" i="5" l="1"/>
  <c r="J23" i="5"/>
  <c r="M45" i="2"/>
  <c r="I23" i="5" s="1"/>
  <c r="G49" i="2"/>
  <c r="R49" i="2"/>
  <c r="J43" i="5"/>
  <c r="A18" i="4"/>
  <c r="N18" i="4"/>
  <c r="G48" i="2"/>
  <c r="R48" i="2"/>
  <c r="E46" i="2"/>
  <c r="D46" i="2"/>
  <c r="K46" i="2"/>
  <c r="L46" i="2"/>
  <c r="K18" i="4"/>
  <c r="L18" i="4" s="1"/>
  <c r="M18" i="4" s="1"/>
  <c r="E47" i="2"/>
  <c r="D47" i="2"/>
  <c r="L47" i="2"/>
  <c r="K47" i="2"/>
  <c r="A43" i="5"/>
  <c r="J42" i="5"/>
  <c r="I42" i="5"/>
  <c r="M44" i="2"/>
  <c r="I22" i="5" s="1"/>
  <c r="K22" i="5" s="1"/>
  <c r="L22" i="5" s="1"/>
  <c r="M22" i="5" s="1"/>
  <c r="E42" i="5"/>
  <c r="C42" i="5"/>
  <c r="F42" i="5"/>
  <c r="G42" i="5"/>
  <c r="D42" i="5"/>
  <c r="H42" i="5"/>
  <c r="B46" i="5"/>
  <c r="B47" i="5"/>
  <c r="H23" i="5"/>
  <c r="E23" i="5"/>
  <c r="C23" i="5"/>
  <c r="G22" i="5"/>
  <c r="D22" i="5"/>
  <c r="F22" i="5"/>
  <c r="F5" i="7"/>
  <c r="D19" i="4"/>
  <c r="H3" i="17"/>
  <c r="C5" i="7"/>
  <c r="J48" i="2"/>
  <c r="G5" i="7"/>
  <c r="F48" i="2"/>
  <c r="D23" i="5"/>
  <c r="F23" i="5"/>
  <c r="G23" i="5"/>
  <c r="C22" i="5"/>
  <c r="E22" i="5"/>
  <c r="H22" i="5"/>
  <c r="B49" i="2"/>
  <c r="E5" i="7"/>
  <c r="C19" i="4"/>
  <c r="I48" i="2"/>
  <c r="C49" i="2"/>
  <c r="D3" i="17"/>
  <c r="D5" i="7"/>
  <c r="F19" i="4"/>
  <c r="C48" i="2"/>
  <c r="J49" i="2"/>
  <c r="G3" i="17"/>
  <c r="I19" i="4"/>
  <c r="B48" i="2"/>
  <c r="F49" i="2"/>
  <c r="C3" i="17"/>
  <c r="B20" i="4"/>
  <c r="J19" i="4"/>
  <c r="N46" i="2"/>
  <c r="I49" i="2"/>
  <c r="E3" i="17"/>
  <c r="H19" i="4"/>
  <c r="N47" i="2"/>
  <c r="H49" i="2"/>
  <c r="H5" i="7"/>
  <c r="H48" i="2"/>
  <c r="A50" i="2"/>
  <c r="G19" i="4"/>
  <c r="F3" i="17"/>
  <c r="E19" i="4"/>
  <c r="A51" i="2"/>
  <c r="O45" i="2" l="1"/>
  <c r="P45" i="2" s="1"/>
  <c r="Q45" i="2" s="1"/>
  <c r="A22" i="5"/>
  <c r="A23" i="5"/>
  <c r="K23" i="5"/>
  <c r="L23" i="5" s="1"/>
  <c r="M23" i="5" s="1"/>
  <c r="M46" i="2"/>
  <c r="O46" i="2" s="1"/>
  <c r="P46" i="2" s="1"/>
  <c r="Q46" i="2" s="1"/>
  <c r="K42" i="5"/>
  <c r="L42" i="5" s="1"/>
  <c r="M42" i="5" s="1"/>
  <c r="G51" i="2"/>
  <c r="R51" i="2"/>
  <c r="J5" i="7"/>
  <c r="A3" i="17"/>
  <c r="A42" i="5"/>
  <c r="J3" i="17"/>
  <c r="E48" i="2"/>
  <c r="D48" i="2"/>
  <c r="L48" i="2"/>
  <c r="K48" i="2"/>
  <c r="A19" i="4"/>
  <c r="N19" i="4"/>
  <c r="K19" i="4"/>
  <c r="L19" i="4" s="1"/>
  <c r="M19" i="4" s="1"/>
  <c r="A5" i="7"/>
  <c r="E49" i="2"/>
  <c r="D49" i="2"/>
  <c r="K49" i="2"/>
  <c r="L49" i="2"/>
  <c r="G50" i="2"/>
  <c r="R50" i="2"/>
  <c r="O44" i="2"/>
  <c r="P44" i="2" s="1"/>
  <c r="Q44" i="2" s="1"/>
  <c r="I43" i="5"/>
  <c r="K43" i="5" s="1"/>
  <c r="L43" i="5" s="1"/>
  <c r="M43" i="5" s="1"/>
  <c r="M47" i="2"/>
  <c r="I5" i="7"/>
  <c r="K5" i="7" s="1"/>
  <c r="L5" i="7" s="1"/>
  <c r="M5" i="7" s="1"/>
  <c r="C47" i="5"/>
  <c r="H47" i="5"/>
  <c r="D47" i="5"/>
  <c r="G46" i="5"/>
  <c r="E46" i="5"/>
  <c r="C46" i="5"/>
  <c r="G47" i="5"/>
  <c r="E47" i="5"/>
  <c r="F47" i="5"/>
  <c r="D46" i="5"/>
  <c r="F46" i="5"/>
  <c r="H46" i="5"/>
  <c r="B45" i="5"/>
  <c r="B44" i="5"/>
  <c r="F51" i="2"/>
  <c r="E20" i="4"/>
  <c r="N49" i="2"/>
  <c r="D20" i="4"/>
  <c r="N48" i="2"/>
  <c r="I51" i="2"/>
  <c r="H20" i="4"/>
  <c r="F50" i="2"/>
  <c r="I50" i="2"/>
  <c r="G20" i="4"/>
  <c r="I20" i="4"/>
  <c r="J20" i="4"/>
  <c r="J51" i="2"/>
  <c r="J50" i="2"/>
  <c r="H51" i="2"/>
  <c r="C20" i="4"/>
  <c r="C51" i="2"/>
  <c r="F20" i="4"/>
  <c r="C50" i="2"/>
  <c r="B50" i="2"/>
  <c r="B51" i="2"/>
  <c r="A52" i="2"/>
  <c r="H50" i="2"/>
  <c r="B24" i="5"/>
  <c r="B25" i="5"/>
  <c r="J24" i="5" l="1"/>
  <c r="J25" i="5"/>
  <c r="M49" i="2"/>
  <c r="I25" i="5" s="1"/>
  <c r="E50" i="2"/>
  <c r="D50" i="2"/>
  <c r="L50" i="2"/>
  <c r="K50" i="2"/>
  <c r="J47" i="5"/>
  <c r="K20" i="4"/>
  <c r="L20" i="4" s="1"/>
  <c r="M20" i="4" s="1"/>
  <c r="R52" i="2"/>
  <c r="G52" i="2"/>
  <c r="J46" i="5"/>
  <c r="N20" i="4"/>
  <c r="A20" i="4"/>
  <c r="E51" i="2"/>
  <c r="D51" i="2"/>
  <c r="K51" i="2"/>
  <c r="L51" i="2"/>
  <c r="A46" i="5"/>
  <c r="A47" i="5"/>
  <c r="O47" i="2"/>
  <c r="P47" i="2" s="1"/>
  <c r="Q47" i="2" s="1"/>
  <c r="I3" i="17"/>
  <c r="K3" i="17" s="1"/>
  <c r="L3" i="17" s="1"/>
  <c r="M3" i="17" s="1"/>
  <c r="M48" i="2"/>
  <c r="I24" i="5" s="1"/>
  <c r="K24" i="5" s="1"/>
  <c r="L24" i="5" s="1"/>
  <c r="M24" i="5" s="1"/>
  <c r="I47" i="5"/>
  <c r="D44" i="5"/>
  <c r="E44" i="5"/>
  <c r="H44" i="5"/>
  <c r="G45" i="5"/>
  <c r="D45" i="5"/>
  <c r="C45" i="5"/>
  <c r="C44" i="5"/>
  <c r="G44" i="5"/>
  <c r="F44" i="5"/>
  <c r="F45" i="5"/>
  <c r="E45" i="5"/>
  <c r="H45" i="5"/>
  <c r="G25" i="5"/>
  <c r="F25" i="5"/>
  <c r="C25" i="5"/>
  <c r="D24" i="5"/>
  <c r="H24" i="5"/>
  <c r="C24" i="5"/>
  <c r="A53" i="2"/>
  <c r="D25" i="5"/>
  <c r="E25" i="5"/>
  <c r="H25" i="5"/>
  <c r="G24" i="5"/>
  <c r="F24" i="5"/>
  <c r="E24" i="5"/>
  <c r="B26" i="5"/>
  <c r="I52" i="2"/>
  <c r="B52" i="2"/>
  <c r="C52" i="2"/>
  <c r="N51" i="2"/>
  <c r="J52" i="2"/>
  <c r="A54" i="2"/>
  <c r="N50" i="2"/>
  <c r="A55" i="2"/>
  <c r="H52" i="2"/>
  <c r="F52" i="2"/>
  <c r="B27" i="5"/>
  <c r="K25" i="5" l="1"/>
  <c r="L25" i="5" s="1"/>
  <c r="M25" i="5" s="1"/>
  <c r="R53" i="2"/>
  <c r="G53" i="2"/>
  <c r="A24" i="5"/>
  <c r="A25" i="5"/>
  <c r="O49" i="2"/>
  <c r="P49" i="2" s="1"/>
  <c r="Q49" i="2" s="1"/>
  <c r="J27" i="5"/>
  <c r="J26" i="5"/>
  <c r="K47" i="5"/>
  <c r="L47" i="5" s="1"/>
  <c r="M47" i="5" s="1"/>
  <c r="M50" i="2"/>
  <c r="R55" i="2"/>
  <c r="G55" i="2"/>
  <c r="J44" i="5"/>
  <c r="E52" i="2"/>
  <c r="D52" i="2"/>
  <c r="L52" i="2"/>
  <c r="K52" i="2"/>
  <c r="J45" i="5"/>
  <c r="R54" i="2"/>
  <c r="G54" i="2"/>
  <c r="A44" i="5"/>
  <c r="A45" i="5"/>
  <c r="M51" i="2"/>
  <c r="I27" i="5" s="1"/>
  <c r="K27" i="5" s="1"/>
  <c r="O48" i="2"/>
  <c r="P48" i="2" s="1"/>
  <c r="Q48" i="2" s="1"/>
  <c r="I46" i="5"/>
  <c r="K46" i="5" s="1"/>
  <c r="L46" i="5" s="1"/>
  <c r="M46" i="5" s="1"/>
  <c r="O50" i="2"/>
  <c r="P50" i="2" s="1"/>
  <c r="Q50" i="2" s="1"/>
  <c r="H27" i="5"/>
  <c r="F27" i="5"/>
  <c r="C27" i="5"/>
  <c r="E26" i="5"/>
  <c r="G26" i="5"/>
  <c r="F26" i="5"/>
  <c r="I53" i="2"/>
  <c r="F53" i="2"/>
  <c r="B21" i="4" s="1"/>
  <c r="J53" i="2"/>
  <c r="A56" i="2"/>
  <c r="H55" i="2"/>
  <c r="I54" i="2"/>
  <c r="A57" i="2"/>
  <c r="N52" i="2"/>
  <c r="J55" i="2"/>
  <c r="B54" i="2"/>
  <c r="H54" i="2"/>
  <c r="F54" i="2"/>
  <c r="B22" i="4"/>
  <c r="D27" i="5"/>
  <c r="E27" i="5"/>
  <c r="G27" i="5"/>
  <c r="H26" i="5"/>
  <c r="D26" i="5"/>
  <c r="C26" i="5"/>
  <c r="C53" i="2"/>
  <c r="B53" i="2"/>
  <c r="H53" i="2"/>
  <c r="I55" i="2"/>
  <c r="F55" i="2"/>
  <c r="C54" i="2"/>
  <c r="B55" i="2"/>
  <c r="C55" i="2"/>
  <c r="J54" i="2"/>
  <c r="D53" i="2" l="1"/>
  <c r="L53" i="2"/>
  <c r="E53" i="2"/>
  <c r="K53" i="2"/>
  <c r="A26" i="5"/>
  <c r="A27" i="5"/>
  <c r="L27" i="5"/>
  <c r="M27" i="5" s="1"/>
  <c r="I45" i="5"/>
  <c r="K45" i="5" s="1"/>
  <c r="L45" i="5" s="1"/>
  <c r="M45" i="5" s="1"/>
  <c r="I26" i="5"/>
  <c r="K26" i="5" s="1"/>
  <c r="L26" i="5" s="1"/>
  <c r="M26" i="5" s="1"/>
  <c r="G57" i="2"/>
  <c r="R57" i="2"/>
  <c r="E54" i="2"/>
  <c r="D54" i="2"/>
  <c r="L54" i="2"/>
  <c r="K54" i="2"/>
  <c r="R56" i="2"/>
  <c r="G56" i="2"/>
  <c r="E55" i="2"/>
  <c r="D55" i="2"/>
  <c r="L55" i="2"/>
  <c r="K55" i="2"/>
  <c r="M52" i="2"/>
  <c r="O52" i="2" s="1"/>
  <c r="P52" i="2" s="1"/>
  <c r="Q52" i="2" s="1"/>
  <c r="O51" i="2"/>
  <c r="P51" i="2" s="1"/>
  <c r="Q51" i="2" s="1"/>
  <c r="I44" i="5"/>
  <c r="K44" i="5" s="1"/>
  <c r="L44" i="5" s="1"/>
  <c r="M44" i="5" s="1"/>
  <c r="N53" i="2"/>
  <c r="G21" i="4"/>
  <c r="H21" i="4"/>
  <c r="F21" i="4"/>
  <c r="E21" i="4"/>
  <c r="J22" i="4"/>
  <c r="B57" i="2"/>
  <c r="H56" i="2"/>
  <c r="I22" i="4"/>
  <c r="C57" i="2"/>
  <c r="J56" i="2"/>
  <c r="D22" i="4"/>
  <c r="I57" i="2"/>
  <c r="F56" i="2"/>
  <c r="E22" i="4"/>
  <c r="J57" i="2"/>
  <c r="B56" i="2"/>
  <c r="H22" i="4"/>
  <c r="I56" i="2"/>
  <c r="F22" i="4"/>
  <c r="C56" i="2"/>
  <c r="N55" i="2"/>
  <c r="C22" i="4"/>
  <c r="A58" i="2"/>
  <c r="J21" i="4"/>
  <c r="C21" i="4"/>
  <c r="I21" i="4"/>
  <c r="D21" i="4"/>
  <c r="B23" i="4"/>
  <c r="F57" i="2"/>
  <c r="H57" i="2"/>
  <c r="G22" i="4"/>
  <c r="N54" i="2"/>
  <c r="M53" i="2" l="1"/>
  <c r="K21" i="4"/>
  <c r="L21" i="4" s="1"/>
  <c r="M21" i="4" s="1"/>
  <c r="A21" i="4"/>
  <c r="N21" i="4"/>
  <c r="O53" i="2"/>
  <c r="P53" i="2" s="1"/>
  <c r="Q53" i="2" s="1"/>
  <c r="M54" i="2"/>
  <c r="O54" i="2" s="1"/>
  <c r="P54" i="2" s="1"/>
  <c r="Q54" i="2" s="1"/>
  <c r="D56" i="2"/>
  <c r="E56" i="2"/>
  <c r="L56" i="2"/>
  <c r="K56" i="2"/>
  <c r="G58" i="2"/>
  <c r="R58" i="2"/>
  <c r="K22" i="4"/>
  <c r="L22" i="4" s="1"/>
  <c r="M22" i="4" s="1"/>
  <c r="E57" i="2"/>
  <c r="D57" i="2"/>
  <c r="L57" i="2"/>
  <c r="K57" i="2"/>
  <c r="N22" i="4"/>
  <c r="A22" i="4"/>
  <c r="M55" i="2"/>
  <c r="O55" i="2" s="1"/>
  <c r="P55" i="2" s="1"/>
  <c r="Q55" i="2" s="1"/>
  <c r="C58" i="2"/>
  <c r="G23" i="4"/>
  <c r="C23" i="4"/>
  <c r="J58" i="2"/>
  <c r="I58" i="2"/>
  <c r="F58" i="2"/>
  <c r="J23" i="4"/>
  <c r="N56" i="2"/>
  <c r="N57" i="2"/>
  <c r="H58" i="2"/>
  <c r="E23" i="4"/>
  <c r="H23" i="4"/>
  <c r="B24" i="4"/>
  <c r="A59" i="2"/>
  <c r="F23" i="4"/>
  <c r="B58" i="2"/>
  <c r="D23" i="4"/>
  <c r="I23" i="4"/>
  <c r="M56" i="2" l="1"/>
  <c r="A23" i="4"/>
  <c r="N23" i="4"/>
  <c r="E58" i="2"/>
  <c r="D58" i="2"/>
  <c r="K58" i="2"/>
  <c r="L58" i="2"/>
  <c r="K23" i="4"/>
  <c r="L23" i="4" s="1"/>
  <c r="M23" i="4" s="1"/>
  <c r="R59" i="2"/>
  <c r="G59" i="2"/>
  <c r="O56" i="2"/>
  <c r="P56" i="2" s="1"/>
  <c r="Q56" i="2" s="1"/>
  <c r="M57" i="2"/>
  <c r="O57" i="2" s="1"/>
  <c r="P57" i="2" s="1"/>
  <c r="Q57" i="2" s="1"/>
  <c r="B48" i="5"/>
  <c r="E24" i="4"/>
  <c r="I24" i="4"/>
  <c r="C59" i="2"/>
  <c r="I59" i="2"/>
  <c r="F24" i="4"/>
  <c r="J24" i="4"/>
  <c r="N58" i="2"/>
  <c r="J59" i="2"/>
  <c r="B25" i="4"/>
  <c r="D24" i="4"/>
  <c r="C24" i="4"/>
  <c r="A60" i="2"/>
  <c r="A61" i="2" s="1"/>
  <c r="B59" i="2"/>
  <c r="H24" i="4"/>
  <c r="G24" i="4"/>
  <c r="H59" i="2"/>
  <c r="F59" i="2"/>
  <c r="R61" i="2" l="1"/>
  <c r="G61" i="2"/>
  <c r="D59" i="2"/>
  <c r="E59" i="2"/>
  <c r="L59" i="2"/>
  <c r="K59" i="2"/>
  <c r="R60" i="2"/>
  <c r="G60" i="2"/>
  <c r="A24" i="4"/>
  <c r="N24" i="4"/>
  <c r="K24" i="4"/>
  <c r="L24" i="4" s="1"/>
  <c r="M24" i="4" s="1"/>
  <c r="M58" i="2"/>
  <c r="O58" i="2" s="1"/>
  <c r="P58" i="2" s="1"/>
  <c r="Q58" i="2" s="1"/>
  <c r="E48" i="5"/>
  <c r="G48" i="5"/>
  <c r="D48" i="5"/>
  <c r="F48" i="5"/>
  <c r="C48" i="5"/>
  <c r="H48" i="5"/>
  <c r="B49" i="5"/>
  <c r="B28" i="5"/>
  <c r="J61" i="2"/>
  <c r="I60" i="2"/>
  <c r="D25" i="4"/>
  <c r="N59" i="2"/>
  <c r="C25" i="4"/>
  <c r="I61" i="2"/>
  <c r="J60" i="2"/>
  <c r="E25" i="4"/>
  <c r="F61" i="2"/>
  <c r="J25" i="4"/>
  <c r="C60" i="2"/>
  <c r="H61" i="2"/>
  <c r="G25" i="4"/>
  <c r="A62" i="2"/>
  <c r="F60" i="2"/>
  <c r="F25" i="4"/>
  <c r="B61" i="2"/>
  <c r="H25" i="4"/>
  <c r="H60" i="2"/>
  <c r="C61" i="2"/>
  <c r="B26" i="4"/>
  <c r="I25" i="4"/>
  <c r="B60" i="2"/>
  <c r="M59" i="2" l="1"/>
  <c r="I28" i="5" s="1"/>
  <c r="J28" i="5"/>
  <c r="E60" i="2"/>
  <c r="D60" i="2"/>
  <c r="K60" i="2"/>
  <c r="L60" i="2"/>
  <c r="A25" i="4"/>
  <c r="N25" i="4"/>
  <c r="J48" i="5"/>
  <c r="E61" i="2"/>
  <c r="D61" i="2"/>
  <c r="L61" i="2"/>
  <c r="K61" i="2"/>
  <c r="A48" i="5"/>
  <c r="K25" i="4"/>
  <c r="L25" i="4" s="1"/>
  <c r="M25" i="4" s="1"/>
  <c r="R62" i="2"/>
  <c r="G62" i="2"/>
  <c r="I48" i="5"/>
  <c r="F49" i="5"/>
  <c r="H49" i="5"/>
  <c r="E49" i="5"/>
  <c r="G49" i="5"/>
  <c r="C49" i="5"/>
  <c r="D49" i="5"/>
  <c r="B29" i="5"/>
  <c r="H28" i="5"/>
  <c r="F28" i="5"/>
  <c r="D28" i="5"/>
  <c r="F26" i="4"/>
  <c r="H62" i="2"/>
  <c r="F62" i="2"/>
  <c r="I62" i="2"/>
  <c r="C62" i="2"/>
  <c r="E28" i="5"/>
  <c r="G28" i="5"/>
  <c r="C28" i="5"/>
  <c r="G26" i="4"/>
  <c r="B62" i="2"/>
  <c r="H26" i="4"/>
  <c r="J62" i="2"/>
  <c r="N61" i="2"/>
  <c r="I26" i="4"/>
  <c r="E26" i="4"/>
  <c r="A63" i="2"/>
  <c r="B27" i="4"/>
  <c r="C26" i="4"/>
  <c r="N60" i="2"/>
  <c r="J26" i="4"/>
  <c r="D26" i="4"/>
  <c r="K48" i="5" l="1"/>
  <c r="L48" i="5" s="1"/>
  <c r="M48" i="5" s="1"/>
  <c r="O59" i="2"/>
  <c r="P59" i="2" s="1"/>
  <c r="Q59" i="2" s="1"/>
  <c r="K28" i="5"/>
  <c r="L28" i="5" s="1"/>
  <c r="M28" i="5" s="1"/>
  <c r="A28" i="5"/>
  <c r="J29" i="5"/>
  <c r="M61" i="2"/>
  <c r="O61" i="2" s="1"/>
  <c r="P61" i="2" s="1"/>
  <c r="Q61" i="2" s="1"/>
  <c r="M60" i="2"/>
  <c r="R63" i="2"/>
  <c r="G63" i="2"/>
  <c r="N26" i="4"/>
  <c r="A26" i="4"/>
  <c r="E62" i="2"/>
  <c r="D62" i="2"/>
  <c r="L62" i="2"/>
  <c r="K62" i="2"/>
  <c r="K26" i="4"/>
  <c r="L26" i="4" s="1"/>
  <c r="M26" i="4" s="1"/>
  <c r="A49" i="5"/>
  <c r="J49" i="5"/>
  <c r="O60" i="2"/>
  <c r="P60" i="2" s="1"/>
  <c r="Q60" i="2" s="1"/>
  <c r="B50" i="5"/>
  <c r="A64" i="2"/>
  <c r="E29" i="5"/>
  <c r="D29" i="5"/>
  <c r="H29" i="5"/>
  <c r="F63" i="2"/>
  <c r="E27" i="4"/>
  <c r="F27" i="4"/>
  <c r="B3" i="13"/>
  <c r="H63" i="2"/>
  <c r="C63" i="2"/>
  <c r="H27" i="4"/>
  <c r="I27" i="4"/>
  <c r="I63" i="2"/>
  <c r="D27" i="4"/>
  <c r="B63" i="2"/>
  <c r="G27" i="4"/>
  <c r="B28" i="4"/>
  <c r="J63" i="2"/>
  <c r="N62" i="2"/>
  <c r="J27" i="4"/>
  <c r="C27" i="4"/>
  <c r="C29" i="5"/>
  <c r="F29" i="5"/>
  <c r="G29" i="5"/>
  <c r="A65" i="2"/>
  <c r="G65" i="2" l="1"/>
  <c r="R65" i="2"/>
  <c r="A29" i="5"/>
  <c r="G64" i="2"/>
  <c r="R64" i="2"/>
  <c r="I49" i="5"/>
  <c r="I29" i="5"/>
  <c r="K29" i="5" s="1"/>
  <c r="L29" i="5" s="1"/>
  <c r="M29" i="5" s="1"/>
  <c r="K49" i="5"/>
  <c r="L49" i="5" s="1"/>
  <c r="M49" i="5" s="1"/>
  <c r="N27" i="4"/>
  <c r="A27" i="4"/>
  <c r="K27" i="4"/>
  <c r="L27" i="4" s="1"/>
  <c r="M27" i="4" s="1"/>
  <c r="D63" i="2"/>
  <c r="E63" i="2"/>
  <c r="L63" i="2"/>
  <c r="J3" i="13" s="1"/>
  <c r="K63" i="2"/>
  <c r="M62" i="2"/>
  <c r="O62" i="2" s="1"/>
  <c r="P62" i="2" s="1"/>
  <c r="Q62" i="2" s="1"/>
  <c r="F50" i="5"/>
  <c r="E50" i="5"/>
  <c r="D50" i="5"/>
  <c r="H50" i="5"/>
  <c r="C50" i="5"/>
  <c r="G50" i="5"/>
  <c r="A66" i="2"/>
  <c r="H65" i="2"/>
  <c r="J65" i="2"/>
  <c r="C65" i="2"/>
  <c r="I64" i="2"/>
  <c r="C64" i="2"/>
  <c r="F64" i="2"/>
  <c r="G3" i="13"/>
  <c r="E28" i="4"/>
  <c r="F3" i="13"/>
  <c r="C28" i="4"/>
  <c r="C3" i="13"/>
  <c r="H28" i="4"/>
  <c r="F28" i="4"/>
  <c r="B4" i="9"/>
  <c r="D3" i="13"/>
  <c r="D28" i="4"/>
  <c r="E3" i="13"/>
  <c r="J28" i="4"/>
  <c r="I28" i="4"/>
  <c r="N63" i="2"/>
  <c r="H3" i="13"/>
  <c r="G28" i="4"/>
  <c r="B65" i="2"/>
  <c r="I65" i="2"/>
  <c r="F65" i="2"/>
  <c r="J64" i="2"/>
  <c r="H64" i="2"/>
  <c r="B64" i="2"/>
  <c r="E64" i="2" l="1"/>
  <c r="K64" i="2"/>
  <c r="D64" i="2"/>
  <c r="L64" i="2"/>
  <c r="D65" i="2"/>
  <c r="L65" i="2"/>
  <c r="E65" i="2"/>
  <c r="K65" i="2"/>
  <c r="M65" i="2" s="1"/>
  <c r="R66" i="2"/>
  <c r="G66" i="2"/>
  <c r="M63" i="2"/>
  <c r="O63" i="2" s="1"/>
  <c r="P63" i="2" s="1"/>
  <c r="Q63" i="2" s="1"/>
  <c r="J50" i="5"/>
  <c r="N28" i="4"/>
  <c r="A28" i="4"/>
  <c r="A50" i="5"/>
  <c r="K28" i="4"/>
  <c r="L28" i="4" s="1"/>
  <c r="M28" i="4" s="1"/>
  <c r="A3" i="13"/>
  <c r="I3" i="13"/>
  <c r="L3" i="13" s="1"/>
  <c r="M3" i="13" s="1"/>
  <c r="N3" i="13" s="1"/>
  <c r="N64" i="2"/>
  <c r="N65" i="2"/>
  <c r="B30" i="5"/>
  <c r="J66" i="2"/>
  <c r="F66" i="2"/>
  <c r="I66" i="2"/>
  <c r="E4" i="9"/>
  <c r="G4" i="9"/>
  <c r="H4" i="9"/>
  <c r="I4" i="9"/>
  <c r="A67" i="2"/>
  <c r="B66" i="2"/>
  <c r="C66" i="2"/>
  <c r="H66" i="2"/>
  <c r="J4" i="9"/>
  <c r="C4" i="9"/>
  <c r="D4" i="9"/>
  <c r="F4" i="9"/>
  <c r="B29" i="4"/>
  <c r="M64" i="2" l="1"/>
  <c r="D66" i="2"/>
  <c r="E66" i="2"/>
  <c r="L66" i="2"/>
  <c r="K66" i="2"/>
  <c r="R67" i="2"/>
  <c r="G67" i="2"/>
  <c r="J30" i="5"/>
  <c r="O64" i="2"/>
  <c r="P64" i="2" s="1"/>
  <c r="Q64" i="2" s="1"/>
  <c r="I30" i="5"/>
  <c r="K30" i="5" s="1"/>
  <c r="L30" i="5" s="1"/>
  <c r="M30" i="5" s="1"/>
  <c r="K4" i="9"/>
  <c r="L4" i="9" s="1"/>
  <c r="M4" i="9" s="1"/>
  <c r="A4" i="9"/>
  <c r="I50" i="5"/>
  <c r="K50" i="5" s="1"/>
  <c r="L50" i="5" s="1"/>
  <c r="M50" i="5" s="1"/>
  <c r="O65" i="2"/>
  <c r="P65" i="2" s="1"/>
  <c r="Q65" i="2" s="1"/>
  <c r="H67" i="2"/>
  <c r="C67" i="2"/>
  <c r="J67" i="2"/>
  <c r="J29" i="4"/>
  <c r="C29" i="4"/>
  <c r="G29" i="4"/>
  <c r="D29" i="4"/>
  <c r="D30" i="5"/>
  <c r="F30" i="5"/>
  <c r="C30" i="5"/>
  <c r="F67" i="2"/>
  <c r="B67" i="2"/>
  <c r="B30" i="4"/>
  <c r="E30" i="5"/>
  <c r="G30" i="5"/>
  <c r="N66" i="2"/>
  <c r="A68" i="2"/>
  <c r="I67" i="2"/>
  <c r="I29" i="4"/>
  <c r="F29" i="4"/>
  <c r="H29" i="4"/>
  <c r="E29" i="4"/>
  <c r="H30" i="5"/>
  <c r="M66" i="2" l="1"/>
  <c r="K29" i="4"/>
  <c r="L29" i="4" s="1"/>
  <c r="M29" i="4" s="1"/>
  <c r="G68" i="2"/>
  <c r="R68" i="2"/>
  <c r="E67" i="2"/>
  <c r="D67" i="2"/>
  <c r="K67" i="2"/>
  <c r="L67" i="2"/>
  <c r="A30" i="5"/>
  <c r="A29" i="4"/>
  <c r="N29" i="4"/>
  <c r="O66" i="2"/>
  <c r="P66" i="2" s="1"/>
  <c r="Q66" i="2" s="1"/>
  <c r="C68" i="2"/>
  <c r="J68" i="2"/>
  <c r="I68" i="2"/>
  <c r="F30" i="4"/>
  <c r="I30" i="4"/>
  <c r="D30" i="4"/>
  <c r="E30" i="4"/>
  <c r="A69" i="2"/>
  <c r="F68" i="2"/>
  <c r="B68" i="2"/>
  <c r="H68" i="2"/>
  <c r="C30" i="4"/>
  <c r="H30" i="4"/>
  <c r="G30" i="4"/>
  <c r="J30" i="4"/>
  <c r="N67" i="2"/>
  <c r="A70" i="2"/>
  <c r="A71" i="2" s="1"/>
  <c r="B31" i="4"/>
  <c r="J71" i="2"/>
  <c r="A72" i="2"/>
  <c r="A73" i="2" s="1"/>
  <c r="A74" i="2" s="1"/>
  <c r="A75" i="2" s="1"/>
  <c r="A76" i="2" s="1"/>
  <c r="J72" i="2"/>
  <c r="J73" i="2"/>
  <c r="J74" i="2"/>
  <c r="J75" i="2"/>
  <c r="J76" i="2"/>
  <c r="G76" i="2" l="1"/>
  <c r="R76" i="2"/>
  <c r="G75" i="2"/>
  <c r="R75" i="2"/>
  <c r="G74" i="2"/>
  <c r="R74" i="2"/>
  <c r="G73" i="2"/>
  <c r="R73" i="2"/>
  <c r="G72" i="2"/>
  <c r="R72" i="2"/>
  <c r="G71" i="2"/>
  <c r="R71" i="2"/>
  <c r="R70" i="2"/>
  <c r="G70" i="2"/>
  <c r="A30" i="4"/>
  <c r="N30" i="4"/>
  <c r="D68" i="2"/>
  <c r="E68" i="2"/>
  <c r="K68" i="2"/>
  <c r="L68" i="2"/>
  <c r="R69" i="2"/>
  <c r="G69" i="2"/>
  <c r="K30" i="4"/>
  <c r="L30" i="4" s="1"/>
  <c r="M30" i="4" s="1"/>
  <c r="M67" i="2"/>
  <c r="O67" i="2" s="1"/>
  <c r="P67" i="2" s="1"/>
  <c r="Q67" i="2" s="1"/>
  <c r="A77" i="2"/>
  <c r="A78" i="2" s="1"/>
  <c r="J77" i="2"/>
  <c r="B76" i="2"/>
  <c r="I76" i="2"/>
  <c r="H76" i="2"/>
  <c r="F76" i="2"/>
  <c r="C76" i="2"/>
  <c r="F75" i="2"/>
  <c r="C75" i="2"/>
  <c r="H75" i="2"/>
  <c r="B75" i="2"/>
  <c r="I75" i="2"/>
  <c r="F74" i="2"/>
  <c r="B74" i="2"/>
  <c r="C74" i="2"/>
  <c r="I74" i="2"/>
  <c r="H74" i="2"/>
  <c r="F73" i="2"/>
  <c r="I73" i="2"/>
  <c r="B73" i="2"/>
  <c r="C73" i="2"/>
  <c r="H73" i="2"/>
  <c r="H72" i="2"/>
  <c r="B72" i="2"/>
  <c r="F72" i="2"/>
  <c r="F71" i="2"/>
  <c r="H71" i="2"/>
  <c r="I72" i="2"/>
  <c r="C72" i="2"/>
  <c r="B71" i="2"/>
  <c r="I71" i="2"/>
  <c r="C71" i="2"/>
  <c r="H31" i="4"/>
  <c r="J31" i="4"/>
  <c r="E31" i="4"/>
  <c r="F31" i="4"/>
  <c r="I70" i="2"/>
  <c r="C70" i="2"/>
  <c r="B70" i="2"/>
  <c r="H70" i="2"/>
  <c r="F69" i="2"/>
  <c r="J69" i="2"/>
  <c r="I69" i="2"/>
  <c r="H69" i="2"/>
  <c r="C69" i="2"/>
  <c r="C31" i="4"/>
  <c r="I31" i="4"/>
  <c r="D31" i="4"/>
  <c r="G31" i="4"/>
  <c r="F70" i="2"/>
  <c r="B31" i="5" s="1"/>
  <c r="B32" i="5" s="1"/>
  <c r="B33" i="5" s="1"/>
  <c r="B34" i="5" s="1"/>
  <c r="J70" i="2"/>
  <c r="N68" i="2"/>
  <c r="B69" i="2"/>
  <c r="B32" i="4"/>
  <c r="B33" i="4"/>
  <c r="B34" i="4" s="1"/>
  <c r="B35" i="4"/>
  <c r="J78" i="2"/>
  <c r="R78" i="2" l="1"/>
  <c r="G78" i="2"/>
  <c r="D76" i="2"/>
  <c r="E76" i="2"/>
  <c r="K76" i="2"/>
  <c r="L76" i="2"/>
  <c r="G77" i="2"/>
  <c r="R77" i="2"/>
  <c r="D75" i="2"/>
  <c r="E75" i="2"/>
  <c r="L75" i="2"/>
  <c r="K75" i="2"/>
  <c r="D74" i="2"/>
  <c r="E74" i="2"/>
  <c r="K74" i="2"/>
  <c r="L74" i="2"/>
  <c r="D73" i="2"/>
  <c r="E73" i="2"/>
  <c r="L73" i="2"/>
  <c r="K73" i="2"/>
  <c r="D71" i="2"/>
  <c r="E71" i="2"/>
  <c r="L71" i="2"/>
  <c r="K71" i="2"/>
  <c r="E72" i="2"/>
  <c r="D72" i="2"/>
  <c r="K72" i="2"/>
  <c r="L72" i="2"/>
  <c r="D69" i="2"/>
  <c r="E69" i="2"/>
  <c r="L69" i="2"/>
  <c r="K69" i="2"/>
  <c r="K31" i="4"/>
  <c r="L31" i="4" s="1"/>
  <c r="M31" i="4" s="1"/>
  <c r="N31" i="4"/>
  <c r="A31" i="4"/>
  <c r="D70" i="2"/>
  <c r="E70" i="2"/>
  <c r="K70" i="2"/>
  <c r="L70" i="2"/>
  <c r="M68" i="2"/>
  <c r="O68" i="2" s="1"/>
  <c r="P68" i="2" s="1"/>
  <c r="Q68" i="2" s="1"/>
  <c r="A79" i="2"/>
  <c r="A80" i="2" s="1"/>
  <c r="A81" i="2" s="1"/>
  <c r="J79" i="2"/>
  <c r="B78" i="2"/>
  <c r="I78" i="2"/>
  <c r="H78" i="2"/>
  <c r="F78" i="2"/>
  <c r="C78" i="2"/>
  <c r="F77" i="2"/>
  <c r="B77" i="2"/>
  <c r="H77" i="2"/>
  <c r="I77" i="2"/>
  <c r="C77" i="2"/>
  <c r="D34" i="5"/>
  <c r="F34" i="5"/>
  <c r="H34" i="5"/>
  <c r="E34" i="5"/>
  <c r="C34" i="5"/>
  <c r="G34" i="5"/>
  <c r="N76" i="2"/>
  <c r="D33" i="5"/>
  <c r="F33" i="5"/>
  <c r="H33" i="5"/>
  <c r="E33" i="5"/>
  <c r="G33" i="5"/>
  <c r="C33" i="5"/>
  <c r="N75" i="2"/>
  <c r="H32" i="5"/>
  <c r="C32" i="5"/>
  <c r="D32" i="5"/>
  <c r="E32" i="5"/>
  <c r="G32" i="5"/>
  <c r="F32" i="5"/>
  <c r="N74" i="2"/>
  <c r="H31" i="5"/>
  <c r="F31" i="5"/>
  <c r="C31" i="5"/>
  <c r="G31" i="5"/>
  <c r="D31" i="5"/>
  <c r="E31" i="5"/>
  <c r="N73" i="2"/>
  <c r="C35" i="4"/>
  <c r="I35" i="4"/>
  <c r="H35" i="4"/>
  <c r="E35" i="4"/>
  <c r="C34" i="4"/>
  <c r="J34" i="4"/>
  <c r="E34" i="4"/>
  <c r="D34" i="4"/>
  <c r="N72" i="2"/>
  <c r="J35" i="4"/>
  <c r="D35" i="4"/>
  <c r="G35" i="4"/>
  <c r="F35" i="4"/>
  <c r="I34" i="4"/>
  <c r="F34" i="4"/>
  <c r="G34" i="4"/>
  <c r="H34" i="4"/>
  <c r="N71" i="2"/>
  <c r="I33" i="4"/>
  <c r="J33" i="4"/>
  <c r="C33" i="4"/>
  <c r="G33" i="4"/>
  <c r="D32" i="4"/>
  <c r="C32" i="4"/>
  <c r="F32" i="4"/>
  <c r="H32" i="4"/>
  <c r="D33" i="4"/>
  <c r="F33" i="4"/>
  <c r="H33" i="4"/>
  <c r="E33" i="4"/>
  <c r="I32" i="4"/>
  <c r="G32" i="4"/>
  <c r="E32" i="4"/>
  <c r="J32" i="4"/>
  <c r="N69" i="2"/>
  <c r="N70" i="2"/>
  <c r="B36" i="4"/>
  <c r="B35" i="5"/>
  <c r="J80" i="2"/>
  <c r="J81" i="2"/>
  <c r="G81" i="2" l="1"/>
  <c r="R81" i="2"/>
  <c r="R80" i="2"/>
  <c r="G80" i="2"/>
  <c r="D78" i="2"/>
  <c r="E78" i="2"/>
  <c r="K78" i="2"/>
  <c r="L78" i="2"/>
  <c r="R79" i="2"/>
  <c r="G79" i="2"/>
  <c r="L77" i="2"/>
  <c r="K77" i="2"/>
  <c r="J34" i="5"/>
  <c r="A34" i="5"/>
  <c r="D77" i="2"/>
  <c r="E77" i="2"/>
  <c r="M75" i="2"/>
  <c r="O75" i="2" s="1"/>
  <c r="P75" i="2" s="1"/>
  <c r="Q75" i="2" s="1"/>
  <c r="M76" i="2"/>
  <c r="M73" i="2"/>
  <c r="J33" i="5"/>
  <c r="A33" i="5"/>
  <c r="I33" i="5"/>
  <c r="J32" i="5"/>
  <c r="A32" i="5"/>
  <c r="M74" i="2"/>
  <c r="J31" i="5"/>
  <c r="A31" i="5"/>
  <c r="O73" i="2"/>
  <c r="P73" i="2" s="1"/>
  <c r="Q73" i="2" s="1"/>
  <c r="I31" i="5"/>
  <c r="M71" i="2"/>
  <c r="M69" i="2"/>
  <c r="K34" i="4"/>
  <c r="L34" i="4" s="1"/>
  <c r="M34" i="4" s="1"/>
  <c r="A34" i="4"/>
  <c r="N34" i="4"/>
  <c r="K35" i="4"/>
  <c r="L35" i="4" s="1"/>
  <c r="M35" i="4" s="1"/>
  <c r="A35" i="4"/>
  <c r="N35" i="4"/>
  <c r="O71" i="2"/>
  <c r="P71" i="2" s="1"/>
  <c r="Q71" i="2" s="1"/>
  <c r="M72" i="2"/>
  <c r="O72" i="2" s="1"/>
  <c r="P72" i="2" s="1"/>
  <c r="Q72" i="2" s="1"/>
  <c r="K32" i="4"/>
  <c r="L32" i="4" s="1"/>
  <c r="M32" i="4" s="1"/>
  <c r="N32" i="4"/>
  <c r="A32" i="4"/>
  <c r="A33" i="4"/>
  <c r="N33" i="4"/>
  <c r="K33" i="4"/>
  <c r="L33" i="4" s="1"/>
  <c r="M33" i="4" s="1"/>
  <c r="M70" i="2"/>
  <c r="O70" i="2" s="1"/>
  <c r="P70" i="2" s="1"/>
  <c r="Q70" i="2" s="1"/>
  <c r="O69" i="2"/>
  <c r="P69" i="2" s="1"/>
  <c r="Q69" i="2" s="1"/>
  <c r="A82" i="2"/>
  <c r="F81" i="2"/>
  <c r="C81" i="2"/>
  <c r="I81" i="2"/>
  <c r="H81" i="2"/>
  <c r="B81" i="2"/>
  <c r="F80" i="2"/>
  <c r="B80" i="2"/>
  <c r="C80" i="2"/>
  <c r="H80" i="2"/>
  <c r="I80" i="2"/>
  <c r="I79" i="2"/>
  <c r="H79" i="2"/>
  <c r="F79" i="2"/>
  <c r="B37" i="4" s="1"/>
  <c r="B79" i="2"/>
  <c r="C79" i="2"/>
  <c r="I36" i="4"/>
  <c r="C36" i="4"/>
  <c r="F36" i="4"/>
  <c r="E36" i="4"/>
  <c r="J82" i="2"/>
  <c r="J36" i="4"/>
  <c r="D36" i="4"/>
  <c r="G36" i="4"/>
  <c r="H36" i="4"/>
  <c r="N78" i="2"/>
  <c r="E35" i="5"/>
  <c r="F35" i="5"/>
  <c r="D35" i="5"/>
  <c r="N77" i="2"/>
  <c r="G35" i="5"/>
  <c r="C35" i="5"/>
  <c r="H35" i="5"/>
  <c r="D81" i="2" l="1"/>
  <c r="E81" i="2"/>
  <c r="L81" i="2"/>
  <c r="K81" i="2"/>
  <c r="M81" i="2" s="1"/>
  <c r="E80" i="2"/>
  <c r="D80" i="2"/>
  <c r="L80" i="2"/>
  <c r="K80" i="2"/>
  <c r="K79" i="2"/>
  <c r="L79" i="2"/>
  <c r="A36" i="4"/>
  <c r="N36" i="4"/>
  <c r="K36" i="4"/>
  <c r="L36" i="4" s="1"/>
  <c r="M36" i="4" s="1"/>
  <c r="E79" i="2"/>
  <c r="D79" i="2"/>
  <c r="M79" i="2"/>
  <c r="R82" i="2"/>
  <c r="G82" i="2"/>
  <c r="M78" i="2"/>
  <c r="O78" i="2" s="1"/>
  <c r="P78" i="2" s="1"/>
  <c r="Q78" i="2" s="1"/>
  <c r="K33" i="5"/>
  <c r="L33" i="5" s="1"/>
  <c r="M33" i="5" s="1"/>
  <c r="A35" i="5"/>
  <c r="J35" i="5"/>
  <c r="M77" i="2"/>
  <c r="O76" i="2"/>
  <c r="P76" i="2" s="1"/>
  <c r="Q76" i="2" s="1"/>
  <c r="I34" i="5"/>
  <c r="K34" i="5" s="1"/>
  <c r="L34" i="5" s="1"/>
  <c r="M34" i="5" s="1"/>
  <c r="K31" i="5"/>
  <c r="L31" i="5" s="1"/>
  <c r="M31" i="5" s="1"/>
  <c r="O74" i="2"/>
  <c r="P74" i="2" s="1"/>
  <c r="Q74" i="2" s="1"/>
  <c r="I32" i="5"/>
  <c r="K32" i="5" s="1"/>
  <c r="L32" i="5" s="1"/>
  <c r="M32" i="5" s="1"/>
  <c r="F82" i="2"/>
  <c r="B82" i="2"/>
  <c r="C82" i="2"/>
  <c r="H82" i="2"/>
  <c r="I82" i="2"/>
  <c r="N81" i="2"/>
  <c r="N80" i="2"/>
  <c r="B38" i="4"/>
  <c r="B39" i="4" s="1"/>
  <c r="B40" i="4" s="1"/>
  <c r="C37" i="4"/>
  <c r="I37" i="4"/>
  <c r="E37" i="4"/>
  <c r="F37" i="4"/>
  <c r="D37" i="4"/>
  <c r="J37" i="4"/>
  <c r="G37" i="4"/>
  <c r="H37" i="4"/>
  <c r="N79" i="2"/>
  <c r="B4" i="13"/>
  <c r="N48" i="4" l="1"/>
  <c r="K82" i="2"/>
  <c r="L82" i="2"/>
  <c r="N50" i="4"/>
  <c r="N46" i="4"/>
  <c r="N47" i="4"/>
  <c r="N49" i="4"/>
  <c r="N45" i="4"/>
  <c r="N44" i="4"/>
  <c r="N51" i="4"/>
  <c r="N43" i="4"/>
  <c r="N52" i="4"/>
  <c r="O81" i="2"/>
  <c r="P81" i="2" s="1"/>
  <c r="Q81" i="2" s="1"/>
  <c r="N42" i="4"/>
  <c r="N41" i="4"/>
  <c r="M80" i="2"/>
  <c r="O80" i="2" s="1"/>
  <c r="P80" i="2" s="1"/>
  <c r="Q80" i="2" s="1"/>
  <c r="K37" i="4"/>
  <c r="L37" i="4" s="1"/>
  <c r="M37" i="4" s="1"/>
  <c r="A37" i="4"/>
  <c r="N37" i="4"/>
  <c r="O79" i="2"/>
  <c r="P79" i="2" s="1"/>
  <c r="Q79" i="2" s="1"/>
  <c r="C4" i="13"/>
  <c r="A4" i="13" s="1"/>
  <c r="G4" i="13"/>
  <c r="H4" i="13"/>
  <c r="I4" i="13"/>
  <c r="L4" i="13" s="1"/>
  <c r="M4" i="13" s="1"/>
  <c r="N4" i="13" s="1"/>
  <c r="J4" i="13"/>
  <c r="E4" i="13"/>
  <c r="F4" i="13"/>
  <c r="D4" i="13"/>
  <c r="M82" i="2"/>
  <c r="D82" i="2"/>
  <c r="E82" i="2"/>
  <c r="I35" i="5"/>
  <c r="K35" i="5" s="1"/>
  <c r="L35" i="5" s="1"/>
  <c r="M35" i="5" s="1"/>
  <c r="O77" i="2"/>
  <c r="P77" i="2" s="1"/>
  <c r="Q77" i="2" s="1"/>
  <c r="J40" i="4"/>
  <c r="C40" i="4"/>
  <c r="F40" i="4"/>
  <c r="H40" i="4"/>
  <c r="D40" i="4"/>
  <c r="E40" i="4"/>
  <c r="I40" i="4"/>
  <c r="G40" i="4"/>
  <c r="N82" i="2"/>
  <c r="H39" i="4"/>
  <c r="J39" i="4"/>
  <c r="E39" i="4"/>
  <c r="C39" i="4"/>
  <c r="F39" i="4"/>
  <c r="G39" i="4"/>
  <c r="I39" i="4"/>
  <c r="D39" i="4"/>
  <c r="C38" i="4"/>
  <c r="D38" i="4"/>
  <c r="H38" i="4"/>
  <c r="G38" i="4"/>
  <c r="I38" i="4"/>
  <c r="E38" i="4"/>
  <c r="J38" i="4"/>
  <c r="F38" i="4"/>
  <c r="K40" i="4" l="1"/>
  <c r="L40" i="4" s="1"/>
  <c r="M40" i="4" s="1"/>
  <c r="A40" i="4"/>
  <c r="N40" i="4"/>
  <c r="O82" i="2"/>
  <c r="P82" i="2" s="1"/>
  <c r="Q82" i="2" s="1"/>
  <c r="K39" i="4"/>
  <c r="L39" i="4" s="1"/>
  <c r="M39" i="4" s="1"/>
  <c r="A39" i="4"/>
  <c r="N39" i="4"/>
  <c r="K38" i="4"/>
  <c r="L38" i="4" s="1"/>
  <c r="M38" i="4" s="1"/>
  <c r="A38" i="4"/>
  <c r="N38" i="4"/>
</calcChain>
</file>

<file path=xl/sharedStrings.xml><?xml version="1.0" encoding="utf-8"?>
<sst xmlns="http://schemas.openxmlformats.org/spreadsheetml/2006/main" count="2311" uniqueCount="978">
  <si>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</si>
  <si>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</si>
  <si>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</si>
  <si>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</si>
  <si>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</si>
  <si>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</si>
  <si>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</si>
  <si>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</si>
  <si>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</si>
  <si>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</si>
  <si>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</si>
  <si>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</si>
  <si>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</si>
  <si>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</si>
  <si>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</si>
  <si>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</si>
  <si>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</si>
  <si>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</si>
  <si>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</si>
  <si>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</si>
  <si>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</si>
  <si>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</si>
  <si>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</si>
  <si>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</si>
  <si>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</si>
  <si>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</si>
  <si>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</si>
  <si>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</si>
  <si>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</si>
  <si>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</si>
  <si>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</si>
  <si>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</si>
  <si>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</si>
  <si>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</si>
  <si>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</si>
  <si>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</si>
  <si>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</si>
  <si>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</si>
  <si>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</si>
  <si>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</si>
  <si>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</si>
  <si>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</si>
  <si>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</si>
  <si>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</si>
  <si>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</si>
  <si>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</si>
  <si>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</si>
  <si>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</si>
  <si>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</si>
  <si>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</si>
  <si>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</si>
  <si>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</si>
  <si>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</si>
  <si>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</si>
  <si>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</si>
  <si>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</si>
  <si>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</si>
  <si>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</si>
  <si>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</si>
  <si>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</si>
  <si>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</si>
  <si>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</si>
  <si>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</si>
  <si>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</si>
  <si>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</si>
  <si>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</si>
  <si>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</si>
  <si>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</si>
  <si>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</si>
  <si>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</si>
  <si>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</si>
  <si>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</si>
  <si>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</si>
  <si>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</si>
  <si>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</si>
  <si>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</si>
  <si>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</si>
  <si>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</si>
  <si>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</si>
  <si>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</si>
  <si>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</si>
  <si>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</si>
  <si>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</si>
  <si>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</si>
  <si>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</si>
  <si>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</si>
  <si>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</si>
  <si>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</si>
  <si>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</si>
  <si>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</si>
  <si>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</si>
  <si>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</si>
  <si>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</si>
  <si>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</si>
  <si>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</si>
  <si>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</si>
  <si>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</si>
  <si>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</si>
  <si>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</si>
  <si>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</si>
  <si>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</si>
  <si>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</si>
  <si>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</si>
  <si>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</si>
  <si>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</si>
  <si>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</si>
  <si>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</si>
  <si>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NATURAL CAHAYA LESTARI</t>
  </si>
  <si>
    <t>NCL</t>
  </si>
  <si>
    <t>KENKO PENCIL LEAD PL 05 2B 0.5MM HI POLYMER</t>
  </si>
  <si>
    <t>UNTANA</t>
  </si>
  <si>
    <t>LSN</t>
  </si>
  <si>
    <t>DB STATIONERY</t>
  </si>
  <si>
    <t>30 LSN</t>
  </si>
  <si>
    <t>COMBI</t>
  </si>
  <si>
    <t>PCS</t>
  </si>
  <si>
    <t>SET</t>
  </si>
  <si>
    <t>ROL</t>
  </si>
  <si>
    <t>BOX</t>
  </si>
  <si>
    <t>WHITEBOARD MARKER WM 65 BLACK JK BONUS</t>
  </si>
  <si>
    <t>GRS</t>
  </si>
  <si>
    <t>PENCIL P 88 2B JK</t>
  </si>
  <si>
    <t>COLOR PENCIL CP 12 PB JK</t>
  </si>
  <si>
    <t>ERASER 526 B40 BL JK</t>
  </si>
  <si>
    <t>ERASER 526 B40 P JK</t>
  </si>
  <si>
    <t>KENKO CORRECTION FLUID KE 01</t>
  </si>
  <si>
    <t>KENKO BINDER CLIP NO.200</t>
  </si>
  <si>
    <t>KENKO PUNCH NO.30 XL</t>
  </si>
  <si>
    <t>KENKO STAPLER HD-10 D</t>
  </si>
  <si>
    <t>KENKO GLUE STICK 8GR SMALL</t>
  </si>
  <si>
    <t>KENKO GLUE STICK 25 GR LARGE</t>
  </si>
  <si>
    <t>KENKO GEL PEN KE 303 T GEL TRIANGULAR BLACK</t>
  </si>
  <si>
    <t>KENKO CORRECTION FLUID KE 107 M</t>
  </si>
  <si>
    <t>DOC RIT PRESTIGE</t>
  </si>
  <si>
    <t>8 LSN</t>
  </si>
  <si>
    <t>PAK</t>
  </si>
  <si>
    <t>COLOR PENCIL CP 24 PB JK</t>
  </si>
  <si>
    <t>MEKANIK 2.0MM TM030-B</t>
  </si>
  <si>
    <t>LABEL LB 2RL 1 BARIS JK</t>
  </si>
  <si>
    <t>ERASER 526 B20 JK</t>
  </si>
  <si>
    <t>ERASER ER B20 BL JK</t>
  </si>
  <si>
    <t>GLUE STICK GS-104 ANIMAL KINGDOM JK</t>
  </si>
  <si>
    <t>SCISSORS SC-848 JK</t>
  </si>
  <si>
    <t>SURAT JALAN</t>
  </si>
  <si>
    <t>KENKO TAPE DISPENSER TD-323 1" &amp; 3" CORE</t>
  </si>
  <si>
    <t>KENKO CORRECTION FLUID KE 108</t>
  </si>
  <si>
    <t>KENKO TRIGONAL CLIP NO.3</t>
  </si>
  <si>
    <t>KENKO TAPE DISPENSER TD 323 1" &amp; 3" CORE</t>
  </si>
  <si>
    <t>KENKO GEL PEN HI TECH H 0.28MM BLACK</t>
  </si>
  <si>
    <t>KENKO GEL PEN HI TECH H 0.28MM BLUE</t>
  </si>
  <si>
    <t>TAS CABIN ELPIDA EP-CB007</t>
  </si>
  <si>
    <t>highlightertysp25120000</t>
  </si>
  <si>
    <t>highlighterholdertysp2825000</t>
  </si>
  <si>
    <t>60 LSN</t>
  </si>
  <si>
    <t>SK</t>
  </si>
  <si>
    <t>70067</t>
  </si>
  <si>
    <t>BOX PENCIL PLASTIK KOTAK KECIL 7517-5603</t>
  </si>
  <si>
    <t>GUNTING 6 "</t>
  </si>
  <si>
    <t>GUNTING KERTAS PLASTIK</t>
  </si>
  <si>
    <t>NOTEBOOK COKKLAT 100K (96 LEMBAR)</t>
  </si>
  <si>
    <t>NOTEBOOK HITAM 100K (96 LEMBAR)</t>
  </si>
  <si>
    <t>NOTEBOOK HITAM 60K (96 LEMBAR)</t>
  </si>
  <si>
    <t>NOTEBOOK HITAM 36K (96 LEMBAR)</t>
  </si>
  <si>
    <t>NOTEBOOK COKLAT 36 (96 LEMBAR)</t>
  </si>
  <si>
    <t>NOTEBOOK HITAM 25K (96 LEMBAR)</t>
  </si>
  <si>
    <t>NOTEBOOK COKLAT 25k (96 lembar)</t>
  </si>
  <si>
    <t>pcs</t>
  </si>
  <si>
    <t>notebook hitam 18k (96 lembar)</t>
  </si>
  <si>
    <t>NOTEBOOK COKLAT 18K (96 LEMBAR)</t>
  </si>
  <si>
    <t>GUNTING 8 "</t>
  </si>
  <si>
    <t>SN24010018</t>
  </si>
  <si>
    <t>CALCULATOR JOYKO CC-37</t>
  </si>
  <si>
    <t>CALCULATOR JOYKO CC-38</t>
  </si>
  <si>
    <t>CALCULATOR JOYKO CC-8CO BLUE</t>
  </si>
  <si>
    <t>CALCULATOR JOYKO CC-8CO GREEN</t>
  </si>
  <si>
    <t>CALCULATOR JOYKO CC-8CO ORANGE</t>
  </si>
  <si>
    <t>SA240100069</t>
  </si>
  <si>
    <t>BAG B-2637-3 BLUE  JK</t>
  </si>
  <si>
    <t>BAG B-2637-3 RED JK</t>
  </si>
  <si>
    <t>BAG B-2637-3 WHITE JK</t>
  </si>
  <si>
    <t>BAG B-2637-3 YELLOW JK</t>
  </si>
  <si>
    <t>HIGHLIGHTER HL 70 JK</t>
  </si>
  <si>
    <t>CRAYON PUTAR TWCR 12 MINI JK</t>
  </si>
  <si>
    <t>CRAYON PUTAR TWCR 24 S JK</t>
  </si>
  <si>
    <t>SA240100067</t>
  </si>
  <si>
    <t>COLOR PENCIL CP S 12 JK</t>
  </si>
  <si>
    <t>TAPE CUTTER TD 102 JK</t>
  </si>
  <si>
    <t>TAPE CUTTER TD 103 JK</t>
  </si>
  <si>
    <t>GLUE STICK GS 104 ANIMAL KINGDOM JK</t>
  </si>
  <si>
    <t>LABELLER MX 5500 M 8 DIGITS JK</t>
  </si>
  <si>
    <t>PENCIL LEAD PL 11 2.0  JK</t>
  </si>
  <si>
    <t>BRUSH BR 1 JK</t>
  </si>
  <si>
    <t>SA240100046</t>
  </si>
  <si>
    <t>ERASER ER 30 W JK</t>
  </si>
  <si>
    <t>ERASER EB 30 JK</t>
  </si>
  <si>
    <t>ERASER ER 106 JK</t>
  </si>
  <si>
    <t>ERASER ER 107 ANIMAL JK</t>
  </si>
  <si>
    <t>ERASER ER 108 BATK JK</t>
  </si>
  <si>
    <t>ERASER ER 116 JK</t>
  </si>
  <si>
    <t>SA240100047</t>
  </si>
  <si>
    <t>GLUE STICK GS-09 8 GRAM JK</t>
  </si>
  <si>
    <t>GLUE STICK GS 15 JK</t>
  </si>
  <si>
    <t>GLUE STICK GS-25 JK</t>
  </si>
  <si>
    <t>SA240100068</t>
  </si>
  <si>
    <t>CORRECTION FLUID CF-S221 JK</t>
  </si>
  <si>
    <t>CORRECTION FLUID CF S 224 JK</t>
  </si>
  <si>
    <t>CORRECTION FLUID CF S 225 JK</t>
  </si>
  <si>
    <t>MATH SET MS 25 JK</t>
  </si>
  <si>
    <t>MATH SET MS 55 JK</t>
  </si>
  <si>
    <t>MATH SET MS 402 JK</t>
  </si>
  <si>
    <t>ERASER ER B20BL JK</t>
  </si>
  <si>
    <t>SA240100178</t>
  </si>
  <si>
    <t>LAMINATING FILM LF100-2234 F4 JK</t>
  </si>
  <si>
    <t>PUNCH NO 85 JK</t>
  </si>
  <si>
    <t>24010061</t>
  </si>
  <si>
    <t>KENKO PUNCH NO.85N</t>
  </si>
  <si>
    <t>KENKO LIQUID GLUE LG 50 50ML</t>
  </si>
  <si>
    <t xml:space="preserve">KENKO POCKET NOTE PN 403 </t>
  </si>
  <si>
    <t>KENKO POCKET NOTE PN 404</t>
  </si>
  <si>
    <t>24010080</t>
  </si>
  <si>
    <t>KENKO GEL PEN HI TECH H 04MM GREEN</t>
  </si>
  <si>
    <t>KENKO GEL PEN KE 100 BLACK</t>
  </si>
  <si>
    <t xml:space="preserve">KENKO PUNCH NO 30 </t>
  </si>
  <si>
    <t>KENKO PUNCH NO 30 XL</t>
  </si>
  <si>
    <t>KENKO CORRECTION FLUID KE 823 M</t>
  </si>
  <si>
    <t>24010062</t>
  </si>
  <si>
    <t>KENKO POCKET NOTE PN-501</t>
  </si>
  <si>
    <t>KENKO CLOTH TAPE 24 MM BLUE CORE BLACK BT</t>
  </si>
  <si>
    <t>KENKO CLOTH TAPE 36 MM BLUE CORE BLACK BT</t>
  </si>
  <si>
    <t>KENKO CORRECTION FLUID KE-108</t>
  </si>
  <si>
    <t>KENKO CORRECTION FLUID KE -823 M</t>
  </si>
  <si>
    <t>24010114</t>
  </si>
  <si>
    <t>KENKO STAND PEN STP-18M2 SMILE BLACK</t>
  </si>
  <si>
    <t>KENKO SCISSOR SC 828</t>
  </si>
  <si>
    <t>HMP/001/01-24</t>
  </si>
  <si>
    <t>BALLPEN GEL TF 1190 HTM HIGHTECH</t>
  </si>
  <si>
    <t>BALLPEN GEL TF 1190 BR HIGHTECH</t>
  </si>
  <si>
    <t>GRAFINDO</t>
  </si>
  <si>
    <t>GA-24-01-0008</t>
  </si>
  <si>
    <t>MAP TALI SIKA AC 06 BIRU</t>
  </si>
  <si>
    <t>50 LSN</t>
  </si>
  <si>
    <t>MAP TALI SIKA AC-06 MERAH</t>
  </si>
  <si>
    <t>0105</t>
  </si>
  <si>
    <t>JUA027/24</t>
  </si>
  <si>
    <t>GEL TIZO FANCY TG31763-F</t>
  </si>
  <si>
    <t>GEL TIZO FANCY TG31780-F</t>
  </si>
  <si>
    <t>GEL TIZO FANCY TG31810-F</t>
  </si>
  <si>
    <t>GEL TIZO FANCY S3 TG31830-E</t>
  </si>
  <si>
    <t>GEL TIZO SEGITIGA TG31831-E</t>
  </si>
  <si>
    <t>GEL TIZO FANCY TG31035-EL</t>
  </si>
  <si>
    <t>BONUS</t>
  </si>
  <si>
    <t>GEL TIZO FANCY  TG30900-EL</t>
  </si>
  <si>
    <t>TAS CABIN ELPIDA HIJAU EP-CB007HJ</t>
  </si>
  <si>
    <t>MEK.PENSIL 2.0 TIZO TM030-F</t>
  </si>
  <si>
    <t>MEK.PENSIL 2.0 TIZO TM01800-A</t>
  </si>
  <si>
    <t>MEK.PENSIL 2.0 TIZO TM030A-1</t>
  </si>
  <si>
    <t>GEL 1.0 340 BIRU TG340BI</t>
  </si>
  <si>
    <t>JUA026/24</t>
  </si>
  <si>
    <t>GEL ZHIXIN + REFILL G-3158</t>
  </si>
  <si>
    <t>GEL ZHIXIN + REFILL G-3159</t>
  </si>
  <si>
    <t>GEL ZHIXIN + REFILL G-3161</t>
  </si>
  <si>
    <t>GEL ZHIXIN + REFILL G-3162</t>
  </si>
  <si>
    <t>GEL ZHIXIN + REFILL G-5019</t>
  </si>
  <si>
    <t>GEL TIZO FANCY TG30600-E</t>
  </si>
  <si>
    <t>GEL TIZO FANCY TG30734-F</t>
  </si>
  <si>
    <t>GEL TIZO FANCY S-3 TG30801-F</t>
  </si>
  <si>
    <t>GEL TIZO FANCY S3 TG30802-E</t>
  </si>
  <si>
    <t>GEL TIZO FANCY TG30900-F</t>
  </si>
  <si>
    <t>GEL TIZO FANCY TG31035-F</t>
  </si>
  <si>
    <t>GEL TIZO FANCY TG31037-F</t>
  </si>
  <si>
    <t>GEL TIZO FANCY TG31475-F</t>
  </si>
  <si>
    <t>GEL TIZO FANCY TG31590-E</t>
  </si>
  <si>
    <t>GEL TIZO FANCY TG31762-F</t>
  </si>
  <si>
    <t>JUA025/24</t>
  </si>
  <si>
    <t>GEL ZHIXIN + REFILL G-3122</t>
  </si>
  <si>
    <t>120 LSN</t>
  </si>
  <si>
    <t>GEL ZHIXIN + REFILL G-3164</t>
  </si>
  <si>
    <t>GEL ZHIXIN + REFILL G-3139</t>
  </si>
  <si>
    <t>GEL ZHIXIN + REFILL G-3156</t>
  </si>
  <si>
    <t>GEL ZHIXIN + REFILL G-5025</t>
  </si>
  <si>
    <t>GEL ZHIXIN + REFILL G-5013</t>
  </si>
  <si>
    <t>GEL ZHIXIN + REFILL G-5014</t>
  </si>
  <si>
    <t>GEL ZHIXIN + REFILL G-5017</t>
  </si>
  <si>
    <t>GEL ZHIXIN + REFILL G-5035</t>
  </si>
  <si>
    <t>GEL ZHIXIN + REFILL G-5036</t>
  </si>
  <si>
    <t>GEL ZHIXIN + REFILL G-5037</t>
  </si>
  <si>
    <t>GEL ZHIXIN + REFILL G-3150</t>
  </si>
  <si>
    <t>GEL ZHIXIN + REFILL G-3151</t>
  </si>
  <si>
    <t>GEL ZHIXIN + REFILL G-3154</t>
  </si>
  <si>
    <t>GEL ZHIXIN + REFILL G-3155</t>
  </si>
  <si>
    <t>GEL ZHIXIN + REFILL G-3157</t>
  </si>
  <si>
    <t>MSII</t>
  </si>
  <si>
    <t>24/I/004</t>
  </si>
  <si>
    <t>GEL PEN ZUIXUA HY 1020 HITAM</t>
  </si>
  <si>
    <t>192LSN</t>
  </si>
  <si>
    <t>BINTANG SAUDARA</t>
  </si>
  <si>
    <t>SO2023120083567</t>
  </si>
  <si>
    <t>MINI POCKET MB 120 WARNA KULIT</t>
  </si>
  <si>
    <t>NOTES 156-80 / ADD TELP</t>
  </si>
  <si>
    <t>GA-24-01-0045</t>
  </si>
  <si>
    <t>MAP KANCING SIKA AC-05 PUTIH</t>
  </si>
  <si>
    <t>MAP KANCING SIKA AC-05 KUNING</t>
  </si>
  <si>
    <t>MAP KANCING SIKA AC-05 BIRU</t>
  </si>
  <si>
    <t>MAP TALI SIKA AC-06 BIRU</t>
  </si>
  <si>
    <t>GLORY</t>
  </si>
  <si>
    <t>K 36</t>
  </si>
  <si>
    <t>BT BATIK</t>
  </si>
  <si>
    <t>24/I/047</t>
  </si>
  <si>
    <t>CRAYON PUTAR FANCY (PANJANG)</t>
  </si>
  <si>
    <t>CRAYON PUTAR FANCY (PENDEK)</t>
  </si>
  <si>
    <t>SAPUTRO OFFICE</t>
  </si>
  <si>
    <t>H-0020.INV.SOS</t>
  </si>
  <si>
    <t>MEJA IPAD IMPORT JUMBO KARAKTER</t>
  </si>
  <si>
    <t>10 PCS</t>
  </si>
  <si>
    <t>GA-24-01-0196</t>
  </si>
  <si>
    <t>MAP KANCING SIKA AC-05 HIJAU</t>
  </si>
  <si>
    <t>MAP KANCING SIKA AC-05 MERAH</t>
  </si>
  <si>
    <t>H-0021.INV.SOS</t>
  </si>
  <si>
    <t>MEJA IPAD IMPORT JUMBO POLOS</t>
  </si>
  <si>
    <t>SB</t>
  </si>
  <si>
    <t>THC19/01/2024</t>
  </si>
  <si>
    <t>ELEVATED TRAY 602 HITAM</t>
  </si>
  <si>
    <t>ELEVATED TRAY 603 HITAM</t>
  </si>
  <si>
    <t>ELEVATED TRAY 604 HITAM</t>
  </si>
  <si>
    <t>L:101079</t>
  </si>
  <si>
    <t>ISI GW NO 10</t>
  </si>
  <si>
    <t>100 PAK</t>
  </si>
  <si>
    <t>ISI GW NO 369</t>
  </si>
  <si>
    <t>50 PAK</t>
  </si>
  <si>
    <t>24010285</t>
  </si>
  <si>
    <t>KENKO LIQUID GLUE LG-35 35ML</t>
  </si>
  <si>
    <t>KENKO LIQUID GLUE LG-50 50ML</t>
  </si>
  <si>
    <t>KENKO GLUE STICK 15GR MEDIUM</t>
  </si>
  <si>
    <t>KENKO GLUE STICK 25GR LARGE</t>
  </si>
  <si>
    <t>KENKO CORRECTION FLUID KE-01</t>
  </si>
  <si>
    <t>SA240100363</t>
  </si>
  <si>
    <t>STAMP PAD NO.1 JK</t>
  </si>
  <si>
    <t>GUNTACKER GT-700 JK</t>
  </si>
  <si>
    <t>GUNTACKER GT-701 JK</t>
  </si>
  <si>
    <t>CORRECTION TAPE CT 522 JK</t>
  </si>
  <si>
    <t>SA240100277</t>
  </si>
  <si>
    <t>BINDER CLIP 107 JK</t>
  </si>
  <si>
    <t>BINDER CLIP 111 JK</t>
  </si>
  <si>
    <t>BINDER CLIP 155 JK</t>
  </si>
  <si>
    <t>BINDER CLIP 200 JK</t>
  </si>
  <si>
    <t>BINDER CLIP 260 JK</t>
  </si>
  <si>
    <t>BALLPEN BP 349 12 VOKUS TRANS BLACK JK BONUS</t>
  </si>
  <si>
    <t>SA240100284</t>
  </si>
  <si>
    <t>GLUE GL R35 JK</t>
  </si>
  <si>
    <t>LABEL LB 1 LY 1 BARIS YELLOW JK</t>
  </si>
  <si>
    <t>KENKO CUTTER L 500 18MM BLADE</t>
  </si>
  <si>
    <t>KENKO GEL PEN KE 200 BLACK</t>
  </si>
  <si>
    <t>KENKO PUSH PIN PN - 30 COLOR</t>
  </si>
  <si>
    <t>KENKO COLOR CLIP 3100</t>
  </si>
  <si>
    <t>KENKO GEL PEN WINJELLER KE 600 BLACK</t>
  </si>
  <si>
    <t>KENKO STAMP PAD NO 0</t>
  </si>
  <si>
    <t>KENKO STAMP PAD NO 1</t>
  </si>
  <si>
    <t>KENKO STAPLES NO 1210 (23/10)</t>
  </si>
  <si>
    <t>24010206</t>
  </si>
  <si>
    <t>24010205</t>
  </si>
  <si>
    <t>KENKO TRIGONAL CLIP NO 3</t>
  </si>
  <si>
    <t>KENKO TRIGONAL CLIP NO 1</t>
  </si>
  <si>
    <t>KENKO JUMBO CLIP NO.5</t>
  </si>
  <si>
    <t>KENKO PUNCH NO 40</t>
  </si>
  <si>
    <t>KENKO PUNCH NO 40 XL</t>
  </si>
  <si>
    <t>KENKO CORRECTION FLUID KE 823M</t>
  </si>
  <si>
    <t>KENKO 24 COLOR PENCIL CP 24 F TIN CASE CLASSIC</t>
  </si>
  <si>
    <t>PPW</t>
  </si>
  <si>
    <t>0045/HW/I/24</t>
  </si>
  <si>
    <t>BT 30 CM</t>
  </si>
  <si>
    <t>100 LSN</t>
  </si>
  <si>
    <t>SBS</t>
  </si>
  <si>
    <t>WA0038B1PR</t>
  </si>
  <si>
    <t>BOX FILE PLK MICROTOP A-618/ 3SSN</t>
  </si>
  <si>
    <t>48 PCS</t>
  </si>
  <si>
    <t>BOX FILE PLK MICROTOP A-648/ 4SSN</t>
  </si>
  <si>
    <t>40 PCS</t>
  </si>
  <si>
    <t xml:space="preserve">SBS </t>
  </si>
  <si>
    <t>WA0039B1PR</t>
  </si>
  <si>
    <t>MAP DATA MICROTOP BS-53/ GR/ SALUR</t>
  </si>
  <si>
    <t>MAP DATA MICROTOP BS-54/ A5/ SALUR</t>
  </si>
  <si>
    <t>MAP DATA MICROTOP BS-55/ B5/ SALUR</t>
  </si>
  <si>
    <t>MAP DATA MICROTOP BS-56/ A4/ SALUR</t>
  </si>
  <si>
    <t>MAP DATA MICROTOP BS-57/ B4/ SALUR</t>
  </si>
  <si>
    <t>40 LSN</t>
  </si>
  <si>
    <t>MAP DATA MICROTOP PA-53/ A6</t>
  </si>
  <si>
    <t>MAP DATA MICROTOP PA-54/ A5</t>
  </si>
  <si>
    <t>MAP DATA MICROTOP PA-56/ A4</t>
  </si>
  <si>
    <t>MAP DATA MICROTOP PA-57/ B4</t>
  </si>
  <si>
    <t>WA0040BPR</t>
  </si>
  <si>
    <t>HBAG KERTAS MT BATIK 1/ S/ 20.5X25.5</t>
  </si>
  <si>
    <t>HBAG KERTAS MT BATIK 3/ L/ 25X35</t>
  </si>
  <si>
    <t>HBAG KERTAS MT BATIK 4T/ XL TEGAK/ 30X40</t>
  </si>
  <si>
    <t>VM0057ATTP</t>
  </si>
  <si>
    <t>ELEVATED TRAY MICROTOP 602 HITAM</t>
  </si>
  <si>
    <t>12 PCS</t>
  </si>
  <si>
    <t>ELEVATED TRAY MICROTOP 603 HITAM</t>
  </si>
  <si>
    <t>ELEVATED TRAY MICROTOP 604 HITAM</t>
  </si>
  <si>
    <t>6 PCS</t>
  </si>
  <si>
    <t>8 PCS</t>
  </si>
  <si>
    <t>DUTA BUANA</t>
  </si>
  <si>
    <t>HM/003/01-24H</t>
  </si>
  <si>
    <t>BALLPEN GEL TF 3115 0.3MM HIGHTECH KNOCK</t>
  </si>
  <si>
    <t>96 LSN</t>
  </si>
  <si>
    <t>SEPEDA U/ BONUS</t>
  </si>
  <si>
    <t>BALLPEN PROMOSI 2079 U/BONUS</t>
  </si>
  <si>
    <t>ETJ</t>
  </si>
  <si>
    <t>021.24</t>
  </si>
  <si>
    <t>N TAG D BIRU 300</t>
  </si>
  <si>
    <t>4000 PCS</t>
  </si>
  <si>
    <t>BINTANG JAYA</t>
  </si>
  <si>
    <t>SI.2024.01.00117</t>
  </si>
  <si>
    <t>PAPAN UJIAN / CLIPBOARD SQ FANCY HOLOGRAM SQ-CLPHL</t>
  </si>
  <si>
    <t>144 PCS</t>
  </si>
  <si>
    <t>SI.2024.01.00071</t>
  </si>
  <si>
    <t>PAPAN UJIAN / CLIPBOARD SQ KAYU KOTAK SQ-CLPKY</t>
  </si>
  <si>
    <t>B9388 FRW</t>
  </si>
  <si>
    <t>AC-05 MERAH</t>
  </si>
  <si>
    <t>AC-05 BIRU</t>
  </si>
  <si>
    <t>AC 05 HIJAU</t>
  </si>
  <si>
    <t>B9720 BCJ</t>
  </si>
  <si>
    <t>AC 06 PUTIH</t>
  </si>
  <si>
    <t>AC 06 BIRU</t>
  </si>
  <si>
    <t>AC 06 MERAH</t>
  </si>
  <si>
    <t xml:space="preserve">AC 06 KUNING </t>
  </si>
  <si>
    <t>1C 06 HIJAU</t>
  </si>
  <si>
    <t>SINAR MAS</t>
  </si>
  <si>
    <t>918 EDY</t>
  </si>
  <si>
    <t>GARISAN BESI 30CM FANCY A 9030</t>
  </si>
  <si>
    <t>80 LSN</t>
  </si>
  <si>
    <t>C 06</t>
  </si>
  <si>
    <t>SP BAG JASMIN B</t>
  </si>
  <si>
    <t>SP BAG JASMIN TG</t>
  </si>
  <si>
    <t>DR-ORIGINAL</t>
  </si>
  <si>
    <t xml:space="preserve">GUNTING DR 5 </t>
  </si>
  <si>
    <t>GUNTING DR 6</t>
  </si>
  <si>
    <t>GUNTING DR 7</t>
  </si>
  <si>
    <t>GUNTING DR 8</t>
  </si>
  <si>
    <t>GUNTING DR 9</t>
  </si>
  <si>
    <t>GUNTING K 100</t>
  </si>
  <si>
    <t>GUNTING K 200</t>
  </si>
  <si>
    <t>GUNTING K 300</t>
  </si>
  <si>
    <t>GUNTING K 400</t>
  </si>
  <si>
    <t>GUNTING K 500</t>
  </si>
  <si>
    <t>CUTTER BESAR 88 TACO</t>
  </si>
  <si>
    <t>CUTTER KECIL 78 TACO</t>
  </si>
  <si>
    <t>SERULING 900 TREND</t>
  </si>
  <si>
    <t>SURYA PRATAMA</t>
  </si>
  <si>
    <t>F24AP000170</t>
  </si>
  <si>
    <t>96 PCS</t>
  </si>
  <si>
    <t>JAYA MUSIK</t>
  </si>
  <si>
    <t>407/1</t>
  </si>
  <si>
    <t>PIANIKA ALTOZ KOPER BIRU</t>
  </si>
  <si>
    <t>PIANIKA MARVEL TAS</t>
  </si>
  <si>
    <t xml:space="preserve">PIANIKA ALTOZ KOPER </t>
  </si>
  <si>
    <t>AT-32A</t>
  </si>
  <si>
    <t>1T-32A/P</t>
  </si>
  <si>
    <t>MR-32B</t>
  </si>
  <si>
    <t>MSI</t>
  </si>
  <si>
    <t>24/I/115</t>
  </si>
  <si>
    <t>GEL PEN ZUIXUA HY 1020 MERAH</t>
  </si>
  <si>
    <t>GEL PEN ZUIXUA HY 1020 BIRU</t>
  </si>
  <si>
    <t>JUA148/24</t>
  </si>
  <si>
    <t>GEL PEN TIZO 1.0 TG 340</t>
  </si>
  <si>
    <t>GEL TIZO 1.0 BIRU TG 340BI</t>
  </si>
  <si>
    <t>MEK PENSIL 2.0 TIZO TM 030A-A</t>
  </si>
  <si>
    <t>TAS CABIN ELPIDA HIJAU EF-CB007HJ</t>
  </si>
  <si>
    <t>PENSIL 2B KAYAGI KY-PF3041</t>
  </si>
  <si>
    <t>PENSIL 2B FANCY KY-PF3050</t>
  </si>
  <si>
    <t>PENSIL 2B FANCY KY-PF3051</t>
  </si>
  <si>
    <t>PENSIL 2B KAYAGI KY-PF3053</t>
  </si>
  <si>
    <t>PENSIL 2B KAYAGI KY-PF3056</t>
  </si>
  <si>
    <t>PENSIL 2B KAYAGI KY-PF3060</t>
  </si>
  <si>
    <t>PENSIL 2B KAYAGI KY-PF3062</t>
  </si>
  <si>
    <t>PENSIL 2B FANCY KY-PF3065</t>
  </si>
  <si>
    <t>PENSIL 2B KAYAGI KY-PF3091</t>
  </si>
  <si>
    <t>PENSIL 2B KAYAGI KY-PF3092</t>
  </si>
  <si>
    <t>360LSN</t>
  </si>
  <si>
    <t>JL-16963</t>
  </si>
  <si>
    <t>DOC BAG DLL-229/ 204 SA (A4)</t>
  </si>
  <si>
    <t>DOC BAG DLL-211/  227/  226 MOMO</t>
  </si>
  <si>
    <t>BK KANCING 32K 1008-21 (A5)</t>
  </si>
  <si>
    <t>BK KANCING 32K 1008-30 (A5)</t>
  </si>
  <si>
    <t>D-R ORIGINAL</t>
  </si>
  <si>
    <t>GP2401037</t>
  </si>
  <si>
    <t>GUNTING JUNIOR J500 JUNIOR</t>
  </si>
  <si>
    <t>GUNTING JUNIOR J400 JUNIOR</t>
  </si>
  <si>
    <t>GUNTING JUNIOR J300 JUNIOR</t>
  </si>
  <si>
    <t>GUNTING JUNIOR J200 JUNIOR</t>
  </si>
  <si>
    <t>GUNTING JUNIOR J100 JUNIOR</t>
  </si>
  <si>
    <t>KOTAK PENCIL DOS PIN 3 ITNGKAT (SPS-1299)</t>
  </si>
  <si>
    <t>011</t>
  </si>
  <si>
    <t>AC 05 PUTIH</t>
  </si>
  <si>
    <t>24010411</t>
  </si>
  <si>
    <t>KENKO TAPE DISPENSER TD 323 (1" &amp; 3") CORE</t>
  </si>
  <si>
    <t>KENKO CUTTER A 300 9MM BLADE</t>
  </si>
  <si>
    <t>KENKO BUKU TAMU BT 3224 01 KEMBANG</t>
  </si>
  <si>
    <t>KENKO BUKU TAMU BT 3224 BTK BATIK</t>
  </si>
  <si>
    <t>KENKO BUKU TAMU BT 2920 01 KEMBANG</t>
  </si>
  <si>
    <t>KENKO BUKU TAMU BT 2920 BTK 2 BATIK</t>
  </si>
  <si>
    <t>KENKO 24 COLOR PENCIL CP 24 F CLASSIC</t>
  </si>
  <si>
    <t>KENKO STAPLES NO 1210 23/10</t>
  </si>
  <si>
    <t>SA240100641</t>
  </si>
  <si>
    <t>TAPE CUTTER TD-102 JK</t>
  </si>
  <si>
    <t>TAPE CUTTER TD-103 JK</t>
  </si>
  <si>
    <t>GLUE STICK GS 09 8 GRAM JK</t>
  </si>
  <si>
    <t>TAPE CUTTER TC-111 JK</t>
  </si>
  <si>
    <t>SA240100537</t>
  </si>
  <si>
    <t xml:space="preserve">CRAYON PUTAR TWCR 12 S JK </t>
  </si>
  <si>
    <t>SA240100565</t>
  </si>
  <si>
    <t>KING JELLER JK 10 BLACK JK</t>
  </si>
  <si>
    <t>PENCIL P 92 2B BLACKWOOD JK</t>
  </si>
  <si>
    <t>PENCIL P 90 2B JK</t>
  </si>
  <si>
    <t>PENCIL P 93 2B JK</t>
  </si>
  <si>
    <t>OIL PASTEL OP 36 S PP CASE SEA WORLD jk</t>
  </si>
  <si>
    <t>OIL PASTEL OP 48 S PP CAS ESEAW ORLD jk</t>
  </si>
  <si>
    <t>OIL PASTEL OP 55 S PP CASE SEA WORLD jk</t>
  </si>
  <si>
    <t>24010519</t>
  </si>
  <si>
    <t>KENKO TRIGONAL CLIP NO.1</t>
  </si>
  <si>
    <t>KENKO BINDER CLIP NO. 107</t>
  </si>
  <si>
    <t>KENKO MECHANICAL PENCIL MP 01 (0.5MM)</t>
  </si>
  <si>
    <t>KENKO STAPLER HD 10 S MINI</t>
  </si>
  <si>
    <t>KENKO HEAVY DUTY STAPLER HD 12 L / 24</t>
  </si>
  <si>
    <t>KENKO GEL PEN EASY GEL BLACK</t>
  </si>
  <si>
    <t>KENKO GEL PEN EASY GEL BLUE</t>
  </si>
  <si>
    <t>KENKO 24 COLOR PENCIL CP-24F CLASSIC</t>
  </si>
  <si>
    <t>KENKO GEL PEN HI-TECH-H 0.28MM BLUE</t>
  </si>
  <si>
    <t>KENKO GEL PEN HI-TECH-H 0.28MM BLACK</t>
  </si>
  <si>
    <t>KENKO BINDER CLIP NO.155</t>
  </si>
  <si>
    <t>KENKO CORRECTION TAPE CT-906 (12 M X 5 MM)</t>
  </si>
  <si>
    <t>KENKO CORRECTION TAPE CT-608 PC (6 M X 5 MM)</t>
  </si>
  <si>
    <t>KENKO CORRECTION TAPE CT-634N ( 8 M X 5 MM )</t>
  </si>
  <si>
    <t>KENKO TABLE SHARPENER A-5M</t>
  </si>
  <si>
    <t>24010711</t>
  </si>
  <si>
    <t>24010719</t>
  </si>
  <si>
    <t>KENKO LOOSE LEAF A5-LL 100-2070</t>
  </si>
  <si>
    <t>KENKO LOOSE LEAF B5-LL 100-2670</t>
  </si>
  <si>
    <t>KENKO PENCIL 2B 3181 HITAM CAP MERAH</t>
  </si>
  <si>
    <t>KENKO CUTTER K 200 (9MM BLADE)</t>
  </si>
  <si>
    <t>KENKO CUTTER A 300 (9MM BLADE)</t>
  </si>
  <si>
    <t>TITI 36 COLOR OIL PASTEL TI P 36 S</t>
  </si>
  <si>
    <t>SA240100684</t>
  </si>
  <si>
    <t>TAPE CUTTER TD -103 JK</t>
  </si>
  <si>
    <t>24 PCS</t>
  </si>
  <si>
    <t>TAPE CUTTER TD-09N JK</t>
  </si>
  <si>
    <t>COLOR PENCIL CP 36 PB JK</t>
  </si>
  <si>
    <t>ERASER 526 B 40 P JK</t>
  </si>
  <si>
    <t>ERASER ER B 20 BL JK</t>
  </si>
  <si>
    <t>SCISSORS SC 828 JK</t>
  </si>
  <si>
    <t>SCISSORS SC 828 SG JK</t>
  </si>
  <si>
    <t>SA240100685</t>
  </si>
  <si>
    <t>GEL PEN GPC 309 S DIAMOND ART JK</t>
  </si>
  <si>
    <t>CORRECTION FLUID CF S 209 JK</t>
  </si>
  <si>
    <t>TRIGONAL CLIP NO.3 JK</t>
  </si>
  <si>
    <t>PENCIL LEAD PL 10 2.0 2B JK</t>
  </si>
  <si>
    <t>PENCIL LEAD PL 11 2.0 JK</t>
  </si>
  <si>
    <t>24010615</t>
  </si>
  <si>
    <t>JUA215/24</t>
  </si>
  <si>
    <t>PENSIL KAYAGI 2B COKLAT KY-OF122B-2</t>
  </si>
  <si>
    <t>360 LSN</t>
  </si>
  <si>
    <t>GEL DEBOZZ 0.5 DB G 05</t>
  </si>
  <si>
    <t>MEK PENSIL 2.0 TIZO TM 01800-A</t>
  </si>
  <si>
    <t>TAS CABIN ELPIDA HIJAU EF-CB007</t>
  </si>
  <si>
    <t>PENSIL 2B KAYAGI KY-PF 3091</t>
  </si>
  <si>
    <t>PENSIL 2B KAYAGI KY-PF 3092</t>
  </si>
  <si>
    <t>PENSIL 2B KAYAGI KY-PF 3093</t>
  </si>
  <si>
    <t>PENSIL 2B FANCY KY-PF 3051</t>
  </si>
  <si>
    <t>PENSIL 2B FANCY KY-PF 3065</t>
  </si>
  <si>
    <t>PENSIL 2B KAYAGI KY-PF 3062</t>
  </si>
  <si>
    <t>PENSIL 2B KAYAGI KY-PF 3060</t>
  </si>
  <si>
    <t>PENSIL 2B KAYAGI KY-PF 3041</t>
  </si>
  <si>
    <t>PENSIL 2B KAYAGI KY-PF 3053</t>
  </si>
  <si>
    <t>064/ EPW/ I/ 24</t>
  </si>
  <si>
    <t>BT R5</t>
  </si>
  <si>
    <t>BT R3</t>
  </si>
  <si>
    <t>JUA302/24</t>
  </si>
  <si>
    <t>96 P CS</t>
  </si>
  <si>
    <t>TP MAGNET XLG B-35283-01</t>
  </si>
  <si>
    <t>TP MAGNET XLG B-35302</t>
  </si>
  <si>
    <t>TP PU XLG 38138-F</t>
  </si>
  <si>
    <t>TP PU XLG 38164-C</t>
  </si>
  <si>
    <t>R TOPLES XLG 28 PCS R-5855</t>
  </si>
  <si>
    <t>TOP</t>
  </si>
  <si>
    <t>24 TOP</t>
  </si>
  <si>
    <t>RAUTAN TOPLES 25 PCS XLG R-5861</t>
  </si>
  <si>
    <t>RAUTAN MEJA XLG SX-0078 L</t>
  </si>
  <si>
    <t>ISI GEL 1.0 TG 308 -AR</t>
  </si>
  <si>
    <t>80 PCS</t>
  </si>
  <si>
    <t>ISI GEL 1.0 BIRU TG 308 AR 5</t>
  </si>
  <si>
    <t>PENSIL 12 W PANJANG KY-CP 1210</t>
  </si>
  <si>
    <t>240 SET</t>
  </si>
  <si>
    <t>P WARNA KAYAGI 24 W KY-CP 0724</t>
  </si>
  <si>
    <t>144 SET</t>
  </si>
  <si>
    <t>PENSIL WARNA KAYAGI 36 W KY-CP 0736</t>
  </si>
  <si>
    <t>80 SET</t>
  </si>
  <si>
    <t>JUA301/24</t>
  </si>
  <si>
    <t>GEL TIZO KLIK TG 3300</t>
  </si>
  <si>
    <t>144 LSN</t>
  </si>
  <si>
    <t>GEL TIZO KLIK TG 3301</t>
  </si>
  <si>
    <t>GEL TIZO KLIK TG 3302</t>
  </si>
  <si>
    <t>GEL KLIK DEBOZZ FANCY DB-GF 10</t>
  </si>
  <si>
    <t>SPIDOL 12W + KUAS DB 218-12</t>
  </si>
  <si>
    <t>144 BOX</t>
  </si>
  <si>
    <t>GEL TIZO 1.0 BIRU TG 340 BI</t>
  </si>
  <si>
    <t>GEL TIZO 1.0 BATIK TG 33404-2</t>
  </si>
  <si>
    <t>SEMI GEL TIZO TB-SG 09</t>
  </si>
  <si>
    <t>GEL KLIK FANCY LOVEIN K-15</t>
  </si>
  <si>
    <t>GEL KLIK FANCY LOVEIN K-17</t>
  </si>
  <si>
    <t>JANGKA BESI DBC-4001</t>
  </si>
  <si>
    <t>288 PCS</t>
  </si>
  <si>
    <t>GEL TIZO TG 31220</t>
  </si>
  <si>
    <t>GEL DEBOZZ 0.5 DB-G 05</t>
  </si>
  <si>
    <t>GEL DEBOZZ 0.28 HI-Q DB-GP 800</t>
  </si>
  <si>
    <t>GEL DEBOZZ 0.28 BIRU DB-GP 800 BL</t>
  </si>
  <si>
    <t>ISI GEL INK TZ-501 R</t>
  </si>
  <si>
    <t>TRI MITRA SEJATI</t>
  </si>
  <si>
    <t>035740</t>
  </si>
  <si>
    <t>ELEC NATIONAL 20M X 120 ROLL</t>
  </si>
  <si>
    <t>120 ROL</t>
  </si>
  <si>
    <t>NEW GOTO</t>
  </si>
  <si>
    <t>PAPER BAG IDUL FITRI BESAR</t>
  </si>
  <si>
    <t>PAPER BAG IDUL FITRI KECIL</t>
  </si>
  <si>
    <t>PAPER BAG IDUL FITRI TANGGUNG</t>
  </si>
  <si>
    <t>240 PCS</t>
  </si>
  <si>
    <t>360 PCS</t>
  </si>
  <si>
    <t>2 % DISKON KONTAN</t>
  </si>
  <si>
    <t>DOC AUTENTIK DK 512</t>
  </si>
  <si>
    <t>MIRACLE ABADI</t>
  </si>
  <si>
    <t>FP/2401/00122</t>
  </si>
  <si>
    <t>KERTAS KREP POTONGAN JERSY</t>
  </si>
  <si>
    <t>235 PAK</t>
  </si>
  <si>
    <t>0116</t>
  </si>
  <si>
    <t>0117</t>
  </si>
  <si>
    <t>SN24010141</t>
  </si>
  <si>
    <t>CALCULATOR JOYKO CC-41</t>
  </si>
  <si>
    <t>TAS IF 4 SISI 30 X 40</t>
  </si>
  <si>
    <t>TAS IF 4 SISI 38 X 45</t>
  </si>
  <si>
    <t>SA240100801</t>
  </si>
  <si>
    <t>OIL PASTEL OP 12 S PP CASE SEA WORLD JK</t>
  </si>
  <si>
    <t>OIL PASTEL OP 24 S PP CASE SEA WORLD JK</t>
  </si>
  <si>
    <t>BINDER CLIP 105 JK</t>
  </si>
  <si>
    <t>BALLPEN BP  349 12 VOKUS TRANS BLACK JK BONUS</t>
  </si>
  <si>
    <t>SA240100800</t>
  </si>
  <si>
    <t>PENCIL CASE PC 0719 AC-36 A/F ANIMAL CALENDER JK</t>
  </si>
  <si>
    <t>PENCIL CASE PC 0719 AC-37 A/F ANIMAL CALENDER JK</t>
  </si>
  <si>
    <t>PENCIL CASE PC 0719 GZ-34A/ F (GOZZY JK</t>
  </si>
  <si>
    <t>PENCIL CASE PC 0719 PSTL-35 (BLUE) JK</t>
  </si>
  <si>
    <t>PENCIL CASE PC 0719 PSTL-35 (GREEN) JK</t>
  </si>
  <si>
    <t>PENCIL CASE PC 0719 PSTL-35 (PINK) JK</t>
  </si>
  <si>
    <t>PENCIL CASE PC 0719 PSTL-35 (PURPLE) JK</t>
  </si>
  <si>
    <t>PENCIL CASE PC 0719 TV-33 A/ F (TRAVEL) JK</t>
  </si>
  <si>
    <t>17//01/2024</t>
  </si>
  <si>
    <t>SA240100798</t>
  </si>
  <si>
    <t>COLOR PENCIL CP 48 PB JK</t>
  </si>
  <si>
    <t>CORRECTION TAPE CT 507 JK</t>
  </si>
  <si>
    <t>CORRECTION TAPE CT 533 JK</t>
  </si>
  <si>
    <t>SCISSORS SC-828 JK</t>
  </si>
  <si>
    <t>SA240100799</t>
  </si>
  <si>
    <t>HD STAPLER HD-12N/ 13 JK</t>
  </si>
  <si>
    <t>STAPLER  HD-12N/ 24 JK</t>
  </si>
  <si>
    <t>STAPLER HD-10 JK</t>
  </si>
  <si>
    <t>PUNCH 30XL JK</t>
  </si>
  <si>
    <t>BALLPEN BP 338 VOCUS BLACK JK</t>
  </si>
  <si>
    <t>GLUE STICK GS-100 8 GRAM JK</t>
  </si>
  <si>
    <t>SA240100878</t>
  </si>
  <si>
    <t>24010870</t>
  </si>
  <si>
    <t>KENKO GEL PEN MICROTEC 0.28MM BLACK</t>
  </si>
  <si>
    <t>24010839</t>
  </si>
  <si>
    <t>KENKO BINDER CLIP NO.260</t>
  </si>
  <si>
    <t>0246584066</t>
  </si>
  <si>
    <t>TAS HB 20 X 25</t>
  </si>
  <si>
    <t>TAS HB 25 X 35</t>
  </si>
  <si>
    <t>TAS HB 30 X 40</t>
  </si>
  <si>
    <t>TAS HB 38 X 45</t>
  </si>
  <si>
    <t>24011068</t>
  </si>
  <si>
    <t>KENKO GEL PEN HI TECH H 0.4 MM BLACK</t>
  </si>
  <si>
    <t>KENKO SCISSOR SC 838 N</t>
  </si>
  <si>
    <t>KENKO BINDER CLIP NO.111</t>
  </si>
  <si>
    <t>KENKO BINDER CLIP NO 260</t>
  </si>
  <si>
    <t>24011070</t>
  </si>
  <si>
    <t>KENKO PUNCH NO 30</t>
  </si>
  <si>
    <t>KENKO CORRECTION FLUID KE 826 M</t>
  </si>
  <si>
    <t>24010885</t>
  </si>
  <si>
    <t>SA240100983</t>
  </si>
  <si>
    <t>OIL PASTEL OP 36 S PP CASE SEA WORLD JK</t>
  </si>
  <si>
    <t>OIL PASTEL OP 55 S PP CASE SEA WORLD JK</t>
  </si>
  <si>
    <t>24</t>
  </si>
  <si>
    <t>CUTTER BLADE L 150 M MH JK</t>
  </si>
  <si>
    <t>PERMANENT MARKER PM 34 BLACK JK BONUS</t>
  </si>
  <si>
    <t>SA240100982</t>
  </si>
  <si>
    <t>BINDER B5 TSAF F141 (ANIMAL FACE) JK F</t>
  </si>
  <si>
    <t>BINDER B5 TSVY 146 (VOYAGE TO THE SEA) JK F</t>
  </si>
  <si>
    <t>SN24010167</t>
  </si>
  <si>
    <t>GUNINDO</t>
  </si>
  <si>
    <t>2401134</t>
  </si>
  <si>
    <t>CUTTER A 18 TRANS</t>
  </si>
  <si>
    <t>WB ERASER 803</t>
  </si>
  <si>
    <t>OLL GUNINDO</t>
  </si>
  <si>
    <t xml:space="preserve">GUNINDO FM COKLAT </t>
  </si>
  <si>
    <t>CUTTER SC 9A PUTIH</t>
  </si>
  <si>
    <t>OSS GUNINDO</t>
  </si>
  <si>
    <t>GUNINDO FL COKLAT</t>
  </si>
  <si>
    <t>0248/HW/I/24</t>
  </si>
  <si>
    <t>SEGITIGA BT NO 8</t>
  </si>
  <si>
    <t>SEGITIGA NO 10</t>
  </si>
  <si>
    <t>WA0272B1</t>
  </si>
  <si>
    <t>CORRECTION TAPE MICROTOP MT 737/ 5X16 +RE</t>
  </si>
  <si>
    <t>48 BOX (12 PCS)</t>
  </si>
  <si>
    <t>WA0273B1</t>
  </si>
  <si>
    <t>PCK LPY 99-10/ 8X 21.5X4.5/ 3S/ +WB/ D</t>
  </si>
  <si>
    <t>PCK LPY 99-3/ 8.9 X 21.7/ SET/ D</t>
  </si>
  <si>
    <t>WHITE BOARD XG POLOS 2S/ 20 X 30</t>
  </si>
  <si>
    <t>WHITE BOARD XG POLOS 2S/ 25 X 35</t>
  </si>
  <si>
    <t xml:space="preserve">WHITE BOARD XG POLOS 2S/ 30 X 40 </t>
  </si>
  <si>
    <t>PMJP</t>
  </si>
  <si>
    <t>CELENGAN S</t>
  </si>
  <si>
    <t>CELENGAN M</t>
  </si>
  <si>
    <t>CELENGAN L</t>
  </si>
  <si>
    <t>CELENGAN XL</t>
  </si>
  <si>
    <t>BALON METALIK 1228 20 X 5 LMP 2800</t>
  </si>
  <si>
    <t>LPG</t>
  </si>
  <si>
    <t>BALON SMILE WARNA 20 X 5 LKS 3200 SW</t>
  </si>
  <si>
    <t>48 LPG</t>
  </si>
  <si>
    <t>BALON FS CUP MACARON 1228 12 X 5 LKM 2800</t>
  </si>
  <si>
    <t>BALON FS CUPCAKE 20 X 5 LKF 3200 M 16</t>
  </si>
  <si>
    <t>STICK NOTE TF-0246/ 400</t>
  </si>
  <si>
    <t>STICK NOTE TF-0245-8C/ 400</t>
  </si>
  <si>
    <t>STICK NOTE TF 654-8C/ 200LBR</t>
  </si>
  <si>
    <t>PENCIL TF-195-12 (PASTEL) 12WR PJ</t>
  </si>
  <si>
    <t>PENCIL TF-194-24 (PASTEL) 24WR PJ</t>
  </si>
  <si>
    <t>ACRYLIC MARKER TF-1M 301-12</t>
  </si>
  <si>
    <t>BRUSH MARKER PEN TF-1060</t>
  </si>
  <si>
    <t xml:space="preserve">KUAS TRIFELO ART TF-2023 </t>
  </si>
  <si>
    <t>108 PCS</t>
  </si>
  <si>
    <t>300 PCS</t>
  </si>
  <si>
    <t>120 SET</t>
  </si>
  <si>
    <t>SA240101222</t>
  </si>
  <si>
    <t>LABEL LB 2 RL 1 BARIS JK</t>
  </si>
  <si>
    <t>TAPE CUTTER TD-109 JK</t>
  </si>
  <si>
    <t>CORRECTION TAPE  CT 522 JK</t>
  </si>
  <si>
    <t>HIGHLIGHTER HL 1 YELLOW JK</t>
  </si>
  <si>
    <t>BRUSH BR-1 JK</t>
  </si>
  <si>
    <t>BRUSH BR 5 JK</t>
  </si>
  <si>
    <t>ERASER 526 B40P JK</t>
  </si>
  <si>
    <t>OIL PASTEL OP 72 S PP CASE SEA WORLD JK</t>
  </si>
  <si>
    <t>SA240101271</t>
  </si>
  <si>
    <t>PAPER CLIP JUMBO NO.5 JK</t>
  </si>
  <si>
    <t>SA240101157</t>
  </si>
  <si>
    <t>LABELLER MX-6600N (10D, 2LINE) JK</t>
  </si>
  <si>
    <t>SA240101081</t>
  </si>
  <si>
    <t>WHITEBOARD MARKER WM 65 (RED) JK BONUS</t>
  </si>
  <si>
    <t>DUNIA FENSI KREASINDO</t>
  </si>
  <si>
    <t>PHM/004/01-24</t>
  </si>
  <si>
    <t>BINDER NOTE FPHY001-A5-60</t>
  </si>
  <si>
    <t>24011189</t>
  </si>
  <si>
    <t>KENKO GEL PEN KS-97 SIGN PEN BLACK</t>
  </si>
  <si>
    <t>24011278</t>
  </si>
  <si>
    <t>KENKO STAMP PAD NO.0</t>
  </si>
  <si>
    <t>KENKO CORRECTION FLUID GP-01</t>
  </si>
  <si>
    <t>24011279</t>
  </si>
  <si>
    <t>TITI 18 COLOR OIL PASTEL TI P 18 S</t>
  </si>
  <si>
    <t>24011365</t>
  </si>
  <si>
    <t>KENKO BINDER CLIP NO.107</t>
  </si>
  <si>
    <t>24011371</t>
  </si>
  <si>
    <t>KENKO MECHANICAL PENCIL MP-07 (0.5MM)</t>
  </si>
  <si>
    <t>24011487</t>
  </si>
  <si>
    <t>2401163</t>
  </si>
  <si>
    <t>OMM GUNINDO</t>
  </si>
  <si>
    <t>LESTARI</t>
  </si>
  <si>
    <t>455748</t>
  </si>
  <si>
    <t>12 SET</t>
  </si>
  <si>
    <t>PIANIKA BLUE LOVELY K-2799 B</t>
  </si>
  <si>
    <t>0120</t>
  </si>
  <si>
    <t>DOC RIT INFINITY</t>
  </si>
  <si>
    <t>HIJAU SAJA</t>
  </si>
  <si>
    <t>DUTA BAHAGIA</t>
  </si>
  <si>
    <t>DHM/012/01-24C</t>
  </si>
  <si>
    <t>BINDER NOTE FPHY 001 A5 60</t>
  </si>
  <si>
    <t>BINDER NOTE FPHY 002 A5 60</t>
  </si>
  <si>
    <t>72 PCS</t>
  </si>
  <si>
    <t>BINDER NOTE FPHY 001 B5 60</t>
  </si>
  <si>
    <t>BINDER NOTE FPHY 002 B5 60</t>
  </si>
  <si>
    <t>02779</t>
  </si>
  <si>
    <t>P CASE B233</t>
  </si>
  <si>
    <t>120 PCS</t>
  </si>
  <si>
    <t>STABILLO TZ 8001</t>
  </si>
  <si>
    <t>SERUTAN 037</t>
  </si>
  <si>
    <t>SERUTAN 009</t>
  </si>
  <si>
    <t>PIANIKA TOZCHA PINK TZ-32PK</t>
  </si>
  <si>
    <t>BRANG JELEK</t>
  </si>
  <si>
    <t>2401178</t>
  </si>
  <si>
    <t>PL 8 GUNINDO</t>
  </si>
  <si>
    <t>20 LSN</t>
  </si>
  <si>
    <t>F24A000645</t>
  </si>
  <si>
    <t>CAT AIR OPINI 110</t>
  </si>
  <si>
    <t>216 PCS</t>
  </si>
  <si>
    <t>CAT AIR OPINI 120</t>
  </si>
  <si>
    <t>HANSA</t>
  </si>
  <si>
    <t>HN012024311</t>
  </si>
  <si>
    <t>NO.2/ 3/ 4/ 5</t>
  </si>
  <si>
    <t>LILIN ANGKA SHINTOENG</t>
  </si>
  <si>
    <t>LILIN SHINTOENG 12 BTG</t>
  </si>
  <si>
    <t>LILIN SHINTOENG 24 BTG</t>
  </si>
  <si>
    <t>SI-2024/01-0215/COD</t>
  </si>
  <si>
    <t>PITA JPN POLOS B 1:10</t>
  </si>
  <si>
    <t>SLOP</t>
  </si>
  <si>
    <t>40 SLOP</t>
  </si>
  <si>
    <t>WIN'S SENTOSA</t>
  </si>
  <si>
    <t>SI-2024/01-0211/COD</t>
  </si>
  <si>
    <t>TAS KARUNG 45 X 50</t>
  </si>
  <si>
    <t>TAS KARUNG 50 X 55</t>
  </si>
  <si>
    <t>TAS KARUNG 60 X 70 X 25</t>
  </si>
  <si>
    <t>DISC COD 5%</t>
  </si>
  <si>
    <t>S-2024/01-0216/COD</t>
  </si>
  <si>
    <t>TY MINI 1 GOLD</t>
  </si>
  <si>
    <t>600 PCS</t>
  </si>
  <si>
    <t>TY MINI 2 GOLD</t>
  </si>
  <si>
    <t>TY MINI 3 GOLD</t>
  </si>
  <si>
    <t>TY MINI 0 GOLD</t>
  </si>
  <si>
    <t>TY MINI 4 GOLD</t>
  </si>
  <si>
    <t>TY MINI 5 GOLD</t>
  </si>
  <si>
    <t>TY MINI 6 GOLD</t>
  </si>
  <si>
    <t>TY MINI 7 GOLD</t>
  </si>
  <si>
    <t>TY MINI 8 GOLD</t>
  </si>
  <si>
    <t>TY MINI 9 GOLD</t>
  </si>
  <si>
    <t>24/I/343</t>
  </si>
  <si>
    <t>PISAU LIPAT MINI (PEMES RENTENG) MCK-1</t>
  </si>
  <si>
    <t>240 LSN</t>
  </si>
  <si>
    <t>SA240101309</t>
  </si>
  <si>
    <t>CORRECTION TAPE CT-533 JK</t>
  </si>
  <si>
    <t>GEL PEN GP-266 I TECH 2 (BLACK) JK</t>
  </si>
  <si>
    <t>SA240101458</t>
  </si>
  <si>
    <t>12PCS</t>
  </si>
  <si>
    <t>PENCIL CASE PC-0719 AC-37 A/ -F ANIMAL CALENDER JK</t>
  </si>
  <si>
    <t>PENCIL CASE PC0719 GZ 34 A/ F GOZZY JK</t>
  </si>
  <si>
    <t>HD STAPLER HD-12 N/13JK</t>
  </si>
  <si>
    <t>24011641</t>
  </si>
  <si>
    <t>KENKO GEL PEN MICROTEC 0.28 MM BLACK</t>
  </si>
  <si>
    <t>KENKO STAINLESS STEEL RULER 100CM</t>
  </si>
  <si>
    <t>24011462</t>
  </si>
  <si>
    <t>KENKO HEAVY DUTY STAPLER HD-12 N/ 13</t>
  </si>
  <si>
    <t>24011089</t>
  </si>
  <si>
    <t>KENKO LOOSE LEAF A5 LL 100 2070</t>
  </si>
  <si>
    <t>TITI 55 COLOR OiL PASTEL TI P 55 S</t>
  </si>
  <si>
    <t>CV.36</t>
  </si>
  <si>
    <t>ORIGAMI FLUORESCENT ALFA 14 X 14</t>
  </si>
  <si>
    <t>ORIGAMI FLUORESCENT ALFA 16 X 16</t>
  </si>
  <si>
    <t>900 PCS</t>
  </si>
  <si>
    <t>750 PCS</t>
  </si>
  <si>
    <t>DISC (10 + 10) +2% KONTAN</t>
  </si>
  <si>
    <t>L301032</t>
  </si>
  <si>
    <t>ISI GW NO.10</t>
  </si>
  <si>
    <t>ISI GW NO.369</t>
  </si>
  <si>
    <t>SA240101538</t>
  </si>
  <si>
    <t>PENCIL CASE PC 0719 PL 32 RED JK</t>
  </si>
  <si>
    <t>PENCIL CASE PC 0719 PL 32 GREEN JK</t>
  </si>
  <si>
    <t>PENCIL CASE PC 0719 PL 32 BLUE JK</t>
  </si>
  <si>
    <t>PENCIL CASE PC 0719 PL 32  YELLOW JK</t>
  </si>
  <si>
    <t>24011826</t>
  </si>
  <si>
    <t>KENKO 24 COLOR PENCIL CP 24 F SANDY BEAR</t>
  </si>
  <si>
    <t>KENKO SCISSOR SC 848 N</t>
  </si>
  <si>
    <t>24011770</t>
  </si>
  <si>
    <t>KENKO SHARPENER SP-71 (1 HOLE, 12 PCS/ BOX)</t>
  </si>
  <si>
    <t>24011725</t>
  </si>
  <si>
    <t>24011904</t>
  </si>
  <si>
    <t>KENKO LOOSE LEAF A5 LL 2070</t>
  </si>
  <si>
    <t>2401199</t>
  </si>
  <si>
    <t>JUA531/24</t>
  </si>
  <si>
    <t>GEL TIZO RETRC 0.5 TG 670</t>
  </si>
  <si>
    <t>GEL TIZO RETRC 0.5 TG 690</t>
  </si>
  <si>
    <t>72 LSN</t>
  </si>
  <si>
    <t>HB 85 GUNINDO</t>
  </si>
  <si>
    <t>24011989</t>
  </si>
  <si>
    <t>KENKO BINDER CLIP NO.105</t>
  </si>
  <si>
    <t>KENKO LIQUID GLUE LG 35 35  ML</t>
  </si>
  <si>
    <t>KENKO TRIGONAL CLIP N O 1</t>
  </si>
  <si>
    <t>0126</t>
  </si>
  <si>
    <t>DOC RIT BRILLIANT</t>
  </si>
  <si>
    <t>HN012024372</t>
  </si>
  <si>
    <t xml:space="preserve">MALAM SHINTOENG K 6-12 W </t>
  </si>
  <si>
    <t>JUA 638/24</t>
  </si>
  <si>
    <t>GEL INK TIANJIAO TZ-501</t>
  </si>
  <si>
    <t>PENSIL 2B KAYAGI KY-PF3051L</t>
  </si>
  <si>
    <t>STABILLO TIZO 54 PC TF 610</t>
  </si>
  <si>
    <t>GEL TIZO 1,0 TG 630 A</t>
  </si>
  <si>
    <t>GEL TIZO 1.0 TG31580</t>
  </si>
  <si>
    <t>WA0483B1</t>
  </si>
  <si>
    <t>EXPANDING FILE MICROTOP MT-625/ FOLIO</t>
  </si>
  <si>
    <t>EXPANDING FILE MICROTOP MT-631/ FOLIO</t>
  </si>
  <si>
    <t>EXPANDING FILE MICROTOP MT-632/ F4</t>
  </si>
  <si>
    <t>TENAGA BARU</t>
  </si>
  <si>
    <t>002315/XX</t>
  </si>
  <si>
    <t>K/ UNDANGAN ANAK-ANAK B</t>
  </si>
  <si>
    <t>2600 PAK</t>
  </si>
  <si>
    <t>AY 9.24</t>
  </si>
  <si>
    <t>ENTER SPIRAL 404</t>
  </si>
  <si>
    <t>ENTER SPIRAL 501</t>
  </si>
  <si>
    <t>KOJIKO SEGITIGA NO 6</t>
  </si>
  <si>
    <t>KOJIKO SEGITIGA NO 10</t>
  </si>
  <si>
    <t>KOJIKO LABEL 113</t>
  </si>
  <si>
    <t>KOJIKO LABEL 111</t>
  </si>
  <si>
    <t>KOJIKO LABEL 99</t>
  </si>
  <si>
    <t>KOJIKO LABEL 103 P</t>
  </si>
  <si>
    <t>ENTER GRS 1M KAYU</t>
  </si>
  <si>
    <t>KOJIKO D/ FOAM 2</t>
  </si>
  <si>
    <t>ENTER BUSUR 3 1/2 MIKA</t>
  </si>
  <si>
    <t>DUST 454</t>
  </si>
  <si>
    <t>2401222</t>
  </si>
  <si>
    <t>GUNINDO MM</t>
  </si>
  <si>
    <t xml:space="preserve">CCUTTER SC9A PUTIH </t>
  </si>
  <si>
    <t>0425/HW/I/24</t>
  </si>
  <si>
    <t>BT 20 CM</t>
  </si>
  <si>
    <t>ALPINDO</t>
  </si>
  <si>
    <t>BAG FOLDER SIKA AC-05 KUNING</t>
  </si>
  <si>
    <t>BAG FOLDER SIKA AC-05 PUTIH</t>
  </si>
  <si>
    <t>BAG FOLDER SIKA AC-05 MERAH</t>
  </si>
  <si>
    <t>SI-2024/01-0217</t>
  </si>
  <si>
    <t>SI-2024/01-0219</t>
  </si>
  <si>
    <t>GLUE STICK 7 X 30</t>
  </si>
  <si>
    <t>GLUE STICK 11 X 29</t>
  </si>
  <si>
    <t>24020139</t>
  </si>
  <si>
    <t>24020110</t>
  </si>
  <si>
    <t>KENKO GEL PEN HI-TECH H 0.28MM BLACK</t>
  </si>
  <si>
    <t>KENKO GEL PEN HI-TECH H 0.28MM BLUE</t>
  </si>
  <si>
    <t>2401245</t>
  </si>
  <si>
    <t>CUTTER A18 TRANS</t>
  </si>
  <si>
    <t>CUTTER SC9A PUTIH</t>
  </si>
  <si>
    <t>HONGSIAN</t>
  </si>
  <si>
    <t>G238</t>
  </si>
  <si>
    <t>PC H 887</t>
  </si>
  <si>
    <t>PC H 869</t>
  </si>
  <si>
    <t>PC H 866</t>
  </si>
  <si>
    <t>PC H 466</t>
  </si>
  <si>
    <t>G237</t>
  </si>
  <si>
    <t>PC H 761</t>
  </si>
  <si>
    <t>PC H 874</t>
  </si>
  <si>
    <t>PC H 797</t>
  </si>
  <si>
    <t>PC H 762</t>
  </si>
  <si>
    <t>AC 105 F PUTIH</t>
  </si>
  <si>
    <t>MAP L PUTIH</t>
  </si>
  <si>
    <t>SA240202225</t>
  </si>
  <si>
    <t>GEL PEN GP 266 ITECH 2 BLACK JK</t>
  </si>
  <si>
    <t>ERASER 526 B 20 JK</t>
  </si>
  <si>
    <t>STAPLER HD 10 JK</t>
  </si>
  <si>
    <t>GEL PEN GPC 309S DIAMOND ART JK</t>
  </si>
  <si>
    <t>SA240202092</t>
  </si>
  <si>
    <t>STAMP PAD NO 0 JK</t>
  </si>
  <si>
    <t>CUTTER L 5 00 JK</t>
  </si>
  <si>
    <t>SA240101975</t>
  </si>
  <si>
    <t>PAC</t>
  </si>
  <si>
    <t>TAPE CUTTER TD 2H JK</t>
  </si>
  <si>
    <t>PENCIL LEAD PL 05 2B JK</t>
  </si>
  <si>
    <t>PAPER FASTENER PF 50 WHITE JK</t>
  </si>
  <si>
    <t>SA240202143</t>
  </si>
  <si>
    <t>SA240101959</t>
  </si>
  <si>
    <t>SCISSORS SC-838 JK</t>
  </si>
  <si>
    <t>ERASER 526 B40BL JK</t>
  </si>
  <si>
    <t>CUTTER L 500 JK</t>
  </si>
  <si>
    <t>PELNA INDONESIA</t>
  </si>
  <si>
    <t>PELNA LAPTOP TABLE</t>
  </si>
  <si>
    <t>PROMO</t>
  </si>
  <si>
    <t>24020276</t>
  </si>
  <si>
    <t>KENKO HIGHLIGHTER HL 100 ORANGE</t>
  </si>
  <si>
    <t>KENKO BINDER CLIP NO.280 (6 PCS/ BOX</t>
  </si>
  <si>
    <t>KENKO PUNCH NO.85</t>
  </si>
  <si>
    <t>24020039</t>
  </si>
  <si>
    <t>KENKO CLOTH TAPE 48MM BLUE CORE BLACK BT</t>
  </si>
  <si>
    <t>KENKO LIQUID GLUE LG 35 35ML</t>
  </si>
  <si>
    <t>24020011</t>
  </si>
  <si>
    <t>KENKO SCISSOR SC-828</t>
  </si>
  <si>
    <t>24020162</t>
  </si>
  <si>
    <t>KENKO BINDER NOTE A5 TS CC 80 CAMPUS</t>
  </si>
  <si>
    <t>24020264</t>
  </si>
  <si>
    <t>KENKO ERASER ERW 40 SQ WHITE</t>
  </si>
  <si>
    <t>KENKO ERASER ERB 40 SQ BLACK</t>
  </si>
  <si>
    <t>KENKO HIGHLIGHTER HL 100 PURPLE</t>
  </si>
  <si>
    <t>KENKO HEAVY DUTY STAPLER HD-12N/13</t>
  </si>
  <si>
    <t>KENKO PRICE LABEL 6001-2R 1 LINE @ 10 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</si>
</sst>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  <font>
      <sz val="11"/>
      <color rgb="FFFF0000"/>
      <name val="Tahoma"/>
      <family val="2"/>
    </font>
    <font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3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14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" fontId="2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right" vertical="center"/>
    </xf>
    <xf numFmtId="10" fontId="2" fillId="3" borderId="0" xfId="0" applyNumberFormat="1" applyFont="1" applyFill="1" applyAlignment="1">
      <alignment vertical="center"/>
    </xf>
    <xf numFmtId="43" fontId="2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1" fontId="2" fillId="3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horizontal="center" vertical="center"/>
    </xf>
    <xf numFmtId="10" fontId="9" fillId="0" borderId="0" xfId="0" applyNumberFormat="1" applyFont="1" applyFill="1" applyAlignment="1">
      <alignment horizontal="right"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1" fontId="9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11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RAP"/>
      <sheetName val="LIE"/>
      <sheetName val="PARAMA"/>
      <sheetName val="NCL"/>
      <sheetName val="DICT_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ables/table1.xml><?xml version="1.0" encoding="utf-8"?>
<table xmlns="http://schemas.openxmlformats.org/spreadsheetml/2006/main" id="1" name="NOTA" displayName="NOTA" ref="A2:AY941" headerRowDxfId="290" dataDxfId="289" totalsRowDxfId="288">
  <autoFilter ref="A2:AY941"/>
  <sortState ref="A3:AS910">
    <sortCondition ref="AI2:AI910"/>
  </sortState>
  <tableColumns count="51">
    <tableColumn id="36" name="ID" totalsRowLabel="Total" dataDxfId="287" totalsRowDxfId="28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85" totalsRowDxfId="28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3" totalsRowDxfId="282">
      <calculatedColumnFormula>IF(NOTA[[#This Row],[ID_P]]="","",MATCH(NOTA[[#This Row],[ID_P]],[1]!B_MSK[N_ID],0))</calculatedColumnFormula>
    </tableColumn>
    <tableColumn id="37" name="ID_H" dataDxfId="281" totalsRowDxfId="28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79"/>
    <tableColumn id="3" name="SUPPLIER" dataDxfId="278" totalsRowDxfId="277"/>
    <tableColumn id="4" name="FAKTUR" dataDxfId="276" totalsRowDxfId="275"/>
    <tableColumn id="5" name="NO.NOTA" dataDxfId="274" totalsRowDxfId="273"/>
    <tableColumn id="6" name="NO.SJ" dataDxfId="272" totalsRowDxfId="271"/>
    <tableColumn id="7" name="TGL.NOTA" dataDxfId="270" totalsRowDxfId="269"/>
    <tableColumn id="8" name="B" dataDxfId="268" totalsRowDxfId="267"/>
    <tableColumn id="9" name="NAMA BARANG" dataDxfId="266" totalsRowDxfId="265"/>
    <tableColumn id="10" name="C" dataDxfId="264" totalsRowDxfId="263"/>
    <tableColumn id="12" name="QTY" dataDxfId="262" totalsRowDxfId="261"/>
    <tableColumn id="13" name="STN" dataDxfId="260" totalsRowDxfId="259"/>
    <tableColumn id="14" name="HARGA SATUAN" dataDxfId="258" totalsRowDxfId="257"/>
    <tableColumn id="16" name="HARGA/ CTN" dataDxfId="256" totalsRowDxfId="255"/>
    <tableColumn id="17" name="QTY/ CTN" dataDxfId="254" totalsRowDxfId="253"/>
    <tableColumn id="18" name="DISC 1" dataDxfId="252" totalsRowDxfId="251"/>
    <tableColumn id="19" name="DISC 2" dataDxfId="250" totalsRowDxfId="249"/>
    <tableColumn id="50" name="DISC 3" dataDxfId="248" totalsRowDxfId="247"/>
    <tableColumn id="11" name="DISC DLL" dataDxfId="246" totalsRowDxfId="245"/>
    <tableColumn id="31" name="KETERANGAN" dataDxfId="244" totalsRowDxfId="243"/>
    <tableColumn id="20" name="JUMLAH" dataDxfId="242" totalsRowDxfId="24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40" totalsRowDxfId="239">
      <calculatedColumnFormula>IF(NOTA[[#This Row],[JUMLAH]]="","",NOTA[[#This Row],[JUMLAH]]*NOTA[[#This Row],[DISC 1]])</calculatedColumnFormula>
    </tableColumn>
    <tableColumn id="22" name="DISC 2-" dataDxfId="238" totalsRowDxfId="237">
      <calculatedColumnFormula>IF(NOTA[[#This Row],[JUMLAH]]="","",(NOTA[[#This Row],[JUMLAH]]-NOTA[[#This Row],[DISC 1-]])*NOTA[[#This Row],[DISC 2]])</calculatedColumnFormula>
    </tableColumn>
    <tableColumn id="51" name="DISC 3-" dataDxfId="236" totalsRowDxfId="235">
      <calculatedColumnFormula>IF(NOTA[[#This Row],[JUMLAH]]="","",(NOTA[[#This Row],[JUMLAH]]-NOTA[[#This Row],[DISC 1-]]-NOTA[[#This Row],[DISC 2-]])*NOTA[[#This Row],[DISC 3]])</calculatedColumnFormula>
    </tableColumn>
    <tableColumn id="25" name="DISC" dataDxfId="234" totalsRowDxfId="233">
      <calculatedColumnFormula>IF(NOTA[[#This Row],[JUMLAH]]="","",NOTA[[#This Row],[DISC 1-]]+NOTA[[#This Row],[DISC 2-]]+NOTA[[#This Row],[DISC 3-]])</calculatedColumnFormula>
    </tableColumn>
    <tableColumn id="26" name="TOTAL" dataDxfId="232" totalsRowDxfId="231">
      <calculatedColumnFormula>IF(NOTA[[#This Row],[JUMLAH]]="","",NOTA[[#This Row],[JUMLAH]]-NOTA[[#This Row],[DISC]])</calculatedColumnFormula>
    </tableColumn>
    <tableColumn id="43" name="Column2" dataDxfId="230" totalsRowDxfId="229"/>
    <tableColumn id="33" name="DISC TOTAL" dataDxfId="228" totalsRowDxfId="22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26" totalsRowDxfId="22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24" totalsRowDxfId="22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22" totalsRowDxfId="221">
      <calculatedColumnFormula>IF(OR(NOTA[[#This Row],[QTY]]="",NOTA[[#This Row],[HARGA SATUAN]]="",),"",NOTA[[#This Row],[QTY]]*NOTA[[#This Row],[HARGA SATUAN]])</calculatedColumnFormula>
    </tableColumn>
    <tableColumn id="27" name="TGL_H" dataDxfId="220" totalsRowDxfId="21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18" totalsRowDxfId="21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16" totalsRowDxfId="215">
      <calculatedColumnFormula>IF(NOTA[[#This Row],[ID_H]]="","",IF(NOTA[[#This Row],[FAKTUR]]="",INDIRECT(ADDRESS(ROW()-1,COLUMN())),NOTA[[#This Row],[FAKTUR]]))</calculatedColumnFormula>
    </tableColumn>
    <tableColumn id="30" name="qb" dataDxfId="214">
      <calculatedColumnFormula>IF(NOTA[[#This Row],[ID]]="","",COUNTIF(NOTA[ID_H],NOTA[[#This Row],[ID_H]]))</calculatedColumnFormula>
    </tableColumn>
    <tableColumn id="29" name="Column1" dataDxfId="213">
      <calculatedColumnFormula>IF(NOTA[[#This Row],[TGL.NOTA]]="",IF(NOTA[[#This Row],[SUPPLIER_H]]="","",AM2),MONTH(NOTA[[#This Row],[TGL.NOTA]]))</calculatedColumnFormula>
    </tableColumn>
    <tableColumn id="38" name="CONCAT1" dataDxfId="21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1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0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08">
      <calculatedColumnFormula>IF(NOTA[[#This Row],[CONCAT4]]="","",_xlfn.IFNA(MATCH(NOTA[[#This Row],[CONCAT4]],[2]!RAW[CONCAT_H],0),FALSE))</calculatedColumnFormula>
    </tableColumn>
    <tableColumn id="39" name="//DB" dataDxfId="207">
      <calculatedColumnFormula>IF(NOTA[[#This Row],[CONCAT1]]="","",MATCH(NOTA[[#This Row],[CONCAT1]],[3]!db[NB NOTA_C],0))</calculatedColumnFormula>
    </tableColumn>
    <tableColumn id="47" name="Column3" dataDxfId="206">
      <calculatedColumnFormula>IF(NOTA[[#This Row],[QTY/ CTN]]="","",TRUE)</calculatedColumnFormula>
    </tableColumn>
    <tableColumn id="44" name="QTY/ CTN_H" dataDxfId="205" totalsRowDxfId="20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03" totalsRowDxfId="20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01" totalsRowDxfId="200">
      <calculatedColumnFormula>IF(NOTA[[#This Row],[ID_H]]="","",MATCH(NOTA[[#This Row],[NB NOTA_C_QTY]],[4]!db[NB NOTA_C_QTY+F],0))</calculatedColumnFormula>
    </tableColumn>
    <tableColumn id="48" name="ID BARANG" dataDxfId="199" totalsRowDxfId="198">
      <calculatedColumnFormula>IF(NOTA[[#This Row],[NB NOTA_C_QTY]]="","",ROW()-2)</calculatedColumnFormula>
    </tableColumn>
    <tableColumn id="49" name="Column4" dataDxfId="197" totalsRowDxfId="19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71">
  <autoFilter ref="A2:M6"/>
  <tableColumns count="13">
    <tableColumn id="1" name="//NOTA" dataDxfId="7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6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67">
      <calculatedColumnFormula>IF(LIE[[#This Row],[//PAJAK]]="","",INDEX(INDIRECT("PAJAK["&amp;LIE[#Headers]&amp;"]"),LIE[[#This Row],[//PAJAK]]-1))</calculatedColumnFormula>
    </tableColumn>
    <tableColumn id="5" name="TGL.MASUK" dataDxfId="66">
      <calculatedColumnFormula>IF(LIE[[#This Row],[//PAJAK]]="","",INDEX(INDIRECT("PAJAK["&amp;LIE[#Headers]&amp;"]"),LIE[[#This Row],[//PAJAK]]-1))</calculatedColumnFormula>
    </tableColumn>
    <tableColumn id="6" name="TGL.NOTA" dataDxfId="65">
      <calculatedColumnFormula>IF(LIE[[#This Row],[//PAJAK]]="","",INDEX(INDIRECT("PAJAK["&amp;LIE[#Headers]&amp;"]"),LIE[[#This Row],[//PAJAK]]-1))</calculatedColumnFormula>
    </tableColumn>
    <tableColumn id="7" name="NO.NOTA" dataDxfId="64">
      <calculatedColumnFormula>IF(LIE[[#This Row],[//PAJAK]]="","",INDEX(INDIRECT("PAJAK["&amp;LIE[#Headers]&amp;"]"),LIE[[#This Row],[//PAJAK]]-1))</calculatedColumnFormula>
    </tableColumn>
    <tableColumn id="8" name="NO.SJ" dataDxfId="63">
      <calculatedColumnFormula>IF(LIE[[#This Row],[//PAJAK]]="","",INDEX(INDIRECT("PAJAK["&amp;LIE[#Headers]&amp;"]"),LIE[[#This Row],[//PAJAK]]-1))</calculatedColumnFormula>
    </tableColumn>
    <tableColumn id="9" name="SUB TOTAL" dataDxfId="62">
      <calculatedColumnFormula>IF(LIE[[#This Row],[//PAJAK]]="","",INDEX(PAJAK[SUB T-DISC],LIE[[#This Row],[//PAJAK]]-1)*1.11)</calculatedColumnFormula>
    </tableColumn>
    <tableColumn id="10" name="DISKON" dataDxfId="61">
      <calculatedColumnFormula>IF(LIE[[#This Row],[//PAJAK]]="","",INDEX(PAJAK[DISC DLL],LIE[[#This Row],[//PAJAK]]-1))</calculatedColumnFormula>
    </tableColumn>
    <tableColumn id="11" name="DPP" dataDxfId="60">
      <calculatedColumnFormula>(LIE[[#This Row],[SUB TOTAL]]-LIE[[#This Row],[DISKON]])/1.11</calculatedColumnFormula>
    </tableColumn>
    <tableColumn id="12" name="PPN (11%)" dataDxfId="59">
      <calculatedColumnFormula>LIE[[#This Row],[DPP]]*11%</calculatedColumnFormula>
    </tableColumn>
    <tableColumn id="13" name="TOTAL" dataDxfId="5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57">
  <autoFilter ref="A2:M8"/>
  <tableColumns count="13">
    <tableColumn id="1" name="//NOTA" dataDxfId="5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5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53">
      <calculatedColumnFormula>IF(LMA[[#This Row],[//PAJAK]]="","",INDEX(INDIRECT("PAJAK["&amp;LMA[#Headers]&amp;"]"),LMA[[#This Row],[//PAJAK]]-1))</calculatedColumnFormula>
    </tableColumn>
    <tableColumn id="5" name="TGL.MASUK" dataDxfId="52">
      <calculatedColumnFormula>IF(LMA[[#This Row],[//PAJAK]]="","",INDEX(INDIRECT("PAJAK["&amp;LMA[#Headers]&amp;"]"),LMA[[#This Row],[//PAJAK]]-1))</calculatedColumnFormula>
    </tableColumn>
    <tableColumn id="6" name="TGL.NOTA" dataDxfId="51">
      <calculatedColumnFormula>IF(LMA[[#This Row],[//PAJAK]]="","",INDEX(INDIRECT("PAJAK["&amp;LMA[#Headers]&amp;"]"),LMA[[#This Row],[//PAJAK]]-1))</calculatedColumnFormula>
    </tableColumn>
    <tableColumn id="7" name="NO.NOTA" dataDxfId="50">
      <calculatedColumnFormula>IF(LMA[[#This Row],[//PAJAK]]="","",INDEX(INDIRECT("PAJAK["&amp;LMA[#Headers]&amp;"]"),LMA[[#This Row],[//PAJAK]]-1))</calculatedColumnFormula>
    </tableColumn>
    <tableColumn id="8" name="NO.SJ" dataDxfId="49">
      <calculatedColumnFormula>IF(LMA[[#This Row],[//PAJAK]]="","",INDEX(INDIRECT("PAJAK["&amp;LMA[#Headers]&amp;"]"),LMA[[#This Row],[//PAJAK]]-1))</calculatedColumnFormula>
    </tableColumn>
    <tableColumn id="9" name="SUB TOTAL" dataDxfId="48">
      <calculatedColumnFormula>IF(LMA[[#This Row],[//PAJAK]]="","",INDEX(PAJAK[SUB T-DISC],LMA[[#This Row],[//PAJAK]]-1)-LMA[[#This Row],[DISKON]])*1.11</calculatedColumnFormula>
    </tableColumn>
    <tableColumn id="10" name="DISKON" dataDxfId="47">
      <calculatedColumnFormula>IF(LMA[[#This Row],[//PAJAK]]="","",INDEX(PAJAK[DISC DLL],LMA[[#This Row],[//PAJAK]]-1))</calculatedColumnFormula>
    </tableColumn>
    <tableColumn id="11" name="DPP" dataDxfId="46">
      <calculatedColumnFormula>(LMA[[#This Row],[SUB TOTAL]]/1.11)</calculatedColumnFormula>
    </tableColumn>
    <tableColumn id="12" name="PPN (11%)" dataDxfId="45">
      <calculatedColumnFormula>LMA[[#This Row],[DPP]]*11%</calculatedColumnFormula>
    </tableColumn>
    <tableColumn id="13" name="TOTAL" dataDxfId="4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43">
  <autoFilter ref="A2:N50"/>
  <tableColumns count="14">
    <tableColumn id="1" name="//NOTA" dataDxfId="42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41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39">
      <calculatedColumnFormula>IF(PARAMA[[#This Row],[//PAJAK]]="","",INDEX(INDIRECT("PAJAK["&amp;PARAMA[#Headers]&amp;"]"),PARAMA[[#This Row],[//PAJAK]]-1))</calculatedColumnFormula>
    </tableColumn>
    <tableColumn id="5" name="TGL.MASUK" dataDxfId="38">
      <calculatedColumnFormula>IF(PARAMA[[#This Row],[//PAJAK]]="","",INDEX(INDIRECT("PAJAK["&amp;PARAMA[#Headers]&amp;"]"),PARAMA[[#This Row],[//PAJAK]]-1))</calculatedColumnFormula>
    </tableColumn>
    <tableColumn id="6" name="TGL.NOTA" dataDxfId="37">
      <calculatedColumnFormula>IF(PARAMA[[#This Row],[//PAJAK]]="","",INDEX(INDIRECT("PAJAK["&amp;PARAMA[#Headers]&amp;"]"),PARAMA[[#This Row],[//PAJAK]]-1))</calculatedColumnFormula>
    </tableColumn>
    <tableColumn id="7" name="NO.NOTA" dataDxfId="36">
      <calculatedColumnFormula>IF(PARAMA[[#This Row],[//PAJAK]]="","",INDEX(INDIRECT("PAJAK["&amp;PARAMA[#Headers]&amp;"]"),PARAMA[[#This Row],[//PAJAK]]-1))</calculatedColumnFormula>
    </tableColumn>
    <tableColumn id="8" name="NO.SJ" dataDxfId="35">
      <calculatedColumnFormula>IF(PARAMA[[#This Row],[//PAJAK]]="","",INDEX(INDIRECT("PAJAK["&amp;PARAMA[#Headers]&amp;"]"),PARAMA[[#This Row],[//PAJAK]]-1))</calculatedColumnFormula>
    </tableColumn>
    <tableColumn id="9" name="SUB TOTAL" dataDxfId="34">
      <calculatedColumnFormula>IF(PARAMA[[#This Row],[//PAJAK]]="","",INDEX(PAJAK[SUB TOTAL],PARAMA[[#This Row],[//PAJAK]]-1)-PARAMA[[#This Row],[DISKON_H]])</calculatedColumnFormula>
    </tableColumn>
    <tableColumn id="14" name="DISKON_H" dataDxfId="33">
      <calculatedColumnFormula>IF(PARAMA[[#This Row],[//PAJAK]]="","",INDEX(PAJAK[DISKON],PARAMA[[#This Row],[//PAJAK]]-1))</calculatedColumnFormula>
    </tableColumn>
    <tableColumn id="10" name="DISKON" dataDxfId="32"/>
    <tableColumn id="11" name="DPP" dataDxfId="31">
      <calculatedColumnFormula>(PARAMA[[#This Row],[SUB TOTAL]]-PARAMA[[#This Row],[DISKON]])/1.11</calculatedColumnFormula>
    </tableColumn>
    <tableColumn id="12" name="PPN (11%)" dataDxfId="30">
      <calculatedColumnFormula>PARAMA[[#This Row],[DPP]]*11%</calculatedColumnFormula>
    </tableColumn>
    <tableColumn id="13" name="TOTAL" dataDxfId="29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28">
  <autoFilter ref="A2:M22"/>
  <tableColumns count="13">
    <tableColumn id="1" name="//NOTA" dataDxfId="27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26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24">
      <calculatedColumnFormula>IF(RAP[[#This Row],[//PAJAK]]="","",INDEX(INDIRECT("PAJAK["&amp;RAP[#Headers]&amp;"]"),RAP[[#This Row],[//PAJAK]]-1))</calculatedColumnFormula>
    </tableColumn>
    <tableColumn id="5" name="TGL.MASUK" dataDxfId="23">
      <calculatedColumnFormula>IF(RAP[[#This Row],[//PAJAK]]="","",INDEX(INDIRECT("PAJAK["&amp;RAP[#Headers]&amp;"]"),RAP[[#This Row],[//PAJAK]]-1))</calculatedColumnFormula>
    </tableColumn>
    <tableColumn id="6" name="TGL.NOTA" dataDxfId="22">
      <calculatedColumnFormula>IF(RAP[[#This Row],[//PAJAK]]="","",INDEX(INDIRECT("PAJAK["&amp;RAP[#Headers]&amp;"]"),RAP[[#This Row],[//PAJAK]]-1))</calculatedColumnFormula>
    </tableColumn>
    <tableColumn id="7" name="NO.NOTA" dataDxfId="21">
      <calculatedColumnFormula>IF(RAP[[#This Row],[//PAJAK]]="","",INDEX(INDIRECT("PAJAK["&amp;RAP[#Headers]&amp;"]"),RAP[[#This Row],[//PAJAK]]-1))</calculatedColumnFormula>
    </tableColumn>
    <tableColumn id="8" name="NO.SJ" dataDxfId="20">
      <calculatedColumnFormula>IF(RAP[[#This Row],[//PAJAK]]="","",INDEX(INDIRECT("PAJAK["&amp;RAP[#Headers]&amp;"]"),RAP[[#This Row],[//PAJAK]]-1))</calculatedColumnFormula>
    </tableColumn>
    <tableColumn id="9" name="SUB TOTAL" dataDxfId="19">
      <calculatedColumnFormula>IF(RAP[[#This Row],[//PAJAK]]="","",INDEX(PAJAK[SUB T-DISC],RAP[[#This Row],[//PAJAK]]-1))</calculatedColumnFormula>
    </tableColumn>
    <tableColumn id="10" name="DISKON" dataDxfId="18">
      <calculatedColumnFormula>IF(RAP[[#This Row],[//PAJAK]]="","",INDEX(PAJAK[DISC DLL],RAP[[#This Row],[//PAJAK]]-1))</calculatedColumnFormula>
    </tableColumn>
    <tableColumn id="11" name="DPP" dataDxfId="17">
      <calculatedColumnFormula>(RAP[[#This Row],[SUB TOTAL]]-RAP[[#This Row],[DISKON]])/1.11</calculatedColumnFormula>
    </tableColumn>
    <tableColumn id="12" name="PPN (11%)" dataDxfId="16">
      <calculatedColumnFormula>RAP[[#This Row],[DPP]]*11%</calculatedColumnFormula>
    </tableColumn>
    <tableColumn id="13" name="TOTAL" dataDxfId="15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14">
  <autoFilter ref="A2:M22"/>
  <tableColumns count="13">
    <tableColumn id="1" name="//NOTA" dataDxfId="13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2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0">
      <calculatedColumnFormula>IF(NCL[[#This Row],[//PAJAK]]="","",INDEX(INDIRECT("PAJAK["&amp;NCL[#Headers]&amp;"]"),NCL[[#This Row],[//PAJAK]]-1))</calculatedColumnFormula>
    </tableColumn>
    <tableColumn id="5" name="TGL.MASUK" dataDxfId="9">
      <calculatedColumnFormula>IF(NCL[[#This Row],[//PAJAK]]="","",INDEX(INDIRECT("PAJAK["&amp;NCL[#Headers]&amp;"]"),NCL[[#This Row],[//PAJAK]]-1))</calculatedColumnFormula>
    </tableColumn>
    <tableColumn id="6" name="TGL.NOTA" dataDxfId="8">
      <calculatedColumnFormula>IF(NCL[[#This Row],[//PAJAK]]="","",INDEX(INDIRECT("PAJAK["&amp;NCL[#Headers]&amp;"]"),NCL[[#This Row],[//PAJAK]]-1))</calculatedColumnFormula>
    </tableColumn>
    <tableColumn id="7" name="NO.NOTA" dataDxfId="7">
      <calculatedColumnFormula>IF(NCL[[#This Row],[//PAJAK]]="","",INDEX(INDIRECT("PAJAK["&amp;NCL[#Headers]&amp;"]"),NCL[[#This Row],[//PAJAK]]-1))</calculatedColumnFormula>
    </tableColumn>
    <tableColumn id="8" name="NO.SJ" dataDxfId="6">
      <calculatedColumnFormula>IF(NCL[[#This Row],[//PAJAK]]="","",INDEX(INDIRECT("PAJAK["&amp;NCL[#Headers]&amp;"]"),NCL[[#This Row],[//PAJAK]]-1))</calculatedColumnFormula>
    </tableColumn>
    <tableColumn id="9" name="SUB TOTAL" dataDxfId="5">
      <calculatedColumnFormula>IF(NCL[[#This Row],[//PAJAK]]="","",INDEX(PAJAK[SUB T-DISC],NCL[[#This Row],[//PAJAK]]-1)*1.11)</calculatedColumnFormula>
    </tableColumn>
    <tableColumn id="10" name="DISKON" dataDxfId="4">
      <calculatedColumnFormula>IF(NCL[[#This Row],[//PAJAK]]="","",INDEX(PAJAK[DISC DLL],NCL[[#This Row],[//PAJAK]]-1))</calculatedColumnFormula>
    </tableColumn>
    <tableColumn id="11" name="DPP" dataDxfId="3">
      <calculatedColumnFormula>(NCL[[#This Row],[SUB TOTAL]]-NCL[[#This Row],[DISKON]])/1.11</calculatedColumnFormula>
    </tableColumn>
    <tableColumn id="12" name="PPN (11%)" dataDxfId="2">
      <calculatedColumnFormula>NCL[[#This Row],[DPP]]*11%</calculatedColumnFormula>
    </tableColumn>
    <tableColumn id="13" name="TOTAL" dataDxfId="1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93" dataDxfId="192">
  <autoFilter ref="A1:R93"/>
  <sortState ref="A2:R93">
    <sortCondition ref="I1:I93"/>
  </sortState>
  <tableColumns count="18">
    <tableColumn id="1" name="//" dataDxfId="191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90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89">
      <calculatedColumnFormula>IF(PAJAK[[#This Row],[//]]="","",INDEX(INDIRECT("NOTA["&amp;PAJAK[#Headers]&amp;"]"),PAJAK[[#This Row],[//]]-2))</calculatedColumnFormula>
    </tableColumn>
    <tableColumn id="14" name="Column1" dataDxfId="188">
      <calculatedColumnFormula>MATCH(PAJAK[[#This Row],[ID]],[5]!Table1[ID],0)</calculatedColumnFormula>
    </tableColumn>
    <tableColumn id="17" name="QB" dataDxfId="187" totalsRowDxfId="186">
      <calculatedColumnFormula>IF(PAJAK[[#This Row],[ID]]="","",COUNTIF(NOTA[ID_H],PAJAK[[#This Row],[ID]]))</calculatedColumnFormula>
    </tableColumn>
    <tableColumn id="2" name="SUPPLIER" dataDxfId="185">
      <calculatedColumnFormula>IF(PAJAK[[#This Row],[//]]="","",INDEX(CONV[2],MATCH(INDEX(INDIRECT("NOTA["&amp;PAJAK[#Headers]&amp;"]"),PAJAK[[#This Row],[//]]-2),CONV[1],0),0))</calculatedColumnFormula>
    </tableColumn>
    <tableColumn id="3" name="TGL.MASUK" dataDxfId="184">
      <calculatedColumnFormula>IF(PAJAK[[#This Row],[//]]="","",INDEX(NOTA[TGL_H],PAJAK[[#This Row],[//]]-2))</calculatedColumnFormula>
    </tableColumn>
    <tableColumn id="4" name="TGL.NOTA" dataDxfId="183">
      <calculatedColumnFormula>IF(PAJAK[[#This Row],[//]]="","",INDEX(INDIRECT("NOTA["&amp;PAJAK[#Headers]&amp;"]"),PAJAK[[#This Row],[//]]-2))</calculatedColumnFormula>
    </tableColumn>
    <tableColumn id="5" name="NO.NOTA" dataDxfId="182" totalsRowDxfId="181">
      <calculatedColumnFormula>IF(PAJAK[[#This Row],[//]]="","",INDEX(INDIRECT("NOTA["&amp;PAJAK[#Headers]&amp;"]"),PAJAK[[#This Row],[//]]-2))</calculatedColumnFormula>
    </tableColumn>
    <tableColumn id="6" name="NO.SJ" dataDxfId="180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79">
      <calculatedColumnFormula>IF(PAJAK[[#This Row],[//]]="","",SUMIF(NOTA[ID_H],PAJAK[[#This Row],[ID]],NOTA[JUMLAH]))</calculatedColumnFormula>
    </tableColumn>
    <tableColumn id="8" name="DISKON" dataDxfId="178">
      <calculatedColumnFormula>IF(PAJAK[[#This Row],[//]]="","",SUMIF(NOTA[ID_H],PAJAK[[#This Row],[ID]],NOTA[DISC]))</calculatedColumnFormula>
    </tableColumn>
    <tableColumn id="9" name="SUB T-DISC" dataDxfId="177">
      <calculatedColumnFormula>PAJAK[[#This Row],[SUB TOTAL]]-PAJAK[[#This Row],[DISKON]]</calculatedColumnFormula>
    </tableColumn>
    <tableColumn id="10" name="DISC DLL" dataDxfId="176">
      <calculatedColumnFormula>IF(PAJAK[[#This Row],[//]]="","",INDEX(INDIRECT("NOTA["&amp;PAJAK[#Headers]&amp;"]"),PAJAK[[#This Row],[//]]-2+PAJAK[[#This Row],[QB]]-1))</calculatedColumnFormula>
    </tableColumn>
    <tableColumn id="11" name="DPP" dataDxfId="175">
      <calculatedColumnFormula>(PAJAK[[#This Row],[SUB T-DISC]]-PAJAK[[#This Row],[DISC DLL]])/111%</calculatedColumnFormula>
    </tableColumn>
    <tableColumn id="12" name="PPN 11%" dataDxfId="174">
      <calculatedColumnFormula>PAJAK[[#This Row],[DPP]]*PAJAK[[#This Row],[PPN]]</calculatedColumnFormula>
    </tableColumn>
    <tableColumn id="13" name="TOTAL" dataDxfId="173">
      <calculatedColumnFormula>PAJAK[[#This Row],[DPP]]+PAJAK[[#This Row],[PPN 11%]]</calculatedColumnFormula>
    </tableColumn>
    <tableColumn id="18" name="PPN" dataDxfId="172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71">
  <autoFilter ref="A2:N52"/>
  <sortState ref="A3:N52">
    <sortCondition ref="F2:F52"/>
  </sortState>
  <tableColumns count="14">
    <tableColumn id="17" name="//NOTA" dataDxfId="170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69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68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67">
      <calculatedColumnFormula>IF(KENKO[[#This Row],[//PAJAK]]="","",INDEX(INDIRECT("PAJAK["&amp;KENKO[#Headers]&amp;"]"),KENKO[[#This Row],[//PAJAK]]-1))</calculatedColumnFormula>
    </tableColumn>
    <tableColumn id="4" name="TGL.MASUK" dataDxfId="166">
      <calculatedColumnFormula>IF(KENKO[[#This Row],[//PAJAK]]="","",INDEX(INDIRECT("PAJAK["&amp;KENKO[#Headers]&amp;"]"),KENKO[[#This Row],[//PAJAK]]-1))</calculatedColumnFormula>
    </tableColumn>
    <tableColumn id="5" name="TGL.NOTA" dataDxfId="165">
      <calculatedColumnFormula>IF(KENKO[[#This Row],[//PAJAK]]="","",INDEX(INDIRECT("PAJAK["&amp;KENKO[#Headers]&amp;"]"),KENKO[[#This Row],[//PAJAK]]-1))</calculatedColumnFormula>
    </tableColumn>
    <tableColumn id="6" name="NO.NOTA" dataDxfId="164">
      <calculatedColumnFormula>IF(KENKO[[#This Row],[//PAJAK]]="","",INDEX(INDIRECT("PAJAK["&amp;KENKO[#Headers]&amp;"]"),KENKO[[#This Row],[//PAJAK]]-1))</calculatedColumnFormula>
    </tableColumn>
    <tableColumn id="7" name="NO.SJ" dataDxfId="163">
      <calculatedColumnFormula>IF(KENKO[[#This Row],[//PAJAK]]="","",INDEX(INDIRECT("PAJAK["&amp;KENKO[#Headers]&amp;"]"),KENKO[[#This Row],[//PAJAK]]-1))</calculatedColumnFormula>
    </tableColumn>
    <tableColumn id="8" name="SUB TOTAL" dataDxfId="162">
      <calculatedColumnFormula>IF(KENKO[[#This Row],[//PAJAK]]="","",INDEX(INDIRECT("PAJAK["&amp;KENKO[#Headers]&amp;"]"),KENKO[[#This Row],[//PAJAK]]-1))</calculatedColumnFormula>
    </tableColumn>
    <tableColumn id="9" name="DISKON" dataDxfId="161">
      <calculatedColumnFormula>IF(KENKO[[#This Row],[//PAJAK]]="","",INDEX(INDIRECT("PAJAK["&amp;KENKO[#Headers]&amp;"]"),KENKO[[#This Row],[//PAJAK]]-1))</calculatedColumnFormula>
    </tableColumn>
    <tableColumn id="10" name="DPP" dataDxfId="160">
      <calculatedColumnFormula>(KENKO[[#This Row],[SUB TOTAL]]-KENKO[[#This Row],[DISKON]])/1.11</calculatedColumnFormula>
    </tableColumn>
    <tableColumn id="11" name="PPN (11%)" dataDxfId="159">
      <calculatedColumnFormula>KENKO[[#This Row],[DPP]]*11%</calculatedColumnFormula>
    </tableColumn>
    <tableColumn id="12" name="TOTAL" dataDxfId="158">
      <calculatedColumnFormula>KENKO[[#This Row],[DPP]]+KENKO[[#This Row],[PPN (11%)]]</calculatedColumnFormula>
    </tableColumn>
    <tableColumn id="13" name="Column1" dataDxfId="157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56">
  <autoFilter ref="A2:M32"/>
  <tableColumns count="13">
    <tableColumn id="1" name="//NOTA" dataDxfId="15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5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52">
      <calculatedColumnFormula>IF(KALINDO[[#This Row],[//PAJAK]]="","",INDEX(INDIRECT("PAJAK["&amp;KALINDO[#Headers]&amp;"]"),KALINDO[[#This Row],[//PAJAK]]-1))</calculatedColumnFormula>
    </tableColumn>
    <tableColumn id="5" name="TGL.MASUK" dataDxfId="151">
      <calculatedColumnFormula>IF(KALINDO[[#This Row],[//PAJAK]]="","",INDEX(INDIRECT("PAJAK["&amp;KALINDO[#Headers]&amp;"]"),KALINDO[[#This Row],[//PAJAK]]-1))</calculatedColumnFormula>
    </tableColumn>
    <tableColumn id="6" name="TGL.NOTA" dataDxfId="150">
      <calculatedColumnFormula>IF(KALINDO[[#This Row],[//PAJAK]]="","",INDEX(INDIRECT("PAJAK["&amp;KALINDO[#Headers]&amp;"]"),KALINDO[[#This Row],[//PAJAK]]-1))</calculatedColumnFormula>
    </tableColumn>
    <tableColumn id="7" name="NO.NOTA" dataDxfId="149">
      <calculatedColumnFormula>IF(KALINDO[[#This Row],[//PAJAK]]="","",INDEX(INDIRECT("PAJAK["&amp;KALINDO[#Headers]&amp;"]"),KALINDO[[#This Row],[//PAJAK]]-1))</calculatedColumnFormula>
    </tableColumn>
    <tableColumn id="8" name="NO.SJ" dataDxfId="148">
      <calculatedColumnFormula>IF(KALINDO[[#This Row],[//PAJAK]]="","",INDEX(INDIRECT("PAJAK["&amp;KALINDO[#Headers]&amp;"]"),KALINDO[[#This Row],[//PAJAK]]-1))</calculatedColumnFormula>
    </tableColumn>
    <tableColumn id="9" name="SUB TOTAL" dataDxfId="147">
      <calculatedColumnFormula>IF(KALINDO[[#This Row],[//PAJAK]]="","",INDEX(PAJAK[SUB T-DISC],KALINDO[[#This Row],[//PAJAK]]-1))</calculatedColumnFormula>
    </tableColumn>
    <tableColumn id="10" name="DISKON" dataDxfId="146">
      <calculatedColumnFormula>IF(KALINDO[[#This Row],[//PAJAK]]="","",INDEX(PAJAK[DISC DLL],KALINDO[[#This Row],[//PAJAK]]-1))</calculatedColumnFormula>
    </tableColumn>
    <tableColumn id="11" name="DPP" dataDxfId="145">
      <calculatedColumnFormula>(KALINDO[[#This Row],[SUB TOTAL]]-KALINDO[[#This Row],[DISKON]])/1.11</calculatedColumnFormula>
    </tableColumn>
    <tableColumn id="12" name="PPN (11%)" dataDxfId="144">
      <calculatedColumnFormula>KALINDO[[#This Row],[DPP]]*11%</calculatedColumnFormula>
    </tableColumn>
    <tableColumn id="13" name="TOTAL" dataDxfId="14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42">
  <autoFilter ref="A2:M50"/>
  <sortState ref="A3:M50">
    <sortCondition ref="G2:G50"/>
  </sortState>
  <tableColumns count="13">
    <tableColumn id="1" name="//NOTA" dataDxfId="141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0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8">
      <calculatedColumnFormula>IF(ATALI[[#This Row],[//PAJAK]]="","",INDEX(INDIRECT("PAJAK["&amp;ATALI[#Headers]&amp;"]"),ATALI[[#This Row],[//PAJAK]]-1))</calculatedColumnFormula>
    </tableColumn>
    <tableColumn id="5" name="TGL.MASUK" dataDxfId="137">
      <calculatedColumnFormula>IF(ATALI[[#This Row],[//PAJAK]]="","",INDEX(INDIRECT("PAJAK["&amp;ATALI[#Headers]&amp;"]"),ATALI[[#This Row],[//PAJAK]]-1))</calculatedColumnFormula>
    </tableColumn>
    <tableColumn id="6" name="TGL.NOTA" dataDxfId="136">
      <calculatedColumnFormula>IF(ATALI[[#This Row],[//PAJAK]]="","",INDEX(INDIRECT("PAJAK["&amp;ATALI[#Headers]&amp;"]"),ATALI[[#This Row],[//PAJAK]]-1))</calculatedColumnFormula>
    </tableColumn>
    <tableColumn id="7" name="NO.NOTA" dataDxfId="135">
      <calculatedColumnFormula>IF(ATALI[[#This Row],[//PAJAK]]="","",INDEX(INDIRECT("PAJAK["&amp;ATALI[#Headers]&amp;"]"),ATALI[[#This Row],[//PAJAK]]-1))</calculatedColumnFormula>
    </tableColumn>
    <tableColumn id="8" name="NO.SJ" dataDxfId="134">
      <calculatedColumnFormula>IF(ATALI[[#This Row],[//PAJAK]]="","",INDEX(INDIRECT("PAJAK["&amp;ATALI[#Headers]&amp;"]"),ATALI[[#This Row],[//PAJAK]]-1))</calculatedColumnFormula>
    </tableColumn>
    <tableColumn id="9" name="SUB TOTAL" dataDxfId="133">
      <calculatedColumnFormula>IF(ATALI[[#This Row],[//PAJAK]]="","",INDEX(PAJAK[SUB T-DISC],ATALI[[#This Row],[//PAJAK]]-1))</calculatedColumnFormula>
    </tableColumn>
    <tableColumn id="10" name="DISKON" dataDxfId="132">
      <calculatedColumnFormula>IF(ATALI[[#This Row],[//PAJAK]]="","",INDEX(PAJAK[DISC DLL],ATALI[[#This Row],[//PAJAK]]-1))</calculatedColumnFormula>
    </tableColumn>
    <tableColumn id="11" name="DPP" dataDxfId="131">
      <calculatedColumnFormula>(ATALI[[#This Row],[SUB TOTAL]]-ATALI[[#This Row],[DISKON]])/1.11</calculatedColumnFormula>
    </tableColumn>
    <tableColumn id="12" name="PPN (11%)" dataDxfId="130">
      <calculatedColumnFormula>ATALI[[#This Row],[DPP]]*11%</calculatedColumnFormula>
    </tableColumn>
    <tableColumn id="13" name="TOTAL" dataDxfId="129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28">
  <autoFilter ref="A2:M22"/>
  <tableColumns count="13">
    <tableColumn id="1" name="//NOTA" dataDxfId="127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26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24">
      <calculatedColumnFormula>IF(J_UTAMA[[#This Row],[//PAJAK]]="","",INDEX(INDIRECT("PAJAK["&amp;J_UTAMA[#Headers]&amp;"]"),J_UTAMA[[#This Row],[//PAJAK]]-1))</calculatedColumnFormula>
    </tableColumn>
    <tableColumn id="5" name="TGL.MASUK" dataDxfId="123">
      <calculatedColumnFormula>IF(J_UTAMA[[#This Row],[//PAJAK]]="","",INDEX(INDIRECT("PAJAK["&amp;J_UTAMA[#Headers]&amp;"]"),J_UTAMA[[#This Row],[//PAJAK]]-1))</calculatedColumnFormula>
    </tableColumn>
    <tableColumn id="6" name="TGL.NOTA" dataDxfId="122">
      <calculatedColumnFormula>IF(J_UTAMA[[#This Row],[//PAJAK]]="","",INDEX(INDIRECT("PAJAK["&amp;J_UTAMA[#Headers]&amp;"]"),J_UTAMA[[#This Row],[//PAJAK]]-1))</calculatedColumnFormula>
    </tableColumn>
    <tableColumn id="7" name="NO.NOTA" dataDxfId="121">
      <calculatedColumnFormula>IF(J_UTAMA[[#This Row],[//PAJAK]]="","",INDEX(INDIRECT("PAJAK["&amp;J_UTAMA[#Headers]&amp;"]"),J_UTAMA[[#This Row],[//PAJAK]]-1))</calculatedColumnFormula>
    </tableColumn>
    <tableColumn id="8" name="NO.SJ" dataDxfId="120">
      <calculatedColumnFormula>IF(J_UTAMA[[#This Row],[//PAJAK]]="","",INDEX(INDIRECT("PAJAK["&amp;J_UTAMA[#Headers]&amp;"]"),J_UTAMA[[#This Row],[//PAJAK]]-1))</calculatedColumnFormula>
    </tableColumn>
    <tableColumn id="9" name="SUB TOTAL" dataDxfId="119">
      <calculatedColumnFormula>IF(J_UTAMA[[#This Row],[//PAJAK]]="","",INDEX(PAJAK[SUB T-DISC],J_UTAMA[[#This Row],[//PAJAK]]-1))</calculatedColumnFormula>
    </tableColumn>
    <tableColumn id="10" name="DISKON" dataDxfId="118">
      <calculatedColumnFormula>IF(J_UTAMA[[#This Row],[//PAJAK]]="","",INDEX(PAJAK[DISC DLL],J_UTAMA[[#This Row],[//PAJAK]]-1))</calculatedColumnFormula>
    </tableColumn>
    <tableColumn id="11" name="DPP" dataDxfId="117">
      <calculatedColumnFormula>(J_UTAMA[[#This Row],[SUB TOTAL]]-J_UTAMA[[#This Row],[DISKON]])/1.11</calculatedColumnFormula>
    </tableColumn>
    <tableColumn id="12" name="PPN (11%)" dataDxfId="116">
      <calculatedColumnFormula>J_UTAMA[[#This Row],[DPP]]*11%</calculatedColumnFormula>
    </tableColumn>
    <tableColumn id="13" name="TOTAL" dataDxfId="115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14">
  <autoFilter ref="A2:N11"/>
  <tableColumns count="14">
    <tableColumn id="1" name="//PAJAK" dataDxfId="113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12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11">
      <calculatedColumnFormula>IF(SDI[[#This Row],[//PAJAK]]="","",INDEX(INDIRECT("PAJAK["&amp;SDI[#Headers]&amp;"]"),SDI[[#This Row],[//PAJAK]]-1))</calculatedColumnFormula>
    </tableColumn>
    <tableColumn id="4" name="TGL.MASUK" dataDxfId="110">
      <calculatedColumnFormula>IF(SDI[[#This Row],[//PAJAK]]="","",INDEX(INDIRECT("PAJAK["&amp;SDI[#Headers]&amp;"]"),SDI[[#This Row],[//PAJAK]]-1))</calculatedColumnFormula>
    </tableColumn>
    <tableColumn id="5" name="TGL.NOTA" dataDxfId="109">
      <calculatedColumnFormula>IF(SDI[[#This Row],[//PAJAK]]="","",INDEX(INDIRECT("PAJAK["&amp;SDI[#Headers]&amp;"]"),SDI[[#This Row],[//PAJAK]]-1))</calculatedColumnFormula>
    </tableColumn>
    <tableColumn id="6" name="NO.NOTA" dataDxfId="108">
      <calculatedColumnFormula>IF(SDI[[#This Row],[//PAJAK]]="","",INDEX(INDIRECT("PAJAK["&amp;SDI[#Headers]&amp;"]"),SDI[[#This Row],[//PAJAK]]-1))</calculatedColumnFormula>
    </tableColumn>
    <tableColumn id="7" name="NO.SJ" dataDxfId="107">
      <calculatedColumnFormula>IF(SDI[[#This Row],[//PAJAK]]="","",INDEX(INDIRECT("PAJAK["&amp;SDI[#Headers]&amp;"]"),SDI[[#This Row],[//PAJAK]]-1))</calculatedColumnFormula>
    </tableColumn>
    <tableColumn id="8" name="SUB TOTAL" dataDxfId="106">
      <calculatedColumnFormula>IF(SDI[[#This Row],[//PAJAK]]="","",(INDEX(INDIRECT("PAJAK["&amp;SDI[#Headers]&amp;"]"),SDI[[#This Row],[//PAJAK]]-1))-SDI[[#This Row],[H_DISKON]])</calculatedColumnFormula>
    </tableColumn>
    <tableColumn id="9" name="DISKON" dataDxfId="105">
      <calculatedColumnFormula>IF(SDI[[#This Row],[//PAJAK]]="","",SDI[[#This Row],[H_DISC DLL]])</calculatedColumnFormula>
    </tableColumn>
    <tableColumn id="10" name="DPP" dataDxfId="104">
      <calculatedColumnFormula>(SDI[[#This Row],[SUB TOTAL]])/1.11</calculatedColumnFormula>
    </tableColumn>
    <tableColumn id="11" name="PPN (11%)" dataDxfId="103">
      <calculatedColumnFormula>SDI[[#This Row],[DPP]]*11%</calculatedColumnFormula>
    </tableColumn>
    <tableColumn id="12" name="TOTAL" dataDxfId="102">
      <calculatedColumnFormula>SDI[[#This Row],[DPP]]+SDI[[#This Row],[PPN (11%)]]</calculatedColumnFormula>
    </tableColumn>
    <tableColumn id="14" name="H_DISKON" dataDxfId="101">
      <calculatedColumnFormula>IF(SDI[[#This Row],[//PAJAK]]="","",INDEX(PAJAK[DISKON],SDI[[#This Row],[//PAJAK]]-1))</calculatedColumnFormula>
    </tableColumn>
    <tableColumn id="15" name="H_DISC DLL" dataDxfId="100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99">
  <autoFilter ref="A2:M25"/>
  <tableColumns count="13">
    <tableColumn id="1" name="//NOTA``" dataDxfId="9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9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95">
      <calculatedColumnFormula>IF(SAJ[[#This Row],[//PAJAK]]="","",INDEX(INDIRECT("PAJAK["&amp;SAJ[#Headers]&amp;"]"),SAJ[[#This Row],[//PAJAK]]-1))</calculatedColumnFormula>
    </tableColumn>
    <tableColumn id="5" name="TGL.MASUK" dataDxfId="94">
      <calculatedColumnFormula>IF(SAJ[[#This Row],[//PAJAK]]="","",INDEX(INDIRECT("PAJAK["&amp;SAJ[#Headers]&amp;"]"),SAJ[[#This Row],[//PAJAK]]-1))</calculatedColumnFormula>
    </tableColumn>
    <tableColumn id="6" name="TGL.NOTA" dataDxfId="93">
      <calculatedColumnFormula>IF(SAJ[[#This Row],[//PAJAK]]="","",INDEX(INDIRECT("PAJAK["&amp;SAJ[#Headers]&amp;"]"),SAJ[[#This Row],[//PAJAK]]-1))</calculatedColumnFormula>
    </tableColumn>
    <tableColumn id="7" name="NO.NOTA" dataDxfId="92">
      <calculatedColumnFormula>IF(SAJ[[#This Row],[//PAJAK]]="","",INDEX(INDIRECT("PAJAK["&amp;SAJ[#Headers]&amp;"]"),SAJ[[#This Row],[//PAJAK]]-1))</calculatedColumnFormula>
    </tableColumn>
    <tableColumn id="8" name="NO.SJ" dataDxfId="91">
      <calculatedColumnFormula>IF(SAJ[[#This Row],[//PAJAK]]="","",INDEX(INDIRECT("PAJAK["&amp;SAJ[#Headers]&amp;"]"),SAJ[[#This Row],[//PAJAK]]-1))</calculatedColumnFormula>
    </tableColumn>
    <tableColumn id="9" name="SUB TOTAL" dataDxfId="90">
      <calculatedColumnFormula>IF(SAJ[[#This Row],[//PAJAK]]="","",INDEX(INDIRECT("PAJAK["&amp;SAJ[#Headers]&amp;"]"),SAJ[[#This Row],[//PAJAK]]-1))</calculatedColumnFormula>
    </tableColumn>
    <tableColumn id="10" name="DISKON" dataDxfId="89">
      <calculatedColumnFormula>IF(SAJ[[#This Row],[//PAJAK]]="","",INDEX(INDIRECT("PAJAK["&amp;SAJ[#Headers]&amp;"]"),SAJ[[#This Row],[//PAJAK]]-1))</calculatedColumnFormula>
    </tableColumn>
    <tableColumn id="11" name="DPP" dataDxfId="88">
      <calculatedColumnFormula>(SAJ[[#This Row],[SUB TOTAL]]-SAJ[[#This Row],[DISKON]])/1.11</calculatedColumnFormula>
    </tableColumn>
    <tableColumn id="12" name="PPN (11%)" dataDxfId="87">
      <calculatedColumnFormula>SAJ[[#This Row],[DPP]]*11%</calculatedColumnFormula>
    </tableColumn>
    <tableColumn id="13" name="TOTAL" dataDxfId="8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85">
  <autoFilter ref="A2:M25"/>
  <tableColumns count="13">
    <tableColumn id="1" name="//NOTA``" dataDxfId="8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8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81">
      <calculatedColumnFormula>IF(MGN[[#This Row],[//PAJAK]]="","",INDEX(INDIRECT("PAJAK["&amp;MGN[#Headers]&amp;"]"),MGN[[#This Row],[//PAJAK]]-1))</calculatedColumnFormula>
    </tableColumn>
    <tableColumn id="5" name="TGL.MASUK" dataDxfId="80">
      <calculatedColumnFormula>IF(MGN[[#This Row],[//PAJAK]]="","",INDEX(INDIRECT("PAJAK["&amp;MGN[#Headers]&amp;"]"),MGN[[#This Row],[//PAJAK]]-1))</calculatedColumnFormula>
    </tableColumn>
    <tableColumn id="6" name="TGL.NOTA" dataDxfId="79">
      <calculatedColumnFormula>IF(MGN[[#This Row],[//PAJAK]]="","",INDEX(INDIRECT("PAJAK["&amp;MGN[#Headers]&amp;"]"),MGN[[#This Row],[//PAJAK]]-1))</calculatedColumnFormula>
    </tableColumn>
    <tableColumn id="7" name="NO.NOTA" dataDxfId="78">
      <calculatedColumnFormula>IF(MGN[[#This Row],[//PAJAK]]="","",INDEX(INDIRECT("PAJAK["&amp;MGN[#Headers]&amp;"]"),MGN[[#This Row],[//PAJAK]]-1))</calculatedColumnFormula>
    </tableColumn>
    <tableColumn id="8" name="NO.SJ" dataDxfId="77">
      <calculatedColumnFormula>IF(MGN[[#This Row],[//PAJAK]]="","",INDEX(INDIRECT("PAJAK["&amp;MGN[#Headers]&amp;"]"),MGN[[#This Row],[//PAJAK]]-1))</calculatedColumnFormula>
    </tableColumn>
    <tableColumn id="9" name="SUB TOTAL" dataDxfId="76">
      <calculatedColumnFormula>IF(MGN[[#This Row],[//PAJAK]]="","",INDEX(INDIRECT("PAJAK["&amp;MGN[#Headers]&amp;"]"),MGN[[#This Row],[//PAJAK]]-1))</calculatedColumnFormula>
    </tableColumn>
    <tableColumn id="10" name="DISKON" dataDxfId="75">
      <calculatedColumnFormula>IF(MGN[[#This Row],[//PAJAK]]="","",INDEX(INDIRECT("PAJAK["&amp;MGN[#Headers]&amp;"]"),MGN[[#This Row],[//PAJAK]]-1))</calculatedColumnFormula>
    </tableColumn>
    <tableColumn id="11" name="DPP" dataDxfId="74">
      <calculatedColumnFormula>(MGN[[#This Row],[SUB TOTAL]]-MGN[[#This Row],[DISKON]])/1.11</calculatedColumnFormula>
    </tableColumn>
    <tableColumn id="12" name="PPN (11%)" dataDxfId="73">
      <calculatedColumnFormula>MGN[[#This Row],[DPP]]*11%</calculatedColumnFormula>
    </tableColumn>
    <tableColumn id="13" name="TOTAL" dataDxfId="7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941"/>
  <sheetViews>
    <sheetView tabSelected="1" topLeftCell="H899" zoomScale="70" zoomScaleNormal="70" zoomScaleSheetLayoutView="55" workbookViewId="0">
      <selection activeCell="K928" sqref="K928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6.710937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15.140625" style="45" customWidth="1"/>
    <col min="9" max="9" width="20" style="37" customWidth="1"/>
    <col min="10" max="10" width="14.5703125" style="39" customWidth="1"/>
    <col min="11" max="11" width="5.28515625" style="37" customWidth="1"/>
    <col min="12" max="12" width="70.5703125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14.5703125" style="43" customWidth="1"/>
    <col min="20" max="20" width="8.7109375" style="44" customWidth="1"/>
    <col min="21" max="21" width="9.8554687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13.7109375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1.140625" style="41" customWidth="1"/>
    <col min="34" max="34" width="2.7109375" style="52" customWidth="1"/>
    <col min="35" max="35" width="11.85546875" style="41" customWidth="1"/>
    <col min="36" max="36" width="26.85546875" style="41" customWidth="1"/>
    <col min="37" max="37" width="13.85546875" style="41" customWidth="1"/>
    <col min="38" max="38" width="6.42578125" style="37" customWidth="1"/>
    <col min="39" max="39" width="3.85546875" style="37" customWidth="1"/>
    <col min="40" max="40" width="37.140625" style="52" customWidth="1"/>
    <col min="41" max="42" width="50" style="52" customWidth="1"/>
    <col min="43" max="43" width="83" style="52" customWidth="1"/>
    <col min="44" max="44" width="7.140625" style="39" customWidth="1" outlineLevel="1"/>
    <col min="45" max="45" width="12.42578125" style="39" customWidth="1" outlineLevel="1"/>
    <col min="46" max="46" width="7.140625" style="37" customWidth="1" outlineLevel="1"/>
    <col min="47" max="47" width="8.7109375" style="37" customWidth="1" outlineLevel="1"/>
    <col min="48" max="48" width="51" style="37" customWidth="1"/>
    <col min="49" max="49" width="7.140625" style="53" customWidth="1"/>
    <col min="50" max="50" width="6.140625" style="37" customWidth="1"/>
    <col min="51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SK_0401_067-13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45295</v>
      </c>
      <c r="F3" s="37" t="s">
        <v>154</v>
      </c>
      <c r="G3" s="37" t="s">
        <v>110</v>
      </c>
      <c r="H3" s="47" t="s">
        <v>155</v>
      </c>
      <c r="I3" s="37"/>
      <c r="J3" s="39">
        <v>45293</v>
      </c>
      <c r="K3" s="37"/>
      <c r="L3" s="37" t="s">
        <v>156</v>
      </c>
      <c r="M3" s="40">
        <v>2</v>
      </c>
      <c r="N3" s="38">
        <v>40</v>
      </c>
      <c r="O3" s="37" t="s">
        <v>111</v>
      </c>
      <c r="P3" s="41">
        <v>24000</v>
      </c>
      <c r="Q3" s="42"/>
      <c r="R3" s="48"/>
      <c r="S3" s="49"/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960000</v>
      </c>
      <c r="Y3" s="50">
        <f>IF(NOTA[[#This Row],[JUMLAH]]="","",NOTA[[#This Row],[JUMLAH]]*NOTA[[#This Row],[DISC 1]])</f>
        <v>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0</v>
      </c>
      <c r="AC3" s="50">
        <f>IF(NOTA[[#This Row],[JUMLAH]]="","",NOTA[[#This Row],[JUMLAH]]-NOTA[[#This Row],[DISC]])</f>
        <v>960000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H3" s="50">
        <f>IF(OR(NOTA[[#This Row],[QTY]]="",NOTA[[#This Row],[HARGA SATUAN]]="",),"",NOTA[[#This Row],[QTY]]*NOTA[[#This Row],[HARGA SATUAN]])</f>
        <v>960000</v>
      </c>
      <c r="AI3" s="39">
        <f ca="1">IF(NOTA[ID_H]="","",INDEX(NOTA[TANGGAL],MATCH(,INDIRECT(ADDRESS(ROW(NOTA[TANGGAL]),COLUMN(NOTA[TANGGAL]))&amp;":"&amp;ADDRESS(ROW(),COLUMN(NOTA[TANGGAL]))),-1)))</f>
        <v>45295</v>
      </c>
      <c r="AJ3" s="41" t="str">
        <f ca="1">IF(NOTA[[#This Row],[NAMA BARANG]]="","",INDEX(NOTA[SUPPLIER],MATCH(,INDIRECT(ADDRESS(ROW(NOTA[ID]),COLUMN(NOTA[ID]))&amp;":"&amp;ADDRESS(ROW(),COLUMN(NOTA[ID]))),-1)))</f>
        <v>SK</v>
      </c>
      <c r="AK3" s="41" t="str">
        <f ca="1">IF(NOTA[[#This Row],[ID_H]]="","",IF(NOTA[[#This Row],[FAKTUR]]="",INDIRECT(ADDRESS(ROW()-1,COLUMN())),NOTA[[#This Row],[FAKTUR]]))</f>
        <v>UNTANA</v>
      </c>
      <c r="AL3" s="38">
        <f ca="1">IF(NOTA[[#This Row],[ID]]="","",COUNTIF(NOTA[ID_H],NOTA[[#This Row],[ID_H]]))</f>
        <v>13</v>
      </c>
      <c r="AM3" s="38">
        <f>IF(NOTA[[#This Row],[TGL.NOTA]]="",IF(NOTA[[#This Row],[SUPPLIER_H]]="","",#REF!),MONTH(NOTA[[#This Row],[TGL.NOTA]]))</f>
        <v>1</v>
      </c>
      <c r="AN3" s="38" t="str">
        <f>LOWER(SUBSTITUTE(SUBSTITUTE(SUBSTITUTE(SUBSTITUTE(SUBSTITUTE(SUBSTITUTE(SUBSTITUTE(SUBSTITUTE(SUBSTITUTE(NOTA[NAMA BARANG]," ",),".",""),"-",""),"(",""),")",""),",",""),"/",""),"""",""),"+",""))</f>
        <v>boxpencilplastikkotakkecil75175603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boxpencilplastikkotakkecil75175603480000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boxpencilplastikkotakkecil75175603480000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SKUNTANA7006745293boxpencilplastikkotakkecil75175603</v>
      </c>
      <c r="AR3" s="38" t="e">
        <f>IF(NOTA[[#This Row],[CONCAT4]]="","",_xlfn.IFNA(MATCH(NOTA[[#This Row],[CONCAT4]],[2]!RAW[CONCAT_H],0),FALSE))</f>
        <v>#REF!</v>
      </c>
      <c r="AS3" s="38" t="e">
        <f>IF(NOTA[[#This Row],[CONCAT1]]="","",MATCH(NOTA[[#This Row],[CONCAT1]],[3]!db[NB NOTA_C],0))</f>
        <v>#N/A</v>
      </c>
      <c r="AT3" s="38" t="str">
        <f>IF(NOTA[[#This Row],[QTY/ CTN]]="","",TRUE)</f>
        <v/>
      </c>
      <c r="AU3" s="38" t="e">
        <f ca="1">IF(NOTA[[#This Row],[ID_H]]="","",IF(NOTA[[#This Row],[Column3]]=TRUE,NOTA[[#This Row],[QTY/ CTN]],INDEX([3]!db[QTY/ CTN],NOTA[[#This Row],[//DB]])))</f>
        <v>#N/A</v>
      </c>
      <c r="AV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" s="38" t="e">
        <f ca="1">IF(NOTA[[#This Row],[ID_H]]="","",MATCH(NOTA[[#This Row],[NB NOTA_C_QTY]],[4]!db[NB NOTA_C_QTY+F],0))</f>
        <v>#N/A</v>
      </c>
      <c r="AX3" s="53" t="e">
        <f ca="1">IF(NOTA[[#This Row],[NB NOTA_C_QTY]]="","",ROW()-2)</f>
        <v>#N/A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157</v>
      </c>
      <c r="M4" s="40">
        <v>3</v>
      </c>
      <c r="N4" s="38">
        <v>720</v>
      </c>
      <c r="O4" s="37" t="s">
        <v>115</v>
      </c>
      <c r="P4" s="41">
        <v>6750</v>
      </c>
      <c r="Q4" s="42"/>
      <c r="R4" s="48"/>
      <c r="S4" s="49"/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4860000</v>
      </c>
      <c r="Y4" s="50">
        <f>IF(NOTA[[#This Row],[JUMLAH]]="","",NOTA[[#This Row],[JUMLAH]]*NOTA[[#This Row],[DISC 1]])</f>
        <v>0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0</v>
      </c>
      <c r="AC4" s="50">
        <f>IF(NOTA[[#This Row],[JUMLAH]]="","",NOTA[[#This Row],[JUMLAH]]-NOTA[[#This Row],[DISC]])</f>
        <v>4860000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4" s="50">
        <f>IF(OR(NOTA[[#This Row],[QTY]]="",NOTA[[#This Row],[HARGA SATUAN]]="",),"",NOTA[[#This Row],[QTY]]*NOTA[[#This Row],[HARGA SATUAN]])</f>
        <v>4860000</v>
      </c>
      <c r="AI4" s="39">
        <f ca="1">IF(NOTA[ID_H]="","",INDEX(NOTA[TANGGAL],MATCH(,INDIRECT(ADDRESS(ROW(NOTA[TANGGAL]),COLUMN(NOTA[TANGGAL]))&amp;":"&amp;ADDRESS(ROW(),COLUMN(NOTA[TANGGAL]))),-1)))</f>
        <v>45295</v>
      </c>
      <c r="AJ4" s="41" t="str">
        <f ca="1">IF(NOTA[[#This Row],[NAMA BARANG]]="","",INDEX(NOTA[SUPPLIER],MATCH(,INDIRECT(ADDRESS(ROW(NOTA[ID]),COLUMN(NOTA[ID]))&amp;":"&amp;ADDRESS(ROW(),COLUMN(NOTA[ID]))),-1)))</f>
        <v>SK</v>
      </c>
      <c r="AK4" s="41" t="str">
        <f ca="1">IF(NOTA[[#This Row],[ID_H]]="","",IF(NOTA[[#This Row],[FAKTUR]]="",INDIRECT(ADDRESS(ROW()-1,COLUMN())),NOTA[[#This Row],[FAKTUR]]))</f>
        <v>UNTANA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1</v>
      </c>
      <c r="AN4" s="38" t="str">
        <f>LOWER(SUBSTITUTE(SUBSTITUTE(SUBSTITUTE(SUBSTITUTE(SUBSTITUTE(SUBSTITUTE(SUBSTITUTE(SUBSTITUTE(SUBSTITUTE(NOTA[NAMA BARANG]," ",),".",""),"-",""),"(",""),")",""),",",""),"/",""),"""",""),"+",""))</f>
        <v>gunting6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gunting61620000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gunting61620000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 t="e">
        <f>IF(NOTA[[#This Row],[CONCAT1]]="","",MATCH(NOTA[[#This Row],[CONCAT1]],[3]!db[NB NOTA_C],0))</f>
        <v>#N/A</v>
      </c>
      <c r="AT4" s="38" t="str">
        <f>IF(NOTA[[#This Row],[QTY/ CTN]]="","",TRUE)</f>
        <v/>
      </c>
      <c r="AU4" s="38" t="e">
        <f ca="1">IF(NOTA[[#This Row],[ID_H]]="","",IF(NOTA[[#This Row],[Column3]]=TRUE,NOTA[[#This Row],[QTY/ CTN]],INDEX([3]!db[QTY/ CTN],NOTA[[#This Row],[//DB]])))</f>
        <v>#N/A</v>
      </c>
      <c r="AV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" s="38" t="e">
        <f ca="1">IF(NOTA[[#This Row],[ID_H]]="","",MATCH(NOTA[[#This Row],[NB NOTA_C_QTY]],[4]!db[NB NOTA_C_QTY+F],0))</f>
        <v>#N/A</v>
      </c>
      <c r="AX4" s="53" t="e">
        <f ca="1">IF(NOTA[[#This Row],[NB NOTA_C_QTY]]="","",ROW()-2)</f>
        <v>#N/A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158</v>
      </c>
      <c r="M5" s="40">
        <v>5</v>
      </c>
      <c r="N5" s="38">
        <v>300</v>
      </c>
      <c r="O5" s="37" t="s">
        <v>111</v>
      </c>
      <c r="P5" s="41">
        <v>33000</v>
      </c>
      <c r="Q5" s="42"/>
      <c r="R5" s="48"/>
      <c r="S5" s="49"/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9900000</v>
      </c>
      <c r="Y5" s="50">
        <f>IF(NOTA[[#This Row],[JUMLAH]]="","",NOTA[[#This Row],[JUMLAH]]*NOTA[[#This Row],[DISC 1]])</f>
        <v>0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0</v>
      </c>
      <c r="AC5" s="50">
        <f>IF(NOTA[[#This Row],[JUMLAH]]="","",NOTA[[#This Row],[JUMLAH]]-NOTA[[#This Row],[DISC]])</f>
        <v>9900000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5" s="50">
        <f>IF(OR(NOTA[[#This Row],[QTY]]="",NOTA[[#This Row],[HARGA SATUAN]]="",),"",NOTA[[#This Row],[QTY]]*NOTA[[#This Row],[HARGA SATUAN]])</f>
        <v>9900000</v>
      </c>
      <c r="AI5" s="39">
        <f ca="1">IF(NOTA[ID_H]="","",INDEX(NOTA[TANGGAL],MATCH(,INDIRECT(ADDRESS(ROW(NOTA[TANGGAL]),COLUMN(NOTA[TANGGAL]))&amp;":"&amp;ADDRESS(ROW(),COLUMN(NOTA[TANGGAL]))),-1)))</f>
        <v>45295</v>
      </c>
      <c r="AJ5" s="41" t="str">
        <f ca="1">IF(NOTA[[#This Row],[NAMA BARANG]]="","",INDEX(NOTA[SUPPLIER],MATCH(,INDIRECT(ADDRESS(ROW(NOTA[ID]),COLUMN(NOTA[ID]))&amp;":"&amp;ADDRESS(ROW(),COLUMN(NOTA[ID]))),-1)))</f>
        <v>SK</v>
      </c>
      <c r="AK5" s="41" t="str">
        <f ca="1">IF(NOTA[[#This Row],[ID_H]]="","",IF(NOTA[[#This Row],[FAKTUR]]="",INDIRECT(ADDRESS(ROW()-1,COLUMN())),NOTA[[#This Row],[FAKTUR]]))</f>
        <v>UNTANA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</v>
      </c>
      <c r="AN5" s="38" t="str">
        <f>LOWER(SUBSTITUTE(SUBSTITUTE(SUBSTITUTE(SUBSTITUTE(SUBSTITUTE(SUBSTITUTE(SUBSTITUTE(SUBSTITUTE(SUBSTITUTE(NOTA[NAMA BARANG]," ",),".",""),"-",""),"(",""),")",""),",",""),"/",""),"""",""),"+",""))</f>
        <v>guntingkertasplastik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guntingkertasplastik1980000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guntingkertasplastik1980000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 t="e">
        <f>IF(NOTA[[#This Row],[CONCAT1]]="","",MATCH(NOTA[[#This Row],[CONCAT1]],[3]!db[NB NOTA_C],0))</f>
        <v>#N/A</v>
      </c>
      <c r="AT5" s="38" t="str">
        <f>IF(NOTA[[#This Row],[QTY/ CTN]]="","",TRUE)</f>
        <v/>
      </c>
      <c r="AU5" s="38" t="e">
        <f ca="1">IF(NOTA[[#This Row],[ID_H]]="","",IF(NOTA[[#This Row],[Column3]]=TRUE,NOTA[[#This Row],[QTY/ CTN]],INDEX([3]!db[QTY/ CTN],NOTA[[#This Row],[//DB]])))</f>
        <v>#N/A</v>
      </c>
      <c r="AV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" s="38" t="e">
        <f ca="1">IF(NOTA[[#This Row],[ID_H]]="","",MATCH(NOTA[[#This Row],[NB NOTA_C_QTY]],[4]!db[NB NOTA_C_QTY+F],0))</f>
        <v>#N/A</v>
      </c>
      <c r="AX5" s="53" t="e">
        <f ca="1">IF(NOTA[[#This Row],[NB NOTA_C_QTY]]="","",ROW()-2)</f>
        <v>#N/A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159</v>
      </c>
      <c r="M6" s="40">
        <v>4</v>
      </c>
      <c r="N6" s="38">
        <v>1280</v>
      </c>
      <c r="O6" s="37" t="s">
        <v>115</v>
      </c>
      <c r="P6" s="41">
        <v>4500</v>
      </c>
      <c r="Q6" s="42"/>
      <c r="R6" s="48"/>
      <c r="S6" s="49"/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5760000</v>
      </c>
      <c r="Y6" s="50">
        <f>IF(NOTA[[#This Row],[JUMLAH]]="","",NOTA[[#This Row],[JUMLAH]]*NOTA[[#This Row],[DISC 1]])</f>
        <v>0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0</v>
      </c>
      <c r="AC6" s="50">
        <f>IF(NOTA[[#This Row],[JUMLAH]]="","",NOTA[[#This Row],[JUMLAH]]-NOTA[[#This Row],[DISC]])</f>
        <v>5760000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" s="50">
        <f>IF(OR(NOTA[[#This Row],[QTY]]="",NOTA[[#This Row],[HARGA SATUAN]]="",),"",NOTA[[#This Row],[QTY]]*NOTA[[#This Row],[HARGA SATUAN]])</f>
        <v>5760000</v>
      </c>
      <c r="AI6" s="39">
        <f ca="1">IF(NOTA[ID_H]="","",INDEX(NOTA[TANGGAL],MATCH(,INDIRECT(ADDRESS(ROW(NOTA[TANGGAL]),COLUMN(NOTA[TANGGAL]))&amp;":"&amp;ADDRESS(ROW(),COLUMN(NOTA[TANGGAL]))),-1)))</f>
        <v>45295</v>
      </c>
      <c r="AJ6" s="41" t="str">
        <f ca="1">IF(NOTA[[#This Row],[NAMA BARANG]]="","",INDEX(NOTA[SUPPLIER],MATCH(,INDIRECT(ADDRESS(ROW(NOTA[ID]),COLUMN(NOTA[ID]))&amp;":"&amp;ADDRESS(ROW(),COLUMN(NOTA[ID]))),-1)))</f>
        <v>SK</v>
      </c>
      <c r="AK6" s="41" t="str">
        <f ca="1">IF(NOTA[[#This Row],[ID_H]]="","",IF(NOTA[[#This Row],[FAKTUR]]="",INDIRECT(ADDRESS(ROW()-1,COLUMN())),NOTA[[#This Row],[FAKTUR]]))</f>
        <v>UNTANA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</v>
      </c>
      <c r="AN6" s="38" t="str">
        <f>LOWER(SUBSTITUTE(SUBSTITUTE(SUBSTITUTE(SUBSTITUTE(SUBSTITUTE(SUBSTITUTE(SUBSTITUTE(SUBSTITUTE(SUBSTITUTE(NOTA[NAMA BARANG]," ",),".",""),"-",""),"(",""),")",""),",",""),"/",""),"""",""),"+",""))</f>
        <v>notebookcokklat100k96lembar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notebookcokklat100k96lembar1440000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notebookcokklat100k96lembar1440000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 t="e">
        <f>IF(NOTA[[#This Row],[CONCAT1]]="","",MATCH(NOTA[[#This Row],[CONCAT1]],[3]!db[NB NOTA_C],0))</f>
        <v>#N/A</v>
      </c>
      <c r="AT6" s="38" t="str">
        <f>IF(NOTA[[#This Row],[QTY/ CTN]]="","",TRUE)</f>
        <v/>
      </c>
      <c r="AU6" s="38" t="e">
        <f ca="1">IF(NOTA[[#This Row],[ID_H]]="","",IF(NOTA[[#This Row],[Column3]]=TRUE,NOTA[[#This Row],[QTY/ CTN]],INDEX([3]!db[QTY/ CTN],NOTA[[#This Row],[//DB]])))</f>
        <v>#N/A</v>
      </c>
      <c r="AV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" s="38" t="e">
        <f ca="1">IF(NOTA[[#This Row],[ID_H]]="","",MATCH(NOTA[[#This Row],[NB NOTA_C_QTY]],[4]!db[NB NOTA_C_QTY+F],0))</f>
        <v>#N/A</v>
      </c>
      <c r="AX6" s="53" t="e">
        <f ca="1">IF(NOTA[[#This Row],[NB NOTA_C_QTY]]="","",ROW()-2)</f>
        <v>#N/A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160</v>
      </c>
      <c r="M7" s="40">
        <v>5</v>
      </c>
      <c r="N7" s="38">
        <v>1600</v>
      </c>
      <c r="O7" s="37" t="s">
        <v>115</v>
      </c>
      <c r="P7" s="41">
        <v>4500</v>
      </c>
      <c r="Q7" s="42"/>
      <c r="R7" s="48"/>
      <c r="S7" s="49"/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7200000</v>
      </c>
      <c r="Y7" s="50">
        <f>IF(NOTA[[#This Row],[JUMLAH]]="","",NOTA[[#This Row],[JUMLAH]]*NOTA[[#This Row],[DISC 1]])</f>
        <v>0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0</v>
      </c>
      <c r="AC7" s="50">
        <f>IF(NOTA[[#This Row],[JUMLAH]]="","",NOTA[[#This Row],[JUMLAH]]-NOTA[[#This Row],[DISC]])</f>
        <v>7200000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7" s="50">
        <f>IF(OR(NOTA[[#This Row],[QTY]]="",NOTA[[#This Row],[HARGA SATUAN]]="",),"",NOTA[[#This Row],[QTY]]*NOTA[[#This Row],[HARGA SATUAN]])</f>
        <v>7200000</v>
      </c>
      <c r="AI7" s="39">
        <f ca="1">IF(NOTA[ID_H]="","",INDEX(NOTA[TANGGAL],MATCH(,INDIRECT(ADDRESS(ROW(NOTA[TANGGAL]),COLUMN(NOTA[TANGGAL]))&amp;":"&amp;ADDRESS(ROW(),COLUMN(NOTA[TANGGAL]))),-1)))</f>
        <v>45295</v>
      </c>
      <c r="AJ7" s="41" t="str">
        <f ca="1">IF(NOTA[[#This Row],[NAMA BARANG]]="","",INDEX(NOTA[SUPPLIER],MATCH(,INDIRECT(ADDRESS(ROW(NOTA[ID]),COLUMN(NOTA[ID]))&amp;":"&amp;ADDRESS(ROW(),COLUMN(NOTA[ID]))),-1)))</f>
        <v>SK</v>
      </c>
      <c r="AK7" s="41" t="str">
        <f ca="1">IF(NOTA[[#This Row],[ID_H]]="","",IF(NOTA[[#This Row],[FAKTUR]]="",INDIRECT(ADDRESS(ROW()-1,COLUMN())),NOTA[[#This Row],[FAKTUR]]))</f>
        <v>UNTANA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1</v>
      </c>
      <c r="AN7" s="38" t="str">
        <f>LOWER(SUBSTITUTE(SUBSTITUTE(SUBSTITUTE(SUBSTITUTE(SUBSTITUTE(SUBSTITUTE(SUBSTITUTE(SUBSTITUTE(SUBSTITUTE(NOTA[NAMA BARANG]," ",),".",""),"-",""),"(",""),")",""),",",""),"/",""),"""",""),"+",""))</f>
        <v>notebookhitam100k96lembar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notebookhitam100k96lembar1440000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notebookhitam100k96lembar1440000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 t="e">
        <f>IF(NOTA[[#This Row],[CONCAT1]]="","",MATCH(NOTA[[#This Row],[CONCAT1]],[3]!db[NB NOTA_C],0))</f>
        <v>#N/A</v>
      </c>
      <c r="AT7" s="38" t="str">
        <f>IF(NOTA[[#This Row],[QTY/ CTN]]="","",TRUE)</f>
        <v/>
      </c>
      <c r="AU7" s="38" t="e">
        <f ca="1">IF(NOTA[[#This Row],[ID_H]]="","",IF(NOTA[[#This Row],[Column3]]=TRUE,NOTA[[#This Row],[QTY/ CTN]],INDEX([3]!db[QTY/ CTN],NOTA[[#This Row],[//DB]])))</f>
        <v>#N/A</v>
      </c>
      <c r="AV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" s="38" t="e">
        <f ca="1">IF(NOTA[[#This Row],[ID_H]]="","",MATCH(NOTA[[#This Row],[NB NOTA_C_QTY]],[4]!db[NB NOTA_C_QTY+F],0))</f>
        <v>#N/A</v>
      </c>
      <c r="AX7" s="53" t="e">
        <f ca="1">IF(NOTA[[#This Row],[NB NOTA_C_QTY]]="","",ROW()-2)</f>
        <v>#N/A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1</v>
      </c>
      <c r="E8" s="46"/>
      <c r="F8" s="37"/>
      <c r="G8" s="37"/>
      <c r="H8" s="47"/>
      <c r="I8" s="37"/>
      <c r="J8" s="39"/>
      <c r="K8" s="37"/>
      <c r="L8" s="37" t="s">
        <v>161</v>
      </c>
      <c r="M8" s="40">
        <v>7</v>
      </c>
      <c r="N8" s="38">
        <v>1540</v>
      </c>
      <c r="O8" s="37" t="s">
        <v>115</v>
      </c>
      <c r="P8" s="41">
        <v>5500</v>
      </c>
      <c r="Q8" s="42"/>
      <c r="R8" s="48"/>
      <c r="S8" s="49"/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8470000</v>
      </c>
      <c r="Y8" s="50">
        <f>IF(NOTA[[#This Row],[JUMLAH]]="","",NOTA[[#This Row],[JUMLAH]]*NOTA[[#This Row],[DISC 1]])</f>
        <v>0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0</v>
      </c>
      <c r="AC8" s="50">
        <f>IF(NOTA[[#This Row],[JUMLAH]]="","",NOTA[[#This Row],[JUMLAH]]-NOTA[[#This Row],[DISC]])</f>
        <v>8470000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1210000</v>
      </c>
      <c r="AH8" s="50">
        <f>IF(OR(NOTA[[#This Row],[QTY]]="",NOTA[[#This Row],[HARGA SATUAN]]="",),"",NOTA[[#This Row],[QTY]]*NOTA[[#This Row],[HARGA SATUAN]])</f>
        <v>8470000</v>
      </c>
      <c r="AI8" s="39">
        <f ca="1">IF(NOTA[ID_H]="","",INDEX(NOTA[TANGGAL],MATCH(,INDIRECT(ADDRESS(ROW(NOTA[TANGGAL]),COLUMN(NOTA[TANGGAL]))&amp;":"&amp;ADDRESS(ROW(),COLUMN(NOTA[TANGGAL]))),-1)))</f>
        <v>45295</v>
      </c>
      <c r="AJ8" s="41" t="str">
        <f ca="1">IF(NOTA[[#This Row],[NAMA BARANG]]="","",INDEX(NOTA[SUPPLIER],MATCH(,INDIRECT(ADDRESS(ROW(NOTA[ID]),COLUMN(NOTA[ID]))&amp;":"&amp;ADDRESS(ROW(),COLUMN(NOTA[ID]))),-1)))</f>
        <v>SK</v>
      </c>
      <c r="AK8" s="41" t="str">
        <f ca="1">IF(NOTA[[#This Row],[ID_H]]="","",IF(NOTA[[#This Row],[FAKTUR]]="",INDIRECT(ADDRESS(ROW()-1,COLUMN())),NOTA[[#This Row],[FAKTUR]]))</f>
        <v>UNTANA</v>
      </c>
      <c r="AL8" s="38" t="str">
        <f ca="1">IF(NOTA[[#This Row],[ID]]="","",COUNTIF(NOTA[ID_H],NOTA[[#This Row],[ID_H]]))</f>
        <v/>
      </c>
      <c r="AM8" s="38">
        <f ca="1">IF(NOTA[[#This Row],[TGL.NOTA]]="",IF(NOTA[[#This Row],[SUPPLIER_H]]="","",AM7),MONTH(NOTA[[#This Row],[TGL.NOTA]]))</f>
        <v>1</v>
      </c>
      <c r="AN8" s="38" t="str">
        <f>LOWER(SUBSTITUTE(SUBSTITUTE(SUBSTITUTE(SUBSTITUTE(SUBSTITUTE(SUBSTITUTE(SUBSTITUTE(SUBSTITUTE(SUBSTITUTE(NOTA[NAMA BARANG]," ",),".",""),"-",""),"(",""),")",""),",",""),"/",""),"""",""),"+",""))</f>
        <v>notebookhitam60k96lembar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notebookhitam60k96lembar1210000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notebookhitam60k96lembar1210000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 t="e">
        <f>IF(NOTA[[#This Row],[CONCAT1]]="","",MATCH(NOTA[[#This Row],[CONCAT1]],[3]!db[NB NOTA_C],0))</f>
        <v>#N/A</v>
      </c>
      <c r="AT8" s="38" t="str">
        <f>IF(NOTA[[#This Row],[QTY/ CTN]]="","",TRUE)</f>
        <v/>
      </c>
      <c r="AU8" s="38" t="e">
        <f ca="1">IF(NOTA[[#This Row],[ID_H]]="","",IF(NOTA[[#This Row],[Column3]]=TRUE,NOTA[[#This Row],[QTY/ CTN]],INDEX([3]!db[QTY/ CTN],NOTA[[#This Row],[//DB]])))</f>
        <v>#N/A</v>
      </c>
      <c r="AV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" s="38" t="e">
        <f ca="1">IF(NOTA[[#This Row],[ID_H]]="","",MATCH(NOTA[[#This Row],[NB NOTA_C_QTY]],[4]!db[NB NOTA_C_QTY+F],0))</f>
        <v>#N/A</v>
      </c>
      <c r="AX8" s="53" t="e">
        <f ca="1">IF(NOTA[[#This Row],[NB NOTA_C_QTY]]="","",ROW()-2)</f>
        <v>#N/A</v>
      </c>
    </row>
    <row r="9" spans="1:51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1</v>
      </c>
      <c r="E9" s="46"/>
      <c r="F9" s="37"/>
      <c r="G9" s="37"/>
      <c r="H9" s="47"/>
      <c r="I9" s="37"/>
      <c r="J9" s="39"/>
      <c r="K9" s="37"/>
      <c r="L9" s="37" t="s">
        <v>162</v>
      </c>
      <c r="M9" s="40">
        <v>7</v>
      </c>
      <c r="N9" s="38">
        <v>896</v>
      </c>
      <c r="O9" s="37" t="s">
        <v>115</v>
      </c>
      <c r="P9" s="41">
        <v>10000</v>
      </c>
      <c r="Q9" s="42"/>
      <c r="R9" s="48"/>
      <c r="S9" s="49"/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8960000</v>
      </c>
      <c r="Y9" s="50">
        <f>IF(NOTA[[#This Row],[JUMLAH]]="","",NOTA[[#This Row],[JUMLAH]]*NOTA[[#This Row],[DISC 1]])</f>
        <v>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0</v>
      </c>
      <c r="AC9" s="50">
        <f>IF(NOTA[[#This Row],[JUMLAH]]="","",NOTA[[#This Row],[JUMLAH]]-NOTA[[#This Row],[DISC]])</f>
        <v>8960000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9" s="50">
        <f>IF(OR(NOTA[[#This Row],[QTY]]="",NOTA[[#This Row],[HARGA SATUAN]]="",),"",NOTA[[#This Row],[QTY]]*NOTA[[#This Row],[HARGA SATUAN]])</f>
        <v>8960000</v>
      </c>
      <c r="AI9" s="39">
        <f ca="1">IF(NOTA[ID_H]="","",INDEX(NOTA[TANGGAL],MATCH(,INDIRECT(ADDRESS(ROW(NOTA[TANGGAL]),COLUMN(NOTA[TANGGAL]))&amp;":"&amp;ADDRESS(ROW(),COLUMN(NOTA[TANGGAL]))),-1)))</f>
        <v>45295</v>
      </c>
      <c r="AJ9" s="41" t="str">
        <f ca="1">IF(NOTA[[#This Row],[NAMA BARANG]]="","",INDEX(NOTA[SUPPLIER],MATCH(,INDIRECT(ADDRESS(ROW(NOTA[ID]),COLUMN(NOTA[ID]))&amp;":"&amp;ADDRESS(ROW(),COLUMN(NOTA[ID]))),-1)))</f>
        <v>SK</v>
      </c>
      <c r="AK9" s="41" t="str">
        <f ca="1">IF(NOTA[[#This Row],[ID_H]]="","",IF(NOTA[[#This Row],[FAKTUR]]="",INDIRECT(ADDRESS(ROW()-1,COLUMN())),NOTA[[#This Row],[FAKTUR]]))</f>
        <v>UNTANA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1</v>
      </c>
      <c r="AN9" s="38" t="str">
        <f>LOWER(SUBSTITUTE(SUBSTITUTE(SUBSTITUTE(SUBSTITUTE(SUBSTITUTE(SUBSTITUTE(SUBSTITUTE(SUBSTITUTE(SUBSTITUTE(NOTA[NAMA BARANG]," ",),".",""),"-",""),"(",""),")",""),",",""),"/",""),"""",""),"+",""))</f>
        <v>notebookhitam36k96lembar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notebookhitam36k96lembar1280000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notebookhitam36k96lembar1280000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Row],[CONCAT4]],[2]!RAW[CONCAT_H],0),FALSE))</f>
        <v/>
      </c>
      <c r="AS9" s="38" t="e">
        <f>IF(NOTA[[#This Row],[CONCAT1]]="","",MATCH(NOTA[[#This Row],[CONCAT1]],[3]!db[NB NOTA_C],0))</f>
        <v>#N/A</v>
      </c>
      <c r="AT9" s="38" t="str">
        <f>IF(NOTA[[#This Row],[QTY/ CTN]]="","",TRUE)</f>
        <v/>
      </c>
      <c r="AU9" s="38" t="e">
        <f ca="1">IF(NOTA[[#This Row],[ID_H]]="","",IF(NOTA[[#This Row],[Column3]]=TRUE,NOTA[[#This Row],[QTY/ CTN]],INDEX([3]!db[QTY/ CTN],NOTA[[#This Row],[//DB]])))</f>
        <v>#N/A</v>
      </c>
      <c r="AV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9" s="38" t="e">
        <f ca="1">IF(NOTA[[#This Row],[ID_H]]="","",MATCH(NOTA[[#This Row],[NB NOTA_C_QTY]],[4]!db[NB NOTA_C_QTY+F],0))</f>
        <v>#N/A</v>
      </c>
      <c r="AX9" s="53" t="e">
        <f ca="1">IF(NOTA[[#This Row],[NB NOTA_C_QTY]]="","",ROW()-2)</f>
        <v>#N/A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1</v>
      </c>
      <c r="E10" s="46"/>
      <c r="F10" s="37"/>
      <c r="G10" s="37"/>
      <c r="H10" s="47"/>
      <c r="I10" s="37"/>
      <c r="J10" s="39"/>
      <c r="K10" s="37"/>
      <c r="L10" s="37" t="s">
        <v>163</v>
      </c>
      <c r="M10" s="40">
        <v>2</v>
      </c>
      <c r="N10" s="38">
        <v>256</v>
      </c>
      <c r="O10" s="37" t="s">
        <v>115</v>
      </c>
      <c r="P10" s="41">
        <v>10000</v>
      </c>
      <c r="Q10" s="42"/>
      <c r="R10" s="48"/>
      <c r="S10" s="49"/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2560000</v>
      </c>
      <c r="Y10" s="50">
        <f>IF(NOTA[[#This Row],[JUMLAH]]="","",NOTA[[#This Row],[JUMLAH]]*NOTA[[#This Row],[DISC 1]])</f>
        <v>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0</v>
      </c>
      <c r="AC10" s="50">
        <f>IF(NOTA[[#This Row],[JUMLAH]]="","",NOTA[[#This Row],[JUMLAH]]-NOTA[[#This Row],[DISC]])</f>
        <v>2560000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10" s="50">
        <f>IF(OR(NOTA[[#This Row],[QTY]]="",NOTA[[#This Row],[HARGA SATUAN]]="",),"",NOTA[[#This Row],[QTY]]*NOTA[[#This Row],[HARGA SATUAN]])</f>
        <v>2560000</v>
      </c>
      <c r="AI10" s="39">
        <f ca="1">IF(NOTA[ID_H]="","",INDEX(NOTA[TANGGAL],MATCH(,INDIRECT(ADDRESS(ROW(NOTA[TANGGAL]),COLUMN(NOTA[TANGGAL]))&amp;":"&amp;ADDRESS(ROW(),COLUMN(NOTA[TANGGAL]))),-1)))</f>
        <v>45295</v>
      </c>
      <c r="AJ10" s="41" t="str">
        <f ca="1">IF(NOTA[[#This Row],[NAMA BARANG]]="","",INDEX(NOTA[SUPPLIER],MATCH(,INDIRECT(ADDRESS(ROW(NOTA[ID]),COLUMN(NOTA[ID]))&amp;":"&amp;ADDRESS(ROW(),COLUMN(NOTA[ID]))),-1)))</f>
        <v>SK</v>
      </c>
      <c r="AK10" s="41" t="str">
        <f ca="1">IF(NOTA[[#This Row],[ID_H]]="","",IF(NOTA[[#This Row],[FAKTUR]]="",INDIRECT(ADDRESS(ROW()-1,COLUMN())),NOTA[[#This Row],[FAKTUR]]))</f>
        <v>UNTANA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</v>
      </c>
      <c r="AN10" s="38" t="str">
        <f>LOWER(SUBSTITUTE(SUBSTITUTE(SUBSTITUTE(SUBSTITUTE(SUBSTITUTE(SUBSTITUTE(SUBSTITUTE(SUBSTITUTE(SUBSTITUTE(NOTA[NAMA BARANG]," ",),".",""),"-",""),"(",""),")",""),",",""),"/",""),"""",""),"+",""))</f>
        <v>notebookcoklat3696lembar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notebookcoklat3696lembar1280000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notebookcoklat3696lembar1280000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 t="e">
        <f>IF(NOTA[[#This Row],[CONCAT1]]="","",MATCH(NOTA[[#This Row],[CONCAT1]],[3]!db[NB NOTA_C],0))</f>
        <v>#N/A</v>
      </c>
      <c r="AT10" s="38" t="str">
        <f>IF(NOTA[[#This Row],[QTY/ CTN]]="","",TRUE)</f>
        <v/>
      </c>
      <c r="AU10" s="38" t="e">
        <f ca="1">IF(NOTA[[#This Row],[ID_H]]="","",IF(NOTA[[#This Row],[Column3]]=TRUE,NOTA[[#This Row],[QTY/ CTN]],INDEX([3]!db[QTY/ CTN],NOTA[[#This Row],[//DB]])))</f>
        <v>#N/A</v>
      </c>
      <c r="AV1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0" s="38" t="e">
        <f ca="1">IF(NOTA[[#This Row],[ID_H]]="","",MATCH(NOTA[[#This Row],[NB NOTA_C_QTY]],[4]!db[NB NOTA_C_QTY+F],0))</f>
        <v>#N/A</v>
      </c>
      <c r="AX10" s="53" t="e">
        <f ca="1">IF(NOTA[[#This Row],[NB NOTA_C_QTY]]="","",ROW()-2)</f>
        <v>#N/A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1</v>
      </c>
      <c r="E11" s="46"/>
      <c r="F11" s="37"/>
      <c r="G11" s="37"/>
      <c r="H11" s="47"/>
      <c r="I11" s="37"/>
      <c r="J11" s="39"/>
      <c r="K11" s="37"/>
      <c r="L11" s="37" t="s">
        <v>164</v>
      </c>
      <c r="M11" s="40">
        <v>8</v>
      </c>
      <c r="N11" s="38">
        <v>816</v>
      </c>
      <c r="O11" s="37" t="s">
        <v>115</v>
      </c>
      <c r="P11" s="41">
        <v>12500</v>
      </c>
      <c r="Q11" s="42"/>
      <c r="R11" s="48"/>
      <c r="S11" s="49"/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10200000</v>
      </c>
      <c r="Y11" s="50">
        <f>IF(NOTA[[#This Row],[JUMLAH]]="","",NOTA[[#This Row],[JUMLAH]]*NOTA[[#This Row],[DISC 1]])</f>
        <v>0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0</v>
      </c>
      <c r="AC11" s="50">
        <f>IF(NOTA[[#This Row],[JUMLAH]]="","",NOTA[[#This Row],[JUMLAH]]-NOTA[[#This Row],[DISC]])</f>
        <v>10200000</v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H11" s="50">
        <f>IF(OR(NOTA[[#This Row],[QTY]]="",NOTA[[#This Row],[HARGA SATUAN]]="",),"",NOTA[[#This Row],[QTY]]*NOTA[[#This Row],[HARGA SATUAN]])</f>
        <v>10200000</v>
      </c>
      <c r="AI11" s="39">
        <f ca="1">IF(NOTA[ID_H]="","",INDEX(NOTA[TANGGAL],MATCH(,INDIRECT(ADDRESS(ROW(NOTA[TANGGAL]),COLUMN(NOTA[TANGGAL]))&amp;":"&amp;ADDRESS(ROW(),COLUMN(NOTA[TANGGAL]))),-1)))</f>
        <v>45295</v>
      </c>
      <c r="AJ11" s="39" t="str">
        <f ca="1">IF(NOTA[[#This Row],[NAMA BARANG]]="","",INDEX(NOTA[SUPPLIER],MATCH(,INDIRECT(ADDRESS(ROW(NOTA[ID]),COLUMN(NOTA[ID]))&amp;":"&amp;ADDRESS(ROW(),COLUMN(NOTA[ID]))),-1)))</f>
        <v>SK</v>
      </c>
      <c r="AK11" s="41" t="str">
        <f ca="1">IF(NOTA[[#This Row],[ID_H]]="","",IF(NOTA[[#This Row],[FAKTUR]]="",INDIRECT(ADDRESS(ROW()-1,COLUMN())),NOTA[[#This Row],[FAKTUR]]))</f>
        <v>UNTANA</v>
      </c>
      <c r="AL11" s="41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</v>
      </c>
      <c r="AN11" s="38" t="str">
        <f>LOWER(SUBSTITUTE(SUBSTITUTE(SUBSTITUTE(SUBSTITUTE(SUBSTITUTE(SUBSTITUTE(SUBSTITUTE(SUBSTITUTE(SUBSTITUTE(NOTA[NAMA BARANG]," ",),".",""),"-",""),"(",""),")",""),",",""),"/",""),"""",""),"+",""))</f>
        <v>notebookhitam25k96lembar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notebookhitam25k96lembar1275000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notebookhitam25k96lembar1275000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 t="e">
        <f>IF(NOTA[[#This Row],[CONCAT1]]="","",MATCH(NOTA[[#This Row],[CONCAT1]],[3]!db[NB NOTA_C],0))</f>
        <v>#N/A</v>
      </c>
      <c r="AT11" s="38" t="str">
        <f>IF(NOTA[[#This Row],[QTY/ CTN]]="","",TRUE)</f>
        <v/>
      </c>
      <c r="AU11" s="38" t="e">
        <f ca="1">IF(NOTA[[#This Row],[ID_H]]="","",IF(NOTA[[#This Row],[Column3]]=TRUE,NOTA[[#This Row],[QTY/ CTN]],INDEX([3]!db[QTY/ CTN],NOTA[[#This Row],[//DB]])))</f>
        <v>#N/A</v>
      </c>
      <c r="AV1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1" s="38" t="e">
        <f ca="1">IF(NOTA[[#This Row],[ID_H]]="","",MATCH(NOTA[[#This Row],[NB NOTA_C_QTY]],[4]!db[NB NOTA_C_QTY+F],0))</f>
        <v>#N/A</v>
      </c>
      <c r="AX11" s="53" t="e">
        <f ca="1">IF(NOTA[[#This Row],[NB NOTA_C_QTY]]="","",ROW()-2)</f>
        <v>#N/A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>
        <f ca="1">IF(NOTA[[#This Row],[NAMA BARANG]]="","",INDEX(NOTA[ID],MATCH(,INDIRECT(ADDRESS(ROW(NOTA[ID]),COLUMN(NOTA[ID]))&amp;":"&amp;ADDRESS(ROW(),COLUMN(NOTA[ID]))),-1)))</f>
        <v>1</v>
      </c>
      <c r="E12" s="46"/>
      <c r="F12" s="37"/>
      <c r="G12" s="37"/>
      <c r="H12" s="47"/>
      <c r="I12" s="37"/>
      <c r="J12" s="39"/>
      <c r="K12" s="37"/>
      <c r="L12" s="37" t="s">
        <v>165</v>
      </c>
      <c r="M12" s="40">
        <v>2</v>
      </c>
      <c r="N12" s="38">
        <v>204</v>
      </c>
      <c r="O12" s="37" t="s">
        <v>166</v>
      </c>
      <c r="P12" s="41">
        <v>12500</v>
      </c>
      <c r="Q12" s="42"/>
      <c r="R12" s="48"/>
      <c r="S12" s="49"/>
      <c r="T12" s="44"/>
      <c r="U12" s="44"/>
      <c r="V12" s="50"/>
      <c r="W12" s="45"/>
      <c r="X12" s="50">
        <f>IF(NOTA[[#This Row],[HARGA/ CTN]]="",NOTA[[#This Row],[JUMLAH_H]],NOTA[[#This Row],[HARGA/ CTN]]*IF(NOTA[[#This Row],[C]]="",0,NOTA[[#This Row],[C]]))</f>
        <v>2550000</v>
      </c>
      <c r="Y12" s="50">
        <f>IF(NOTA[[#This Row],[JUMLAH]]="","",NOTA[[#This Row],[JUMLAH]]*NOTA[[#This Row],[DISC 1]])</f>
        <v>0</v>
      </c>
      <c r="Z12" s="50">
        <f>IF(NOTA[[#This Row],[JUMLAH]]="","",(NOTA[[#This Row],[JUMLAH]]-NOTA[[#This Row],[DISC 1-]])*NOTA[[#This Row],[DISC 2]])</f>
        <v>0</v>
      </c>
      <c r="AA12" s="50">
        <f>IF(NOTA[[#This Row],[JUMLAH]]="","",(NOTA[[#This Row],[JUMLAH]]-NOTA[[#This Row],[DISC 1-]]-NOTA[[#This Row],[DISC 2-]])*NOTA[[#This Row],[DISC 3]])</f>
        <v>0</v>
      </c>
      <c r="AB12" s="50">
        <f>IF(NOTA[[#This Row],[JUMLAH]]="","",NOTA[[#This Row],[DISC 1-]]+NOTA[[#This Row],[DISC 2-]]+NOTA[[#This Row],[DISC 3-]])</f>
        <v>0</v>
      </c>
      <c r="AC12" s="50">
        <f>IF(NOTA[[#This Row],[JUMLAH]]="","",NOTA[[#This Row],[JUMLAH]]-NOTA[[#This Row],[DISC]])</f>
        <v>2550000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H12" s="50">
        <f>IF(OR(NOTA[[#This Row],[QTY]]="",NOTA[[#This Row],[HARGA SATUAN]]="",),"",NOTA[[#This Row],[QTY]]*NOTA[[#This Row],[HARGA SATUAN]])</f>
        <v>2550000</v>
      </c>
      <c r="AI12" s="39">
        <f ca="1">IF(NOTA[ID_H]="","",INDEX(NOTA[TANGGAL],MATCH(,INDIRECT(ADDRESS(ROW(NOTA[TANGGAL]),COLUMN(NOTA[TANGGAL]))&amp;":"&amp;ADDRESS(ROW(),COLUMN(NOTA[TANGGAL]))),-1)))</f>
        <v>45295</v>
      </c>
      <c r="AJ12" s="39" t="str">
        <f ca="1">IF(NOTA[[#This Row],[NAMA BARANG]]="","",INDEX(NOTA[SUPPLIER],MATCH(,INDIRECT(ADDRESS(ROW(NOTA[ID]),COLUMN(NOTA[ID]))&amp;":"&amp;ADDRESS(ROW(),COLUMN(NOTA[ID]))),-1)))</f>
        <v>SK</v>
      </c>
      <c r="AK12" s="41" t="str">
        <f ca="1">IF(NOTA[[#This Row],[ID_H]]="","",IF(NOTA[[#This Row],[FAKTUR]]="",INDIRECT(ADDRESS(ROW()-1,COLUMN())),NOTA[[#This Row],[FAKTUR]]))</f>
        <v>UNTANA</v>
      </c>
      <c r="AL12" s="41" t="str">
        <f ca="1">IF(NOTA[[#This Row],[ID]]="","",COUNTIF(NOTA[ID_H],NOTA[[#This Row],[ID_H]]))</f>
        <v/>
      </c>
      <c r="AM12" s="38">
        <f ca="1">IF(NOTA[[#This Row],[TGL.NOTA]]="",IF(NOTA[[#This Row],[SUPPLIER_H]]="","",AM11),MONTH(NOTA[[#This Row],[TGL.NOTA]]))</f>
        <v>1</v>
      </c>
      <c r="AN12" s="38" t="str">
        <f>LOWER(SUBSTITUTE(SUBSTITUTE(SUBSTITUTE(SUBSTITUTE(SUBSTITUTE(SUBSTITUTE(SUBSTITUTE(SUBSTITUTE(SUBSTITUTE(NOTA[NAMA BARANG]," ",),".",""),"-",""),"(",""),")",""),",",""),"/",""),"""",""),"+",""))</f>
        <v>notebookcoklat25k96lembar</v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notebookcoklat25k96lembar1275000</v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notebookcoklat25k96lembar1275000</v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 t="e">
        <f>IF(NOTA[[#This Row],[CONCAT1]]="","",MATCH(NOTA[[#This Row],[CONCAT1]],[3]!db[NB NOTA_C],0))</f>
        <v>#N/A</v>
      </c>
      <c r="AT12" s="38" t="str">
        <f>IF(NOTA[[#This Row],[QTY/ CTN]]="","",TRUE)</f>
        <v/>
      </c>
      <c r="AU12" s="38" t="e">
        <f ca="1">IF(NOTA[[#This Row],[ID_H]]="","",IF(NOTA[[#This Row],[Column3]]=TRUE,NOTA[[#This Row],[QTY/ CTN]],INDEX([3]!db[QTY/ CTN],NOTA[[#This Row],[//DB]])))</f>
        <v>#N/A</v>
      </c>
      <c r="AV1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" s="38" t="e">
        <f ca="1">IF(NOTA[[#This Row],[ID_H]]="","",MATCH(NOTA[[#This Row],[NB NOTA_C_QTY]],[4]!db[NB NOTA_C_QTY+F],0))</f>
        <v>#N/A</v>
      </c>
      <c r="AX12" s="53" t="e">
        <f ca="1">IF(NOTA[[#This Row],[NB NOTA_C_QTY]]="","",ROW()-2)</f>
        <v>#N/A</v>
      </c>
    </row>
    <row r="13" spans="1:51" s="38" customFormat="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1</v>
      </c>
      <c r="E13" s="46"/>
      <c r="F13" s="37"/>
      <c r="G13" s="37"/>
      <c r="H13" s="47"/>
      <c r="I13" s="37"/>
      <c r="J13" s="39"/>
      <c r="K13" s="37"/>
      <c r="L13" s="37" t="s">
        <v>167</v>
      </c>
      <c r="M13" s="40">
        <v>10</v>
      </c>
      <c r="N13" s="38">
        <v>660</v>
      </c>
      <c r="O13" s="37" t="s">
        <v>166</v>
      </c>
      <c r="P13" s="41">
        <v>17500</v>
      </c>
      <c r="Q13" s="42"/>
      <c r="R13" s="48"/>
      <c r="S13" s="49"/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11550000</v>
      </c>
      <c r="Y13" s="50">
        <f>IF(NOTA[[#This Row],[JUMLAH]]="","",NOTA[[#This Row],[JUMLAH]]*NOTA[[#This Row],[DISC 1]])</f>
        <v>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0</v>
      </c>
      <c r="AC13" s="50">
        <f>IF(NOTA[[#This Row],[JUMLAH]]="","",NOTA[[#This Row],[JUMLAH]]-NOTA[[#This Row],[DISC]])</f>
        <v>11550000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13" s="50">
        <f>IF(OR(NOTA[[#This Row],[QTY]]="",NOTA[[#This Row],[HARGA SATUAN]]="",),"",NOTA[[#This Row],[QTY]]*NOTA[[#This Row],[HARGA SATUAN]])</f>
        <v>11550000</v>
      </c>
      <c r="AI13" s="39">
        <f ca="1">IF(NOTA[ID_H]="","",INDEX(NOTA[TANGGAL],MATCH(,INDIRECT(ADDRESS(ROW(NOTA[TANGGAL]),COLUMN(NOTA[TANGGAL]))&amp;":"&amp;ADDRESS(ROW(),COLUMN(NOTA[TANGGAL]))),-1)))</f>
        <v>45295</v>
      </c>
      <c r="AJ13" s="41" t="str">
        <f ca="1">IF(NOTA[[#This Row],[NAMA BARANG]]="","",INDEX(NOTA[SUPPLIER],MATCH(,INDIRECT(ADDRESS(ROW(NOTA[ID]),COLUMN(NOTA[ID]))&amp;":"&amp;ADDRESS(ROW(),COLUMN(NOTA[ID]))),-1)))</f>
        <v>SK</v>
      </c>
      <c r="AK13" s="41" t="str">
        <f ca="1">IF(NOTA[[#This Row],[ID_H]]="","",IF(NOTA[[#This Row],[FAKTUR]]="",INDIRECT(ADDRESS(ROW()-1,COLUMN())),NOTA[[#This Row],[FAKTUR]]))</f>
        <v>UNTANA</v>
      </c>
      <c r="AL13" s="38" t="str">
        <f ca="1">IF(NOTA[[#This Row],[ID]]="","",COUNTIF(NOTA[ID_H],NOTA[[#This Row],[ID_H]]))</f>
        <v/>
      </c>
      <c r="AM13" s="38">
        <f ca="1">IF(NOTA[[#This Row],[TGL.NOTA]]="",IF(NOTA[[#This Row],[SUPPLIER_H]]="","",AM12),MONTH(NOTA[[#This Row],[TGL.NOTA]]))</f>
        <v>1</v>
      </c>
      <c r="AN13" s="38" t="str">
        <f>LOWER(SUBSTITUTE(SUBSTITUTE(SUBSTITUTE(SUBSTITUTE(SUBSTITUTE(SUBSTITUTE(SUBSTITUTE(SUBSTITUTE(SUBSTITUTE(NOTA[NAMA BARANG]," ",),".",""),"-",""),"(",""),")",""),",",""),"/",""),"""",""),"+",""))</f>
        <v>notebookhitam18k96lembar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notebookhitam18k96lembar1155000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notebookhitam18k96lembar1155000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" s="38" t="str">
        <f>IF(NOTA[[#This Row],[CONCAT4]]="","",_xlfn.IFNA(MATCH(NOTA[[#This Row],[CONCAT4]],[2]!RAW[CONCAT_H],0),FALSE))</f>
        <v/>
      </c>
      <c r="AS13" s="38" t="e">
        <f>IF(NOTA[[#This Row],[CONCAT1]]="","",MATCH(NOTA[[#This Row],[CONCAT1]],[3]!db[NB NOTA_C],0))</f>
        <v>#N/A</v>
      </c>
      <c r="AT13" s="38" t="str">
        <f>IF(NOTA[[#This Row],[QTY/ CTN]]="","",TRUE)</f>
        <v/>
      </c>
      <c r="AU13" s="38" t="e">
        <f ca="1">IF(NOTA[[#This Row],[ID_H]]="","",IF(NOTA[[#This Row],[Column3]]=TRUE,NOTA[[#This Row],[QTY/ CTN]],INDEX([3]!db[QTY/ CTN],NOTA[[#This Row],[//DB]])))</f>
        <v>#N/A</v>
      </c>
      <c r="AV1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" s="38" t="e">
        <f ca="1">IF(NOTA[[#This Row],[ID_H]]="","",MATCH(NOTA[[#This Row],[NB NOTA_C_QTY]],[4]!db[NB NOTA_C_QTY+F],0))</f>
        <v>#N/A</v>
      </c>
      <c r="AX13" s="53" t="e">
        <f ca="1">IF(NOTA[[#This Row],[NB NOTA_C_QTY]]="","",ROW()-2)</f>
        <v>#N/A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1</v>
      </c>
      <c r="E14" s="46"/>
      <c r="F14" s="37"/>
      <c r="G14" s="37"/>
      <c r="H14" s="47"/>
      <c r="I14" s="37"/>
      <c r="J14" s="39"/>
      <c r="K14" s="37"/>
      <c r="L14" s="37" t="s">
        <v>168</v>
      </c>
      <c r="M14" s="40">
        <v>9</v>
      </c>
      <c r="N14" s="38">
        <v>594</v>
      </c>
      <c r="O14" s="37" t="s">
        <v>115</v>
      </c>
      <c r="P14" s="41">
        <v>17500</v>
      </c>
      <c r="Q14" s="42"/>
      <c r="R14" s="48"/>
      <c r="S14" s="49"/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10395000</v>
      </c>
      <c r="Y14" s="50">
        <f>IF(NOTA[[#This Row],[JUMLAH]]="","",NOTA[[#This Row],[JUMLAH]]*NOTA[[#This Row],[DISC 1]])</f>
        <v>0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0</v>
      </c>
      <c r="AC14" s="50">
        <f>IF(NOTA[[#This Row],[JUMLAH]]="","",NOTA[[#This Row],[JUMLAH]]-NOTA[[#This Row],[DISC]])</f>
        <v>10395000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14" s="50">
        <f>IF(OR(NOTA[[#This Row],[QTY]]="",NOTA[[#This Row],[HARGA SATUAN]]="",),"",NOTA[[#This Row],[QTY]]*NOTA[[#This Row],[HARGA SATUAN]])</f>
        <v>10395000</v>
      </c>
      <c r="AI14" s="39">
        <f ca="1">IF(NOTA[ID_H]="","",INDEX(NOTA[TANGGAL],MATCH(,INDIRECT(ADDRESS(ROW(NOTA[TANGGAL]),COLUMN(NOTA[TANGGAL]))&amp;":"&amp;ADDRESS(ROW(),COLUMN(NOTA[TANGGAL]))),-1)))</f>
        <v>45295</v>
      </c>
      <c r="AJ14" s="41" t="str">
        <f ca="1">IF(NOTA[[#This Row],[NAMA BARANG]]="","",INDEX(NOTA[SUPPLIER],MATCH(,INDIRECT(ADDRESS(ROW(NOTA[ID]),COLUMN(NOTA[ID]))&amp;":"&amp;ADDRESS(ROW(),COLUMN(NOTA[ID]))),-1)))</f>
        <v>SK</v>
      </c>
      <c r="AK14" s="41" t="str">
        <f ca="1">IF(NOTA[[#This Row],[ID_H]]="","",IF(NOTA[[#This Row],[FAKTUR]]="",INDIRECT(ADDRESS(ROW()-1,COLUMN())),NOTA[[#This Row],[FAKTUR]]))</f>
        <v>UNTANA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1</v>
      </c>
      <c r="AN14" s="38" t="str">
        <f>LOWER(SUBSTITUTE(SUBSTITUTE(SUBSTITUTE(SUBSTITUTE(SUBSTITUTE(SUBSTITUTE(SUBSTITUTE(SUBSTITUTE(SUBSTITUTE(NOTA[NAMA BARANG]," ",),".",""),"-",""),"(",""),")",""),",",""),"/",""),"""",""),"+",""))</f>
        <v>notebookcoklat18k96lembar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notebookcoklat18k96lembar1155000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notebookcoklat18k96lembar1155000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 t="e">
        <f>IF(NOTA[[#This Row],[CONCAT1]]="","",MATCH(NOTA[[#This Row],[CONCAT1]],[3]!db[NB NOTA_C],0))</f>
        <v>#N/A</v>
      </c>
      <c r="AT14" s="38" t="str">
        <f>IF(NOTA[[#This Row],[QTY/ CTN]]="","",TRUE)</f>
        <v/>
      </c>
      <c r="AU14" s="38" t="e">
        <f ca="1">IF(NOTA[[#This Row],[ID_H]]="","",IF(NOTA[[#This Row],[Column3]]=TRUE,NOTA[[#This Row],[QTY/ CTN]],INDEX([3]!db[QTY/ CTN],NOTA[[#This Row],[//DB]])))</f>
        <v>#N/A</v>
      </c>
      <c r="AV1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4" s="38" t="e">
        <f ca="1">IF(NOTA[[#This Row],[ID_H]]="","",MATCH(NOTA[[#This Row],[NB NOTA_C_QTY]],[4]!db[NB NOTA_C_QTY+F],0))</f>
        <v>#N/A</v>
      </c>
      <c r="AX14" s="53" t="e">
        <f ca="1">IF(NOTA[[#This Row],[NB NOTA_C_QTY]]="","",ROW()-2)</f>
        <v>#N/A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1</v>
      </c>
      <c r="E15" s="46"/>
      <c r="F15" s="37"/>
      <c r="G15" s="37"/>
      <c r="H15" s="47"/>
      <c r="I15" s="37"/>
      <c r="J15" s="39"/>
      <c r="K15" s="37"/>
      <c r="L15" s="37" t="s">
        <v>169</v>
      </c>
      <c r="M15" s="40">
        <v>4</v>
      </c>
      <c r="N15" s="38">
        <v>960</v>
      </c>
      <c r="O15" s="37" t="s">
        <v>115</v>
      </c>
      <c r="P15" s="41">
        <v>9000</v>
      </c>
      <c r="Q15" s="42"/>
      <c r="R15" s="48"/>
      <c r="S15" s="49"/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8640000</v>
      </c>
      <c r="Y15" s="50">
        <f>IF(NOTA[[#This Row],[JUMLAH]]="","",NOTA[[#This Row],[JUMLAH]]*NOTA[[#This Row],[DISC 1]])</f>
        <v>0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0</v>
      </c>
      <c r="AC15" s="50">
        <f>IF(NOTA[[#This Row],[JUMLAH]]="","",NOTA[[#This Row],[JUMLAH]]-NOTA[[#This Row],[DISC]])</f>
        <v>8640000</v>
      </c>
      <c r="AD15" s="50"/>
      <c r="AE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92005000</v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5" s="50">
        <f>IF(OR(NOTA[[#This Row],[QTY]]="",NOTA[[#This Row],[HARGA SATUAN]]="",),"",NOTA[[#This Row],[QTY]]*NOTA[[#This Row],[HARGA SATUAN]])</f>
        <v>8640000</v>
      </c>
      <c r="AI15" s="39">
        <f ca="1">IF(NOTA[ID_H]="","",INDEX(NOTA[TANGGAL],MATCH(,INDIRECT(ADDRESS(ROW(NOTA[TANGGAL]),COLUMN(NOTA[TANGGAL]))&amp;":"&amp;ADDRESS(ROW(),COLUMN(NOTA[TANGGAL]))),-1)))</f>
        <v>45295</v>
      </c>
      <c r="AJ15" s="41" t="str">
        <f ca="1">IF(NOTA[[#This Row],[NAMA BARANG]]="","",INDEX(NOTA[SUPPLIER],MATCH(,INDIRECT(ADDRESS(ROW(NOTA[ID]),COLUMN(NOTA[ID]))&amp;":"&amp;ADDRESS(ROW(),COLUMN(NOTA[ID]))),-1)))</f>
        <v>SK</v>
      </c>
      <c r="AK15" s="41" t="str">
        <f ca="1">IF(NOTA[[#This Row],[ID_H]]="","",IF(NOTA[[#This Row],[FAKTUR]]="",INDIRECT(ADDRESS(ROW()-1,COLUMN())),NOTA[[#This Row],[FAKTUR]]))</f>
        <v>UNTANA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1</v>
      </c>
      <c r="AN15" s="38" t="str">
        <f>LOWER(SUBSTITUTE(SUBSTITUTE(SUBSTITUTE(SUBSTITUTE(SUBSTITUTE(SUBSTITUTE(SUBSTITUTE(SUBSTITUTE(SUBSTITUTE(NOTA[NAMA BARANG]," ",),".",""),"-",""),"(",""),")",""),",",""),"/",""),"""",""),"+",""))</f>
        <v>gunting8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gunting82160000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gunting82160000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>
        <f>IF(NOTA[[#This Row],[CONCAT1]]="","",MATCH(NOTA[[#This Row],[CONCAT1]],[3]!db[NB NOTA_C],0))</f>
        <v>1356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240 PCS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gunting8240pcsuntana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 t="str">
        <f ca="1">IF(NOTA[[#This Row],[NAMA BARANG]]="","",INDEX(NOTA[ID],MATCH(,INDIRECT(ADDRESS(ROW(NOTA[ID]),COLUMN(NOTA[ID]))&amp;":"&amp;ADDRESS(ROW(),COLUMN(NOTA[ID]))),-1)))</f>
        <v/>
      </c>
      <c r="E16" s="46"/>
      <c r="F16" s="37"/>
      <c r="G16" s="37"/>
      <c r="H16" s="47"/>
      <c r="I16" s="37"/>
      <c r="J16" s="39"/>
      <c r="K16" s="37"/>
      <c r="L16" s="37"/>
      <c r="M16" s="40"/>
      <c r="O16" s="37"/>
      <c r="P16" s="41"/>
      <c r="Q16" s="42"/>
      <c r="R16" s="48"/>
      <c r="S16" s="49"/>
      <c r="T16" s="44"/>
      <c r="U16" s="44"/>
      <c r="V16" s="50"/>
      <c r="W16" s="45"/>
      <c r="X16" s="50" t="str">
        <f>IF(NOTA[[#This Row],[HARGA/ CTN]]="",NOTA[[#This Row],[JUMLAH_H]],NOTA[[#This Row],[HARGA/ CTN]]*IF(NOTA[[#This Row],[C]]="",0,NOTA[[#This Row],[C]]))</f>
        <v/>
      </c>
      <c r="Y16" s="50" t="str">
        <f>IF(NOTA[[#This Row],[JUMLAH]]="","",NOTA[[#This Row],[JUMLAH]]*NOTA[[#This Row],[DISC 1]])</f>
        <v/>
      </c>
      <c r="Z16" s="50" t="str">
        <f>IF(NOTA[[#This Row],[JUMLAH]]="","",(NOTA[[#This Row],[JUMLAH]]-NOTA[[#This Row],[DISC 1-]])*NOTA[[#This Row],[DISC 2]])</f>
        <v/>
      </c>
      <c r="AA16" s="50" t="str">
        <f>IF(NOTA[[#This Row],[JUMLAH]]="","",(NOTA[[#This Row],[JUMLAH]]-NOTA[[#This Row],[DISC 1-]]-NOTA[[#This Row],[DISC 2-]])*NOTA[[#This Row],[DISC 3]])</f>
        <v/>
      </c>
      <c r="AB16" s="50" t="str">
        <f>IF(NOTA[[#This Row],[JUMLAH]]="","",NOTA[[#This Row],[DISC 1-]]+NOTA[[#This Row],[DISC 2-]]+NOTA[[#This Row],[DISC 3-]])</f>
        <v/>
      </c>
      <c r="AC16" s="50" t="str">
        <f>IF(NOTA[[#This Row],[JUMLAH]]="","",NOTA[[#This Row],[JUMLAH]]-NOTA[[#This Row],[DISC]])</f>
        <v/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" s="50" t="str">
        <f>IF(OR(NOTA[[#This Row],[QTY]]="",NOTA[[#This Row],[HARGA SATUAN]]="",),"",NOTA[[#This Row],[QTY]]*NOTA[[#This Row],[HARGA SATUAN]])</f>
        <v/>
      </c>
      <c r="AI16" s="39" t="str">
        <f ca="1">IF(NOTA[ID_H]="","",INDEX(NOTA[TANGGAL],MATCH(,INDIRECT(ADDRESS(ROW(NOTA[TANGGAL]),COLUMN(NOTA[TANGGAL]))&amp;":"&amp;ADDRESS(ROW(),COLUMN(NOTA[TANGGAL]))),-1)))</f>
        <v/>
      </c>
      <c r="AJ16" s="41" t="str">
        <f ca="1">IF(NOTA[[#This Row],[NAMA BARANG]]="","",INDEX(NOTA[SUPPLIER],MATCH(,INDIRECT(ADDRESS(ROW(NOTA[ID]),COLUMN(NOTA[ID]))&amp;":"&amp;ADDRESS(ROW(),COLUMN(NOTA[ID]))),-1)))</f>
        <v/>
      </c>
      <c r="AK16" s="41" t="str">
        <f ca="1">IF(NOTA[[#This Row],[ID_H]]="","",IF(NOTA[[#This Row],[FAKTUR]]="",INDIRECT(ADDRESS(ROW()-1,COLUMN())),NOTA[[#This Row],[FAKTUR]]))</f>
        <v/>
      </c>
      <c r="AL16" s="38" t="str">
        <f ca="1">IF(NOTA[[#This Row],[ID]]="","",COUNTIF(NOTA[ID_H],NOTA[[#This Row],[ID_H]]))</f>
        <v/>
      </c>
      <c r="AM16" s="38" t="str">
        <f ca="1">IF(NOTA[[#This Row],[TGL.NOTA]]="",IF(NOTA[[#This Row],[SUPPLIER_H]]="","",AM15),MONTH(NOTA[[#This Row],[TGL.NOTA]]))</f>
        <v/>
      </c>
      <c r="AN16" s="38" t="str">
        <f>LOWER(SUBSTITUTE(SUBSTITUTE(SUBSTITUTE(SUBSTITUTE(SUBSTITUTE(SUBSTITUTE(SUBSTITUTE(SUBSTITUTE(SUBSTITUTE(NOTA[NAMA BARANG]," ",),".",""),"-",""),"(",""),")",""),",",""),"/",""),"""",""),"+",""))</f>
        <v/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 t="str">
        <f>IF(NOTA[[#This Row],[CONCAT1]]="","",MATCH(NOTA[[#This Row],[CONCAT1]],[3]!db[NB NOTA_C],0))</f>
        <v/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/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" s="38" t="str">
        <f ca="1">IF(NOTA[[#This Row],[ID_H]]="","",MATCH(NOTA[[#This Row],[NB NOTA_C_QTY]],[4]!db[NB NOTA_C_QTY+F],0))</f>
        <v/>
      </c>
      <c r="AX16" s="53" t="str">
        <f ca="1">IF(NOTA[[#This Row],[NB NOTA_C_QTY]]="","",ROW()-2)</f>
        <v/>
      </c>
    </row>
    <row r="17" spans="1:50" s="38" customFormat="1" ht="20.100000000000001" customHeight="1" x14ac:dyDescent="0.25">
      <c r="A17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KAL_0601_018-5</v>
      </c>
      <c r="C17" s="38" t="e">
        <f ca="1">IF(NOTA[[#This Row],[ID_P]]="","",MATCH(NOTA[[#This Row],[ID_P]],[1]!B_MSK[N_ID],0))</f>
        <v>#REF!</v>
      </c>
      <c r="D17" s="38">
        <f ca="1">IF(NOTA[[#This Row],[NAMA BARANG]]="","",INDEX(NOTA[ID],MATCH(,INDIRECT(ADDRESS(ROW(NOTA[ID]),COLUMN(NOTA[ID]))&amp;":"&amp;ADDRESS(ROW(),COLUMN(NOTA[ID]))),-1)))</f>
        <v>2</v>
      </c>
      <c r="E17" s="46">
        <v>45297</v>
      </c>
      <c r="F17" s="37" t="s">
        <v>51</v>
      </c>
      <c r="G17" s="37" t="s">
        <v>23</v>
      </c>
      <c r="H17" s="47" t="s">
        <v>170</v>
      </c>
      <c r="I17" s="37"/>
      <c r="J17" s="39">
        <v>44929</v>
      </c>
      <c r="K17" s="37"/>
      <c r="L17" s="37" t="s">
        <v>171</v>
      </c>
      <c r="M17" s="40">
        <v>1</v>
      </c>
      <c r="N17" s="38">
        <v>160</v>
      </c>
      <c r="O17" s="37" t="s">
        <v>115</v>
      </c>
      <c r="P17" s="41">
        <v>32000</v>
      </c>
      <c r="Q17" s="42"/>
      <c r="R17" s="48"/>
      <c r="S17" s="49">
        <v>0.125</v>
      </c>
      <c r="T17" s="44">
        <v>0.05</v>
      </c>
      <c r="U17" s="44"/>
      <c r="V17" s="50"/>
      <c r="W17" s="45"/>
      <c r="X17" s="50">
        <f>IF(NOTA[[#This Row],[HARGA/ CTN]]="",NOTA[[#This Row],[JUMLAH_H]],NOTA[[#This Row],[HARGA/ CTN]]*IF(NOTA[[#This Row],[C]]="",0,NOTA[[#This Row],[C]]))</f>
        <v>5120000</v>
      </c>
      <c r="Y17" s="50">
        <f>IF(NOTA[[#This Row],[JUMLAH]]="","",NOTA[[#This Row],[JUMLAH]]*NOTA[[#This Row],[DISC 1]])</f>
        <v>640000</v>
      </c>
      <c r="Z17" s="50">
        <f>IF(NOTA[[#This Row],[JUMLAH]]="","",(NOTA[[#This Row],[JUMLAH]]-NOTA[[#This Row],[DISC 1-]])*NOTA[[#This Row],[DISC 2]])</f>
        <v>224000</v>
      </c>
      <c r="AA17" s="50">
        <f>IF(NOTA[[#This Row],[JUMLAH]]="","",(NOTA[[#This Row],[JUMLAH]]-NOTA[[#This Row],[DISC 1-]]-NOTA[[#This Row],[DISC 2-]])*NOTA[[#This Row],[DISC 3]])</f>
        <v>0</v>
      </c>
      <c r="AB17" s="50">
        <f>IF(NOTA[[#This Row],[JUMLAH]]="","",NOTA[[#This Row],[DISC 1-]]+NOTA[[#This Row],[DISC 2-]]+NOTA[[#This Row],[DISC 3-]])</f>
        <v>864000</v>
      </c>
      <c r="AC17" s="50">
        <f>IF(NOTA[[#This Row],[JUMLAH]]="","",NOTA[[#This Row],[JUMLAH]]-NOTA[[#This Row],[DISC]])</f>
        <v>4256000</v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H17" s="50">
        <f>IF(OR(NOTA[[#This Row],[QTY]]="",NOTA[[#This Row],[HARGA SATUAN]]="",),"",NOTA[[#This Row],[QTY]]*NOTA[[#This Row],[HARGA SATUAN]])</f>
        <v>5120000</v>
      </c>
      <c r="AI17" s="39">
        <f ca="1">IF(NOTA[ID_H]="","",INDEX(NOTA[TANGGAL],MATCH(,INDIRECT(ADDRESS(ROW(NOTA[TANGGAL]),COLUMN(NOTA[TANGGAL]))&amp;":"&amp;ADDRESS(ROW(),COLUMN(NOTA[TANGGAL]))),-1)))</f>
        <v>45297</v>
      </c>
      <c r="AJ17" s="41" t="str">
        <f ca="1">IF(NOTA[[#This Row],[NAMA BARANG]]="","",INDEX(NOTA[SUPPLIER],MATCH(,INDIRECT(ADDRESS(ROW(NOTA[ID]),COLUMN(NOTA[ID]))&amp;":"&amp;ADDRESS(ROW(),COLUMN(NOTA[ID]))),-1)))</f>
        <v>KALINDO SUKSES</v>
      </c>
      <c r="AK17" s="41" t="str">
        <f ca="1">IF(NOTA[[#This Row],[ID_H]]="","",IF(NOTA[[#This Row],[FAKTUR]]="",INDIRECT(ADDRESS(ROW()-1,COLUMN())),NOTA[[#This Row],[FAKTUR]]))</f>
        <v>ARTO MORO</v>
      </c>
      <c r="AL17" s="38">
        <f ca="1">IF(NOTA[[#This Row],[ID]]="","",COUNTIF(NOTA[ID_H],NOTA[[#This Row],[ID_H]]))</f>
        <v>5</v>
      </c>
      <c r="AM17" s="38">
        <f>IF(NOTA[[#This Row],[TGL.NOTA]]="",IF(NOTA[[#This Row],[SUPPLIER_H]]="","",AM16),MONTH(NOTA[[#This Row],[TGL.NOTA]]))</f>
        <v>1</v>
      </c>
      <c r="AN17" s="38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MOROSN2401001844929calculatorjoykocc37</v>
      </c>
      <c r="AR17" s="38" t="e">
        <f>IF(NOTA[[#This Row],[CONCAT4]]="","",_xlfn.IFNA(MATCH(NOTA[[#This Row],[CONCAT4]],[2]!RAW[CONCAT_H],0),FALSE))</f>
        <v>#REF!</v>
      </c>
      <c r="AS17" s="38">
        <f>IF(NOTA[[#This Row],[CONCAT1]]="","",MATCH(NOTA[[#This Row],[CONCAT1]],[3]!db[NB NOTA_C],0))</f>
        <v>589</v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>160 PCS</v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calculatorjoykocc37160pcsartomoro</v>
      </c>
      <c r="AW17" s="38" t="e">
        <f ca="1">IF(NOTA[[#This Row],[ID_H]]="","",MATCH(NOTA[[#This Row],[NB NOTA_C_QTY]],[4]!db[NB NOTA_C_QTY+F],0))</f>
        <v>#REF!</v>
      </c>
      <c r="AX17" s="53">
        <f ca="1">IF(NOTA[[#This Row],[NB NOTA_C_QTY]]="","",ROW()-2)</f>
        <v>15</v>
      </c>
    </row>
    <row r="18" spans="1:50" s="38" customFormat="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2</v>
      </c>
      <c r="E18" s="46"/>
      <c r="F18" s="37"/>
      <c r="G18" s="37"/>
      <c r="H18" s="47"/>
      <c r="I18" s="37"/>
      <c r="J18" s="39"/>
      <c r="K18" s="37"/>
      <c r="L18" s="37" t="s">
        <v>172</v>
      </c>
      <c r="M18" s="40">
        <v>1</v>
      </c>
      <c r="N18" s="38">
        <v>160</v>
      </c>
      <c r="O18" s="37" t="s">
        <v>115</v>
      </c>
      <c r="P18" s="41">
        <v>27500</v>
      </c>
      <c r="Q18" s="42"/>
      <c r="R18" s="48"/>
      <c r="S18" s="49">
        <v>0.125</v>
      </c>
      <c r="T18" s="44">
        <v>0.05</v>
      </c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4400000</v>
      </c>
      <c r="Y18" s="50">
        <f>IF(NOTA[[#This Row],[JUMLAH]]="","",NOTA[[#This Row],[JUMLAH]]*NOTA[[#This Row],[DISC 1]])</f>
        <v>550000</v>
      </c>
      <c r="Z18" s="50">
        <f>IF(NOTA[[#This Row],[JUMLAH]]="","",(NOTA[[#This Row],[JUMLAH]]-NOTA[[#This Row],[DISC 1-]])*NOTA[[#This Row],[DISC 2]])</f>
        <v>192500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742500</v>
      </c>
      <c r="AC18" s="50">
        <f>IF(NOTA[[#This Row],[JUMLAH]]="","",NOTA[[#This Row],[JUMLAH]]-NOTA[[#This Row],[DISC]])</f>
        <v>3657500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H18" s="50">
        <f>IF(OR(NOTA[[#This Row],[QTY]]="",NOTA[[#This Row],[HARGA SATUAN]]="",),"",NOTA[[#This Row],[QTY]]*NOTA[[#This Row],[HARGA SATUAN]])</f>
        <v>4400000</v>
      </c>
      <c r="AI18" s="39">
        <f ca="1">IF(NOTA[ID_H]="","",INDEX(NOTA[TANGGAL],MATCH(,INDIRECT(ADDRESS(ROW(NOTA[TANGGAL]),COLUMN(NOTA[TANGGAL]))&amp;":"&amp;ADDRESS(ROW(),COLUMN(NOTA[TANGGAL]))),-1)))</f>
        <v>45297</v>
      </c>
      <c r="AJ18" s="41" t="str">
        <f ca="1">IF(NOTA[[#This Row],[NAMA BARANG]]="","",INDEX(NOTA[SUPPLIER],MATCH(,INDIRECT(ADDRESS(ROW(NOTA[ID]),COLUMN(NOTA[ID]))&amp;":"&amp;ADDRESS(ROW(),COLUMN(NOTA[ID]))),-1)))</f>
        <v>KALINDO SUKSES</v>
      </c>
      <c r="AK18" s="41" t="str">
        <f ca="1">IF(NOTA[[#This Row],[ID_H]]="","",IF(NOTA[[#This Row],[FAKTUR]]="",INDIRECT(ADDRESS(ROW()-1,COLUMN())),NOTA[[#This Row],[FAKTUR]]))</f>
        <v>ARTO MORO</v>
      </c>
      <c r="AL18" s="38" t="str">
        <f ca="1">IF(NOTA[[#This Row],[ID]]="","",COUNTIF(NOTA[ID_H],NOTA[[#This Row],[ID_H]]))</f>
        <v/>
      </c>
      <c r="AM18" s="38">
        <f ca="1">IF(NOTA[[#This Row],[TGL.NOTA]]="",IF(NOTA[[#This Row],[SUPPLIER_H]]="","",AM17),MONTH(NOTA[[#This Row],[TGL.NOTA]]))</f>
        <v>1</v>
      </c>
      <c r="AN18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" s="38" t="str">
        <f>IF(NOTA[[#This Row],[CONCAT4]]="","",_xlfn.IFNA(MATCH(NOTA[[#This Row],[CONCAT4]],[2]!RAW[CONCAT_H],0),FALSE))</f>
        <v/>
      </c>
      <c r="AS18" s="38">
        <f>IF(NOTA[[#This Row],[CONCAT1]]="","",MATCH(NOTA[[#This Row],[CONCAT1]],[3]!db[NB NOTA_C],0))</f>
        <v>590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>160 PCS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W18" s="38" t="e">
        <f ca="1">IF(NOTA[[#This Row],[ID_H]]="","",MATCH(NOTA[[#This Row],[NB NOTA_C_QTY]],[4]!db[NB NOTA_C_QTY+F],0))</f>
        <v>#REF!</v>
      </c>
      <c r="AX18" s="53">
        <f ca="1">IF(NOTA[[#This Row],[NB NOTA_C_QTY]]="","",ROW()-2)</f>
        <v>16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2</v>
      </c>
      <c r="E19" s="46"/>
      <c r="F19" s="37"/>
      <c r="G19" s="37"/>
      <c r="H19" s="47"/>
      <c r="I19" s="37"/>
      <c r="J19" s="39"/>
      <c r="K19" s="37"/>
      <c r="L19" s="37" t="s">
        <v>173</v>
      </c>
      <c r="M19" s="40"/>
      <c r="N19" s="38">
        <v>40</v>
      </c>
      <c r="O19" s="37" t="s">
        <v>115</v>
      </c>
      <c r="P19" s="41">
        <v>38000</v>
      </c>
      <c r="Q19" s="42"/>
      <c r="R19" s="48"/>
      <c r="S19" s="49">
        <v>0.125</v>
      </c>
      <c r="T19" s="44">
        <v>0.05</v>
      </c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1520000</v>
      </c>
      <c r="Y19" s="50">
        <f>IF(NOTA[[#This Row],[JUMLAH]]="","",NOTA[[#This Row],[JUMLAH]]*NOTA[[#This Row],[DISC 1]])</f>
        <v>190000</v>
      </c>
      <c r="Z19" s="50">
        <f>IF(NOTA[[#This Row],[JUMLAH]]="","",(NOTA[[#This Row],[JUMLAH]]-NOTA[[#This Row],[DISC 1-]])*NOTA[[#This Row],[DISC 2]])</f>
        <v>66500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256500</v>
      </c>
      <c r="AC19" s="50">
        <f>IF(NOTA[[#This Row],[JUMLAH]]="","",NOTA[[#This Row],[JUMLAH]]-NOTA[[#This Row],[DISC]])</f>
        <v>1263500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19" s="50">
        <f>IF(OR(NOTA[[#This Row],[QTY]]="",NOTA[[#This Row],[HARGA SATUAN]]="",),"",NOTA[[#This Row],[QTY]]*NOTA[[#This Row],[HARGA SATUAN]])</f>
        <v>1520000</v>
      </c>
      <c r="AI19" s="39">
        <f ca="1">IF(NOTA[ID_H]="","",INDEX(NOTA[TANGGAL],MATCH(,INDIRECT(ADDRESS(ROW(NOTA[TANGGAL]),COLUMN(NOTA[TANGGAL]))&amp;":"&amp;ADDRESS(ROW(),COLUMN(NOTA[TANGGAL]))),-1)))</f>
        <v>45297</v>
      </c>
      <c r="AJ19" s="41" t="str">
        <f ca="1">IF(NOTA[[#This Row],[NAMA BARANG]]="","",INDEX(NOTA[SUPPLIER],MATCH(,INDIRECT(ADDRESS(ROW(NOTA[ID]),COLUMN(NOTA[ID]))&amp;":"&amp;ADDRESS(ROW(),COLUMN(NOTA[ID]))),-1)))</f>
        <v>KALINDO SUKSES</v>
      </c>
      <c r="AK19" s="41" t="str">
        <f ca="1">IF(NOTA[[#This Row],[ID_H]]="","",IF(NOTA[[#This Row],[FAKTUR]]="",INDIRECT(ADDRESS(ROW()-1,COLUMN())),NOTA[[#This Row],[FAKTUR]]))</f>
        <v>ARTO MORO</v>
      </c>
      <c r="AL19" s="38" t="str">
        <f ca="1">IF(NOTA[[#This Row],[ID]]="","",COUNTIF(NOTA[ID_H],NOTA[[#This Row],[ID_H]]))</f>
        <v/>
      </c>
      <c r="AN19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calculatorjoykocc8coblue15200000.1250.05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calculatorjoykocc8coblue380000.1250.05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>
        <f>IF(NOTA[[#This Row],[CONCAT1]]="","",MATCH(NOTA[[#This Row],[CONCAT1]],[3]!db[NB NOTA_C],0))</f>
        <v>612</v>
      </c>
      <c r="AT19" s="38" t="str">
        <f>IF(NOTA[[#This Row],[QTY/ CTN]]="","",TRUE)</f>
        <v/>
      </c>
      <c r="AU19" s="38" t="str">
        <f ca="1">IF(NOTA[[#This Row],[ID_H]]="","",IF(NOTA[[#This Row],[Column3]]=TRUE,NOTA[[#This Row],[QTY/ CTN]],INDEX([3]!db[QTY/ CTN],NOTA[[#This Row],[//DB]])))</f>
        <v>120 PCS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2</v>
      </c>
      <c r="E20" s="46"/>
      <c r="F20" s="37"/>
      <c r="G20" s="37"/>
      <c r="H20" s="47"/>
      <c r="I20" s="37"/>
      <c r="J20" s="39"/>
      <c r="K20" s="37"/>
      <c r="L20" s="37" t="s">
        <v>174</v>
      </c>
      <c r="M20" s="40"/>
      <c r="N20" s="38">
        <v>40</v>
      </c>
      <c r="O20" s="37" t="s">
        <v>115</v>
      </c>
      <c r="P20" s="41">
        <v>38000</v>
      </c>
      <c r="Q20" s="42"/>
      <c r="R20" s="48"/>
      <c r="S20" s="49">
        <v>0.125</v>
      </c>
      <c r="T20" s="44">
        <v>0.05</v>
      </c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1520000</v>
      </c>
      <c r="Y20" s="50">
        <f>IF(NOTA[[#This Row],[JUMLAH]]="","",NOTA[[#This Row],[JUMLAH]]*NOTA[[#This Row],[DISC 1]])</f>
        <v>190000</v>
      </c>
      <c r="Z20" s="50">
        <f>IF(NOTA[[#This Row],[JUMLAH]]="","",(NOTA[[#This Row],[JUMLAH]]-NOTA[[#This Row],[DISC 1-]])*NOTA[[#This Row],[DISC 2]])</f>
        <v>66500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256500</v>
      </c>
      <c r="AC20" s="50">
        <f>IF(NOTA[[#This Row],[JUMLAH]]="","",NOTA[[#This Row],[JUMLAH]]-NOTA[[#This Row],[DISC]])</f>
        <v>1263500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20" s="50">
        <f>IF(OR(NOTA[[#This Row],[QTY]]="",NOTA[[#This Row],[HARGA SATUAN]]="",),"",NOTA[[#This Row],[QTY]]*NOTA[[#This Row],[HARGA SATUAN]])</f>
        <v>1520000</v>
      </c>
      <c r="AI20" s="39">
        <f ca="1">IF(NOTA[ID_H]="","",INDEX(NOTA[TANGGAL],MATCH(,INDIRECT(ADDRESS(ROW(NOTA[TANGGAL]),COLUMN(NOTA[TANGGAL]))&amp;":"&amp;ADDRESS(ROW(),COLUMN(NOTA[TANGGAL]))),-1)))</f>
        <v>45297</v>
      </c>
      <c r="AJ20" s="41" t="str">
        <f ca="1">IF(NOTA[[#This Row],[NAMA BARANG]]="","",INDEX(NOTA[SUPPLIER],MATCH(,INDIRECT(ADDRESS(ROW(NOTA[ID]),COLUMN(NOTA[ID]))&amp;":"&amp;ADDRESS(ROW(),COLUMN(NOTA[ID]))),-1)))</f>
        <v>KALINDO SUKSES</v>
      </c>
      <c r="AK20" s="41" t="str">
        <f ca="1">IF(NOTA[[#This Row],[ID_H]]="","",IF(NOTA[[#This Row],[FAKTUR]]="",INDIRECT(ADDRESS(ROW()-1,COLUMN())),NOTA[[#This Row],[FAKTUR]]))</f>
        <v>ARTO MORO</v>
      </c>
      <c r="AL20" s="38" t="str">
        <f ca="1">IF(NOTA[[#This Row],[ID]]="","",COUNTIF(NOTA[ID_H],NOTA[[#This Row],[ID_H]]))</f>
        <v/>
      </c>
      <c r="AM20" s="38" t="e">
        <f ca="1">IF(NOTA[[#This Row],[TGL.NOTA]]="",IF(NOTA[[#This Row],[SUPPLIER_H]]="","",#REF!),MONTH(NOTA[[#This Row],[TGL.NOTA]]))</f>
        <v>#REF!</v>
      </c>
      <c r="AN20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calculatorjoykocc8cogreen15200000.1250.05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calculatorjoykocc8cogreen380000.1250.05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>
        <f>IF(NOTA[[#This Row],[CONCAT1]]="","",MATCH(NOTA[[#This Row],[CONCAT1]],[3]!db[NB NOTA_C],0))</f>
        <v>604</v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>120 PCS</v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W20" s="38" t="e">
        <f ca="1">IF(NOTA[[#This Row],[ID_H]]="","",MATCH(NOTA[[#This Row],[NB NOTA_C_QTY]],[4]!db[NB NOTA_C_QTY+F],0))</f>
        <v>#REF!</v>
      </c>
      <c r="AX20" s="53">
        <f ca="1">IF(NOTA[[#This Row],[NB NOTA_C_QTY]]="","",ROW()-2)</f>
        <v>18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2</v>
      </c>
      <c r="E21" s="46"/>
      <c r="F21" s="37"/>
      <c r="G21" s="37"/>
      <c r="H21" s="47"/>
      <c r="I21" s="37"/>
      <c r="J21" s="39"/>
      <c r="K21" s="37"/>
      <c r="L21" s="37" t="s">
        <v>175</v>
      </c>
      <c r="M21" s="40"/>
      <c r="N21" s="38">
        <v>40</v>
      </c>
      <c r="O21" s="37" t="s">
        <v>115</v>
      </c>
      <c r="P21" s="41">
        <v>38000</v>
      </c>
      <c r="Q21" s="42"/>
      <c r="R21" s="48"/>
      <c r="S21" s="49">
        <v>0.125</v>
      </c>
      <c r="T21" s="44">
        <v>0.05</v>
      </c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1520000</v>
      </c>
      <c r="Y21" s="50">
        <f>IF(NOTA[[#This Row],[JUMLAH]]="","",NOTA[[#This Row],[JUMLAH]]*NOTA[[#This Row],[DISC 1]])</f>
        <v>190000</v>
      </c>
      <c r="Z21" s="50">
        <f>IF(NOTA[[#This Row],[JUMLAH]]="","",(NOTA[[#This Row],[JUMLAH]]-NOTA[[#This Row],[DISC 1-]])*NOTA[[#This Row],[DISC 2]])</f>
        <v>66500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256500</v>
      </c>
      <c r="AC21" s="50">
        <f>IF(NOTA[[#This Row],[JUMLAH]]="","",NOTA[[#This Row],[JUMLAH]]-NOTA[[#This Row],[DISC]])</f>
        <v>1263500</v>
      </c>
      <c r="AD21" s="50"/>
      <c r="AE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2376000</v>
      </c>
      <c r="AF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11704000</v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21" s="50">
        <f>IF(OR(NOTA[[#This Row],[QTY]]="",NOTA[[#This Row],[HARGA SATUAN]]="",),"",NOTA[[#This Row],[QTY]]*NOTA[[#This Row],[HARGA SATUAN]])</f>
        <v>1520000</v>
      </c>
      <c r="AI21" s="39">
        <f ca="1">IF(NOTA[ID_H]="","",INDEX(NOTA[TANGGAL],MATCH(,INDIRECT(ADDRESS(ROW(NOTA[TANGGAL]),COLUMN(NOTA[TANGGAL]))&amp;":"&amp;ADDRESS(ROW(),COLUMN(NOTA[TANGGAL]))),-1)))</f>
        <v>45297</v>
      </c>
      <c r="AJ21" s="41" t="str">
        <f ca="1">IF(NOTA[[#This Row],[NAMA BARANG]]="","",INDEX(NOTA[SUPPLIER],MATCH(,INDIRECT(ADDRESS(ROW(NOTA[ID]),COLUMN(NOTA[ID]))&amp;":"&amp;ADDRESS(ROW(),COLUMN(NOTA[ID]))),-1)))</f>
        <v>KALINDO SUKSES</v>
      </c>
      <c r="AK21" s="41" t="str">
        <f ca="1">IF(NOTA[[#This Row],[ID_H]]="","",IF(NOTA[[#This Row],[FAKTUR]]="",INDIRECT(ADDRESS(ROW()-1,COLUMN())),NOTA[[#This Row],[FAKTUR]]))</f>
        <v>ARTO MORO</v>
      </c>
      <c r="AL21" s="38" t="str">
        <f ca="1">IF(NOTA[[#This Row],[ID]]="","",COUNTIF(NOTA[ID_H],NOTA[[#This Row],[ID_H]]))</f>
        <v/>
      </c>
      <c r="AM21" s="38" t="e">
        <f ca="1">IF(NOTA[[#This Row],[TGL.NOTA]]="",IF(NOTA[[#This Row],[SUPPLIER_H]]="","",AM20),MONTH(NOTA[[#This Row],[TGL.NOTA]]))</f>
        <v>#REF!</v>
      </c>
      <c r="AN21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calculatorjoykocc8coorange15200000.1250.05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calculatorjoykocc8coorange380000.1250.05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>
        <f>IF(NOTA[[#This Row],[CONCAT1]]="","",MATCH(NOTA[[#This Row],[CONCAT1]],[3]!db[NB NOTA_C],0))</f>
        <v>613</v>
      </c>
      <c r="AT21" s="38" t="str">
        <f>IF(NOTA[[#This Row],[QTY/ CTN]]="","",TRUE)</f>
        <v/>
      </c>
      <c r="AU21" s="38" t="str">
        <f ca="1">IF(NOTA[[#This Row],[ID_H]]="","",IF(NOTA[[#This Row],[Column3]]=TRUE,NOTA[[#This Row],[QTY/ CTN]],INDEX([3]!db[QTY/ CTN],NOTA[[#This Row],[//DB]])))</f>
        <v>120 PCS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W21" s="38" t="e">
        <f ca="1">IF(NOTA[[#This Row],[ID_H]]="","",MATCH(NOTA[[#This Row],[NB NOTA_C_QTY]],[4]!db[NB NOTA_C_QTY+F],0))</f>
        <v>#REF!</v>
      </c>
      <c r="AX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 t="str">
        <f ca="1">IF(NOTA[[#This Row],[NAMA BARANG]]="","",INDEX(NOTA[ID],MATCH(,INDIRECT(ADDRESS(ROW(NOTA[ID]),COLUMN(NOTA[ID]))&amp;":"&amp;ADDRESS(ROW(),COLUMN(NOTA[ID]))),-1)))</f>
        <v/>
      </c>
      <c r="E22" s="46"/>
      <c r="F22" s="37"/>
      <c r="G22" s="37"/>
      <c r="H22" s="47"/>
      <c r="I22" s="37"/>
      <c r="J22" s="39"/>
      <c r="K22" s="37"/>
      <c r="L22" s="37"/>
      <c r="M22" s="40"/>
      <c r="O22" s="37"/>
      <c r="P22" s="41"/>
      <c r="Q22" s="42"/>
      <c r="R22" s="48"/>
      <c r="S22" s="49"/>
      <c r="T22" s="44"/>
      <c r="U22" s="44"/>
      <c r="V22" s="50"/>
      <c r="W22" s="45"/>
      <c r="X22" s="50" t="str">
        <f>IF(NOTA[[#This Row],[HARGA/ CTN]]="",NOTA[[#This Row],[JUMLAH_H]],NOTA[[#This Row],[HARGA/ CTN]]*IF(NOTA[[#This Row],[C]]="",0,NOTA[[#This Row],[C]]))</f>
        <v/>
      </c>
      <c r="Y22" s="50" t="str">
        <f>IF(NOTA[[#This Row],[JUMLAH]]="","",NOTA[[#This Row],[JUMLAH]]*NOTA[[#This Row],[DISC 1]])</f>
        <v/>
      </c>
      <c r="Z22" s="50" t="str">
        <f>IF(NOTA[[#This Row],[JUMLAH]]="","",(NOTA[[#This Row],[JUMLAH]]-NOTA[[#This Row],[DISC 1-]])*NOTA[[#This Row],[DISC 2]])</f>
        <v/>
      </c>
      <c r="AA22" s="50" t="str">
        <f>IF(NOTA[[#This Row],[JUMLAH]]="","",(NOTA[[#This Row],[JUMLAH]]-NOTA[[#This Row],[DISC 1-]]-NOTA[[#This Row],[DISC 2-]])*NOTA[[#This Row],[DISC 3]])</f>
        <v/>
      </c>
      <c r="AB22" s="50" t="str">
        <f>IF(NOTA[[#This Row],[JUMLAH]]="","",NOTA[[#This Row],[DISC 1-]]+NOTA[[#This Row],[DISC 2-]]+NOTA[[#This Row],[DISC 3-]])</f>
        <v/>
      </c>
      <c r="AC22" s="50" t="str">
        <f>IF(NOTA[[#This Row],[JUMLAH]]="","",NOTA[[#This Row],[JUMLAH]]-NOTA[[#This Row],[DISC]])</f>
        <v/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" s="50" t="str">
        <f>IF(OR(NOTA[[#This Row],[QTY]]="",NOTA[[#This Row],[HARGA SATUAN]]="",),"",NOTA[[#This Row],[QTY]]*NOTA[[#This Row],[HARGA SATUAN]])</f>
        <v/>
      </c>
      <c r="AI22" s="39" t="str">
        <f ca="1">IF(NOTA[ID_H]="","",INDEX(NOTA[TANGGAL],MATCH(,INDIRECT(ADDRESS(ROW(NOTA[TANGGAL]),COLUMN(NOTA[TANGGAL]))&amp;":"&amp;ADDRESS(ROW(),COLUMN(NOTA[TANGGAL]))),-1)))</f>
        <v/>
      </c>
      <c r="AJ22" s="41" t="str">
        <f ca="1">IF(NOTA[[#This Row],[NAMA BARANG]]="","",INDEX(NOTA[SUPPLIER],MATCH(,INDIRECT(ADDRESS(ROW(NOTA[ID]),COLUMN(NOTA[ID]))&amp;":"&amp;ADDRESS(ROW(),COLUMN(NOTA[ID]))),-1)))</f>
        <v/>
      </c>
      <c r="AK22" s="41" t="str">
        <f ca="1">IF(NOTA[[#This Row],[ID_H]]="","",IF(NOTA[[#This Row],[FAKTUR]]="",INDIRECT(ADDRESS(ROW()-1,COLUMN())),NOTA[[#This Row],[FAKTUR]]))</f>
        <v/>
      </c>
      <c r="AL22" s="38" t="str">
        <f ca="1">IF(NOTA[[#This Row],[ID]]="","",COUNTIF(NOTA[ID_H],NOTA[[#This Row],[ID_H]]))</f>
        <v/>
      </c>
      <c r="AM22" s="38" t="str">
        <f ca="1">IF(NOTA[[#This Row],[TGL.NOTA]]="",IF(NOTA[[#This Row],[SUPPLIER_H]]="","",AM21),MONTH(NOTA[[#This Row],[TGL.NOTA]]))</f>
        <v/>
      </c>
      <c r="AN22" s="38" t="str">
        <f>LOWER(SUBSTITUTE(SUBSTITUTE(SUBSTITUTE(SUBSTITUTE(SUBSTITUTE(SUBSTITUTE(SUBSTITUTE(SUBSTITUTE(SUBSTITUTE(NOTA[NAMA BARANG]," ",),".",""),"-",""),"(",""),")",""),",",""),"/",""),"""",""),"+",""))</f>
        <v/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 t="str">
        <f>IF(NOTA[[#This Row],[CONCAT1]]="","",MATCH(NOTA[[#This Row],[CONCAT1]],[3]!db[NB NOTA_C],0))</f>
        <v/>
      </c>
      <c r="AT22" s="38" t="str">
        <f>IF(NOTA[[#This Row],[QTY/ CTN]]="","",TRUE)</f>
        <v/>
      </c>
      <c r="AU22" s="38" t="str">
        <f ca="1">IF(NOTA[[#This Row],[ID_H]]="","",IF(NOTA[[#This Row],[Column3]]=TRUE,NOTA[[#This Row],[QTY/ CTN]],INDEX([3]!db[QTY/ CTN],NOTA[[#This Row],[//DB]])))</f>
        <v/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" s="38" t="str">
        <f ca="1">IF(NOTA[[#This Row],[ID_H]]="","",MATCH(NOTA[[#This Row],[NB NOTA_C_QTY]],[4]!db[NB NOTA_C_QTY+F],0))</f>
        <v/>
      </c>
      <c r="AX22" s="53" t="str">
        <f ca="1">IF(NOTA[[#This Row],[NB NOTA_C_QTY]]="","",ROW()-2)</f>
        <v/>
      </c>
    </row>
    <row r="23" spans="1:50" s="38" customFormat="1" ht="20.100000000000001" customHeight="1" x14ac:dyDescent="0.25">
      <c r="A23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ATA_0601_069-8</v>
      </c>
      <c r="C23" s="38" t="e">
        <f ca="1">IF(NOTA[[#This Row],[ID_P]]="","",MATCH(NOTA[[#This Row],[ID_P]],[1]!B_MSK[N_ID],0))</f>
        <v>#REF!</v>
      </c>
      <c r="D23" s="38">
        <f ca="1">IF(NOTA[[#This Row],[NAMA BARANG]]="","",INDEX(NOTA[ID],MATCH(,INDIRECT(ADDRESS(ROW(NOTA[ID]),COLUMN(NOTA[ID]))&amp;":"&amp;ADDRESS(ROW(),COLUMN(NOTA[ID]))),-1)))</f>
        <v>3</v>
      </c>
      <c r="E23" s="46"/>
      <c r="F23" s="37" t="s">
        <v>24</v>
      </c>
      <c r="G23" s="37" t="s">
        <v>23</v>
      </c>
      <c r="H23" s="47" t="s">
        <v>176</v>
      </c>
      <c r="I23" s="37"/>
      <c r="J23" s="39">
        <v>44929</v>
      </c>
      <c r="K23" s="37"/>
      <c r="L23" s="37" t="s">
        <v>177</v>
      </c>
      <c r="M23" s="40"/>
      <c r="N23" s="38">
        <v>12</v>
      </c>
      <c r="O23" s="37" t="s">
        <v>115</v>
      </c>
      <c r="P23" s="41">
        <v>17600</v>
      </c>
      <c r="Q23" s="42"/>
      <c r="R23" s="48"/>
      <c r="S23" s="49">
        <v>0.125</v>
      </c>
      <c r="T23" s="44">
        <v>0.05</v>
      </c>
      <c r="U23" s="44"/>
      <c r="V23" s="50"/>
      <c r="W23" s="45"/>
      <c r="X23" s="50">
        <f>IF(NOTA[[#This Row],[HARGA/ CTN]]="",NOTA[[#This Row],[JUMLAH_H]],NOTA[[#This Row],[HARGA/ CTN]]*IF(NOTA[[#This Row],[C]]="",0,NOTA[[#This Row],[C]]))</f>
        <v>211200</v>
      </c>
      <c r="Y23" s="50">
        <f>IF(NOTA[[#This Row],[JUMLAH]]="","",NOTA[[#This Row],[JUMLAH]]*NOTA[[#This Row],[DISC 1]])</f>
        <v>26400</v>
      </c>
      <c r="Z23" s="50">
        <f>IF(NOTA[[#This Row],[JUMLAH]]="","",(NOTA[[#This Row],[JUMLAH]]-NOTA[[#This Row],[DISC 1-]])*NOTA[[#This Row],[DISC 2]])</f>
        <v>9240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35640</v>
      </c>
      <c r="AC23" s="50">
        <f>IF(NOTA[[#This Row],[JUMLAH]]="","",NOTA[[#This Row],[JUMLAH]]-NOTA[[#This Row],[DISC]])</f>
        <v>175560</v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3" s="50">
        <f>IF(OR(NOTA[[#This Row],[QTY]]="",NOTA[[#This Row],[HARGA SATUAN]]="",),"",NOTA[[#This Row],[QTY]]*NOTA[[#This Row],[HARGA SATUAN]])</f>
        <v>211200</v>
      </c>
      <c r="AI23" s="39">
        <f ca="1">IF(NOTA[ID_H]="","",INDEX(NOTA[TANGGAL],MATCH(,INDIRECT(ADDRESS(ROW(NOTA[TANGGAL]),COLUMN(NOTA[TANGGAL]))&amp;":"&amp;ADDRESS(ROW(),COLUMN(NOTA[TANGGAL]))),-1)))</f>
        <v>45297</v>
      </c>
      <c r="AJ23" s="41" t="str">
        <f ca="1">IF(NOTA[[#This Row],[NAMA BARANG]]="","",INDEX(NOTA[SUPPLIER],MATCH(,INDIRECT(ADDRESS(ROW(NOTA[ID]),COLUMN(NOTA[ID]))&amp;":"&amp;ADDRESS(ROW(),COLUMN(NOTA[ID]))),-1)))</f>
        <v>ATALI MAKMUR</v>
      </c>
      <c r="AK23" s="41" t="str">
        <f ca="1">IF(NOTA[[#This Row],[ID_H]]="","",IF(NOTA[[#This Row],[FAKTUR]]="",INDIRECT(ADDRESS(ROW()-1,COLUMN())),NOTA[[#This Row],[FAKTUR]]))</f>
        <v>ARTO MORO</v>
      </c>
      <c r="AL23" s="38">
        <f ca="1">IF(NOTA[[#This Row],[ID]]="","",COUNTIF(NOTA[ID_H],NOTA[[#This Row],[ID_H]]))</f>
        <v>8</v>
      </c>
      <c r="AM23" s="38">
        <f>IF(NOTA[[#This Row],[TGL.NOTA]]="",IF(NOTA[[#This Row],[SUPPLIER_H]]="","",AM22),MONTH(NOTA[[#This Row],[TGL.NOTA]]))</f>
        <v>1</v>
      </c>
      <c r="AN23" s="38" t="str">
        <f>LOWER(SUBSTITUTE(SUBSTITUTE(SUBSTITUTE(SUBSTITUTE(SUBSTITUTE(SUBSTITUTE(SUBSTITUTE(SUBSTITUTE(SUBSTITUTE(NOTA[NAMA BARANG]," ",),".",""),"-",""),"(",""),")",""),",",""),"/",""),"""",""),"+",""))</f>
        <v>bagb26373bluejk</v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bagb26373bluejk2112000.1250.05</v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bagb26373bluejk176000.1250.05</v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MOROSA24010006944929bagb26373bluejk</v>
      </c>
      <c r="AR23" s="38" t="e">
        <f>IF(NOTA[[#This Row],[CONCAT4]]="","",_xlfn.IFNA(MATCH(NOTA[[#This Row],[CONCAT4]],[2]!RAW[CONCAT_H],0),FALSE))</f>
        <v>#REF!</v>
      </c>
      <c r="AS23" s="38">
        <f>IF(NOTA[[#This Row],[CONCAT1]]="","",MATCH(NOTA[[#This Row],[CONCAT1]],[3]!db[NB NOTA_C],0))</f>
        <v>93</v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>48 PCS</v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bagb26373bluejk48pcsartomoro</v>
      </c>
      <c r="AW23" s="38" t="e">
        <f ca="1">IF(NOTA[[#This Row],[ID_H]]="","",MATCH(NOTA[[#This Row],[NB NOTA_C_QTY]],[4]!db[NB NOTA_C_QTY+F],0))</f>
        <v>#REF!</v>
      </c>
      <c r="AX23" s="53">
        <f ca="1">IF(NOTA[[#This Row],[NB NOTA_C_QTY]]="","",ROW()-2)</f>
        <v>21</v>
      </c>
    </row>
    <row r="24" spans="1:50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3</v>
      </c>
      <c r="E24" s="46"/>
      <c r="F24" s="37"/>
      <c r="G24" s="37"/>
      <c r="H24" s="47"/>
      <c r="I24" s="37"/>
      <c r="J24" s="39"/>
      <c r="K24" s="37"/>
      <c r="L24" s="37" t="s">
        <v>178</v>
      </c>
      <c r="M24" s="40"/>
      <c r="N24" s="38">
        <v>12</v>
      </c>
      <c r="O24" s="37" t="s">
        <v>115</v>
      </c>
      <c r="P24" s="41">
        <v>17600</v>
      </c>
      <c r="Q24" s="42"/>
      <c r="R24" s="48"/>
      <c r="S24" s="49">
        <v>0.125</v>
      </c>
      <c r="T24" s="44">
        <v>0.05</v>
      </c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211200</v>
      </c>
      <c r="Y24" s="50">
        <f>IF(NOTA[[#This Row],[JUMLAH]]="","",NOTA[[#This Row],[JUMLAH]]*NOTA[[#This Row],[DISC 1]])</f>
        <v>26400</v>
      </c>
      <c r="Z24" s="50">
        <f>IF(NOTA[[#This Row],[JUMLAH]]="","",(NOTA[[#This Row],[JUMLAH]]-NOTA[[#This Row],[DISC 1-]])*NOTA[[#This Row],[DISC 2]])</f>
        <v>9240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35640</v>
      </c>
      <c r="AC24" s="50">
        <f>IF(NOTA[[#This Row],[JUMLAH]]="","",NOTA[[#This Row],[JUMLAH]]-NOTA[[#This Row],[DISC]])</f>
        <v>175560</v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4" s="50">
        <f>IF(OR(NOTA[[#This Row],[QTY]]="",NOTA[[#This Row],[HARGA SATUAN]]="",),"",NOTA[[#This Row],[QTY]]*NOTA[[#This Row],[HARGA SATUAN]])</f>
        <v>211200</v>
      </c>
      <c r="AI24" s="39">
        <f ca="1">IF(NOTA[ID_H]="","",INDEX(NOTA[TANGGAL],MATCH(,INDIRECT(ADDRESS(ROW(NOTA[TANGGAL]),COLUMN(NOTA[TANGGAL]))&amp;":"&amp;ADDRESS(ROW(),COLUMN(NOTA[TANGGAL]))),-1)))</f>
        <v>45297</v>
      </c>
      <c r="AJ24" s="41" t="str">
        <f ca="1">IF(NOTA[[#This Row],[NAMA BARANG]]="","",INDEX(NOTA[SUPPLIER],MATCH(,INDIRECT(ADDRESS(ROW(NOTA[ID]),COLUMN(NOTA[ID]))&amp;":"&amp;ADDRESS(ROW(),COLUMN(NOTA[ID]))),-1)))</f>
        <v>ATALI MAKMUR</v>
      </c>
      <c r="AK24" s="41" t="str">
        <f ca="1">IF(NOTA[[#This Row],[ID_H]]="","",IF(NOTA[[#This Row],[FAKTUR]]="",INDIRECT(ADDRESS(ROW()-1,COLUMN())),NOTA[[#This Row],[FAKTUR]]))</f>
        <v>ARTO MORO</v>
      </c>
      <c r="AL24" s="38" t="str">
        <f ca="1">IF(NOTA[[#This Row],[ID]]="","",COUNTIF(NOTA[ID_H],NOTA[[#This Row],[ID_H]]))</f>
        <v/>
      </c>
      <c r="AM24" s="38">
        <f ca="1">IF(NOTA[[#This Row],[TGL.NOTA]]="",IF(NOTA[[#This Row],[SUPPLIER_H]]="","",AM23),MONTH(NOTA[[#This Row],[TGL.NOTA]]))</f>
        <v>1</v>
      </c>
      <c r="AN24" s="38" t="str">
        <f>LOWER(SUBSTITUTE(SUBSTITUTE(SUBSTITUTE(SUBSTITUTE(SUBSTITUTE(SUBSTITUTE(SUBSTITUTE(SUBSTITUTE(SUBSTITUTE(NOTA[NAMA BARANG]," ",),".",""),"-",""),"(",""),")",""),",",""),"/",""),"""",""),"+",""))</f>
        <v>bagb26373redjk</v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bagb26373redjk2112000.1250.05</v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bagb26373redjk176000.1250.05</v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38" t="str">
        <f>IF(NOTA[[#This Row],[CONCAT4]]="","",_xlfn.IFNA(MATCH(NOTA[[#This Row],[CONCAT4]],[2]!RAW[CONCAT_H],0),FALSE))</f>
        <v/>
      </c>
      <c r="AS24" s="38">
        <f>IF(NOTA[[#This Row],[CONCAT1]]="","",MATCH(NOTA[[#This Row],[CONCAT1]],[3]!db[NB NOTA_C],0))</f>
        <v>94</v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CTN]],INDEX([3]!db[QTY/ CTN],NOTA[[#This Row],[//DB]])))</f>
        <v>48 PCS</v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bagb26373redjk48pcsartomoro</v>
      </c>
      <c r="AW24" s="38" t="e">
        <f ca="1">IF(NOTA[[#This Row],[ID_H]]="","",MATCH(NOTA[[#This Row],[NB NOTA_C_QTY]],[4]!db[NB NOTA_C_QTY+F],0))</f>
        <v>#REF!</v>
      </c>
      <c r="AX24" s="53">
        <f ca="1">IF(NOTA[[#This Row],[NB NOTA_C_QTY]]="","",ROW()-2)</f>
        <v>22</v>
      </c>
    </row>
    <row r="25" spans="1:50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>
        <f ca="1">IF(NOTA[[#This Row],[NAMA BARANG]]="","",INDEX(NOTA[ID],MATCH(,INDIRECT(ADDRESS(ROW(NOTA[ID]),COLUMN(NOTA[ID]))&amp;":"&amp;ADDRESS(ROW(),COLUMN(NOTA[ID]))),-1)))</f>
        <v>3</v>
      </c>
      <c r="E25" s="46"/>
      <c r="F25" s="37"/>
      <c r="G25" s="37"/>
      <c r="H25" s="47"/>
      <c r="I25" s="37"/>
      <c r="J25" s="39"/>
      <c r="K25" s="37"/>
      <c r="L25" s="37" t="s">
        <v>179</v>
      </c>
      <c r="M25" s="40"/>
      <c r="N25" s="38">
        <v>12</v>
      </c>
      <c r="O25" s="37" t="s">
        <v>115</v>
      </c>
      <c r="P25" s="41">
        <v>17600</v>
      </c>
      <c r="Q25" s="42"/>
      <c r="R25" s="48"/>
      <c r="S25" s="49">
        <v>0.125</v>
      </c>
      <c r="T25" s="44">
        <v>0.05</v>
      </c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211200</v>
      </c>
      <c r="Y25" s="50">
        <f>IF(NOTA[[#This Row],[JUMLAH]]="","",NOTA[[#This Row],[JUMLAH]]*NOTA[[#This Row],[DISC 1]])</f>
        <v>26400</v>
      </c>
      <c r="Z25" s="50">
        <f>IF(NOTA[[#This Row],[JUMLAH]]="","",(NOTA[[#This Row],[JUMLAH]]-NOTA[[#This Row],[DISC 1-]])*NOTA[[#This Row],[DISC 2]])</f>
        <v>9240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35640</v>
      </c>
      <c r="AC25" s="50">
        <f>IF(NOTA[[#This Row],[JUMLAH]]="","",NOTA[[#This Row],[JUMLAH]]-NOTA[[#This Row],[DISC]])</f>
        <v>175560</v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5" s="50">
        <f>IF(OR(NOTA[[#This Row],[QTY]]="",NOTA[[#This Row],[HARGA SATUAN]]="",),"",NOTA[[#This Row],[QTY]]*NOTA[[#This Row],[HARGA SATUAN]])</f>
        <v>211200</v>
      </c>
      <c r="AI25" s="39">
        <f ca="1">IF(NOTA[ID_H]="","",INDEX(NOTA[TANGGAL],MATCH(,INDIRECT(ADDRESS(ROW(NOTA[TANGGAL]),COLUMN(NOTA[TANGGAL]))&amp;":"&amp;ADDRESS(ROW(),COLUMN(NOTA[TANGGAL]))),-1)))</f>
        <v>45297</v>
      </c>
      <c r="AJ25" s="41" t="str">
        <f ca="1">IF(NOTA[[#This Row],[NAMA BARANG]]="","",INDEX(NOTA[SUPPLIER],MATCH(,INDIRECT(ADDRESS(ROW(NOTA[ID]),COLUMN(NOTA[ID]))&amp;":"&amp;ADDRESS(ROW(),COLUMN(NOTA[ID]))),-1)))</f>
        <v>ATALI MAKMUR</v>
      </c>
      <c r="AK25" s="41" t="str">
        <f ca="1">IF(NOTA[[#This Row],[ID_H]]="","",IF(NOTA[[#This Row],[FAKTUR]]="",INDIRECT(ADDRESS(ROW()-1,COLUMN())),NOTA[[#This Row],[FAKTUR]]))</f>
        <v>ARTO MORO</v>
      </c>
      <c r="AL25" s="38" t="str">
        <f ca="1">IF(NOTA[[#This Row],[ID]]="","",COUNTIF(NOTA[ID_H],NOTA[[#This Row],[ID_H]]))</f>
        <v/>
      </c>
      <c r="AM25" s="38">
        <f ca="1">IF(NOTA[[#This Row],[TGL.NOTA]]="",IF(NOTA[[#This Row],[SUPPLIER_H]]="","",AM24),MONTH(NOTA[[#This Row],[TGL.NOTA]]))</f>
        <v>1</v>
      </c>
      <c r="AN25" s="38" t="str">
        <f>LOWER(SUBSTITUTE(SUBSTITUTE(SUBSTITUTE(SUBSTITUTE(SUBSTITUTE(SUBSTITUTE(SUBSTITUTE(SUBSTITUTE(SUBSTITUTE(NOTA[NAMA BARANG]," ",),".",""),"-",""),"(",""),")",""),",",""),"/",""),"""",""),"+",""))</f>
        <v>bagb26373whitejk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bagb26373whitejk2112000.1250.05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bagb26373whitejk176000.1250.05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" s="38" t="str">
        <f>IF(NOTA[[#This Row],[CONCAT4]]="","",_xlfn.IFNA(MATCH(NOTA[[#This Row],[CONCAT4]],[2]!RAW[CONCAT_H],0),FALSE))</f>
        <v/>
      </c>
      <c r="AS25" s="38">
        <f>IF(NOTA[[#This Row],[CONCAT1]]="","",MATCH(NOTA[[#This Row],[CONCAT1]],[3]!db[NB NOTA_C],0))</f>
        <v>95</v>
      </c>
      <c r="AT25" s="38" t="str">
        <f>IF(NOTA[[#This Row],[QTY/ CTN]]="","",TRUE)</f>
        <v/>
      </c>
      <c r="AU25" s="38" t="str">
        <f ca="1">IF(NOTA[[#This Row],[ID_H]]="","",IF(NOTA[[#This Row],[Column3]]=TRUE,NOTA[[#This Row],[QTY/ CTN]],INDEX([3]!db[QTY/ CTN],NOTA[[#This Row],[//DB]])))</f>
        <v>48 PCS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bagb26373whitejk48pcsartomoro</v>
      </c>
      <c r="AW25" s="38" t="e">
        <f ca="1">IF(NOTA[[#This Row],[ID_H]]="","",MATCH(NOTA[[#This Row],[NB NOTA_C_QTY]],[4]!db[NB NOTA_C_QTY+F],0))</f>
        <v>#REF!</v>
      </c>
      <c r="AX25" s="53">
        <f ca="1">IF(NOTA[[#This Row],[NB NOTA_C_QTY]]="","",ROW()-2)</f>
        <v>23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>
        <f ca="1">IF(NOTA[[#This Row],[NAMA BARANG]]="","",INDEX(NOTA[ID],MATCH(,INDIRECT(ADDRESS(ROW(NOTA[ID]),COLUMN(NOTA[ID]))&amp;":"&amp;ADDRESS(ROW(),COLUMN(NOTA[ID]))),-1)))</f>
        <v>3</v>
      </c>
      <c r="E26" s="46"/>
      <c r="F26" s="37"/>
      <c r="G26" s="37"/>
      <c r="H26" s="47"/>
      <c r="I26" s="37"/>
      <c r="J26" s="39"/>
      <c r="K26" s="37"/>
      <c r="L26" s="37" t="s">
        <v>180</v>
      </c>
      <c r="M26" s="40"/>
      <c r="N26" s="38">
        <v>12</v>
      </c>
      <c r="O26" s="37" t="s">
        <v>115</v>
      </c>
      <c r="P26" s="41">
        <v>17600</v>
      </c>
      <c r="Q26" s="42"/>
      <c r="R26" s="48"/>
      <c r="S26" s="49">
        <v>0.125</v>
      </c>
      <c r="T26" s="44">
        <v>0.05</v>
      </c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211200</v>
      </c>
      <c r="Y26" s="50">
        <f>IF(NOTA[[#This Row],[JUMLAH]]="","",NOTA[[#This Row],[JUMLAH]]*NOTA[[#This Row],[DISC 1]])</f>
        <v>26400</v>
      </c>
      <c r="Z26" s="50">
        <f>IF(NOTA[[#This Row],[JUMLAH]]="","",(NOTA[[#This Row],[JUMLAH]]-NOTA[[#This Row],[DISC 1-]])*NOTA[[#This Row],[DISC 2]])</f>
        <v>9240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35640</v>
      </c>
      <c r="AC26" s="50">
        <f>IF(NOTA[[#This Row],[JUMLAH]]="","",NOTA[[#This Row],[JUMLAH]]-NOTA[[#This Row],[DISC]])</f>
        <v>175560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6" s="50">
        <f>IF(OR(NOTA[[#This Row],[QTY]]="",NOTA[[#This Row],[HARGA SATUAN]]="",),"",NOTA[[#This Row],[QTY]]*NOTA[[#This Row],[HARGA SATUAN]])</f>
        <v>211200</v>
      </c>
      <c r="AI26" s="39">
        <f ca="1">IF(NOTA[ID_H]="","",INDEX(NOTA[TANGGAL],MATCH(,INDIRECT(ADDRESS(ROW(NOTA[TANGGAL]),COLUMN(NOTA[TANGGAL]))&amp;":"&amp;ADDRESS(ROW(),COLUMN(NOTA[TANGGAL]))),-1)))</f>
        <v>45297</v>
      </c>
      <c r="AJ26" s="41" t="str">
        <f ca="1">IF(NOTA[[#This Row],[NAMA BARANG]]="","",INDEX(NOTA[SUPPLIER],MATCH(,INDIRECT(ADDRESS(ROW(NOTA[ID]),COLUMN(NOTA[ID]))&amp;":"&amp;ADDRESS(ROW(),COLUMN(NOTA[ID]))),-1)))</f>
        <v>ATALI MAKMUR</v>
      </c>
      <c r="AK26" s="41" t="str">
        <f ca="1">IF(NOTA[[#This Row],[ID_H]]="","",IF(NOTA[[#This Row],[FAKTUR]]="",INDIRECT(ADDRESS(ROW()-1,COLUMN())),NOTA[[#This Row],[FAKTUR]]))</f>
        <v>ARTO MORO</v>
      </c>
      <c r="AL26" s="38" t="str">
        <f ca="1">IF(NOTA[[#This Row],[ID]]="","",COUNTIF(NOTA[ID_H],NOTA[[#This Row],[ID_H]]))</f>
        <v/>
      </c>
      <c r="AM26" s="38">
        <f ca="1">IF(NOTA[[#This Row],[TGL.NOTA]]="",IF(NOTA[[#This Row],[SUPPLIER_H]]="","",AM25),MONTH(NOTA[[#This Row],[TGL.NOTA]]))</f>
        <v>1</v>
      </c>
      <c r="AN26" s="38" t="str">
        <f>LOWER(SUBSTITUTE(SUBSTITUTE(SUBSTITUTE(SUBSTITUTE(SUBSTITUTE(SUBSTITUTE(SUBSTITUTE(SUBSTITUTE(SUBSTITUTE(NOTA[NAMA BARANG]," ",),".",""),"-",""),"(",""),")",""),",",""),"/",""),"""",""),"+",""))</f>
        <v>bagb26373yellowjk</v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bagb26373yellowjk2112000.1250.05</v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bagb26373yellowjk176000.1250.05</v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>
        <f>IF(NOTA[[#This Row],[CONCAT1]]="","",MATCH(NOTA[[#This Row],[CONCAT1]],[3]!db[NB NOTA_C],0))</f>
        <v>96</v>
      </c>
      <c r="AT26" s="38" t="str">
        <f>IF(NOTA[[#This Row],[QTY/ CTN]]="","",TRUE)</f>
        <v/>
      </c>
      <c r="AU26" s="38" t="str">
        <f ca="1">IF(NOTA[[#This Row],[ID_H]]="","",IF(NOTA[[#This Row],[Column3]]=TRUE,NOTA[[#This Row],[QTY/ CTN]],INDEX([3]!db[QTY/ CTN],NOTA[[#This Row],[//DB]])))</f>
        <v>48 PCS</v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bagb26373yellowjk48pcsartomoro</v>
      </c>
      <c r="AW26" s="38" t="e">
        <f ca="1">IF(NOTA[[#This Row],[ID_H]]="","",MATCH(NOTA[[#This Row],[NB NOTA_C_QTY]],[4]!db[NB NOTA_C_QTY+F],0))</f>
        <v>#REF!</v>
      </c>
      <c r="AX26" s="53">
        <f ca="1">IF(NOTA[[#This Row],[NB NOTA_C_QTY]]="","",ROW()-2)</f>
        <v>24</v>
      </c>
    </row>
    <row r="27" spans="1:50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3</v>
      </c>
      <c r="E27" s="46"/>
      <c r="F27" s="37"/>
      <c r="G27" s="37"/>
      <c r="H27" s="47"/>
      <c r="I27" s="37"/>
      <c r="J27" s="39"/>
      <c r="K27" s="37"/>
      <c r="L27" s="37" t="s">
        <v>181</v>
      </c>
      <c r="M27" s="40">
        <v>1</v>
      </c>
      <c r="N27" s="38">
        <v>144</v>
      </c>
      <c r="O27" s="37" t="s">
        <v>116</v>
      </c>
      <c r="P27" s="41">
        <v>22200</v>
      </c>
      <c r="Q27" s="42"/>
      <c r="R27" s="48"/>
      <c r="S27" s="49">
        <v>0.125</v>
      </c>
      <c r="T27" s="44">
        <v>0.05</v>
      </c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3196800</v>
      </c>
      <c r="Y27" s="50">
        <f>IF(NOTA[[#This Row],[JUMLAH]]="","",NOTA[[#This Row],[JUMLAH]]*NOTA[[#This Row],[DISC 1]])</f>
        <v>399600</v>
      </c>
      <c r="Z27" s="50">
        <f>IF(NOTA[[#This Row],[JUMLAH]]="","",(NOTA[[#This Row],[JUMLAH]]-NOTA[[#This Row],[DISC 1-]])*NOTA[[#This Row],[DISC 2]])</f>
        <v>139860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539460</v>
      </c>
      <c r="AC27" s="50">
        <f>IF(NOTA[[#This Row],[JUMLAH]]="","",NOTA[[#This Row],[JUMLAH]]-NOTA[[#This Row],[DISC]])</f>
        <v>2657340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H27" s="50">
        <f>IF(OR(NOTA[[#This Row],[QTY]]="",NOTA[[#This Row],[HARGA SATUAN]]="",),"",NOTA[[#This Row],[QTY]]*NOTA[[#This Row],[HARGA SATUAN]])</f>
        <v>3196800</v>
      </c>
      <c r="AI27" s="39">
        <f ca="1">IF(NOTA[ID_H]="","",INDEX(NOTA[TANGGAL],MATCH(,INDIRECT(ADDRESS(ROW(NOTA[TANGGAL]),COLUMN(NOTA[TANGGAL]))&amp;":"&amp;ADDRESS(ROW(),COLUMN(NOTA[TANGGAL]))),-1)))</f>
        <v>45297</v>
      </c>
      <c r="AJ27" s="41" t="str">
        <f ca="1">IF(NOTA[[#This Row],[NAMA BARANG]]="","",INDEX(NOTA[SUPPLIER],MATCH(,INDIRECT(ADDRESS(ROW(NOTA[ID]),COLUMN(NOTA[ID]))&amp;":"&amp;ADDRESS(ROW(),COLUMN(NOTA[ID]))),-1)))</f>
        <v>ATALI MAKMUR</v>
      </c>
      <c r="AK27" s="41" t="str">
        <f ca="1">IF(NOTA[[#This Row],[ID_H]]="","",IF(NOTA[[#This Row],[FAKTUR]]="",INDIRECT(ADDRESS(ROW()-1,COLUMN())),NOTA[[#This Row],[FAKTUR]]))</f>
        <v>ARTO MORO</v>
      </c>
      <c r="AL27" s="38" t="str">
        <f ca="1">IF(NOTA[[#This Row],[ID]]="","",COUNTIF(NOTA[ID_H],NOTA[[#This Row],[ID_H]]))</f>
        <v/>
      </c>
      <c r="AM27" s="38">
        <f ca="1">IF(NOTA[[#This Row],[TGL.NOTA]]="",IF(NOTA[[#This Row],[SUPPLIER_H]]="","",AM26),MONTH(NOTA[[#This Row],[TGL.NOTA]]))</f>
        <v>1</v>
      </c>
      <c r="AN27" s="38" t="str">
        <f>LOWER(SUBSTITUTE(SUBSTITUTE(SUBSTITUTE(SUBSTITUTE(SUBSTITUTE(SUBSTITUTE(SUBSTITUTE(SUBSTITUTE(SUBSTITUTE(NOTA[NAMA BARANG]," ",),".",""),"-",""),"(",""),")",""),",",""),"/",""),"""",""),"+",""))</f>
        <v>highlighterhl70jk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highlighterhl70jk31968000.1250.05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highlighterhl70jk31968000.1250.05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38" t="str">
        <f>IF(NOTA[[#This Row],[CONCAT4]]="","",_xlfn.IFNA(MATCH(NOTA[[#This Row],[CONCAT4]],[2]!RAW[CONCAT_H],0),FALSE))</f>
        <v/>
      </c>
      <c r="AS27" s="38" t="e">
        <f>IF(NOTA[[#This Row],[CONCAT1]]="","",MATCH(NOTA[[#This Row],[CONCAT1]],[3]!db[NB NOTA_C],0))</f>
        <v>#N/A</v>
      </c>
      <c r="AT27" s="38" t="str">
        <f>IF(NOTA[[#This Row],[QTY/ CTN]]="","",TRUE)</f>
        <v/>
      </c>
      <c r="AU27" s="38" t="e">
        <f ca="1">IF(NOTA[[#This Row],[ID_H]]="","",IF(NOTA[[#This Row],[Column3]]=TRUE,NOTA[[#This Row],[QTY/ CTN]],INDEX([3]!db[QTY/ CTN],NOTA[[#This Row],[//DB]])))</f>
        <v>#N/A</v>
      </c>
      <c r="AV2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7" s="38" t="e">
        <f ca="1">IF(NOTA[[#This Row],[ID_H]]="","",MATCH(NOTA[[#This Row],[NB NOTA_C_QTY]],[4]!db[NB NOTA_C_QTY+F],0))</f>
        <v>#N/A</v>
      </c>
      <c r="AX27" s="53" t="e">
        <f ca="1">IF(NOTA[[#This Row],[NB NOTA_C_QTY]]="","",ROW()-2)</f>
        <v>#N/A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3</v>
      </c>
      <c r="E28" s="46"/>
      <c r="F28" s="37"/>
      <c r="G28" s="37"/>
      <c r="H28" s="47"/>
      <c r="I28" s="37"/>
      <c r="J28" s="39"/>
      <c r="K28" s="37"/>
      <c r="L28" s="37" t="s">
        <v>182</v>
      </c>
      <c r="M28" s="40">
        <v>2</v>
      </c>
      <c r="N28" s="38">
        <v>288</v>
      </c>
      <c r="O28" s="37" t="s">
        <v>116</v>
      </c>
      <c r="P28" s="41">
        <v>18600</v>
      </c>
      <c r="Q28" s="42"/>
      <c r="R28" s="48"/>
      <c r="S28" s="49">
        <v>0.125</v>
      </c>
      <c r="T28" s="44">
        <v>0.05</v>
      </c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5356800</v>
      </c>
      <c r="Y28" s="50">
        <f>IF(NOTA[[#This Row],[JUMLAH]]="","",NOTA[[#This Row],[JUMLAH]]*NOTA[[#This Row],[DISC 1]])</f>
        <v>669600</v>
      </c>
      <c r="Z28" s="50">
        <f>IF(NOTA[[#This Row],[JUMLAH]]="","",(NOTA[[#This Row],[JUMLAH]]-NOTA[[#This Row],[DISC 1-]])*NOTA[[#This Row],[DISC 2]])</f>
        <v>234360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903960</v>
      </c>
      <c r="AC28" s="50">
        <f>IF(NOTA[[#This Row],[JUMLAH]]="","",NOTA[[#This Row],[JUMLAH]]-NOTA[[#This Row],[DISC]])</f>
        <v>4452840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8" s="50">
        <f>IF(OR(NOTA[[#This Row],[QTY]]="",NOTA[[#This Row],[HARGA SATUAN]]="",),"",NOTA[[#This Row],[QTY]]*NOTA[[#This Row],[HARGA SATUAN]])</f>
        <v>5356800</v>
      </c>
      <c r="AI28" s="39">
        <f ca="1">IF(NOTA[ID_H]="","",INDEX(NOTA[TANGGAL],MATCH(,INDIRECT(ADDRESS(ROW(NOTA[TANGGAL]),COLUMN(NOTA[TANGGAL]))&amp;":"&amp;ADDRESS(ROW(),COLUMN(NOTA[TANGGAL]))),-1)))</f>
        <v>45297</v>
      </c>
      <c r="AJ28" s="41" t="str">
        <f ca="1">IF(NOTA[[#This Row],[NAMA BARANG]]="","",INDEX(NOTA[SUPPLIER],MATCH(,INDIRECT(ADDRESS(ROW(NOTA[ID]),COLUMN(NOTA[ID]))&amp;":"&amp;ADDRESS(ROW(),COLUMN(NOTA[ID]))),-1)))</f>
        <v>ATALI MAKMUR</v>
      </c>
      <c r="AK28" s="41" t="str">
        <f ca="1">IF(NOTA[[#This Row],[ID_H]]="","",IF(NOTA[[#This Row],[FAKTUR]]="",INDIRECT(ADDRESS(ROW()-1,COLUMN())),NOTA[[#This Row],[FAKTUR]]))</f>
        <v>ARTO MORO</v>
      </c>
      <c r="AL28" s="38" t="str">
        <f ca="1">IF(NOTA[[#This Row],[ID]]="","",COUNTIF(NOTA[ID_H],NOTA[[#This Row],[ID_H]]))</f>
        <v/>
      </c>
      <c r="AM28" s="38">
        <f ca="1">IF(NOTA[[#This Row],[TGL.NOTA]]="",IF(NOTA[[#This Row],[SUPPLIER_H]]="","",AM27),MONTH(NOTA[[#This Row],[TGL.NOTA]]))</f>
        <v>1</v>
      </c>
      <c r="AN28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>
        <f>IF(NOTA[[#This Row],[CONCAT1]]="","",MATCH(NOTA[[#This Row],[CONCAT1]],[3]!db[NB NOTA_C],0))</f>
        <v>763</v>
      </c>
      <c r="AT28" s="38" t="str">
        <f>IF(NOTA[[#This Row],[QTY/ CTN]]="","",TRUE)</f>
        <v/>
      </c>
      <c r="AU28" s="38" t="str">
        <f ca="1">IF(NOTA[[#This Row],[ID_H]]="","",IF(NOTA[[#This Row],[Column3]]=TRUE,NOTA[[#This Row],[QTY/ CTN]],INDEX([3]!db[QTY/ CTN],NOTA[[#This Row],[//DB]])))</f>
        <v>12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3</v>
      </c>
      <c r="E29" s="46"/>
      <c r="F29" s="37"/>
      <c r="G29" s="37"/>
      <c r="H29" s="47"/>
      <c r="I29" s="37"/>
      <c r="J29" s="39"/>
      <c r="K29" s="37"/>
      <c r="L29" s="37" t="s">
        <v>183</v>
      </c>
      <c r="M29" s="40">
        <v>2</v>
      </c>
      <c r="N29" s="38">
        <v>144</v>
      </c>
      <c r="O29" s="37" t="s">
        <v>116</v>
      </c>
      <c r="P29" s="41">
        <v>47800</v>
      </c>
      <c r="Q29" s="42"/>
      <c r="R29" s="48"/>
      <c r="S29" s="49">
        <v>0.125</v>
      </c>
      <c r="T29" s="44">
        <v>0.05</v>
      </c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6883200</v>
      </c>
      <c r="Y29" s="50">
        <f>IF(NOTA[[#This Row],[JUMLAH]]="","",NOTA[[#This Row],[JUMLAH]]*NOTA[[#This Row],[DISC 1]])</f>
        <v>860400</v>
      </c>
      <c r="Z29" s="50">
        <f>IF(NOTA[[#This Row],[JUMLAH]]="","",(NOTA[[#This Row],[JUMLAH]]-NOTA[[#This Row],[DISC 1-]])*NOTA[[#This Row],[DISC 2]])</f>
        <v>301140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1161540</v>
      </c>
      <c r="AC29" s="50">
        <f>IF(NOTA[[#This Row],[JUMLAH]]="","",NOTA[[#This Row],[JUMLAH]]-NOTA[[#This Row],[DISC]])</f>
        <v>5721660</v>
      </c>
      <c r="AD29" s="50"/>
      <c r="AE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29" s="50">
        <f>IF(OR(NOTA[[#This Row],[QTY]]="",NOTA[[#This Row],[HARGA SATUAN]]="",),"",NOTA[[#This Row],[QTY]]*NOTA[[#This Row],[HARGA SATUAN]])</f>
        <v>6883200</v>
      </c>
      <c r="AI29" s="39">
        <f ca="1">IF(NOTA[ID_H]="","",INDEX(NOTA[TANGGAL],MATCH(,INDIRECT(ADDRESS(ROW(NOTA[TANGGAL]),COLUMN(NOTA[TANGGAL]))&amp;":"&amp;ADDRESS(ROW(),COLUMN(NOTA[TANGGAL]))),-1)))</f>
        <v>45297</v>
      </c>
      <c r="AJ29" s="41" t="str">
        <f ca="1">IF(NOTA[[#This Row],[NAMA BARANG]]="","",INDEX(NOTA[SUPPLIER],MATCH(,INDIRECT(ADDRESS(ROW(NOTA[ID]),COLUMN(NOTA[ID]))&amp;":"&amp;ADDRESS(ROW(),COLUMN(NOTA[ID]))),-1)))</f>
        <v>ATALI MAKMUR</v>
      </c>
      <c r="AK29" s="41" t="str">
        <f ca="1">IF(NOTA[[#This Row],[ID_H]]="","",IF(NOTA[[#This Row],[FAKTUR]]="",INDIRECT(ADDRESS(ROW()-1,COLUMN())),NOTA[[#This Row],[FAKTUR]]))</f>
        <v>ARTO MORO</v>
      </c>
      <c r="AL29" s="38" t="str">
        <f ca="1">IF(NOTA[[#This Row],[ID]]="","",COUNTIF(NOTA[ID_H],NOTA[[#This Row],[ID_H]]))</f>
        <v/>
      </c>
      <c r="AM29" s="38">
        <f ca="1">IF(NOTA[[#This Row],[TGL.NOTA]]="",IF(NOTA[[#This Row],[SUPPLIER_H]]="","",AM28),MONTH(NOTA[[#This Row],[TGL.NOTA]]))</f>
        <v>1</v>
      </c>
      <c r="AN29" s="38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>
        <f>IF(NOTA[[#This Row],[CONCAT1]]="","",MATCH(NOTA[[#This Row],[CONCAT1]],[3]!db[NB NOTA_C],0))</f>
        <v>766</v>
      </c>
      <c r="AT29" s="38" t="str">
        <f>IF(NOTA[[#This Row],[QTY/ CTN]]="","",TRUE)</f>
        <v/>
      </c>
      <c r="AU29" s="38" t="str">
        <f ca="1">IF(NOTA[[#This Row],[ID_H]]="","",IF(NOTA[[#This Row],[Column3]]=TRUE,NOTA[[#This Row],[QTY/ CTN]],INDEX([3]!db[QTY/ CTN],NOTA[[#This Row],[//DB]])))</f>
        <v>12 BOX (6 SET)</v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W29" s="38" t="e">
        <f ca="1">IF(NOTA[[#This Row],[ID_H]]="","",MATCH(NOTA[[#This Row],[NB NOTA_C_QTY]],[4]!db[NB NOTA_C_QTY+F],0))</f>
        <v>#REF!</v>
      </c>
      <c r="AX29" s="53">
        <f ca="1">IF(NOTA[[#This Row],[NB NOTA_C_QTY]]="","",ROW()-2)</f>
        <v>27</v>
      </c>
    </row>
    <row r="30" spans="1:50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>
        <f ca="1">IF(NOTA[[#This Row],[NAMA BARANG]]="","",INDEX(NOTA[ID],MATCH(,INDIRECT(ADDRESS(ROW(NOTA[ID]),COLUMN(NOTA[ID]))&amp;":"&amp;ADDRESS(ROW(),COLUMN(NOTA[ID]))),-1)))</f>
        <v>3</v>
      </c>
      <c r="E30" s="46"/>
      <c r="F30" s="37"/>
      <c r="G30" s="37"/>
      <c r="H30" s="47"/>
      <c r="I30" s="37"/>
      <c r="J30" s="39"/>
      <c r="K30" s="37"/>
      <c r="L30" s="37" t="s">
        <v>119</v>
      </c>
      <c r="M30" s="40"/>
      <c r="N30" s="38">
        <v>96</v>
      </c>
      <c r="O30" s="37" t="s">
        <v>115</v>
      </c>
      <c r="P30" s="41">
        <v>2300</v>
      </c>
      <c r="Q30" s="42"/>
      <c r="R30" s="48"/>
      <c r="S30" s="49">
        <v>0.125</v>
      </c>
      <c r="T30" s="44">
        <v>0.05</v>
      </c>
      <c r="U30" s="44"/>
      <c r="V30" s="50">
        <v>183540</v>
      </c>
      <c r="W30" s="45"/>
      <c r="X30" s="50">
        <f>IF(NOTA[[#This Row],[HARGA/ CTN]]="",NOTA[[#This Row],[JUMLAH_H]],NOTA[[#This Row],[HARGA/ CTN]]*IF(NOTA[[#This Row],[C]]="",0,NOTA[[#This Row],[C]]))</f>
        <v>220800</v>
      </c>
      <c r="Y30" s="50">
        <f>IF(NOTA[[#This Row],[JUMLAH]]="","",NOTA[[#This Row],[JUMLAH]]*NOTA[[#This Row],[DISC 1]])</f>
        <v>27600</v>
      </c>
      <c r="Z30" s="50">
        <f>IF(NOTA[[#This Row],[JUMLAH]]="","",(NOTA[[#This Row],[JUMLAH]]-NOTA[[#This Row],[DISC 1-]])*NOTA[[#This Row],[DISC 2]])</f>
        <v>9660</v>
      </c>
      <c r="AA30" s="50">
        <f>IF(NOTA[[#This Row],[JUMLAH]]="","",(NOTA[[#This Row],[JUMLAH]]-NOTA[[#This Row],[DISC 1-]]-NOTA[[#This Row],[DISC 2-]])*NOTA[[#This Row],[DISC 3]])</f>
        <v>0</v>
      </c>
      <c r="AB30" s="50">
        <f>IF(NOTA[[#This Row],[JUMLAH]]="","",NOTA[[#This Row],[DISC 1-]]+NOTA[[#This Row],[DISC 2-]]+NOTA[[#This Row],[DISC 3-]])</f>
        <v>37260</v>
      </c>
      <c r="AC30" s="50">
        <f>IF(NOTA[[#This Row],[JUMLAH]]="","",NOTA[[#This Row],[JUMLAH]]-NOTA[[#This Row],[DISC]])</f>
        <v>183540</v>
      </c>
      <c r="AD30" s="50"/>
      <c r="AE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2968320</v>
      </c>
      <c r="AF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13534080</v>
      </c>
      <c r="AG30" s="41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30" s="50">
        <f>IF(OR(NOTA[[#This Row],[QTY]]="",NOTA[[#This Row],[HARGA SATUAN]]="",),"",NOTA[[#This Row],[QTY]]*NOTA[[#This Row],[HARGA SATUAN]])</f>
        <v>220800</v>
      </c>
      <c r="AI30" s="39">
        <f ca="1">IF(NOTA[ID_H]="","",INDEX(NOTA[TANGGAL],MATCH(,INDIRECT(ADDRESS(ROW(NOTA[TANGGAL]),COLUMN(NOTA[TANGGAL]))&amp;":"&amp;ADDRESS(ROW(),COLUMN(NOTA[TANGGAL]))),-1)))</f>
        <v>45297</v>
      </c>
      <c r="AJ30" s="41" t="str">
        <f ca="1">IF(NOTA[[#This Row],[NAMA BARANG]]="","",INDEX(NOTA[SUPPLIER],MATCH(,INDIRECT(ADDRESS(ROW(NOTA[ID]),COLUMN(NOTA[ID]))&amp;":"&amp;ADDRESS(ROW(),COLUMN(NOTA[ID]))),-1)))</f>
        <v>ATALI MAKMUR</v>
      </c>
      <c r="AK30" s="41" t="str">
        <f ca="1">IF(NOTA[[#This Row],[ID_H]]="","",IF(NOTA[[#This Row],[FAKTUR]]="",INDIRECT(ADDRESS(ROW()-1,COLUMN())),NOTA[[#This Row],[FAKTUR]]))</f>
        <v>ARTO MORO</v>
      </c>
      <c r="AL30" s="38" t="str">
        <f ca="1">IF(NOTA[[#This Row],[ID]]="","",COUNTIF(NOTA[ID_H],NOTA[[#This Row],[ID_H]]))</f>
        <v/>
      </c>
      <c r="AM30" s="38">
        <f ca="1">IF(NOTA[[#This Row],[TGL.NOTA]]="",IF(NOTA[[#This Row],[SUPPLIER_H]]="","",AM29),MONTH(NOTA[[#This Row],[TGL.NOTA]]))</f>
        <v>1</v>
      </c>
      <c r="AN30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" s="38" t="str">
        <f>IF(NOTA[[#This Row],[CONCAT4]]="","",_xlfn.IFNA(MATCH(NOTA[[#This Row],[CONCAT4]],[2]!RAW[CONCAT_H],0),FALSE))</f>
        <v/>
      </c>
      <c r="AS30" s="38">
        <f>IF(NOTA[[#This Row],[CONCAT1]]="","",MATCH(NOTA[[#This Row],[CONCAT1]],[3]!db[NB NOTA_C],0))</f>
        <v>3070</v>
      </c>
      <c r="AT30" s="38" t="str">
        <f>IF(NOTA[[#This Row],[QTY/ CTN]]="","",TRUE)</f>
        <v/>
      </c>
      <c r="AU30" s="38" t="str">
        <f ca="1">IF(NOTA[[#This Row],[ID_H]]="","",IF(NOTA[[#This Row],[Column3]]=TRUE,NOTA[[#This Row],[QTY/ CTN]],INDEX([3]!db[QTY/ CTN],NOTA[[#This Row],[//DB]])))</f>
        <v>48 LSN</v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0" s="38" t="e">
        <f ca="1">IF(NOTA[[#This Row],[ID_H]]="","",MATCH(NOTA[[#This Row],[NB NOTA_C_QTY]],[4]!db[NB NOTA_C_QTY+F],0))</f>
        <v>#REF!</v>
      </c>
      <c r="AX30" s="53">
        <f ca="1">IF(NOTA[[#This Row],[NB NOTA_C_QTY]]="","",ROW()-2)</f>
        <v>28</v>
      </c>
    </row>
    <row r="31" spans="1:50" s="38" customFormat="1" ht="20.100000000000001" customHeight="1" x14ac:dyDescent="0.25">
      <c r="A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8" t="str">
        <f>IF(NOTA[[#This Row],[ID_P]]="","",MATCH(NOTA[[#This Row],[ID_P]],[1]!B_MSK[N_ID],0))</f>
        <v/>
      </c>
      <c r="D31" s="38" t="str">
        <f ca="1">IF(NOTA[[#This Row],[NAMA BARANG]]="","",INDEX(NOTA[ID],MATCH(,INDIRECT(ADDRESS(ROW(NOTA[ID]),COLUMN(NOTA[ID]))&amp;":"&amp;ADDRESS(ROW(),COLUMN(NOTA[ID]))),-1)))</f>
        <v/>
      </c>
      <c r="E31" s="46"/>
      <c r="F31" s="37"/>
      <c r="G31" s="37"/>
      <c r="H31" s="47"/>
      <c r="I31" s="37"/>
      <c r="J31" s="39"/>
      <c r="K31" s="37"/>
      <c r="L31" s="37"/>
      <c r="M31" s="40"/>
      <c r="O31" s="37"/>
      <c r="P31" s="41"/>
      <c r="Q31" s="42"/>
      <c r="R31" s="48"/>
      <c r="S31" s="49"/>
      <c r="T31" s="44"/>
      <c r="U31" s="44"/>
      <c r="V31" s="50"/>
      <c r="W31" s="45"/>
      <c r="X31" s="50" t="str">
        <f>IF(NOTA[[#This Row],[HARGA/ CTN]]="",NOTA[[#This Row],[JUMLAH_H]],NOTA[[#This Row],[HARGA/ CTN]]*IF(NOTA[[#This Row],[C]]="",0,NOTA[[#This Row],[C]]))</f>
        <v/>
      </c>
      <c r="Y31" s="50" t="str">
        <f>IF(NOTA[[#This Row],[JUMLAH]]="","",NOTA[[#This Row],[JUMLAH]]*NOTA[[#This Row],[DISC 1]])</f>
        <v/>
      </c>
      <c r="Z31" s="50" t="str">
        <f>IF(NOTA[[#This Row],[JUMLAH]]="","",(NOTA[[#This Row],[JUMLAH]]-NOTA[[#This Row],[DISC 1-]])*NOTA[[#This Row],[DISC 2]])</f>
        <v/>
      </c>
      <c r="AA31" s="50" t="str">
        <f>IF(NOTA[[#This Row],[JUMLAH]]="","",(NOTA[[#This Row],[JUMLAH]]-NOTA[[#This Row],[DISC 1-]]-NOTA[[#This Row],[DISC 2-]])*NOTA[[#This Row],[DISC 3]])</f>
        <v/>
      </c>
      <c r="AB31" s="50" t="str">
        <f>IF(NOTA[[#This Row],[JUMLAH]]="","",NOTA[[#This Row],[DISC 1-]]+NOTA[[#This Row],[DISC 2-]]+NOTA[[#This Row],[DISC 3-]])</f>
        <v/>
      </c>
      <c r="AC31" s="50" t="str">
        <f>IF(NOTA[[#This Row],[JUMLAH]]="","",NOTA[[#This Row],[JUMLAH]]-NOTA[[#This Row],[DISC]])</f>
        <v/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" s="50" t="str">
        <f>IF(OR(NOTA[[#This Row],[QTY]]="",NOTA[[#This Row],[HARGA SATUAN]]="",),"",NOTA[[#This Row],[QTY]]*NOTA[[#This Row],[HARGA SATUAN]])</f>
        <v/>
      </c>
      <c r="AI31" s="39" t="str">
        <f ca="1">IF(NOTA[ID_H]="","",INDEX(NOTA[TANGGAL],MATCH(,INDIRECT(ADDRESS(ROW(NOTA[TANGGAL]),COLUMN(NOTA[TANGGAL]))&amp;":"&amp;ADDRESS(ROW(),COLUMN(NOTA[TANGGAL]))),-1)))</f>
        <v/>
      </c>
      <c r="AJ31" s="41" t="str">
        <f ca="1">IF(NOTA[[#This Row],[NAMA BARANG]]="","",INDEX(NOTA[SUPPLIER],MATCH(,INDIRECT(ADDRESS(ROW(NOTA[ID]),COLUMN(NOTA[ID]))&amp;":"&amp;ADDRESS(ROW(),COLUMN(NOTA[ID]))),-1)))</f>
        <v/>
      </c>
      <c r="AK31" s="41" t="str">
        <f ca="1">IF(NOTA[[#This Row],[ID_H]]="","",IF(NOTA[[#This Row],[FAKTUR]]="",INDIRECT(ADDRESS(ROW()-1,COLUMN())),NOTA[[#This Row],[FAKTUR]]))</f>
        <v/>
      </c>
      <c r="AL31" s="38" t="str">
        <f ca="1">IF(NOTA[[#This Row],[ID]]="","",COUNTIF(NOTA[ID_H],NOTA[[#This Row],[ID_H]]))</f>
        <v/>
      </c>
      <c r="AM31" s="38" t="str">
        <f ca="1">IF(NOTA[[#This Row],[TGL.NOTA]]="",IF(NOTA[[#This Row],[SUPPLIER_H]]="","",AM30),MONTH(NOTA[[#This Row],[TGL.NOTA]]))</f>
        <v/>
      </c>
      <c r="AN31" s="38" t="str">
        <f>LOWER(SUBSTITUTE(SUBSTITUTE(SUBSTITUTE(SUBSTITUTE(SUBSTITUTE(SUBSTITUTE(SUBSTITUTE(SUBSTITUTE(SUBSTITUTE(NOTA[NAMA BARANG]," ",),".",""),"-",""),"(",""),")",""),",",""),"/",""),"""",""),"+",""))</f>
        <v/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" s="38" t="str">
        <f>IF(NOTA[[#This Row],[CONCAT4]]="","",_xlfn.IFNA(MATCH(NOTA[[#This Row],[CONCAT4]],[2]!RAW[CONCAT_H],0),FALSE))</f>
        <v/>
      </c>
      <c r="AS31" s="38" t="str">
        <f>IF(NOTA[[#This Row],[CONCAT1]]="","",MATCH(NOTA[[#This Row],[CONCAT1]],[3]!db[NB NOTA_C],0))</f>
        <v/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/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" s="38" t="str">
        <f ca="1">IF(NOTA[[#This Row],[ID_H]]="","",MATCH(NOTA[[#This Row],[NB NOTA_C_QTY]],[4]!db[NB NOTA_C_QTY+F],0))</f>
        <v/>
      </c>
      <c r="AX31" s="53" t="str">
        <f ca="1">IF(NOTA[[#This Row],[NB NOTA_C_QTY]]="","",ROW()-2)</f>
        <v/>
      </c>
    </row>
    <row r="32" spans="1:50" s="38" customFormat="1" ht="20.100000000000001" customHeight="1" x14ac:dyDescent="0.25">
      <c r="A32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ATA_0601_067-11</v>
      </c>
      <c r="C32" s="38" t="e">
        <f ca="1">IF(NOTA[[#This Row],[ID_P]]="","",MATCH(NOTA[[#This Row],[ID_P]],[1]!B_MSK[N_ID],0))</f>
        <v>#REF!</v>
      </c>
      <c r="D32" s="38">
        <f ca="1">IF(NOTA[[#This Row],[NAMA BARANG]]="","",INDEX(NOTA[ID],MATCH(,INDIRECT(ADDRESS(ROW(NOTA[ID]),COLUMN(NOTA[ID]))&amp;":"&amp;ADDRESS(ROW(),COLUMN(NOTA[ID]))),-1)))</f>
        <v>4</v>
      </c>
      <c r="E32" s="46"/>
      <c r="F32" s="37" t="s">
        <v>24</v>
      </c>
      <c r="G32" s="37" t="s">
        <v>23</v>
      </c>
      <c r="H32" s="47" t="s">
        <v>184</v>
      </c>
      <c r="I32" s="37"/>
      <c r="J32" s="39">
        <v>45294</v>
      </c>
      <c r="K32" s="37"/>
      <c r="L32" s="37" t="s">
        <v>122</v>
      </c>
      <c r="M32" s="40">
        <v>10</v>
      </c>
      <c r="N32" s="38">
        <v>1440</v>
      </c>
      <c r="O32" s="37" t="s">
        <v>116</v>
      </c>
      <c r="P32" s="41">
        <v>10600</v>
      </c>
      <c r="Q32" s="42"/>
      <c r="R32" s="48"/>
      <c r="S32" s="49">
        <v>0.125</v>
      </c>
      <c r="T32" s="44">
        <v>0.05</v>
      </c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15264000</v>
      </c>
      <c r="Y32" s="50">
        <f>IF(NOTA[[#This Row],[JUMLAH]]="","",NOTA[[#This Row],[JUMLAH]]*NOTA[[#This Row],[DISC 1]])</f>
        <v>1908000</v>
      </c>
      <c r="Z32" s="50">
        <f>IF(NOTA[[#This Row],[JUMLAH]]="","",(NOTA[[#This Row],[JUMLAH]]-NOTA[[#This Row],[DISC 1-]])*NOTA[[#This Row],[DISC 2]])</f>
        <v>667800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2575800</v>
      </c>
      <c r="AC32" s="50">
        <f>IF(NOTA[[#This Row],[JUMLAH]]="","",NOTA[[#This Row],[JUMLAH]]-NOTA[[#This Row],[DISC]])</f>
        <v>12688200</v>
      </c>
      <c r="AD32" s="50"/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2" s="50">
        <f>IF(OR(NOTA[[#This Row],[QTY]]="",NOTA[[#This Row],[HARGA SATUAN]]="",),"",NOTA[[#This Row],[QTY]]*NOTA[[#This Row],[HARGA SATUAN]])</f>
        <v>15264000</v>
      </c>
      <c r="AI32" s="39">
        <f ca="1">IF(NOTA[ID_H]="","",INDEX(NOTA[TANGGAL],MATCH(,INDIRECT(ADDRESS(ROW(NOTA[TANGGAL]),COLUMN(NOTA[TANGGAL]))&amp;":"&amp;ADDRESS(ROW(),COLUMN(NOTA[TANGGAL]))),-1)))</f>
        <v>45297</v>
      </c>
      <c r="AJ32" s="41" t="str">
        <f ca="1">IF(NOTA[[#This Row],[NAMA BARANG]]="","",INDEX(NOTA[SUPPLIER],MATCH(,INDIRECT(ADDRESS(ROW(NOTA[ID]),COLUMN(NOTA[ID]))&amp;":"&amp;ADDRESS(ROW(),COLUMN(NOTA[ID]))),-1)))</f>
        <v>ATALI MAKMUR</v>
      </c>
      <c r="AK32" s="41" t="str">
        <f ca="1">IF(NOTA[[#This Row],[ID_H]]="","",IF(NOTA[[#This Row],[FAKTUR]]="",INDIRECT(ADDRESS(ROW()-1,COLUMN())),NOTA[[#This Row],[FAKTUR]]))</f>
        <v>ARTO MORO</v>
      </c>
      <c r="AL32" s="38">
        <f ca="1">IF(NOTA[[#This Row],[ID]]="","",COUNTIF(NOTA[ID_H],NOTA[[#This Row],[ID_H]]))</f>
        <v>11</v>
      </c>
      <c r="AM32" s="38">
        <f>IF(NOTA[[#This Row],[TGL.NOTA]]="",IF(NOTA[[#This Row],[SUPPLIER_H]]="","",AM31),MONTH(NOTA[[#This Row],[TGL.NOTA]]))</f>
        <v>1</v>
      </c>
      <c r="AN32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MOROSA24010006745294colorpencilcp12pbjk</v>
      </c>
      <c r="AR32" s="38" t="e">
        <f>IF(NOTA[[#This Row],[CONCAT4]]="","",_xlfn.IFNA(MATCH(NOTA[[#This Row],[CONCAT4]],[2]!RAW[CONCAT_H],0),FALSE))</f>
        <v>#REF!</v>
      </c>
      <c r="AS32" s="38">
        <f>IF(NOTA[[#This Row],[CONCAT1]]="","",MATCH(NOTA[[#This Row],[CONCAT1]],[3]!db[NB NOTA_C],0))</f>
        <v>684</v>
      </c>
      <c r="AT32" s="38" t="str">
        <f>IF(NOTA[[#This Row],[QTY/ CTN]]="","",TRUE)</f>
        <v/>
      </c>
      <c r="AU32" s="38" t="str">
        <f ca="1">IF(NOTA[[#This Row],[ID_H]]="","",IF(NOTA[[#This Row],[Column3]]=TRUE,NOTA[[#This Row],[QTY/ CTN]],INDEX([3]!db[QTY/ CTN],NOTA[[#This Row],[//DB]])))</f>
        <v>12 LSN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4</v>
      </c>
      <c r="E33" s="46"/>
      <c r="F33" s="37"/>
      <c r="G33" s="37"/>
      <c r="H33" s="47"/>
      <c r="I33" s="37"/>
      <c r="J33" s="39"/>
      <c r="K33" s="37"/>
      <c r="L33" s="37" t="s">
        <v>136</v>
      </c>
      <c r="M33" s="40">
        <v>5</v>
      </c>
      <c r="N33" s="38">
        <v>360</v>
      </c>
      <c r="O33" s="37" t="s">
        <v>116</v>
      </c>
      <c r="P33" s="41">
        <v>21200</v>
      </c>
      <c r="Q33" s="42"/>
      <c r="R33" s="48"/>
      <c r="S33" s="49">
        <v>0.125</v>
      </c>
      <c r="T33" s="44">
        <v>0.05</v>
      </c>
      <c r="U33" s="44"/>
      <c r="V33" s="50"/>
      <c r="W33" s="45"/>
      <c r="X33" s="50">
        <f>IF(NOTA[[#This Row],[HARGA/ CTN]]="",NOTA[[#This Row],[JUMLAH_H]],NOTA[[#This Row],[HARGA/ CTN]]*IF(NOTA[[#This Row],[C]]="",0,NOTA[[#This Row],[C]]))</f>
        <v>7632000</v>
      </c>
      <c r="Y33" s="50">
        <f>IF(NOTA[[#This Row],[JUMLAH]]="","",NOTA[[#This Row],[JUMLAH]]*NOTA[[#This Row],[DISC 1]])</f>
        <v>954000</v>
      </c>
      <c r="Z33" s="50">
        <f>IF(NOTA[[#This Row],[JUMLAH]]="","",(NOTA[[#This Row],[JUMLAH]]-NOTA[[#This Row],[DISC 1-]])*NOTA[[#This Row],[DISC 2]])</f>
        <v>333900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1287900</v>
      </c>
      <c r="AC33" s="50">
        <f>IF(NOTA[[#This Row],[JUMLAH]]="","",NOTA[[#This Row],[JUMLAH]]-NOTA[[#This Row],[DISC]])</f>
        <v>6344100</v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3" s="50">
        <f>IF(OR(NOTA[[#This Row],[QTY]]="",NOTA[[#This Row],[HARGA SATUAN]]="",),"",NOTA[[#This Row],[QTY]]*NOTA[[#This Row],[HARGA SATUAN]])</f>
        <v>7632000</v>
      </c>
      <c r="AI33" s="39">
        <f ca="1">IF(NOTA[ID_H]="","",INDEX(NOTA[TANGGAL],MATCH(,INDIRECT(ADDRESS(ROW(NOTA[TANGGAL]),COLUMN(NOTA[TANGGAL]))&amp;":"&amp;ADDRESS(ROW(),COLUMN(NOTA[TANGGAL]))),-1)))</f>
        <v>45297</v>
      </c>
      <c r="AJ33" s="41" t="str">
        <f ca="1">IF(NOTA[[#This Row],[NAMA BARANG]]="","",INDEX(NOTA[SUPPLIER],MATCH(,INDIRECT(ADDRESS(ROW(NOTA[ID]),COLUMN(NOTA[ID]))&amp;":"&amp;ADDRESS(ROW(),COLUMN(NOTA[ID]))),-1)))</f>
        <v>ATALI MAKMUR</v>
      </c>
      <c r="AK33" s="41" t="str">
        <f ca="1">IF(NOTA[[#This Row],[ID_H]]="","",IF(NOTA[[#This Row],[FAKTUR]]="",INDIRECT(ADDRESS(ROW()-1,COLUMN())),NOTA[[#This Row],[FAKTUR]]))</f>
        <v>ARTO MORO</v>
      </c>
      <c r="AL33" s="38" t="str">
        <f ca="1">IF(NOTA[[#This Row],[ID]]="","",COUNTIF(NOTA[ID_H],NOTA[[#This Row],[ID_H]]))</f>
        <v/>
      </c>
      <c r="AM33" s="38">
        <f ca="1">IF(NOTA[[#This Row],[TGL.NOTA]]="",IF(NOTA[[#This Row],[SUPPLIER_H]]="","",AM32),MONTH(NOTA[[#This Row],[TGL.NOTA]]))</f>
        <v>1</v>
      </c>
      <c r="AN33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33" s="83" t="s">
        <v>151</v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>
        <f>IF(NOTA[[#This Row],[CONCAT1]]="","",MATCH(NOTA[[#This Row],[CONCAT1]],[3]!db[NB NOTA_C],0))</f>
        <v>686</v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>12 BOX (6 SET)</v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33" s="38" t="e">
        <f ca="1">IF(NOTA[[#This Row],[ID_H]]="","",MATCH(NOTA[[#This Row],[NB NOTA_C_QTY]],[4]!db[NB NOTA_C_QTY+F],0))</f>
        <v>#REF!</v>
      </c>
      <c r="AX33" s="53">
        <f ca="1">IF(NOTA[[#This Row],[NB NOTA_C_QTY]]="","",ROW()-2)</f>
        <v>31</v>
      </c>
    </row>
    <row r="34" spans="1:50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>
        <f ca="1">IF(NOTA[[#This Row],[NAMA BARANG]]="","",INDEX(NOTA[ID],MATCH(,INDIRECT(ADDRESS(ROW(NOTA[ID]),COLUMN(NOTA[ID]))&amp;":"&amp;ADDRESS(ROW(),COLUMN(NOTA[ID]))),-1)))</f>
        <v>4</v>
      </c>
      <c r="E34" s="46"/>
      <c r="F34" s="37"/>
      <c r="G34" s="37"/>
      <c r="H34" s="47"/>
      <c r="I34" s="37"/>
      <c r="J34" s="39"/>
      <c r="K34" s="37"/>
      <c r="L34" s="37" t="s">
        <v>185</v>
      </c>
      <c r="M34" s="40">
        <v>2</v>
      </c>
      <c r="N34" s="38">
        <v>576</v>
      </c>
      <c r="O34" s="37" t="s">
        <v>116</v>
      </c>
      <c r="P34" s="41">
        <v>6700</v>
      </c>
      <c r="Q34" s="42"/>
      <c r="R34" s="48"/>
      <c r="S34" s="49">
        <v>0.125</v>
      </c>
      <c r="T34" s="44">
        <v>0.05</v>
      </c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3859200</v>
      </c>
      <c r="Y34" s="50">
        <f>IF(NOTA[[#This Row],[JUMLAH]]="","",NOTA[[#This Row],[JUMLAH]]*NOTA[[#This Row],[DISC 1]])</f>
        <v>482400</v>
      </c>
      <c r="Z34" s="50">
        <f>IF(NOTA[[#This Row],[JUMLAH]]="","",(NOTA[[#This Row],[JUMLAH]]-NOTA[[#This Row],[DISC 1-]])*NOTA[[#This Row],[DISC 2]])</f>
        <v>168840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651240</v>
      </c>
      <c r="AC34" s="50">
        <f>IF(NOTA[[#This Row],[JUMLAH]]="","",NOTA[[#This Row],[JUMLAH]]-NOTA[[#This Row],[DISC]])</f>
        <v>3207960</v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34" s="50">
        <f>IF(OR(NOTA[[#This Row],[QTY]]="",NOTA[[#This Row],[HARGA SATUAN]]="",),"",NOTA[[#This Row],[QTY]]*NOTA[[#This Row],[HARGA SATUAN]])</f>
        <v>3859200</v>
      </c>
      <c r="AI34" s="39">
        <f ca="1">IF(NOTA[ID_H]="","",INDEX(NOTA[TANGGAL],MATCH(,INDIRECT(ADDRESS(ROW(NOTA[TANGGAL]),COLUMN(NOTA[TANGGAL]))&amp;":"&amp;ADDRESS(ROW(),COLUMN(NOTA[TANGGAL]))),-1)))</f>
        <v>45297</v>
      </c>
      <c r="AJ34" s="41" t="str">
        <f ca="1">IF(NOTA[[#This Row],[NAMA BARANG]]="","",INDEX(NOTA[SUPPLIER],MATCH(,INDIRECT(ADDRESS(ROW(NOTA[ID]),COLUMN(NOTA[ID]))&amp;":"&amp;ADDRESS(ROW(),COLUMN(NOTA[ID]))),-1)))</f>
        <v>ATALI MAKMUR</v>
      </c>
      <c r="AK34" s="41" t="str">
        <f ca="1">IF(NOTA[[#This Row],[ID_H]]="","",IF(NOTA[[#This Row],[FAKTUR]]="",INDIRECT(ADDRESS(ROW()-1,COLUMN())),NOTA[[#This Row],[FAKTUR]]))</f>
        <v>ARTO MORO</v>
      </c>
      <c r="AL34" s="38" t="str">
        <f ca="1">IF(NOTA[[#This Row],[ID]]="","",COUNTIF(NOTA[ID_H],NOTA[[#This Row],[ID_H]]))</f>
        <v/>
      </c>
      <c r="AM34" s="38">
        <f ca="1">IF(NOTA[[#This Row],[TGL.NOTA]]="",IF(NOTA[[#This Row],[SUPPLIER_H]]="","",AM33),MONTH(NOTA[[#This Row],[TGL.NOTA]]))</f>
        <v>1</v>
      </c>
      <c r="AN34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34" s="83" t="s">
        <v>151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" s="38" t="str">
        <f>IF(NOTA[[#This Row],[CONCAT4]]="","",_xlfn.IFNA(MATCH(NOTA[[#This Row],[CONCAT4]],[2]!RAW[CONCAT_H],0),FALSE))</f>
        <v/>
      </c>
      <c r="AS34" s="38">
        <f>IF(NOTA[[#This Row],[CONCAT1]]="","",MATCH(NOTA[[#This Row],[CONCAT1]],[3]!db[NB NOTA_C],0))</f>
        <v>691</v>
      </c>
      <c r="AT34" s="38" t="str">
        <f>IF(NOTA[[#This Row],[QTY/ CTN]]="","",TRUE)</f>
        <v/>
      </c>
      <c r="AU34" s="38" t="str">
        <f ca="1">IF(NOTA[[#This Row],[ID_H]]="","",IF(NOTA[[#This Row],[Column3]]=TRUE,NOTA[[#This Row],[QTY/ CTN]],INDEX([3]!db[QTY/ CTN],NOTA[[#This Row],[//DB]])))</f>
        <v>12 BOX (24 SET)</v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34" s="38" t="e">
        <f ca="1">IF(NOTA[[#This Row],[ID_H]]="","",MATCH(NOTA[[#This Row],[NB NOTA_C_QTY]],[4]!db[NB NOTA_C_QTY+F],0))</f>
        <v>#REF!</v>
      </c>
      <c r="AX34" s="53">
        <f ca="1">IF(NOTA[[#This Row],[NB NOTA_C_QTY]]="","",ROW()-2)</f>
        <v>32</v>
      </c>
    </row>
    <row r="35" spans="1:50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4</v>
      </c>
      <c r="E35" s="46"/>
      <c r="F35" s="37"/>
      <c r="G35" s="37"/>
      <c r="H35" s="47"/>
      <c r="I35" s="37"/>
      <c r="J35" s="39"/>
      <c r="K35" s="37"/>
      <c r="L35" s="37" t="s">
        <v>186</v>
      </c>
      <c r="M35" s="40">
        <v>4</v>
      </c>
      <c r="N35" s="38">
        <v>96</v>
      </c>
      <c r="O35" s="37" t="s">
        <v>115</v>
      </c>
      <c r="P35" s="41">
        <v>11100</v>
      </c>
      <c r="Q35" s="42"/>
      <c r="R35" s="48"/>
      <c r="S35" s="49">
        <v>0.125</v>
      </c>
      <c r="T35" s="44">
        <v>0.05</v>
      </c>
      <c r="U35" s="44"/>
      <c r="V35" s="50"/>
      <c r="W35" s="45"/>
      <c r="X35" s="50">
        <f>IF(NOTA[[#This Row],[HARGA/ CTN]]="",NOTA[[#This Row],[JUMLAH_H]],NOTA[[#This Row],[HARGA/ CTN]]*IF(NOTA[[#This Row],[C]]="",0,NOTA[[#This Row],[C]]))</f>
        <v>1065600</v>
      </c>
      <c r="Y35" s="50">
        <f>IF(NOTA[[#This Row],[JUMLAH]]="","",NOTA[[#This Row],[JUMLAH]]*NOTA[[#This Row],[DISC 1]])</f>
        <v>133200</v>
      </c>
      <c r="Z35" s="50">
        <f>IF(NOTA[[#This Row],[JUMLAH]]="","",(NOTA[[#This Row],[JUMLAH]]-NOTA[[#This Row],[DISC 1-]])*NOTA[[#This Row],[DISC 2]])</f>
        <v>46620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179820</v>
      </c>
      <c r="AC35" s="50">
        <f>IF(NOTA[[#This Row],[JUMLAH]]="","",NOTA[[#This Row],[JUMLAH]]-NOTA[[#This Row],[DISC]])</f>
        <v>885780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35" s="50">
        <f>IF(OR(NOTA[[#This Row],[QTY]]="",NOTA[[#This Row],[HARGA SATUAN]]="",),"",NOTA[[#This Row],[QTY]]*NOTA[[#This Row],[HARGA SATUAN]])</f>
        <v>1065600</v>
      </c>
      <c r="AI35" s="39">
        <f ca="1">IF(NOTA[ID_H]="","",INDEX(NOTA[TANGGAL],MATCH(,INDIRECT(ADDRESS(ROW(NOTA[TANGGAL]),COLUMN(NOTA[TANGGAL]))&amp;":"&amp;ADDRESS(ROW(),COLUMN(NOTA[TANGGAL]))),-1)))</f>
        <v>45297</v>
      </c>
      <c r="AJ35" s="41" t="str">
        <f ca="1">IF(NOTA[[#This Row],[NAMA BARANG]]="","",INDEX(NOTA[SUPPLIER],MATCH(,INDIRECT(ADDRESS(ROW(NOTA[ID]),COLUMN(NOTA[ID]))&amp;":"&amp;ADDRESS(ROW(),COLUMN(NOTA[ID]))),-1)))</f>
        <v>ATALI MAKMUR</v>
      </c>
      <c r="AK35" s="41" t="str">
        <f ca="1">IF(NOTA[[#This Row],[ID_H]]="","",IF(NOTA[[#This Row],[FAKTUR]]="",INDIRECT(ADDRESS(ROW()-1,COLUMN())),NOTA[[#This Row],[FAKTUR]]))</f>
        <v>ARTO MORO</v>
      </c>
      <c r="AL35" s="38" t="str">
        <f ca="1">IF(NOTA[[#This Row],[ID]]="","",COUNTIF(NOTA[ID_H],NOTA[[#This Row],[ID_H]]))</f>
        <v/>
      </c>
      <c r="AM35" s="38">
        <f ca="1">IF(NOTA[[#This Row],[TGL.NOTA]]="",IF(NOTA[[#This Row],[SUPPLIER_H]]="","",AM34),MONTH(NOTA[[#This Row],[TGL.NOTA]]))</f>
        <v>1</v>
      </c>
      <c r="AN35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35" s="83" t="s">
        <v>152</v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Row],[CONCAT4]],[2]!RAW[CONCAT_H],0),FALSE))</f>
        <v/>
      </c>
      <c r="AS35" s="38">
        <f>IF(NOTA[[#This Row],[CONCAT1]]="","",MATCH(NOTA[[#This Row],[CONCAT1]],[3]!db[NB NOTA_C],0))</f>
        <v>2917</v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>24 PCS</v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35" s="38" t="e">
        <f ca="1">IF(NOTA[[#This Row],[ID_H]]="","",MATCH(NOTA[[#This Row],[NB NOTA_C_QTY]],[4]!db[NB NOTA_C_QTY+F],0))</f>
        <v>#REF!</v>
      </c>
      <c r="AX35" s="53">
        <f ca="1">IF(NOTA[[#This Row],[NB NOTA_C_QTY]]="","",ROW()-2)</f>
        <v>33</v>
      </c>
    </row>
    <row r="36" spans="1:50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4</v>
      </c>
      <c r="E36" s="46"/>
      <c r="F36" s="37"/>
      <c r="G36" s="37"/>
      <c r="H36" s="47"/>
      <c r="I36" s="37"/>
      <c r="J36" s="39"/>
      <c r="K36" s="37"/>
      <c r="L36" s="37" t="s">
        <v>187</v>
      </c>
      <c r="M36" s="40">
        <v>10</v>
      </c>
      <c r="N36" s="38">
        <v>240</v>
      </c>
      <c r="O36" s="37" t="s">
        <v>115</v>
      </c>
      <c r="P36" s="41">
        <v>19000</v>
      </c>
      <c r="Q36" s="42"/>
      <c r="R36" s="48"/>
      <c r="S36" s="49">
        <v>0.125</v>
      </c>
      <c r="T36" s="44">
        <v>0.05</v>
      </c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4560000</v>
      </c>
      <c r="Y36" s="50">
        <f>IF(NOTA[[#This Row],[JUMLAH]]="","",NOTA[[#This Row],[JUMLAH]]*NOTA[[#This Row],[DISC 1]])</f>
        <v>570000</v>
      </c>
      <c r="Z36" s="50">
        <f>IF(NOTA[[#This Row],[JUMLAH]]="","",(NOTA[[#This Row],[JUMLAH]]-NOTA[[#This Row],[DISC 1-]])*NOTA[[#This Row],[DISC 2]])</f>
        <v>199500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769500</v>
      </c>
      <c r="AC36" s="50">
        <f>IF(NOTA[[#This Row],[JUMLAH]]="","",NOTA[[#This Row],[JUMLAH]]-NOTA[[#This Row],[DISC]])</f>
        <v>3790500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6" s="50">
        <f>IF(OR(NOTA[[#This Row],[QTY]]="",NOTA[[#This Row],[HARGA SATUAN]]="",),"",NOTA[[#This Row],[QTY]]*NOTA[[#This Row],[HARGA SATUAN]])</f>
        <v>4560000</v>
      </c>
      <c r="AI36" s="39">
        <f ca="1">IF(NOTA[ID_H]="","",INDEX(NOTA[TANGGAL],MATCH(,INDIRECT(ADDRESS(ROW(NOTA[TANGGAL]),COLUMN(NOTA[TANGGAL]))&amp;":"&amp;ADDRESS(ROW(),COLUMN(NOTA[TANGGAL]))),-1)))</f>
        <v>45297</v>
      </c>
      <c r="AJ36" s="41" t="str">
        <f ca="1">IF(NOTA[[#This Row],[NAMA BARANG]]="","",INDEX(NOTA[SUPPLIER],MATCH(,INDIRECT(ADDRESS(ROW(NOTA[ID]),COLUMN(NOTA[ID]))&amp;":"&amp;ADDRESS(ROW(),COLUMN(NOTA[ID]))),-1)))</f>
        <v>ATALI MAKMUR</v>
      </c>
      <c r="AK36" s="41" t="str">
        <f ca="1">IF(NOTA[[#This Row],[ID_H]]="","",IF(NOTA[[#This Row],[FAKTUR]]="",INDIRECT(ADDRESS(ROW()-1,COLUMN())),NOTA[[#This Row],[FAKTUR]]))</f>
        <v>ARTO MORO</v>
      </c>
      <c r="AL36" s="38" t="str">
        <f ca="1">IF(NOTA[[#This Row],[ID]]="","",COUNTIF(NOTA[ID_H],NOTA[[#This Row],[ID_H]]))</f>
        <v/>
      </c>
      <c r="AM36" s="38">
        <f ca="1">IF(NOTA[[#This Row],[TGL.NOTA]]="",IF(NOTA[[#This Row],[SUPPLIER_H]]="","",AM35),MONTH(NOTA[[#This Row],[TGL.NOTA]]))</f>
        <v>1</v>
      </c>
      <c r="AN36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36" s="83" t="s">
        <v>152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" s="38" t="str">
        <f>IF(NOTA[[#This Row],[CONCAT4]]="","",_xlfn.IFNA(MATCH(NOTA[[#This Row],[CONCAT4]],[2]!RAW[CONCAT_H],0),FALSE))</f>
        <v/>
      </c>
      <c r="AS36" s="38">
        <f>IF(NOTA[[#This Row],[CONCAT1]]="","",MATCH(NOTA[[#This Row],[CONCAT1]],[3]!db[NB NOTA_C],0))</f>
        <v>2918</v>
      </c>
      <c r="AT36" s="38" t="str">
        <f>IF(NOTA[[#This Row],[QTY/ CTN]]="","",TRUE)</f>
        <v/>
      </c>
      <c r="AU36" s="38" t="str">
        <f ca="1">IF(NOTA[[#This Row],[ID_H]]="","",IF(NOTA[[#This Row],[Column3]]=TRUE,NOTA[[#This Row],[QTY/ CTN]],INDEX([3]!db[QTY/ CTN],NOTA[[#This Row],[//DB]])))</f>
        <v>24 PCS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4</v>
      </c>
      <c r="E37" s="46"/>
      <c r="F37" s="37"/>
      <c r="G37" s="37"/>
      <c r="H37" s="47"/>
      <c r="I37" s="37"/>
      <c r="J37" s="39"/>
      <c r="K37" s="37"/>
      <c r="L37" s="37" t="s">
        <v>188</v>
      </c>
      <c r="M37" s="40">
        <v>10</v>
      </c>
      <c r="N37" s="38">
        <v>8640</v>
      </c>
      <c r="O37" s="37" t="s">
        <v>115</v>
      </c>
      <c r="P37" s="41">
        <v>2450</v>
      </c>
      <c r="Q37" s="42"/>
      <c r="R37" s="48"/>
      <c r="S37" s="49">
        <v>0.125</v>
      </c>
      <c r="T37" s="44">
        <v>0.05</v>
      </c>
      <c r="U37" s="44"/>
      <c r="V37" s="50"/>
      <c r="W37" s="45"/>
      <c r="X37" s="50">
        <f>IF(NOTA[[#This Row],[HARGA/ CTN]]="",NOTA[[#This Row],[JUMLAH_H]],NOTA[[#This Row],[HARGA/ CTN]]*IF(NOTA[[#This Row],[C]]="",0,NOTA[[#This Row],[C]]))</f>
        <v>21168000</v>
      </c>
      <c r="Y37" s="50">
        <f>IF(NOTA[[#This Row],[JUMLAH]]="","",NOTA[[#This Row],[JUMLAH]]*NOTA[[#This Row],[DISC 1]])</f>
        <v>2646000</v>
      </c>
      <c r="Z37" s="50">
        <f>IF(NOTA[[#This Row],[JUMLAH]]="","",(NOTA[[#This Row],[JUMLAH]]-NOTA[[#This Row],[DISC 1-]])*NOTA[[#This Row],[DISC 2]])</f>
        <v>926100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3572100</v>
      </c>
      <c r="AC37" s="50">
        <f>IF(NOTA[[#This Row],[JUMLAH]]="","",NOTA[[#This Row],[JUMLAH]]-NOTA[[#This Row],[DISC]])</f>
        <v>17595900</v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37" s="50">
        <f>IF(OR(NOTA[[#This Row],[QTY]]="",NOTA[[#This Row],[HARGA SATUAN]]="",),"",NOTA[[#This Row],[QTY]]*NOTA[[#This Row],[HARGA SATUAN]])</f>
        <v>21168000</v>
      </c>
      <c r="AI37" s="39">
        <f ca="1">IF(NOTA[ID_H]="","",INDEX(NOTA[TANGGAL],MATCH(,INDIRECT(ADDRESS(ROW(NOTA[TANGGAL]),COLUMN(NOTA[TANGGAL]))&amp;":"&amp;ADDRESS(ROW(),COLUMN(NOTA[TANGGAL]))),-1)))</f>
        <v>45297</v>
      </c>
      <c r="AJ37" s="41" t="str">
        <f ca="1">IF(NOTA[[#This Row],[NAMA BARANG]]="","",INDEX(NOTA[SUPPLIER],MATCH(,INDIRECT(ADDRESS(ROW(NOTA[ID]),COLUMN(NOTA[ID]))&amp;":"&amp;ADDRESS(ROW(),COLUMN(NOTA[ID]))),-1)))</f>
        <v>ATALI MAKMUR</v>
      </c>
      <c r="AK37" s="41" t="str">
        <f ca="1">IF(NOTA[[#This Row],[ID_H]]="","",IF(NOTA[[#This Row],[FAKTUR]]="",INDIRECT(ADDRESS(ROW()-1,COLUMN())),NOTA[[#This Row],[FAKTUR]]))</f>
        <v>ARTO MORO</v>
      </c>
      <c r="AL37" s="38" t="str">
        <f ca="1">IF(NOTA[[#This Row],[ID]]="","",COUNTIF(NOTA[ID_H],NOTA[[#This Row],[ID_H]]))</f>
        <v/>
      </c>
      <c r="AM37" s="38">
        <f ca="1">IF(NOTA[[#This Row],[TGL.NOTA]]="",IF(NOTA[[#This Row],[SUPPLIER_H]]="","",AM36),MONTH(NOTA[[#This Row],[TGL.NOTA]]))</f>
        <v>1</v>
      </c>
      <c r="AN37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>
        <f>IF(NOTA[[#This Row],[CONCAT1]]="","",MATCH(NOTA[[#This Row],[CONCAT1]],[3]!db[NB NOTA_C],0))</f>
        <v>1332</v>
      </c>
      <c r="AT37" s="38" t="str">
        <f>IF(NOTA[[#This Row],[QTY/ CTN]]="","",TRUE)</f>
        <v/>
      </c>
      <c r="AU37" s="38" t="str">
        <f ca="1">IF(NOTA[[#This Row],[ID_H]]="","",IF(NOTA[[#This Row],[Column3]]=TRUE,NOTA[[#This Row],[QTY/ CTN]],INDEX([3]!db[QTY/ CTN],NOTA[[#This Row],[//DB]])))</f>
        <v>36 BOX (24 PCS)</v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37" s="38" t="e">
        <f ca="1">IF(NOTA[[#This Row],[ID_H]]="","",MATCH(NOTA[[#This Row],[NB NOTA_C_QTY]],[4]!db[NB NOTA_C_QTY+F],0))</f>
        <v>#REF!</v>
      </c>
      <c r="AX37" s="53">
        <f ca="1">IF(NOTA[[#This Row],[NB NOTA_C_QTY]]="","",ROW()-2)</f>
        <v>35</v>
      </c>
    </row>
    <row r="38" spans="1:50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4</v>
      </c>
      <c r="E38" s="46"/>
      <c r="F38" s="37"/>
      <c r="G38" s="37"/>
      <c r="H38" s="47"/>
      <c r="I38" s="37"/>
      <c r="J38" s="39"/>
      <c r="K38" s="37"/>
      <c r="L38" s="37" t="s">
        <v>189</v>
      </c>
      <c r="M38" s="40">
        <v>1</v>
      </c>
      <c r="N38" s="38">
        <v>20</v>
      </c>
      <c r="O38" s="37" t="s">
        <v>115</v>
      </c>
      <c r="P38" s="41">
        <v>40500</v>
      </c>
      <c r="Q38" s="42"/>
      <c r="R38" s="48"/>
      <c r="S38" s="49">
        <v>0.125</v>
      </c>
      <c r="T38" s="44">
        <v>0.05</v>
      </c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810000</v>
      </c>
      <c r="Y38" s="50">
        <f>IF(NOTA[[#This Row],[JUMLAH]]="","",NOTA[[#This Row],[JUMLAH]]*NOTA[[#This Row],[DISC 1]])</f>
        <v>101250</v>
      </c>
      <c r="Z38" s="50">
        <f>IF(NOTA[[#This Row],[JUMLAH]]="","",(NOTA[[#This Row],[JUMLAH]]-NOTA[[#This Row],[DISC 1-]])*NOTA[[#This Row],[DISC 2]])</f>
        <v>35437.5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136687.5</v>
      </c>
      <c r="AC38" s="50">
        <f>IF(NOTA[[#This Row],[JUMLAH]]="","",NOTA[[#This Row],[JUMLAH]]-NOTA[[#This Row],[DISC]])</f>
        <v>673312.5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38" s="50">
        <f>IF(OR(NOTA[[#This Row],[QTY]]="",NOTA[[#This Row],[HARGA SATUAN]]="",),"",NOTA[[#This Row],[QTY]]*NOTA[[#This Row],[HARGA SATUAN]])</f>
        <v>810000</v>
      </c>
      <c r="AI38" s="39">
        <f ca="1">IF(NOTA[ID_H]="","",INDEX(NOTA[TANGGAL],MATCH(,INDIRECT(ADDRESS(ROW(NOTA[TANGGAL]),COLUMN(NOTA[TANGGAL]))&amp;":"&amp;ADDRESS(ROW(),COLUMN(NOTA[TANGGAL]))),-1)))</f>
        <v>45297</v>
      </c>
      <c r="AJ38" s="41" t="str">
        <f ca="1">IF(NOTA[[#This Row],[NAMA BARANG]]="","",INDEX(NOTA[SUPPLIER],MATCH(,INDIRECT(ADDRESS(ROW(NOTA[ID]),COLUMN(NOTA[ID]))&amp;":"&amp;ADDRESS(ROW(),COLUMN(NOTA[ID]))),-1)))</f>
        <v>ATALI MAKMUR</v>
      </c>
      <c r="AK38" s="41" t="str">
        <f ca="1">IF(NOTA[[#This Row],[ID_H]]="","",IF(NOTA[[#This Row],[FAKTUR]]="",INDIRECT(ADDRESS(ROW()-1,COLUMN())),NOTA[[#This Row],[FAKTUR]]))</f>
        <v>ARTO MORO</v>
      </c>
      <c r="AL38" s="38" t="str">
        <f ca="1">IF(NOTA[[#This Row],[ID]]="","",COUNTIF(NOTA[ID_H],NOTA[[#This Row],[ID_H]]))</f>
        <v/>
      </c>
      <c r="AM38" s="38">
        <f ca="1">IF(NOTA[[#This Row],[TGL.NOTA]]="",IF(NOTA[[#This Row],[SUPPLIER_H]]="","",AM37),MONTH(NOTA[[#This Row],[TGL.NOTA]]))</f>
        <v>1</v>
      </c>
      <c r="AN38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38" t="str">
        <f>IF(NOTA[[#This Row],[CONCAT4]]="","",_xlfn.IFNA(MATCH(NOTA[[#This Row],[CONCAT4]],[2]!RAW[CONCAT_H],0),FALSE))</f>
        <v/>
      </c>
      <c r="AS38" s="38">
        <f>IF(NOTA[[#This Row],[CONCAT1]]="","",MATCH(NOTA[[#This Row],[CONCAT1]],[3]!db[NB NOTA_C],0))</f>
        <v>1862</v>
      </c>
      <c r="AT38" s="38" t="str">
        <f>IF(NOTA[[#This Row],[QTY/ CTN]]="","",TRUE)</f>
        <v/>
      </c>
      <c r="AU38" s="38" t="str">
        <f ca="1">IF(NOTA[[#This Row],[ID_H]]="","",IF(NOTA[[#This Row],[Column3]]=TRUE,NOTA[[#This Row],[QTY/ CTN]],INDEX([3]!db[QTY/ CTN],NOTA[[#This Row],[//DB]])))</f>
        <v>20 PCS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4</v>
      </c>
      <c r="E39" s="46"/>
      <c r="F39" s="37"/>
      <c r="G39" s="37"/>
      <c r="H39" s="47"/>
      <c r="I39" s="37"/>
      <c r="J39" s="39"/>
      <c r="K39" s="37"/>
      <c r="L39" s="37" t="s">
        <v>138</v>
      </c>
      <c r="M39" s="40">
        <v>2</v>
      </c>
      <c r="N39" s="38">
        <v>2000</v>
      </c>
      <c r="O39" s="37" t="s">
        <v>117</v>
      </c>
      <c r="P39" s="41">
        <v>2050</v>
      </c>
      <c r="Q39" s="42"/>
      <c r="R39" s="48"/>
      <c r="S39" s="49">
        <v>0.125</v>
      </c>
      <c r="T39" s="44">
        <v>0.05</v>
      </c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4100000</v>
      </c>
      <c r="Y39" s="50">
        <f>IF(NOTA[[#This Row],[JUMLAH]]="","",NOTA[[#This Row],[JUMLAH]]*NOTA[[#This Row],[DISC 1]])</f>
        <v>512500</v>
      </c>
      <c r="Z39" s="50">
        <f>IF(NOTA[[#This Row],[JUMLAH]]="","",(NOTA[[#This Row],[JUMLAH]]-NOTA[[#This Row],[DISC 1-]])*NOTA[[#This Row],[DISC 2]])</f>
        <v>179375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691875</v>
      </c>
      <c r="AC39" s="50">
        <f>IF(NOTA[[#This Row],[JUMLAH]]="","",NOTA[[#This Row],[JUMLAH]]-NOTA[[#This Row],[DISC]])</f>
        <v>3408125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39" s="50">
        <f>IF(OR(NOTA[[#This Row],[QTY]]="",NOTA[[#This Row],[HARGA SATUAN]]="",),"",NOTA[[#This Row],[QTY]]*NOTA[[#This Row],[HARGA SATUAN]])</f>
        <v>4100000</v>
      </c>
      <c r="AI39" s="39">
        <f ca="1">IF(NOTA[ID_H]="","",INDEX(NOTA[TANGGAL],MATCH(,INDIRECT(ADDRESS(ROW(NOTA[TANGGAL]),COLUMN(NOTA[TANGGAL]))&amp;":"&amp;ADDRESS(ROW(),COLUMN(NOTA[TANGGAL]))),-1)))</f>
        <v>45297</v>
      </c>
      <c r="AJ39" s="41" t="str">
        <f ca="1">IF(NOTA[[#This Row],[NAMA BARANG]]="","",INDEX(NOTA[SUPPLIER],MATCH(,INDIRECT(ADDRESS(ROW(NOTA[ID]),COLUMN(NOTA[ID]))&amp;":"&amp;ADDRESS(ROW(),COLUMN(NOTA[ID]))),-1)))</f>
        <v>ATALI MAKMUR</v>
      </c>
      <c r="AK39" s="41" t="str">
        <f ca="1">IF(NOTA[[#This Row],[ID_H]]="","",IF(NOTA[[#This Row],[FAKTUR]]="",INDIRECT(ADDRESS(ROW()-1,COLUMN())),NOTA[[#This Row],[FAKTUR]]))</f>
        <v>ARTO MORO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1</v>
      </c>
      <c r="AN39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1854</v>
      </c>
      <c r="AT39" s="38" t="str">
        <f>IF(NOTA[[#This Row],[QTY/ CTN]]="","",TRUE)</f>
        <v/>
      </c>
      <c r="AU39" s="38" t="str">
        <f ca="1">IF(NOTA[[#This Row],[ID_H]]="","",IF(NOTA[[#This Row],[Column3]]=TRUE,NOTA[[#This Row],[QTY/ CTN]],INDEX([3]!db[QTY/ CTN],NOTA[[#This Row],[//DB]])))</f>
        <v>100 PAK (10 ROL)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4</v>
      </c>
      <c r="E40" s="46"/>
      <c r="F40" s="37"/>
      <c r="G40" s="37"/>
      <c r="H40" s="47"/>
      <c r="I40" s="37"/>
      <c r="J40" s="39"/>
      <c r="K40" s="37"/>
      <c r="L40" s="37" t="s">
        <v>190</v>
      </c>
      <c r="M40" s="40">
        <v>2</v>
      </c>
      <c r="N40" s="38">
        <v>144</v>
      </c>
      <c r="O40" s="37" t="s">
        <v>111</v>
      </c>
      <c r="P40" s="41">
        <v>37200</v>
      </c>
      <c r="Q40" s="42"/>
      <c r="R40" s="48"/>
      <c r="S40" s="49">
        <v>0.125</v>
      </c>
      <c r="T40" s="44">
        <v>0.05</v>
      </c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5356800</v>
      </c>
      <c r="Y40" s="50">
        <f>IF(NOTA[[#This Row],[JUMLAH]]="","",NOTA[[#This Row],[JUMLAH]]*NOTA[[#This Row],[DISC 1]])</f>
        <v>669600</v>
      </c>
      <c r="Z40" s="50">
        <f>IF(NOTA[[#This Row],[JUMLAH]]="","",(NOTA[[#This Row],[JUMLAH]]-NOTA[[#This Row],[DISC 1-]])*NOTA[[#This Row],[DISC 2]])</f>
        <v>234360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903960</v>
      </c>
      <c r="AC40" s="50">
        <f>IF(NOTA[[#This Row],[JUMLAH]]="","",NOTA[[#This Row],[JUMLAH]]-NOTA[[#This Row],[DISC]])</f>
        <v>4452840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40" s="50">
        <f>IF(OR(NOTA[[#This Row],[QTY]]="",NOTA[[#This Row],[HARGA SATUAN]]="",),"",NOTA[[#This Row],[QTY]]*NOTA[[#This Row],[HARGA SATUAN]])</f>
        <v>5356800</v>
      </c>
      <c r="AI40" s="39">
        <f ca="1">IF(NOTA[ID_H]="","",INDEX(NOTA[TANGGAL],MATCH(,INDIRECT(ADDRESS(ROW(NOTA[TANGGAL]),COLUMN(NOTA[TANGGAL]))&amp;":"&amp;ADDRESS(ROW(),COLUMN(NOTA[TANGGAL]))),-1)))</f>
        <v>45297</v>
      </c>
      <c r="AJ40" s="41" t="str">
        <f ca="1">IF(NOTA[[#This Row],[NAMA BARANG]]="","",INDEX(NOTA[SUPPLIER],MATCH(,INDIRECT(ADDRESS(ROW(NOTA[ID]),COLUMN(NOTA[ID]))&amp;":"&amp;ADDRESS(ROW(),COLUMN(NOTA[ID]))),-1)))</f>
        <v>ATALI MAKMUR</v>
      </c>
      <c r="AK40" s="41" t="str">
        <f ca="1">IF(NOTA[[#This Row],[ID_H]]="","",IF(NOTA[[#This Row],[FAKTUR]]="",INDIRECT(ADDRESS(ROW()-1,COLUMN())),NOTA[[#This Row],[FAKTUR]]))</f>
        <v>ARTO MORO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1</v>
      </c>
      <c r="AN40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2480</v>
      </c>
      <c r="AT40" s="38" t="str">
        <f>IF(NOTA[[#This Row],[QTY/ CTN]]="","",TRUE)</f>
        <v/>
      </c>
      <c r="AU40" s="38" t="str">
        <f ca="1">IF(NOTA[[#This Row],[ID_H]]="","",IF(NOTA[[#This Row],[Column3]]=TRUE,NOTA[[#This Row],[QTY/ CTN]],INDEX([3]!db[QTY/ CTN],NOTA[[#This Row],[//DB]])))</f>
        <v>12 BOX (72 PCS)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4</v>
      </c>
      <c r="E41" s="46"/>
      <c r="F41" s="37"/>
      <c r="G41" s="37"/>
      <c r="H41" s="47"/>
      <c r="I41" s="37"/>
      <c r="J41" s="39"/>
      <c r="K41" s="37"/>
      <c r="L41" s="37" t="s">
        <v>191</v>
      </c>
      <c r="M41" s="40">
        <v>2</v>
      </c>
      <c r="N41" s="38">
        <v>480</v>
      </c>
      <c r="O41" s="37" t="s">
        <v>116</v>
      </c>
      <c r="P41" s="41">
        <v>8800</v>
      </c>
      <c r="Q41" s="42"/>
      <c r="R41" s="48"/>
      <c r="S41" s="49">
        <v>0.125</v>
      </c>
      <c r="T41" s="44">
        <v>0.05</v>
      </c>
      <c r="U41" s="44"/>
      <c r="V41" s="50"/>
      <c r="W41" s="45"/>
      <c r="X41" s="50">
        <f>IF(NOTA[[#This Row],[HARGA/ CTN]]="",NOTA[[#This Row],[JUMLAH_H]],NOTA[[#This Row],[HARGA/ CTN]]*IF(NOTA[[#This Row],[C]]="",0,NOTA[[#This Row],[C]]))</f>
        <v>4224000</v>
      </c>
      <c r="Y41" s="50">
        <f>IF(NOTA[[#This Row],[JUMLAH]]="","",NOTA[[#This Row],[JUMLAH]]*NOTA[[#This Row],[DISC 1]])</f>
        <v>528000</v>
      </c>
      <c r="Z41" s="50">
        <f>IF(NOTA[[#This Row],[JUMLAH]]="","",(NOTA[[#This Row],[JUMLAH]]-NOTA[[#This Row],[DISC 1-]])*NOTA[[#This Row],[DISC 2]])</f>
        <v>184800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712800</v>
      </c>
      <c r="AC41" s="50">
        <f>IF(NOTA[[#This Row],[JUMLAH]]="","",NOTA[[#This Row],[JUMLAH]]-NOTA[[#This Row],[DISC]])</f>
        <v>3511200</v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1" s="50">
        <f>IF(OR(NOTA[[#This Row],[QTY]]="",NOTA[[#This Row],[HARGA SATUAN]]="",),"",NOTA[[#This Row],[QTY]]*NOTA[[#This Row],[HARGA SATUAN]])</f>
        <v>4224000</v>
      </c>
      <c r="AI41" s="39">
        <f ca="1">IF(NOTA[ID_H]="","",INDEX(NOTA[TANGGAL],MATCH(,INDIRECT(ADDRESS(ROW(NOTA[TANGGAL]),COLUMN(NOTA[TANGGAL]))&amp;":"&amp;ADDRESS(ROW(),COLUMN(NOTA[TANGGAL]))),-1)))</f>
        <v>45297</v>
      </c>
      <c r="AJ41" s="41" t="str">
        <f ca="1">IF(NOTA[[#This Row],[NAMA BARANG]]="","",INDEX(NOTA[SUPPLIER],MATCH(,INDIRECT(ADDRESS(ROW(NOTA[ID]),COLUMN(NOTA[ID]))&amp;":"&amp;ADDRESS(ROW(),COLUMN(NOTA[ID]))),-1)))</f>
        <v>ATALI MAKMUR</v>
      </c>
      <c r="AK41" s="41" t="str">
        <f ca="1">IF(NOTA[[#This Row],[ID_H]]="","",IF(NOTA[[#This Row],[FAKTUR]]="",INDIRECT(ADDRESS(ROW()-1,COLUMN())),NOTA[[#This Row],[FAKTUR]]))</f>
        <v>ARTO MORO</v>
      </c>
      <c r="AL41" s="38" t="str">
        <f ca="1">IF(NOTA[[#This Row],[ID]]="","",COUNTIF(NOTA[ID_H],NOTA[[#This Row],[ID_H]]))</f>
        <v/>
      </c>
      <c r="AM41" s="38">
        <f ca="1">IF(NOTA[[#This Row],[TGL.NOTA]]="",IF(NOTA[[#This Row],[SUPPLIER_H]]="","",AM40),MONTH(NOTA[[#This Row],[TGL.NOTA]]))</f>
        <v>1</v>
      </c>
      <c r="AN41" s="38" t="str">
        <f>LOWER(SUBSTITUTE(SUBSTITUTE(SUBSTITUTE(SUBSTITUTE(SUBSTITUTE(SUBSTITUTE(SUBSTITUTE(SUBSTITUTE(SUBSTITUTE(NOTA[NAMA BARANG]," ",),".",""),"-",""),"(",""),")",""),",",""),"/",""),"""",""),"+",""))</f>
        <v>brushbr1jk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>
        <f>IF(NOTA[[#This Row],[CONCAT1]]="","",MATCH(NOTA[[#This Row],[CONCAT1]],[3]!db[NB NOTA_C],0))</f>
        <v>472</v>
      </c>
      <c r="AT41" s="38" t="str">
        <f>IF(NOTA[[#This Row],[QTY/ CTN]]="","",TRUE)</f>
        <v/>
      </c>
      <c r="AU41" s="38" t="str">
        <f ca="1">IF(NOTA[[#This Row],[ID_H]]="","",IF(NOTA[[#This Row],[Column3]]=TRUE,NOTA[[#This Row],[QTY/ CTN]],INDEX([3]!db[QTY/ CTN],NOTA[[#This Row],[//DB]])))</f>
        <v>10 BOX (24 SET)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41" s="38" t="e">
        <f ca="1">IF(NOTA[[#This Row],[ID_H]]="","",MATCH(NOTA[[#This Row],[NB NOTA_C_QTY]],[4]!db[NB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>
        <f ca="1">IF(NOTA[[#This Row],[NAMA BARANG]]="","",INDEX(NOTA[ID],MATCH(,INDIRECT(ADDRESS(ROW(NOTA[ID]),COLUMN(NOTA[ID]))&amp;":"&amp;ADDRESS(ROW(),COLUMN(NOTA[ID]))),-1)))</f>
        <v>4</v>
      </c>
      <c r="E42" s="46"/>
      <c r="F42" s="37"/>
      <c r="G42" s="37"/>
      <c r="H42" s="47"/>
      <c r="I42" s="37"/>
      <c r="J42" s="39"/>
      <c r="K42" s="37"/>
      <c r="L42" s="37" t="s">
        <v>121</v>
      </c>
      <c r="M42" s="40">
        <v>10</v>
      </c>
      <c r="N42" s="38">
        <v>300</v>
      </c>
      <c r="O42" s="37" t="s">
        <v>120</v>
      </c>
      <c r="P42" s="41">
        <v>104400</v>
      </c>
      <c r="Q42" s="42"/>
      <c r="R42" s="48"/>
      <c r="S42" s="49">
        <v>0.125</v>
      </c>
      <c r="T42" s="44">
        <v>0.05</v>
      </c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31320000</v>
      </c>
      <c r="Y42" s="50">
        <f>IF(NOTA[[#This Row],[JUMLAH]]="","",NOTA[[#This Row],[JUMLAH]]*NOTA[[#This Row],[DISC 1]])</f>
        <v>3915000</v>
      </c>
      <c r="Z42" s="50">
        <f>IF(NOTA[[#This Row],[JUMLAH]]="","",(NOTA[[#This Row],[JUMLAH]]-NOTA[[#This Row],[DISC 1-]])*NOTA[[#This Row],[DISC 2]])</f>
        <v>1370250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5285250</v>
      </c>
      <c r="AC42" s="50">
        <f>IF(NOTA[[#This Row],[JUMLAH]]="","",NOTA[[#This Row],[JUMLAH]]-NOTA[[#This Row],[DISC]])</f>
        <v>26034750</v>
      </c>
      <c r="AD42" s="50"/>
      <c r="AE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16766932.5</v>
      </c>
      <c r="AF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82592667.5</v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42" s="50">
        <f>IF(OR(NOTA[[#This Row],[QTY]]="",NOTA[[#This Row],[HARGA SATUAN]]="",),"",NOTA[[#This Row],[QTY]]*NOTA[[#This Row],[HARGA SATUAN]])</f>
        <v>31320000</v>
      </c>
      <c r="AI42" s="39">
        <f ca="1">IF(NOTA[ID_H]="","",INDEX(NOTA[TANGGAL],MATCH(,INDIRECT(ADDRESS(ROW(NOTA[TANGGAL]),COLUMN(NOTA[TANGGAL]))&amp;":"&amp;ADDRESS(ROW(),COLUMN(NOTA[TANGGAL]))),-1)))</f>
        <v>45297</v>
      </c>
      <c r="AJ42" s="41" t="str">
        <f ca="1">IF(NOTA[[#This Row],[NAMA BARANG]]="","",INDEX(NOTA[SUPPLIER],MATCH(,INDIRECT(ADDRESS(ROW(NOTA[ID]),COLUMN(NOTA[ID]))&amp;":"&amp;ADDRESS(ROW(),COLUMN(NOTA[ID]))),-1)))</f>
        <v>ATALI MAKMUR</v>
      </c>
      <c r="AK42" s="41" t="str">
        <f ca="1">IF(NOTA[[#This Row],[ID_H]]="","",IF(NOTA[[#This Row],[FAKTUR]]="",INDIRECT(ADDRESS(ROW()-1,COLUMN())),NOTA[[#This Row],[FAKTUR]]))</f>
        <v>ARTO MORO</v>
      </c>
      <c r="AL42" s="38" t="str">
        <f ca="1">IF(NOTA[[#This Row],[ID]]="","",COUNTIF(NOTA[ID_H],NOTA[[#This Row],[ID_H]]))</f>
        <v/>
      </c>
      <c r="AM42" s="38">
        <f ca="1">IF(NOTA[[#This Row],[TGL.NOTA]]="",IF(NOTA[[#This Row],[SUPPLIER_H]]="","",AM41),MONTH(NOTA[[#This Row],[TGL.NOTA]]))</f>
        <v>1</v>
      </c>
      <c r="AN42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>
        <f>IF(NOTA[[#This Row],[CONCAT1]]="","",MATCH(NOTA[[#This Row],[CONCAT1]],[3]!db[NB NOTA_C],0))</f>
        <v>2483</v>
      </c>
      <c r="AT42" s="38" t="str">
        <f>IF(NOTA[[#This Row],[QTY/ CTN]]="","",TRUE)</f>
        <v/>
      </c>
      <c r="AU42" s="38" t="str">
        <f ca="1">IF(NOTA[[#This Row],[ID_H]]="","",IF(NOTA[[#This Row],[Column3]]=TRUE,NOTA[[#This Row],[QTY/ CTN]],INDEX([3]!db[QTY/ CTN],NOTA[[#This Row],[//DB]])))</f>
        <v>30 GRS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42" s="38" t="e">
        <f ca="1">IF(NOTA[[#This Row],[ID_H]]="","",MATCH(NOTA[[#This Row],[NB NOTA_C_QTY]],[4]!db[NB NOTA_C_QTY+F],0))</f>
        <v>#REF!</v>
      </c>
      <c r="AX42" s="53">
        <f ca="1">IF(NOTA[[#This Row],[NB NOTA_C_QTY]]="","",ROW()-2)</f>
        <v>40</v>
      </c>
    </row>
    <row r="43" spans="1:50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 t="str">
        <f ca="1">IF(NOTA[[#This Row],[NAMA BARANG]]="","",INDEX(NOTA[ID],MATCH(,INDIRECT(ADDRESS(ROW(NOTA[ID]),COLUMN(NOTA[ID]))&amp;":"&amp;ADDRESS(ROW(),COLUMN(NOTA[ID]))),-1)))</f>
        <v/>
      </c>
      <c r="E43" s="46"/>
      <c r="F43" s="37"/>
      <c r="G43" s="37"/>
      <c r="H43" s="47"/>
      <c r="I43" s="37"/>
      <c r="J43" s="39"/>
      <c r="K43" s="37"/>
      <c r="L43" s="37"/>
      <c r="M43" s="40"/>
      <c r="O43" s="37"/>
      <c r="P43" s="41"/>
      <c r="Q43" s="42"/>
      <c r="R43" s="48"/>
      <c r="S43" s="49"/>
      <c r="T43" s="44"/>
      <c r="U43" s="44"/>
      <c r="V43" s="50"/>
      <c r="W43" s="45"/>
      <c r="X43" s="50" t="str">
        <f>IF(NOTA[[#This Row],[HARGA/ CTN]]="",NOTA[[#This Row],[JUMLAH_H]],NOTA[[#This Row],[HARGA/ CTN]]*IF(NOTA[[#This Row],[C]]="",0,NOTA[[#This Row],[C]]))</f>
        <v/>
      </c>
      <c r="Y43" s="50" t="str">
        <f>IF(NOTA[[#This Row],[JUMLAH]]="","",NOTA[[#This Row],[JUMLAH]]*NOTA[[#This Row],[DISC 1]])</f>
        <v/>
      </c>
      <c r="Z43" s="50" t="str">
        <f>IF(NOTA[[#This Row],[JUMLAH]]="","",(NOTA[[#This Row],[JUMLAH]]-NOTA[[#This Row],[DISC 1-]])*NOTA[[#This Row],[DISC 2]])</f>
        <v/>
      </c>
      <c r="AA43" s="50" t="str">
        <f>IF(NOTA[[#This Row],[JUMLAH]]="","",(NOTA[[#This Row],[JUMLAH]]-NOTA[[#This Row],[DISC 1-]]-NOTA[[#This Row],[DISC 2-]])*NOTA[[#This Row],[DISC 3]])</f>
        <v/>
      </c>
      <c r="AB43" s="50" t="str">
        <f>IF(NOTA[[#This Row],[JUMLAH]]="","",NOTA[[#This Row],[DISC 1-]]+NOTA[[#This Row],[DISC 2-]]+NOTA[[#This Row],[DISC 3-]])</f>
        <v/>
      </c>
      <c r="AC43" s="50" t="str">
        <f>IF(NOTA[[#This Row],[JUMLAH]]="","",NOTA[[#This Row],[JUMLAH]]-NOTA[[#This Row],[DISC]])</f>
        <v/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" s="50" t="str">
        <f>IF(OR(NOTA[[#This Row],[QTY]]="",NOTA[[#This Row],[HARGA SATUAN]]="",),"",NOTA[[#This Row],[QTY]]*NOTA[[#This Row],[HARGA SATUAN]])</f>
        <v/>
      </c>
      <c r="AI43" s="39" t="str">
        <f ca="1">IF(NOTA[ID_H]="","",INDEX(NOTA[TANGGAL],MATCH(,INDIRECT(ADDRESS(ROW(NOTA[TANGGAL]),COLUMN(NOTA[TANGGAL]))&amp;":"&amp;ADDRESS(ROW(),COLUMN(NOTA[TANGGAL]))),-1)))</f>
        <v/>
      </c>
      <c r="AJ43" s="41" t="str">
        <f ca="1">IF(NOTA[[#This Row],[NAMA BARANG]]="","",INDEX(NOTA[SUPPLIER],MATCH(,INDIRECT(ADDRESS(ROW(NOTA[ID]),COLUMN(NOTA[ID]))&amp;":"&amp;ADDRESS(ROW(),COLUMN(NOTA[ID]))),-1)))</f>
        <v/>
      </c>
      <c r="AK43" s="41" t="str">
        <f ca="1">IF(NOTA[[#This Row],[ID_H]]="","",IF(NOTA[[#This Row],[FAKTUR]]="",INDIRECT(ADDRESS(ROW()-1,COLUMN())),NOTA[[#This Row],[FAKTUR]]))</f>
        <v/>
      </c>
      <c r="AL43" s="38" t="str">
        <f ca="1">IF(NOTA[[#This Row],[ID]]="","",COUNTIF(NOTA[ID_H],NOTA[[#This Row],[ID_H]]))</f>
        <v/>
      </c>
      <c r="AM43" s="38" t="str">
        <f ca="1">IF(NOTA[[#This Row],[TGL.NOTA]]="",IF(NOTA[[#This Row],[SUPPLIER_H]]="","",AM42),MONTH(NOTA[[#This Row],[TGL.NOTA]]))</f>
        <v/>
      </c>
      <c r="AN43" s="38" t="str">
        <f>LOWER(SUBSTITUTE(SUBSTITUTE(SUBSTITUTE(SUBSTITUTE(SUBSTITUTE(SUBSTITUTE(SUBSTITUTE(SUBSTITUTE(SUBSTITUTE(NOTA[NAMA BARANG]," ",),".",""),"-",""),"(",""),")",""),",",""),"/",""),"""",""),"+",""))</f>
        <v/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Row],[CONCAT4]],[2]!RAW[CONCAT_H],0),FALSE))</f>
        <v/>
      </c>
      <c r="AS43" s="38" t="str">
        <f>IF(NOTA[[#This Row],[CONCAT1]]="","",MATCH(NOTA[[#This Row],[CONCAT1]],[3]!db[NB NOTA_C],0))</f>
        <v/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/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" s="38" t="str">
        <f ca="1">IF(NOTA[[#This Row],[ID_H]]="","",MATCH(NOTA[[#This Row],[NB NOTA_C_QTY]],[4]!db[NB NOTA_C_QTY+F],0))</f>
        <v/>
      </c>
      <c r="AX43" s="53" t="str">
        <f ca="1">IF(NOTA[[#This Row],[NB NOTA_C_QTY]]="","",ROW()-2)</f>
        <v/>
      </c>
    </row>
    <row r="44" spans="1:50" s="38" customFormat="1" ht="20.100000000000001" customHeight="1" x14ac:dyDescent="0.25">
      <c r="A44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ATA_0601_046-9</v>
      </c>
      <c r="C44" s="38" t="e">
        <f ca="1">IF(NOTA[[#This Row],[ID_P]]="","",MATCH(NOTA[[#This Row],[ID_P]],[1]!B_MSK[N_ID],0))</f>
        <v>#REF!</v>
      </c>
      <c r="D44" s="38">
        <f ca="1">IF(NOTA[[#This Row],[NAMA BARANG]]="","",INDEX(NOTA[ID],MATCH(,INDIRECT(ADDRESS(ROW(NOTA[ID]),COLUMN(NOTA[ID]))&amp;":"&amp;ADDRESS(ROW(),COLUMN(NOTA[ID]))),-1)))</f>
        <v>5</v>
      </c>
      <c r="E44" s="46"/>
      <c r="F44" s="37" t="s">
        <v>24</v>
      </c>
      <c r="G44" s="37" t="s">
        <v>23</v>
      </c>
      <c r="H44" s="47" t="s">
        <v>192</v>
      </c>
      <c r="I44" s="37"/>
      <c r="J44" s="39">
        <v>45294</v>
      </c>
      <c r="K44" s="37"/>
      <c r="L44" s="37" t="s">
        <v>193</v>
      </c>
      <c r="M44" s="40">
        <v>2</v>
      </c>
      <c r="N44" s="38">
        <v>100</v>
      </c>
      <c r="O44" s="37" t="s">
        <v>118</v>
      </c>
      <c r="P44" s="41">
        <v>32000</v>
      </c>
      <c r="Q44" s="42"/>
      <c r="R44" s="48"/>
      <c r="S44" s="49">
        <v>0.125</v>
      </c>
      <c r="T44" s="44">
        <v>0.05</v>
      </c>
      <c r="U44" s="44"/>
      <c r="V44" s="50"/>
      <c r="W44" s="45"/>
      <c r="X44" s="50">
        <f>IF(NOTA[[#This Row],[HARGA/ CTN]]="",NOTA[[#This Row],[JUMLAH_H]],NOTA[[#This Row],[HARGA/ CTN]]*IF(NOTA[[#This Row],[C]]="",0,NOTA[[#This Row],[C]]))</f>
        <v>3200000</v>
      </c>
      <c r="Y44" s="50">
        <f>IF(NOTA[[#This Row],[JUMLAH]]="","",NOTA[[#This Row],[JUMLAH]]*NOTA[[#This Row],[DISC 1]])</f>
        <v>400000</v>
      </c>
      <c r="Z44" s="50">
        <f>IF(NOTA[[#This Row],[JUMLAH]]="","",(NOTA[[#This Row],[JUMLAH]]-NOTA[[#This Row],[DISC 1-]])*NOTA[[#This Row],[DISC 2]])</f>
        <v>140000</v>
      </c>
      <c r="AA44" s="50">
        <f>IF(NOTA[[#This Row],[JUMLAH]]="","",(NOTA[[#This Row],[JUMLAH]]-NOTA[[#This Row],[DISC 1-]]-NOTA[[#This Row],[DISC 2-]])*NOTA[[#This Row],[DISC 3]])</f>
        <v>0</v>
      </c>
      <c r="AB44" s="50">
        <f>IF(NOTA[[#This Row],[JUMLAH]]="","",NOTA[[#This Row],[DISC 1-]]+NOTA[[#This Row],[DISC 2-]]+NOTA[[#This Row],[DISC 3-]])</f>
        <v>540000</v>
      </c>
      <c r="AC44" s="50">
        <f>IF(NOTA[[#This Row],[JUMLAH]]="","",NOTA[[#This Row],[JUMLAH]]-NOTA[[#This Row],[DISC]])</f>
        <v>2660000</v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4" s="50">
        <f>IF(OR(NOTA[[#This Row],[QTY]]="",NOTA[[#This Row],[HARGA SATUAN]]="",),"",NOTA[[#This Row],[QTY]]*NOTA[[#This Row],[HARGA SATUAN]])</f>
        <v>3200000</v>
      </c>
      <c r="AI44" s="39">
        <f ca="1">IF(NOTA[ID_H]="","",INDEX(NOTA[TANGGAL],MATCH(,INDIRECT(ADDRESS(ROW(NOTA[TANGGAL]),COLUMN(NOTA[TANGGAL]))&amp;":"&amp;ADDRESS(ROW(),COLUMN(NOTA[TANGGAL]))),-1)))</f>
        <v>45297</v>
      </c>
      <c r="AJ44" s="41" t="str">
        <f ca="1">IF(NOTA[[#This Row],[NAMA BARANG]]="","",INDEX(NOTA[SUPPLIER],MATCH(,INDIRECT(ADDRESS(ROW(NOTA[ID]),COLUMN(NOTA[ID]))&amp;":"&amp;ADDRESS(ROW(),COLUMN(NOTA[ID]))),-1)))</f>
        <v>ATALI MAKMUR</v>
      </c>
      <c r="AK44" s="41" t="str">
        <f ca="1">IF(NOTA[[#This Row],[ID_H]]="","",IF(NOTA[[#This Row],[FAKTUR]]="",INDIRECT(ADDRESS(ROW()-1,COLUMN())),NOTA[[#This Row],[FAKTUR]]))</f>
        <v>ARTO MORO</v>
      </c>
      <c r="AL44" s="38">
        <f ca="1">IF(NOTA[[#This Row],[ID]]="","",COUNTIF(NOTA[ID_H],NOTA[[#This Row],[ID_H]]))</f>
        <v>9</v>
      </c>
      <c r="AM44" s="38">
        <f>IF(NOTA[[#This Row],[TGL.NOTA]]="",IF(NOTA[[#This Row],[SUPPLIER_H]]="","",AM43),MONTH(NOTA[[#This Row],[TGL.NOTA]]))</f>
        <v>1</v>
      </c>
      <c r="AN44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MOROSA24010004645294eraserer30wjk</v>
      </c>
      <c r="AR44" s="38" t="e">
        <f>IF(NOTA[[#This Row],[CONCAT4]]="","",_xlfn.IFNA(MATCH(NOTA[[#This Row],[CONCAT4]],[2]!RAW[CONCAT_H],0),FALSE))</f>
        <v>#REF!</v>
      </c>
      <c r="AS44" s="38">
        <f>IF(NOTA[[#This Row],[CONCAT1]]="","",MATCH(NOTA[[#This Row],[CONCAT1]],[3]!db[NB NOTA_C],0))</f>
        <v>963</v>
      </c>
      <c r="AT44" s="38" t="str">
        <f>IF(NOTA[[#This Row],[QTY/ CTN]]="","",TRUE)</f>
        <v/>
      </c>
      <c r="AU44" s="38" t="str">
        <f ca="1">IF(NOTA[[#This Row],[ID_H]]="","",IF(NOTA[[#This Row],[Column3]]=TRUE,NOTA[[#This Row],[QTY/ CTN]],INDEX([3]!db[QTY/ CTN],NOTA[[#This Row],[//DB]])))</f>
        <v>50 BOX (30 PCS)</v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44" s="38" t="e">
        <f ca="1">IF(NOTA[[#This Row],[ID_H]]="","",MATCH(NOTA[[#This Row],[NB NOTA_C_QTY]],[4]!db[NB NOTA_C_QTY+F],0))</f>
        <v>#REF!</v>
      </c>
      <c r="AX44" s="53">
        <f ca="1">IF(NOTA[[#This Row],[NB NOTA_C_QTY]]="","",ROW()-2)</f>
        <v>42</v>
      </c>
    </row>
    <row r="45" spans="1:50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5</v>
      </c>
      <c r="E45" s="46"/>
      <c r="F45" s="37"/>
      <c r="G45" s="37"/>
      <c r="H45" s="47"/>
      <c r="I45" s="37"/>
      <c r="J45" s="39"/>
      <c r="K45" s="37"/>
      <c r="L45" s="37" t="s">
        <v>124</v>
      </c>
      <c r="M45" s="40">
        <v>2</v>
      </c>
      <c r="N45" s="38">
        <v>100</v>
      </c>
      <c r="O45" s="37" t="s">
        <v>118</v>
      </c>
      <c r="P45" s="41">
        <v>28300</v>
      </c>
      <c r="Q45" s="42"/>
      <c r="R45" s="48"/>
      <c r="S45" s="49">
        <v>0.125</v>
      </c>
      <c r="T45" s="44">
        <v>0.05</v>
      </c>
      <c r="U45" s="44"/>
      <c r="V45" s="50"/>
      <c r="W45" s="45"/>
      <c r="X45" s="50">
        <f>IF(NOTA[[#This Row],[HARGA/ CTN]]="",NOTA[[#This Row],[JUMLAH_H]],NOTA[[#This Row],[HARGA/ CTN]]*IF(NOTA[[#This Row],[C]]="",0,NOTA[[#This Row],[C]]))</f>
        <v>2830000</v>
      </c>
      <c r="Y45" s="50">
        <f>IF(NOTA[[#This Row],[JUMLAH]]="","",NOTA[[#This Row],[JUMLAH]]*NOTA[[#This Row],[DISC 1]])</f>
        <v>353750</v>
      </c>
      <c r="Z45" s="50">
        <f>IF(NOTA[[#This Row],[JUMLAH]]="","",(NOTA[[#This Row],[JUMLAH]]-NOTA[[#This Row],[DISC 1-]])*NOTA[[#This Row],[DISC 2]])</f>
        <v>123812.5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477562.5</v>
      </c>
      <c r="AC45" s="50">
        <f>IF(NOTA[[#This Row],[JUMLAH]]="","",NOTA[[#This Row],[JUMLAH]]-NOTA[[#This Row],[DISC]])</f>
        <v>2352437.5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5" s="50">
        <f>IF(OR(NOTA[[#This Row],[QTY]]="",NOTA[[#This Row],[HARGA SATUAN]]="",),"",NOTA[[#This Row],[QTY]]*NOTA[[#This Row],[HARGA SATUAN]])</f>
        <v>2830000</v>
      </c>
      <c r="AI45" s="39">
        <f ca="1">IF(NOTA[ID_H]="","",INDEX(NOTA[TANGGAL],MATCH(,INDIRECT(ADDRESS(ROW(NOTA[TANGGAL]),COLUMN(NOTA[TANGGAL]))&amp;":"&amp;ADDRESS(ROW(),COLUMN(NOTA[TANGGAL]))),-1)))</f>
        <v>45297</v>
      </c>
      <c r="AJ45" s="41" t="str">
        <f ca="1">IF(NOTA[[#This Row],[NAMA BARANG]]="","",INDEX(NOTA[SUPPLIER],MATCH(,INDIRECT(ADDRESS(ROW(NOTA[ID]),COLUMN(NOTA[ID]))&amp;":"&amp;ADDRESS(ROW(),COLUMN(NOTA[ID]))),-1)))</f>
        <v>ATALI MAKMUR</v>
      </c>
      <c r="AK45" s="41" t="str">
        <f ca="1">IF(NOTA[[#This Row],[ID_H]]="","",IF(NOTA[[#This Row],[FAKTUR]]="",INDIRECT(ADDRESS(ROW()-1,COLUMN())),NOTA[[#This Row],[FAKTUR]]))</f>
        <v>ARTO MORO</v>
      </c>
      <c r="AL45" s="38" t="str">
        <f ca="1">IF(NOTA[[#This Row],[ID]]="","",COUNTIF(NOTA[ID_H],NOTA[[#This Row],[ID_H]]))</f>
        <v/>
      </c>
      <c r="AM45" s="38">
        <f ca="1">IF(NOTA[[#This Row],[TGL.NOTA]]="",IF(NOTA[[#This Row],[SUPPLIER_H]]="","",AM44),MONTH(NOTA[[#This Row],[TGL.NOTA]]))</f>
        <v>1</v>
      </c>
      <c r="AN4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" s="38" t="str">
        <f>IF(NOTA[[#This Row],[CONCAT4]]="","",_xlfn.IFNA(MATCH(NOTA[[#This Row],[CONCAT4]],[2]!RAW[CONCAT_H],0),FALSE))</f>
        <v/>
      </c>
      <c r="AS45" s="38">
        <f>IF(NOTA[[#This Row],[CONCAT1]]="","",MATCH(NOTA[[#This Row],[CONCAT1]],[3]!db[NB NOTA_C],0))</f>
        <v>956</v>
      </c>
      <c r="AT45" s="38" t="str">
        <f>IF(NOTA[[#This Row],[QTY/ CTN]]="","",TRUE)</f>
        <v/>
      </c>
      <c r="AU45" s="38" t="str">
        <f ca="1">IF(NOTA[[#This Row],[ID_H]]="","",IF(NOTA[[#This Row],[Column3]]=TRUE,NOTA[[#This Row],[QTY/ CTN]],INDEX([3]!db[QTY/ CTN],NOTA[[#This Row],[//DB]])))</f>
        <v>50 BOX (40 PCS)</v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5" s="38" t="e">
        <f ca="1">IF(NOTA[[#This Row],[ID_H]]="","",MATCH(NOTA[[#This Row],[NB NOTA_C_QTY]],[4]!db[NB NOTA_C_QTY+F],0))</f>
        <v>#REF!</v>
      </c>
      <c r="AX45" s="53">
        <f ca="1">IF(NOTA[[#This Row],[NB NOTA_C_QTY]]="","",ROW()-2)</f>
        <v>43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5</v>
      </c>
      <c r="E46" s="46"/>
      <c r="F46" s="37"/>
      <c r="G46" s="37"/>
      <c r="H46" s="47"/>
      <c r="I46" s="37"/>
      <c r="J46" s="39"/>
      <c r="K46" s="37"/>
      <c r="L46" s="37" t="s">
        <v>123</v>
      </c>
      <c r="M46" s="40">
        <v>1</v>
      </c>
      <c r="N46" s="38">
        <v>50</v>
      </c>
      <c r="O46" s="37" t="s">
        <v>118</v>
      </c>
      <c r="P46" s="41">
        <v>28300</v>
      </c>
      <c r="Q46" s="42"/>
      <c r="R46" s="48"/>
      <c r="S46" s="49">
        <v>0.125</v>
      </c>
      <c r="T46" s="44">
        <v>0.05</v>
      </c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1415000</v>
      </c>
      <c r="Y46" s="50">
        <f>IF(NOTA[[#This Row],[JUMLAH]]="","",NOTA[[#This Row],[JUMLAH]]*NOTA[[#This Row],[DISC 1]])</f>
        <v>176875</v>
      </c>
      <c r="Z46" s="50">
        <f>IF(NOTA[[#This Row],[JUMLAH]]="","",(NOTA[[#This Row],[JUMLAH]]-NOTA[[#This Row],[DISC 1-]])*NOTA[[#This Row],[DISC 2]])</f>
        <v>61906.25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238781.25</v>
      </c>
      <c r="AC46" s="50">
        <f>IF(NOTA[[#This Row],[JUMLAH]]="","",NOTA[[#This Row],[JUMLAH]]-NOTA[[#This Row],[DISC]])</f>
        <v>1176218.75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6" s="50">
        <f>IF(OR(NOTA[[#This Row],[QTY]]="",NOTA[[#This Row],[HARGA SATUAN]]="",),"",NOTA[[#This Row],[QTY]]*NOTA[[#This Row],[HARGA SATUAN]])</f>
        <v>1415000</v>
      </c>
      <c r="AI46" s="39">
        <f ca="1">IF(NOTA[ID_H]="","",INDEX(NOTA[TANGGAL],MATCH(,INDIRECT(ADDRESS(ROW(NOTA[TANGGAL]),COLUMN(NOTA[TANGGAL]))&amp;":"&amp;ADDRESS(ROW(),COLUMN(NOTA[TANGGAL]))),-1)))</f>
        <v>45297</v>
      </c>
      <c r="AJ46" s="41" t="str">
        <f ca="1">IF(NOTA[[#This Row],[NAMA BARANG]]="","",INDEX(NOTA[SUPPLIER],MATCH(,INDIRECT(ADDRESS(ROW(NOTA[ID]),COLUMN(NOTA[ID]))&amp;":"&amp;ADDRESS(ROW(),COLUMN(NOTA[ID]))),-1)))</f>
        <v>ATALI MAKMUR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1</v>
      </c>
      <c r="AN46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Row],[CONCAT4]],[2]!RAW[CONCAT_H],0),FALSE))</f>
        <v/>
      </c>
      <c r="AS46" s="38">
        <f>IF(NOTA[[#This Row],[CONCAT1]]="","",MATCH(NOTA[[#This Row],[CONCAT1]],[3]!db[NB NOTA_C],0))</f>
        <v>954</v>
      </c>
      <c r="AT46" s="38" t="str">
        <f>IF(NOTA[[#This Row],[QTY/ CTN]]="","",TRUE)</f>
        <v/>
      </c>
      <c r="AU46" s="38" t="str">
        <f ca="1">IF(NOTA[[#This Row],[ID_H]]="","",IF(NOTA[[#This Row],[Column3]]=TRUE,NOTA[[#This Row],[QTY/ CTN]],INDEX([3]!db[QTY/ CTN],NOTA[[#This Row],[//DB]])))</f>
        <v>50 BOX (40 PCS)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5</v>
      </c>
      <c r="E47" s="46"/>
      <c r="F47" s="37"/>
      <c r="G47" s="37"/>
      <c r="H47" s="47"/>
      <c r="I47" s="37"/>
      <c r="J47" s="39"/>
      <c r="K47" s="37"/>
      <c r="L47" s="37" t="s">
        <v>140</v>
      </c>
      <c r="M47" s="40">
        <v>1</v>
      </c>
      <c r="N47" s="38">
        <v>50</v>
      </c>
      <c r="O47" s="37" t="s">
        <v>118</v>
      </c>
      <c r="P47" s="41">
        <v>34100</v>
      </c>
      <c r="Q47" s="42"/>
      <c r="R47" s="48"/>
      <c r="S47" s="49">
        <v>0.125</v>
      </c>
      <c r="T47" s="44">
        <v>0.05</v>
      </c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1705000</v>
      </c>
      <c r="Y47" s="50">
        <f>IF(NOTA[[#This Row],[JUMLAH]]="","",NOTA[[#This Row],[JUMLAH]]*NOTA[[#This Row],[DISC 1]])</f>
        <v>213125</v>
      </c>
      <c r="Z47" s="50">
        <f>IF(NOTA[[#This Row],[JUMLAH]]="","",(NOTA[[#This Row],[JUMLAH]]-NOTA[[#This Row],[DISC 1-]])*NOTA[[#This Row],[DISC 2]])</f>
        <v>74593.75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287718.75</v>
      </c>
      <c r="AC47" s="50">
        <f>IF(NOTA[[#This Row],[JUMLAH]]="","",NOTA[[#This Row],[JUMLAH]]-NOTA[[#This Row],[DISC]])</f>
        <v>1417281.25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7" s="50">
        <f>IF(OR(NOTA[[#This Row],[QTY]]="",NOTA[[#This Row],[HARGA SATUAN]]="",),"",NOTA[[#This Row],[QTY]]*NOTA[[#This Row],[HARGA SATUAN]])</f>
        <v>1705000</v>
      </c>
      <c r="AI47" s="39">
        <f ca="1">IF(NOTA[ID_H]="","",INDEX(NOTA[TANGGAL],MATCH(,INDIRECT(ADDRESS(ROW(NOTA[TANGGAL]),COLUMN(NOTA[TANGGAL]))&amp;":"&amp;ADDRESS(ROW(),COLUMN(NOTA[TANGGAL]))),-1)))</f>
        <v>45297</v>
      </c>
      <c r="AJ47" s="41" t="str">
        <f ca="1">IF(NOTA[[#This Row],[NAMA BARANG]]="","",INDEX(NOTA[SUPPLIER],MATCH(,INDIRECT(ADDRESS(ROW(NOTA[ID]),COLUMN(NOTA[ID]))&amp;":"&amp;ADDRESS(ROW(),COLUMN(NOTA[ID]))),-1)))</f>
        <v>ATALI MAKMUR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</v>
      </c>
      <c r="AN47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964</v>
      </c>
      <c r="AT47" s="38" t="str">
        <f>IF(NOTA[[#This Row],[QTY/ CTN]]="","",TRUE)</f>
        <v/>
      </c>
      <c r="AU47" s="38" t="str">
        <f ca="1">IF(NOTA[[#This Row],[ID_H]]="","",IF(NOTA[[#This Row],[Column3]]=TRUE,NOTA[[#This Row],[QTY/ CTN]],INDEX([3]!db[QTY/ CTN],NOTA[[#This Row],[//DB]])))</f>
        <v>50 BOX (20 PCS)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5</v>
      </c>
      <c r="E48" s="46"/>
      <c r="F48" s="37"/>
      <c r="G48" s="37"/>
      <c r="H48" s="47"/>
      <c r="I48" s="37"/>
      <c r="J48" s="39"/>
      <c r="K48" s="37"/>
      <c r="L48" s="37" t="s">
        <v>194</v>
      </c>
      <c r="M48" s="40">
        <v>1</v>
      </c>
      <c r="N48" s="38">
        <v>50</v>
      </c>
      <c r="O48" s="37" t="s">
        <v>118</v>
      </c>
      <c r="P48" s="41">
        <v>32000</v>
      </c>
      <c r="Q48" s="42"/>
      <c r="R48" s="48"/>
      <c r="S48" s="49">
        <v>0.125</v>
      </c>
      <c r="T48" s="44">
        <v>0.05</v>
      </c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1600000</v>
      </c>
      <c r="Y48" s="50">
        <f>IF(NOTA[[#This Row],[JUMLAH]]="","",NOTA[[#This Row],[JUMLAH]]*NOTA[[#This Row],[DISC 1]])</f>
        <v>200000</v>
      </c>
      <c r="Z48" s="50">
        <f>IF(NOTA[[#This Row],[JUMLAH]]="","",(NOTA[[#This Row],[JUMLAH]]-NOTA[[#This Row],[DISC 1-]])*NOTA[[#This Row],[DISC 2]])</f>
        <v>70000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270000</v>
      </c>
      <c r="AC48" s="50">
        <f>IF(NOTA[[#This Row],[JUMLAH]]="","",NOTA[[#This Row],[JUMLAH]]-NOTA[[#This Row],[DISC]])</f>
        <v>1330000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8" s="50">
        <f>IF(OR(NOTA[[#This Row],[QTY]]="",NOTA[[#This Row],[HARGA SATUAN]]="",),"",NOTA[[#This Row],[QTY]]*NOTA[[#This Row],[HARGA SATUAN]])</f>
        <v>1600000</v>
      </c>
      <c r="AI48" s="39">
        <f ca="1">IF(NOTA[ID_H]="","",INDEX(NOTA[TANGGAL],MATCH(,INDIRECT(ADDRESS(ROW(NOTA[TANGGAL]),COLUMN(NOTA[TANGGAL]))&amp;":"&amp;ADDRESS(ROW(),COLUMN(NOTA[TANGGAL]))),-1)))</f>
        <v>45297</v>
      </c>
      <c r="AJ48" s="41" t="str">
        <f ca="1">IF(NOTA[[#This Row],[NAMA BARANG]]="","",INDEX(NOTA[SUPPLIER],MATCH(,INDIRECT(ADDRESS(ROW(NOTA[ID]),COLUMN(NOTA[ID]))&amp;":"&amp;ADDRESS(ROW(),COLUMN(NOTA[ID]))),-1)))</f>
        <v>ATALI MAKMUR</v>
      </c>
      <c r="AK48" s="41" t="str">
        <f ca="1">IF(NOTA[[#This Row],[ID_H]]="","",IF(NOTA[[#This Row],[FAKTUR]]="",INDIRECT(ADDRESS(ROW()-1,COLUMN())),NOTA[[#This Row],[FAKTUR]]))</f>
        <v>ARTO MORO</v>
      </c>
      <c r="AL48" s="38" t="str">
        <f ca="1">IF(NOTA[[#This Row],[ID]]="","",COUNTIF(NOTA[ID_H],NOTA[[#This Row],[ID_H]]))</f>
        <v/>
      </c>
      <c r="AM48" s="38">
        <f ca="1">IF(NOTA[[#This Row],[TGL.NOTA]]="",IF(NOTA[[#This Row],[SUPPLIER_H]]="","",AM45),MONTH(NOTA[[#This Row],[TGL.NOTA]]))</f>
        <v>1</v>
      </c>
      <c r="AN48" s="38" t="str">
        <f>LOWER(SUBSTITUTE(SUBSTITUTE(SUBSTITUTE(SUBSTITUTE(SUBSTITUTE(SUBSTITUTE(SUBSTITUTE(SUBSTITUTE(SUBSTITUTE(NOTA[NAMA BARANG]," ",),".",""),"-",""),"(",""),")",""),",",""),"/",""),"""",""),"+",""))</f>
        <v>erasereb30jk</v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>
        <f>IF(NOTA[[#This Row],[CONCAT1]]="","",MATCH(NOTA[[#This Row],[CONCAT1]],[3]!db[NB NOTA_C],0))</f>
        <v>957</v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>50 BOX (30 PCS)</v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W48" s="38" t="e">
        <f ca="1">IF(NOTA[[#This Row],[ID_H]]="","",MATCH(NOTA[[#This Row],[NB NOTA_C_QTY]],[4]!db[NB NOTA_C_QTY+F],0))</f>
        <v>#REF!</v>
      </c>
      <c r="AX48" s="53">
        <f ca="1">IF(NOTA[[#This Row],[NB NOTA_C_QTY]]="","",ROW()-2)</f>
        <v>46</v>
      </c>
    </row>
    <row r="49" spans="1:50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5</v>
      </c>
      <c r="E49" s="46"/>
      <c r="F49" s="37"/>
      <c r="G49" s="37"/>
      <c r="H49" s="47"/>
      <c r="I49" s="37"/>
      <c r="J49" s="39"/>
      <c r="K49" s="37"/>
      <c r="L49" s="37" t="s">
        <v>195</v>
      </c>
      <c r="M49" s="40">
        <v>1</v>
      </c>
      <c r="N49" s="38">
        <v>50</v>
      </c>
      <c r="O49" s="37" t="s">
        <v>118</v>
      </c>
      <c r="P49" s="41">
        <v>32000</v>
      </c>
      <c r="Q49" s="42"/>
      <c r="R49" s="48"/>
      <c r="S49" s="49">
        <v>0.125</v>
      </c>
      <c r="T49" s="44">
        <v>0.05</v>
      </c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1600000</v>
      </c>
      <c r="Y49" s="50">
        <f>IF(NOTA[[#This Row],[JUMLAH]]="","",NOTA[[#This Row],[JUMLAH]]*NOTA[[#This Row],[DISC 1]])</f>
        <v>200000</v>
      </c>
      <c r="Z49" s="50">
        <f>IF(NOTA[[#This Row],[JUMLAH]]="","",(NOTA[[#This Row],[JUMLAH]]-NOTA[[#This Row],[DISC 1-]])*NOTA[[#This Row],[DISC 2]])</f>
        <v>70000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270000</v>
      </c>
      <c r="AC49" s="50">
        <f>IF(NOTA[[#This Row],[JUMLAH]]="","",NOTA[[#This Row],[JUMLAH]]-NOTA[[#This Row],[DISC]])</f>
        <v>1330000</v>
      </c>
      <c r="AD49" s="50"/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9" s="50">
        <f>IF(OR(NOTA[[#This Row],[QTY]]="",NOTA[[#This Row],[HARGA SATUAN]]="",),"",NOTA[[#This Row],[QTY]]*NOTA[[#This Row],[HARGA SATUAN]])</f>
        <v>1600000</v>
      </c>
      <c r="AI49" s="39">
        <f ca="1">IF(NOTA[ID_H]="","",INDEX(NOTA[TANGGAL],MATCH(,INDIRECT(ADDRESS(ROW(NOTA[TANGGAL]),COLUMN(NOTA[TANGGAL]))&amp;":"&amp;ADDRESS(ROW(),COLUMN(NOTA[TANGGAL]))),-1)))</f>
        <v>45297</v>
      </c>
      <c r="AJ49" s="41" t="str">
        <f ca="1">IF(NOTA[[#This Row],[NAMA BARANG]]="","",INDEX(NOTA[SUPPLIER],MATCH(,INDIRECT(ADDRESS(ROW(NOTA[ID]),COLUMN(NOTA[ID]))&amp;":"&amp;ADDRESS(ROW(),COLUMN(NOTA[ID]))),-1)))</f>
        <v>ATALI MAKMUR</v>
      </c>
      <c r="AK49" s="41" t="str">
        <f ca="1">IF(NOTA[[#This Row],[ID_H]]="","",IF(NOTA[[#This Row],[FAKTUR]]="",INDIRECT(ADDRESS(ROW()-1,COLUMN())),NOTA[[#This Row],[FAKTUR]]))</f>
        <v>ARTO MORO</v>
      </c>
      <c r="AL49" s="38" t="str">
        <f ca="1">IF(NOTA[[#This Row],[ID]]="","",COUNTIF(NOTA[ID_H],NOTA[[#This Row],[ID_H]]))</f>
        <v/>
      </c>
      <c r="AM49" s="38">
        <f ca="1">IF(NOTA[[#This Row],[TGL.NOTA]]="",IF(NOTA[[#This Row],[SUPPLIER_H]]="","",AM48),MONTH(NOTA[[#This Row],[TGL.NOTA]]))</f>
        <v>1</v>
      </c>
      <c r="AN49" s="38" t="str">
        <f>LOWER(SUBSTITUTE(SUBSTITUTE(SUBSTITUTE(SUBSTITUTE(SUBSTITUTE(SUBSTITUTE(SUBSTITUTE(SUBSTITUTE(SUBSTITUTE(NOTA[NAMA BARANG]," ",),".",""),"-",""),"(",""),")",""),",",""),"/",""),"""",""),"+",""))</f>
        <v>eraserer106jk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eraserer106jk16000000.1250.05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eraserer106jk16000000.1250.05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38" t="str">
        <f>IF(NOTA[[#This Row],[CONCAT4]]="","",_xlfn.IFNA(MATCH(NOTA[[#This Row],[CONCAT4]],[2]!RAW[CONCAT_H],0),FALSE))</f>
        <v/>
      </c>
      <c r="AS49" s="38" t="e">
        <f>IF(NOTA[[#This Row],[CONCAT1]]="","",MATCH(NOTA[[#This Row],[CONCAT1]],[3]!db[NB NOTA_C],0))</f>
        <v>#N/A</v>
      </c>
      <c r="AT49" s="38" t="str">
        <f>IF(NOTA[[#This Row],[QTY/ CTN]]="","",TRUE)</f>
        <v/>
      </c>
      <c r="AU49" s="38" t="e">
        <f ca="1">IF(NOTA[[#This Row],[ID_H]]="","",IF(NOTA[[#This Row],[Column3]]=TRUE,NOTA[[#This Row],[QTY/ CTN]],INDEX([3]!db[QTY/ CTN],NOTA[[#This Row],[//DB]])))</f>
        <v>#N/A</v>
      </c>
      <c r="AV4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9" s="38" t="e">
        <f ca="1">IF(NOTA[[#This Row],[ID_H]]="","",MATCH(NOTA[[#This Row],[NB NOTA_C_QTY]],[4]!db[NB NOTA_C_QTY+F],0))</f>
        <v>#N/A</v>
      </c>
      <c r="AX49" s="53" t="e">
        <f ca="1">IF(NOTA[[#This Row],[NB NOTA_C_QTY]]="","",ROW()-2)</f>
        <v>#N/A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>
        <f ca="1">IF(NOTA[[#This Row],[NAMA BARANG]]="","",INDEX(NOTA[ID],MATCH(,INDIRECT(ADDRESS(ROW(NOTA[ID]),COLUMN(NOTA[ID]))&amp;":"&amp;ADDRESS(ROW(),COLUMN(NOTA[ID]))),-1)))</f>
        <v>5</v>
      </c>
      <c r="E50" s="46"/>
      <c r="F50" s="37"/>
      <c r="G50" s="37"/>
      <c r="H50" s="47"/>
      <c r="I50" s="37"/>
      <c r="J50" s="39"/>
      <c r="K50" s="37"/>
      <c r="L50" s="37" t="s">
        <v>196</v>
      </c>
      <c r="M50" s="40">
        <v>1</v>
      </c>
      <c r="N50" s="38">
        <v>50</v>
      </c>
      <c r="O50" s="37" t="s">
        <v>118</v>
      </c>
      <c r="P50" s="41">
        <v>32300</v>
      </c>
      <c r="Q50" s="42"/>
      <c r="R50" s="48"/>
      <c r="S50" s="49">
        <v>0.125</v>
      </c>
      <c r="T50" s="44">
        <v>0.05</v>
      </c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1615000</v>
      </c>
      <c r="Y50" s="50">
        <f>IF(NOTA[[#This Row],[JUMLAH]]="","",NOTA[[#This Row],[JUMLAH]]*NOTA[[#This Row],[DISC 1]])</f>
        <v>201875</v>
      </c>
      <c r="Z50" s="50">
        <f>IF(NOTA[[#This Row],[JUMLAH]]="","",(NOTA[[#This Row],[JUMLAH]]-NOTA[[#This Row],[DISC 1-]])*NOTA[[#This Row],[DISC 2]])</f>
        <v>70656.25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272531.25</v>
      </c>
      <c r="AC50" s="50">
        <f>IF(NOTA[[#This Row],[JUMLAH]]="","",NOTA[[#This Row],[JUMLAH]]-NOTA[[#This Row],[DISC]])</f>
        <v>1342468.75</v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H50" s="50">
        <f>IF(OR(NOTA[[#This Row],[QTY]]="",NOTA[[#This Row],[HARGA SATUAN]]="",),"",NOTA[[#This Row],[QTY]]*NOTA[[#This Row],[HARGA SATUAN]])</f>
        <v>1615000</v>
      </c>
      <c r="AI50" s="39">
        <f ca="1">IF(NOTA[ID_H]="","",INDEX(NOTA[TANGGAL],MATCH(,INDIRECT(ADDRESS(ROW(NOTA[TANGGAL]),COLUMN(NOTA[TANGGAL]))&amp;":"&amp;ADDRESS(ROW(),COLUMN(NOTA[TANGGAL]))),-1)))</f>
        <v>45297</v>
      </c>
      <c r="AJ50" s="41" t="str">
        <f ca="1">IF(NOTA[[#This Row],[NAMA BARANG]]="","",INDEX(NOTA[SUPPLIER],MATCH(,INDIRECT(ADDRESS(ROW(NOTA[ID]),COLUMN(NOTA[ID]))&amp;":"&amp;ADDRESS(ROW(),COLUMN(NOTA[ID]))),-1)))</f>
        <v>ATALI MAKMUR</v>
      </c>
      <c r="AK50" s="41" t="str">
        <f ca="1">IF(NOTA[[#This Row],[ID_H]]="","",IF(NOTA[[#This Row],[FAKTUR]]="",INDIRECT(ADDRESS(ROW()-1,COLUMN())),NOTA[[#This Row],[FAKTUR]]))</f>
        <v>ARTO MORO</v>
      </c>
      <c r="AL50" s="38" t="str">
        <f ca="1">IF(NOTA[[#This Row],[ID]]="","",COUNTIF(NOTA[ID_H],NOTA[[#This Row],[ID_H]]))</f>
        <v/>
      </c>
      <c r="AM50" s="38">
        <f ca="1">IF(NOTA[[#This Row],[TGL.NOTA]]="",IF(NOTA[[#This Row],[SUPPLIER_H]]="","",AM49),MONTH(NOTA[[#This Row],[TGL.NOTA]]))</f>
        <v>1</v>
      </c>
      <c r="AN50" s="38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>
        <f>IF(NOTA[[#This Row],[CONCAT1]]="","",MATCH(NOTA[[#This Row],[CONCAT1]],[3]!db[NB NOTA_C],0))</f>
        <v>959</v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>50 BOX (30 PCS)</v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eraserer107animaljk50box30pcsartomoro</v>
      </c>
      <c r="AW50" s="38" t="e">
        <f ca="1">IF(NOTA[[#This Row],[ID_H]]="","",MATCH(NOTA[[#This Row],[NB NOTA_C_QTY]],[4]!db[NB NOTA_C_QTY+F],0))</f>
        <v>#REF!</v>
      </c>
      <c r="AX50" s="53">
        <f ca="1">IF(NOTA[[#This Row],[NB NOTA_C_QTY]]="","",ROW()-2)</f>
        <v>48</v>
      </c>
    </row>
    <row r="51" spans="1:50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>
        <f ca="1">IF(NOTA[[#This Row],[NAMA BARANG]]="","",INDEX(NOTA[ID],MATCH(,INDIRECT(ADDRESS(ROW(NOTA[ID]),COLUMN(NOTA[ID]))&amp;":"&amp;ADDRESS(ROW(),COLUMN(NOTA[ID]))),-1)))</f>
        <v>5</v>
      </c>
      <c r="E51" s="46"/>
      <c r="F51" s="37"/>
      <c r="G51" s="37"/>
      <c r="H51" s="47"/>
      <c r="I51" s="37"/>
      <c r="J51" s="39"/>
      <c r="K51" s="37"/>
      <c r="L51" s="37" t="s">
        <v>197</v>
      </c>
      <c r="M51" s="40">
        <v>1</v>
      </c>
      <c r="N51" s="38">
        <v>50</v>
      </c>
      <c r="O51" s="37" t="s">
        <v>118</v>
      </c>
      <c r="P51" s="41">
        <v>32300</v>
      </c>
      <c r="Q51" s="42"/>
      <c r="R51" s="48"/>
      <c r="S51" s="49">
        <v>0.125</v>
      </c>
      <c r="T51" s="44">
        <v>0.05</v>
      </c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1615000</v>
      </c>
      <c r="Y51" s="50">
        <f>IF(NOTA[[#This Row],[JUMLAH]]="","",NOTA[[#This Row],[JUMLAH]]*NOTA[[#This Row],[DISC 1]])</f>
        <v>201875</v>
      </c>
      <c r="Z51" s="50">
        <f>IF(NOTA[[#This Row],[JUMLAH]]="","",(NOTA[[#This Row],[JUMLAH]]-NOTA[[#This Row],[DISC 1-]])*NOTA[[#This Row],[DISC 2]])</f>
        <v>70656.25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272531.25</v>
      </c>
      <c r="AC51" s="50">
        <f>IF(NOTA[[#This Row],[JUMLAH]]="","",NOTA[[#This Row],[JUMLAH]]-NOTA[[#This Row],[DISC]])</f>
        <v>1342468.75</v>
      </c>
      <c r="AD51" s="50"/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H51" s="50">
        <f>IF(OR(NOTA[[#This Row],[QTY]]="",NOTA[[#This Row],[HARGA SATUAN]]="",),"",NOTA[[#This Row],[QTY]]*NOTA[[#This Row],[HARGA SATUAN]])</f>
        <v>1615000</v>
      </c>
      <c r="AI51" s="39">
        <f ca="1">IF(NOTA[ID_H]="","",INDEX(NOTA[TANGGAL],MATCH(,INDIRECT(ADDRESS(ROW(NOTA[TANGGAL]),COLUMN(NOTA[TANGGAL]))&amp;":"&amp;ADDRESS(ROW(),COLUMN(NOTA[TANGGAL]))),-1)))</f>
        <v>45297</v>
      </c>
      <c r="AJ51" s="41" t="str">
        <f ca="1">IF(NOTA[[#This Row],[NAMA BARANG]]="","",INDEX(NOTA[SUPPLIER],MATCH(,INDIRECT(ADDRESS(ROW(NOTA[ID]),COLUMN(NOTA[ID]))&amp;":"&amp;ADDRESS(ROW(),COLUMN(NOTA[ID]))),-1)))</f>
        <v>ATALI MAKMUR</v>
      </c>
      <c r="AK51" s="41" t="str">
        <f ca="1">IF(NOTA[[#This Row],[ID_H]]="","",IF(NOTA[[#This Row],[FAKTUR]]="",INDIRECT(ADDRESS(ROW()-1,COLUMN())),NOTA[[#This Row],[FAKTUR]]))</f>
        <v>ARTO MORO</v>
      </c>
      <c r="AL51" s="38" t="str">
        <f ca="1">IF(NOTA[[#This Row],[ID]]="","",COUNTIF(NOTA[ID_H],NOTA[[#This Row],[ID_H]]))</f>
        <v/>
      </c>
      <c r="AM51" s="38">
        <f ca="1">IF(NOTA[[#This Row],[TGL.NOTA]]="",IF(NOTA[[#This Row],[SUPPLIER_H]]="","",AM49),MONTH(NOTA[[#This Row],[TGL.NOTA]]))</f>
        <v>1</v>
      </c>
      <c r="AN51" s="38" t="str">
        <f>LOWER(SUBSTITUTE(SUBSTITUTE(SUBSTITUTE(SUBSTITUTE(SUBSTITUTE(SUBSTITUTE(SUBSTITUTE(SUBSTITUTE(SUBSTITUTE(NOTA[NAMA BARANG]," ",),".",""),"-",""),"(",""),")",""),",",""),"/",""),"""",""),"+",""))</f>
        <v>eraserer108batkjk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eraserer108batkjk16150000.1250.05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eraserer108batkjk16150000.1250.05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" s="38" t="str">
        <f>IF(NOTA[[#This Row],[CONCAT4]]="","",_xlfn.IFNA(MATCH(NOTA[[#This Row],[CONCAT4]],[2]!RAW[CONCAT_H],0),FALSE))</f>
        <v/>
      </c>
      <c r="AS51" s="38" t="e">
        <f>IF(NOTA[[#This Row],[CONCAT1]]="","",MATCH(NOTA[[#This Row],[CONCAT1]],[3]!db[NB NOTA_C],0))</f>
        <v>#N/A</v>
      </c>
      <c r="AT51" s="38" t="str">
        <f>IF(NOTA[[#This Row],[QTY/ CTN]]="","",TRUE)</f>
        <v/>
      </c>
      <c r="AU51" s="38" t="e">
        <f ca="1">IF(NOTA[[#This Row],[ID_H]]="","",IF(NOTA[[#This Row],[Column3]]=TRUE,NOTA[[#This Row],[QTY/ CTN]],INDEX([3]!db[QTY/ CTN],NOTA[[#This Row],[//DB]])))</f>
        <v>#N/A</v>
      </c>
      <c r="AV5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1" s="38" t="e">
        <f ca="1">IF(NOTA[[#This Row],[ID_H]]="","",MATCH(NOTA[[#This Row],[NB NOTA_C_QTY]],[4]!db[NB NOTA_C_QTY+F],0))</f>
        <v>#N/A</v>
      </c>
      <c r="AX51" s="53" t="e">
        <f ca="1">IF(NOTA[[#This Row],[NB NOTA_C_QTY]]="","",ROW()-2)</f>
        <v>#N/A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>
        <f ca="1">IF(NOTA[[#This Row],[NAMA BARANG]]="","",INDEX(NOTA[ID],MATCH(,INDIRECT(ADDRESS(ROW(NOTA[ID]),COLUMN(NOTA[ID]))&amp;":"&amp;ADDRESS(ROW(),COLUMN(NOTA[ID]))),-1)))</f>
        <v>5</v>
      </c>
      <c r="E52" s="46"/>
      <c r="F52" s="37"/>
      <c r="G52" s="37"/>
      <c r="H52" s="47"/>
      <c r="I52" s="37"/>
      <c r="J52" s="39"/>
      <c r="K52" s="37"/>
      <c r="L52" s="37" t="s">
        <v>198</v>
      </c>
      <c r="M52" s="40">
        <v>1</v>
      </c>
      <c r="N52" s="38">
        <v>50</v>
      </c>
      <c r="O52" s="37" t="s">
        <v>118</v>
      </c>
      <c r="P52" s="41">
        <v>36200</v>
      </c>
      <c r="Q52" s="42"/>
      <c r="R52" s="48"/>
      <c r="S52" s="49">
        <v>0.125</v>
      </c>
      <c r="T52" s="44">
        <v>0.05</v>
      </c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1810000</v>
      </c>
      <c r="Y52" s="50">
        <f>IF(NOTA[[#This Row],[JUMLAH]]="","",NOTA[[#This Row],[JUMLAH]]*NOTA[[#This Row],[DISC 1]])</f>
        <v>226250</v>
      </c>
      <c r="Z52" s="50">
        <f>IF(NOTA[[#This Row],[JUMLAH]]="","",(NOTA[[#This Row],[JUMLAH]]-NOTA[[#This Row],[DISC 1-]])*NOTA[[#This Row],[DISC 2]])</f>
        <v>79187.5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305437.5</v>
      </c>
      <c r="AC52" s="50">
        <f>IF(NOTA[[#This Row],[JUMLAH]]="","",NOTA[[#This Row],[JUMLAH]]-NOTA[[#This Row],[DISC]])</f>
        <v>1504562.5</v>
      </c>
      <c r="AD52" s="50"/>
      <c r="AE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2934562.5</v>
      </c>
      <c r="AF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14455437.5</v>
      </c>
      <c r="AG52" s="41">
        <f>IF(NOTA[[#This Row],[NAMA BARANG]]="","",IF(NOTA[[#This Row],[JUMLAH_H]]="",NOTA[[#This Row],[HARGA/ CTN]],NOTA[[#This Row],[QTY]]*NOTA[[#This Row],[HARGA SATUAN]]/IF(ISNUMBER(NOTA[[#This Row],[C]]),NOTA[[#This Row],[C]],1)))</f>
        <v>1810000</v>
      </c>
      <c r="AH52" s="50">
        <f>IF(OR(NOTA[[#This Row],[QTY]]="",NOTA[[#This Row],[HARGA SATUAN]]="",),"",NOTA[[#This Row],[QTY]]*NOTA[[#This Row],[HARGA SATUAN]])</f>
        <v>1810000</v>
      </c>
      <c r="AI52" s="39">
        <f ca="1">IF(NOTA[ID_H]="","",INDEX(NOTA[TANGGAL],MATCH(,INDIRECT(ADDRESS(ROW(NOTA[TANGGAL]),COLUMN(NOTA[TANGGAL]))&amp;":"&amp;ADDRESS(ROW(),COLUMN(NOTA[TANGGAL]))),-1)))</f>
        <v>45297</v>
      </c>
      <c r="AJ52" s="41" t="str">
        <f ca="1">IF(NOTA[[#This Row],[NAMA BARANG]]="","",INDEX(NOTA[SUPPLIER],MATCH(,INDIRECT(ADDRESS(ROW(NOTA[ID]),COLUMN(NOTA[ID]))&amp;":"&amp;ADDRESS(ROW(),COLUMN(NOTA[ID]))),-1)))</f>
        <v>ATALI MAKMUR</v>
      </c>
      <c r="AK52" s="41" t="str">
        <f ca="1">IF(NOTA[[#This Row],[ID_H]]="","",IF(NOTA[[#This Row],[FAKTUR]]="",INDIRECT(ADDRESS(ROW()-1,COLUMN())),NOTA[[#This Row],[FAKTUR]]))</f>
        <v>ARTO MORO</v>
      </c>
      <c r="AL52" s="38" t="str">
        <f ca="1">IF(NOTA[[#This Row],[ID]]="","",COUNTIF(NOTA[ID_H],NOTA[[#This Row],[ID_H]]))</f>
        <v/>
      </c>
      <c r="AM52" s="38">
        <f ca="1">IF(NOTA[[#This Row],[TGL.NOTA]]="",IF(NOTA[[#This Row],[SUPPLIER_H]]="","",AM51),MONTH(NOTA[[#This Row],[TGL.NOTA]]))</f>
        <v>1</v>
      </c>
      <c r="AN52" s="38" t="str">
        <f>LOWER(SUBSTITUTE(SUBSTITUTE(SUBSTITUTE(SUBSTITUTE(SUBSTITUTE(SUBSTITUTE(SUBSTITUTE(SUBSTITUTE(SUBSTITUTE(NOTA[NAMA BARANG]," ",),".",""),"-",""),"(",""),")",""),",",""),"/",""),"""",""),"+",""))</f>
        <v>eraserer116jk</v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eraserer116jk18100000.1250.05</v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eraserer116jk18100000.1250.05</v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>
        <f>IF(NOTA[[#This Row],[CONCAT1]]="","",MATCH(NOTA[[#This Row],[CONCAT1]],[3]!db[NB NOTA_C],0))</f>
        <v>961</v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>50 BOX (20 PCS)</v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eraserer116jk50box20pcsartomoro</v>
      </c>
      <c r="AW52" s="38" t="e">
        <f ca="1">IF(NOTA[[#This Row],[ID_H]]="","",MATCH(NOTA[[#This Row],[NB NOTA_C_QTY]],[4]!db[NB NOTA_C_QTY+F],0))</f>
        <v>#REF!</v>
      </c>
      <c r="AX52" s="53">
        <f ca="1">IF(NOTA[[#This Row],[NB NOTA_C_QTY]]="","",ROW()-2)</f>
        <v>50</v>
      </c>
    </row>
    <row r="53" spans="1:50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 t="str">
        <f ca="1">IF(NOTA[[#This Row],[NAMA BARANG]]="","",INDEX(NOTA[ID],MATCH(,INDIRECT(ADDRESS(ROW(NOTA[ID]),COLUMN(NOTA[ID]))&amp;":"&amp;ADDRESS(ROW(),COLUMN(NOTA[ID]))),-1)))</f>
        <v/>
      </c>
      <c r="E53" s="46"/>
      <c r="F53" s="37"/>
      <c r="G53" s="37"/>
      <c r="H53" s="47"/>
      <c r="I53" s="37"/>
      <c r="J53" s="39"/>
      <c r="K53" s="37"/>
      <c r="L53" s="37"/>
      <c r="M53" s="40"/>
      <c r="O53" s="37"/>
      <c r="P53" s="41"/>
      <c r="Q53" s="42"/>
      <c r="R53" s="48"/>
      <c r="S53" s="49"/>
      <c r="T53" s="44"/>
      <c r="U53" s="44"/>
      <c r="V53" s="50"/>
      <c r="W53" s="45"/>
      <c r="X53" s="50" t="str">
        <f>IF(NOTA[[#This Row],[HARGA/ CTN]]="",NOTA[[#This Row],[JUMLAH_H]],NOTA[[#This Row],[HARGA/ CTN]]*IF(NOTA[[#This Row],[C]]="",0,NOTA[[#This Row],[C]]))</f>
        <v/>
      </c>
      <c r="Y53" s="50" t="str">
        <f>IF(NOTA[[#This Row],[JUMLAH]]="","",NOTA[[#This Row],[JUMLAH]]*NOTA[[#This Row],[DISC 1]])</f>
        <v/>
      </c>
      <c r="Z53" s="50" t="str">
        <f>IF(NOTA[[#This Row],[JUMLAH]]="","",(NOTA[[#This Row],[JUMLAH]]-NOTA[[#This Row],[DISC 1-]])*NOTA[[#This Row],[DISC 2]])</f>
        <v/>
      </c>
      <c r="AA53" s="50" t="str">
        <f>IF(NOTA[[#This Row],[JUMLAH]]="","",(NOTA[[#This Row],[JUMLAH]]-NOTA[[#This Row],[DISC 1-]]-NOTA[[#This Row],[DISC 2-]])*NOTA[[#This Row],[DISC 3]])</f>
        <v/>
      </c>
      <c r="AB53" s="50" t="str">
        <f>IF(NOTA[[#This Row],[JUMLAH]]="","",NOTA[[#This Row],[DISC 1-]]+NOTA[[#This Row],[DISC 2-]]+NOTA[[#This Row],[DISC 3-]])</f>
        <v/>
      </c>
      <c r="AC53" s="50" t="str">
        <f>IF(NOTA[[#This Row],[JUMLAH]]="","",NOTA[[#This Row],[JUMLAH]]-NOTA[[#This Row],[DISC]])</f>
        <v/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" s="50" t="str">
        <f>IF(OR(NOTA[[#This Row],[QTY]]="",NOTA[[#This Row],[HARGA SATUAN]]="",),"",NOTA[[#This Row],[QTY]]*NOTA[[#This Row],[HARGA SATUAN]])</f>
        <v/>
      </c>
      <c r="AI53" s="39" t="str">
        <f ca="1">IF(NOTA[ID_H]="","",INDEX(NOTA[TANGGAL],MATCH(,INDIRECT(ADDRESS(ROW(NOTA[TANGGAL]),COLUMN(NOTA[TANGGAL]))&amp;":"&amp;ADDRESS(ROW(),COLUMN(NOTA[TANGGAL]))),-1)))</f>
        <v/>
      </c>
      <c r="AJ53" s="41" t="str">
        <f ca="1">IF(NOTA[[#This Row],[NAMA BARANG]]="","",INDEX(NOTA[SUPPLIER],MATCH(,INDIRECT(ADDRESS(ROW(NOTA[ID]),COLUMN(NOTA[ID]))&amp;":"&amp;ADDRESS(ROW(),COLUMN(NOTA[ID]))),-1)))</f>
        <v/>
      </c>
      <c r="AK53" s="41" t="str">
        <f ca="1">IF(NOTA[[#This Row],[ID_H]]="","",IF(NOTA[[#This Row],[FAKTUR]]="",INDIRECT(ADDRESS(ROW()-1,COLUMN())),NOTA[[#This Row],[FAKTUR]]))</f>
        <v/>
      </c>
      <c r="AL53" s="38" t="str">
        <f ca="1">IF(NOTA[[#This Row],[ID]]="","",COUNTIF(NOTA[ID_H],NOTA[[#This Row],[ID_H]]))</f>
        <v/>
      </c>
      <c r="AM53" s="38" t="str">
        <f ca="1">IF(NOTA[[#This Row],[TGL.NOTA]]="",IF(NOTA[[#This Row],[SUPPLIER_H]]="","",AM52),MONTH(NOTA[[#This Row],[TGL.NOTA]]))</f>
        <v/>
      </c>
      <c r="AN53" s="38" t="str">
        <f>LOWER(SUBSTITUTE(SUBSTITUTE(SUBSTITUTE(SUBSTITUTE(SUBSTITUTE(SUBSTITUTE(SUBSTITUTE(SUBSTITUTE(SUBSTITUTE(NOTA[NAMA BARANG]," ",),".",""),"-",""),"(",""),")",""),",",""),"/",""),"""",""),"+",""))</f>
        <v/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" s="38" t="str">
        <f>IF(NOTA[[#This Row],[CONCAT4]]="","",_xlfn.IFNA(MATCH(NOTA[[#This Row],[CONCAT4]],[2]!RAW[CONCAT_H],0),FALSE))</f>
        <v/>
      </c>
      <c r="AS53" s="38" t="str">
        <f>IF(NOTA[[#This Row],[CONCAT1]]="","",MATCH(NOTA[[#This Row],[CONCAT1]],[3]!db[NB NOTA_C],0))</f>
        <v/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/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" s="38" t="str">
        <f ca="1">IF(NOTA[[#This Row],[ID_H]]="","",MATCH(NOTA[[#This Row],[NB NOTA_C_QTY]],[4]!db[NB NOTA_C_QTY+F],0))</f>
        <v/>
      </c>
      <c r="AX53" s="53" t="str">
        <f ca="1">IF(NOTA[[#This Row],[NB NOTA_C_QTY]]="","",ROW()-2)</f>
        <v/>
      </c>
    </row>
    <row r="54" spans="1:50" s="38" customFormat="1" ht="20.100000000000001" customHeight="1" x14ac:dyDescent="0.25">
      <c r="A54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ATA_0601_047-4</v>
      </c>
      <c r="C54" s="38" t="e">
        <f ca="1">IF(NOTA[[#This Row],[ID_P]]="","",MATCH(NOTA[[#This Row],[ID_P]],[1]!B_MSK[N_ID],0))</f>
        <v>#REF!</v>
      </c>
      <c r="D54" s="38">
        <f ca="1">IF(NOTA[[#This Row],[NAMA BARANG]]="","",INDEX(NOTA[ID],MATCH(,INDIRECT(ADDRESS(ROW(NOTA[ID]),COLUMN(NOTA[ID]))&amp;":"&amp;ADDRESS(ROW(),COLUMN(NOTA[ID]))),-1)))</f>
        <v>6</v>
      </c>
      <c r="E54" s="46"/>
      <c r="F54" s="37" t="s">
        <v>24</v>
      </c>
      <c r="G54" s="37" t="s">
        <v>23</v>
      </c>
      <c r="H54" s="47" t="s">
        <v>199</v>
      </c>
      <c r="I54" s="37"/>
      <c r="J54" s="39">
        <v>45294</v>
      </c>
      <c r="K54" s="37"/>
      <c r="L54" s="37" t="s">
        <v>200</v>
      </c>
      <c r="M54" s="40">
        <v>2</v>
      </c>
      <c r="N54" s="38">
        <v>1536</v>
      </c>
      <c r="O54" s="37" t="s">
        <v>115</v>
      </c>
      <c r="P54" s="41">
        <v>2100</v>
      </c>
      <c r="Q54" s="42"/>
      <c r="R54" s="48"/>
      <c r="S54" s="49">
        <v>0.125</v>
      </c>
      <c r="T54" s="44">
        <v>0.05</v>
      </c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3225600</v>
      </c>
      <c r="Y54" s="50">
        <f>IF(NOTA[[#This Row],[JUMLAH]]="","",NOTA[[#This Row],[JUMLAH]]*NOTA[[#This Row],[DISC 1]])</f>
        <v>403200</v>
      </c>
      <c r="Z54" s="50">
        <f>IF(NOTA[[#This Row],[JUMLAH]]="","",(NOTA[[#This Row],[JUMLAH]]-NOTA[[#This Row],[DISC 1-]])*NOTA[[#This Row],[DISC 2]])</f>
        <v>141120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544320</v>
      </c>
      <c r="AC54" s="50">
        <f>IF(NOTA[[#This Row],[JUMLAH]]="","",NOTA[[#This Row],[JUMLAH]]-NOTA[[#This Row],[DISC]])</f>
        <v>2681280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54" s="50">
        <f>IF(OR(NOTA[[#This Row],[QTY]]="",NOTA[[#This Row],[HARGA SATUAN]]="",),"",NOTA[[#This Row],[QTY]]*NOTA[[#This Row],[HARGA SATUAN]])</f>
        <v>3225600</v>
      </c>
      <c r="AI54" s="39">
        <f ca="1">IF(NOTA[ID_H]="","",INDEX(NOTA[TANGGAL],MATCH(,INDIRECT(ADDRESS(ROW(NOTA[TANGGAL]),COLUMN(NOTA[TANGGAL]))&amp;":"&amp;ADDRESS(ROW(),COLUMN(NOTA[TANGGAL]))),-1)))</f>
        <v>45297</v>
      </c>
      <c r="AJ54" s="41" t="str">
        <f ca="1">IF(NOTA[[#This Row],[NAMA BARANG]]="","",INDEX(NOTA[SUPPLIER],MATCH(,INDIRECT(ADDRESS(ROW(NOTA[ID]),COLUMN(NOTA[ID]))&amp;":"&amp;ADDRESS(ROW(),COLUMN(NOTA[ID]))),-1)))</f>
        <v>ATALI MAKMUR</v>
      </c>
      <c r="AK54" s="41" t="str">
        <f ca="1">IF(NOTA[[#This Row],[ID_H]]="","",IF(NOTA[[#This Row],[FAKTUR]]="",INDIRECT(ADDRESS(ROW()-1,COLUMN())),NOTA[[#This Row],[FAKTUR]]))</f>
        <v>ARTO MORO</v>
      </c>
      <c r="AL54" s="38">
        <f ca="1">IF(NOTA[[#This Row],[ID]]="","",COUNTIF(NOTA[ID_H],NOTA[[#This Row],[ID_H]]))</f>
        <v>4</v>
      </c>
      <c r="AM54" s="38">
        <f>IF(NOTA[[#This Row],[TGL.NOTA]]="",IF(NOTA[[#This Row],[SUPPLIER_H]]="","",AM53),MONTH(NOTA[[#This Row],[TGL.NOTA]]))</f>
        <v>1</v>
      </c>
      <c r="AN54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MOROSA24010004745294gluestickgs098gramjk</v>
      </c>
      <c r="AR54" s="38" t="e">
        <f>IF(NOTA[[#This Row],[CONCAT4]]="","",_xlfn.IFNA(MATCH(NOTA[[#This Row],[CONCAT4]],[2]!RAW[CONCAT_H],0),FALSE))</f>
        <v>#REF!</v>
      </c>
      <c r="AS54" s="38">
        <f>IF(NOTA[[#This Row],[CONCAT1]]="","",MATCH(NOTA[[#This Row],[CONCAT1]],[3]!db[NB NOTA_C],0))</f>
        <v>1328</v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>64 LSN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6</v>
      </c>
      <c r="E55" s="46"/>
      <c r="F55" s="37"/>
      <c r="G55" s="37"/>
      <c r="H55" s="47"/>
      <c r="I55" s="37"/>
      <c r="J55" s="39"/>
      <c r="K55" s="37"/>
      <c r="L55" s="37" t="s">
        <v>141</v>
      </c>
      <c r="M55" s="40">
        <v>2</v>
      </c>
      <c r="N55" s="38">
        <v>1728</v>
      </c>
      <c r="O55" s="37" t="s">
        <v>115</v>
      </c>
      <c r="P55" s="41">
        <v>2450</v>
      </c>
      <c r="Q55" s="42"/>
      <c r="R55" s="48"/>
      <c r="S55" s="49">
        <v>0.125</v>
      </c>
      <c r="T55" s="44">
        <v>0.05</v>
      </c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4233600</v>
      </c>
      <c r="Y55" s="50">
        <f>IF(NOTA[[#This Row],[JUMLAH]]="","",NOTA[[#This Row],[JUMLAH]]*NOTA[[#This Row],[DISC 1]])</f>
        <v>529200</v>
      </c>
      <c r="Z55" s="50">
        <f>IF(NOTA[[#This Row],[JUMLAH]]="","",(NOTA[[#This Row],[JUMLAH]]-NOTA[[#This Row],[DISC 1-]])*NOTA[[#This Row],[DISC 2]])</f>
        <v>185220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714420</v>
      </c>
      <c r="AC55" s="50">
        <f>IF(NOTA[[#This Row],[JUMLAH]]="","",NOTA[[#This Row],[JUMLAH]]-NOTA[[#This Row],[DISC]])</f>
        <v>3519180</v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55" s="50">
        <f>IF(OR(NOTA[[#This Row],[QTY]]="",NOTA[[#This Row],[HARGA SATUAN]]="",),"",NOTA[[#This Row],[QTY]]*NOTA[[#This Row],[HARGA SATUAN]])</f>
        <v>4233600</v>
      </c>
      <c r="AI55" s="39">
        <f ca="1">IF(NOTA[ID_H]="","",INDEX(NOTA[TANGGAL],MATCH(,INDIRECT(ADDRESS(ROW(NOTA[TANGGAL]),COLUMN(NOTA[TANGGAL]))&amp;":"&amp;ADDRESS(ROW(),COLUMN(NOTA[TANGGAL]))),-1)))</f>
        <v>45297</v>
      </c>
      <c r="AJ55" s="41" t="str">
        <f ca="1">IF(NOTA[[#This Row],[NAMA BARANG]]="","",INDEX(NOTA[SUPPLIER],MATCH(,INDIRECT(ADDRESS(ROW(NOTA[ID]),COLUMN(NOTA[ID]))&amp;":"&amp;ADDRESS(ROW(),COLUMN(NOTA[ID]))),-1)))</f>
        <v>ATALI MAKMUR</v>
      </c>
      <c r="AK55" s="41" t="str">
        <f ca="1">IF(NOTA[[#This Row],[ID_H]]="","",IF(NOTA[[#This Row],[FAKTUR]]="",INDIRECT(ADDRESS(ROW()-1,COLUMN())),NOTA[[#This Row],[FAKTUR]]))</f>
        <v>ARTO MORO</v>
      </c>
      <c r="AL55" s="38" t="str">
        <f ca="1">IF(NOTA[[#This Row],[ID]]="","",COUNTIF(NOTA[ID_H],NOTA[[#This Row],[ID_H]]))</f>
        <v/>
      </c>
      <c r="AM55" s="38">
        <f ca="1">IF(NOTA[[#This Row],[TGL.NOTA]]="",IF(NOTA[[#This Row],[SUPPLIER_H]]="","",AM54),MONTH(NOTA[[#This Row],[TGL.NOTA]]))</f>
        <v>1</v>
      </c>
      <c r="AN55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>
        <f>IF(NOTA[[#This Row],[CONCAT1]]="","",MATCH(NOTA[[#This Row],[CONCAT1]],[3]!db[NB NOTA_C],0))</f>
        <v>1332</v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>36 BOX (24 PCS)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>
        <f ca="1">IF(NOTA[[#This Row],[NAMA BARANG]]="","",INDEX(NOTA[ID],MATCH(,INDIRECT(ADDRESS(ROW(NOTA[ID]),COLUMN(NOTA[ID]))&amp;":"&amp;ADDRESS(ROW(),COLUMN(NOTA[ID]))),-1)))</f>
        <v>6</v>
      </c>
      <c r="E56" s="46"/>
      <c r="F56" s="37"/>
      <c r="G56" s="37"/>
      <c r="H56" s="47"/>
      <c r="I56" s="37"/>
      <c r="J56" s="39"/>
      <c r="K56" s="37"/>
      <c r="L56" s="37" t="s">
        <v>201</v>
      </c>
      <c r="M56" s="40">
        <v>2</v>
      </c>
      <c r="N56" s="38">
        <v>1296</v>
      </c>
      <c r="O56" s="37" t="s">
        <v>115</v>
      </c>
      <c r="P56" s="41">
        <v>3300</v>
      </c>
      <c r="Q56" s="42"/>
      <c r="R56" s="48"/>
      <c r="S56" s="49">
        <v>0.125</v>
      </c>
      <c r="T56" s="44">
        <v>0.05</v>
      </c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4276800</v>
      </c>
      <c r="Y56" s="50">
        <f>IF(NOTA[[#This Row],[JUMLAH]]="","",NOTA[[#This Row],[JUMLAH]]*NOTA[[#This Row],[DISC 1]])</f>
        <v>534600</v>
      </c>
      <c r="Z56" s="50">
        <f>IF(NOTA[[#This Row],[JUMLAH]]="","",(NOTA[[#This Row],[JUMLAH]]-NOTA[[#This Row],[DISC 1-]])*NOTA[[#This Row],[DISC 2]])</f>
        <v>187110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721710</v>
      </c>
      <c r="AC56" s="50">
        <f>IF(NOTA[[#This Row],[JUMLAH]]="","",NOTA[[#This Row],[JUMLAH]]-NOTA[[#This Row],[DISC]])</f>
        <v>3555090</v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2138400</v>
      </c>
      <c r="AH56" s="50">
        <f>IF(OR(NOTA[[#This Row],[QTY]]="",NOTA[[#This Row],[HARGA SATUAN]]="",),"",NOTA[[#This Row],[QTY]]*NOTA[[#This Row],[HARGA SATUAN]])</f>
        <v>4276800</v>
      </c>
      <c r="AI56" s="39">
        <f ca="1">IF(NOTA[ID_H]="","",INDEX(NOTA[TANGGAL],MATCH(,INDIRECT(ADDRESS(ROW(NOTA[TANGGAL]),COLUMN(NOTA[TANGGAL]))&amp;":"&amp;ADDRESS(ROW(),COLUMN(NOTA[TANGGAL]))),-1)))</f>
        <v>45297</v>
      </c>
      <c r="AJ56" s="41" t="str">
        <f ca="1">IF(NOTA[[#This Row],[NAMA BARANG]]="","",INDEX(NOTA[SUPPLIER],MATCH(,INDIRECT(ADDRESS(ROW(NOTA[ID]),COLUMN(NOTA[ID]))&amp;":"&amp;ADDRESS(ROW(),COLUMN(NOTA[ID]))),-1)))</f>
        <v>ATALI MAKMUR</v>
      </c>
      <c r="AK56" s="41" t="str">
        <f ca="1">IF(NOTA[[#This Row],[ID_H]]="","",IF(NOTA[[#This Row],[FAKTUR]]="",INDIRECT(ADDRESS(ROW()-1,COLUMN())),NOTA[[#This Row],[FAKTUR]]))</f>
        <v>ARTO MORO</v>
      </c>
      <c r="AL56" s="38" t="str">
        <f ca="1">IF(NOTA[[#This Row],[ID]]="","",COUNTIF(NOTA[ID_H],NOTA[[#This Row],[ID_H]]))</f>
        <v/>
      </c>
      <c r="AM56" s="38">
        <f ca="1">IF(NOTA[[#This Row],[TGL.NOTA]]="",IF(NOTA[[#This Row],[SUPPLIER_H]]="","",AM55),MONTH(NOTA[[#This Row],[TGL.NOTA]]))</f>
        <v>1</v>
      </c>
      <c r="AN56" s="38" t="str">
        <f>LOWER(SUBSTITUTE(SUBSTITUTE(SUBSTITUTE(SUBSTITUTE(SUBSTITUTE(SUBSTITUTE(SUBSTITUTE(SUBSTITUTE(SUBSTITUTE(NOTA[NAMA BARANG]," ",),".",""),"-",""),"(",""),")",""),",",""),"/",""),"""",""),"+",""))</f>
        <v>gluestickgs15jk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gluestickgs15jk21384000.1250.05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gluestickgs15jk21384000.1250.05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>
        <f>IF(NOTA[[#This Row],[CONCAT1]]="","",MATCH(NOTA[[#This Row],[CONCAT1]],[3]!db[NB NOTA_C],0))</f>
        <v>1334</v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>54 LSN</v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gluestickgs15jk54lsnartomoro</v>
      </c>
      <c r="AW56" s="38" t="e">
        <f ca="1">IF(NOTA[[#This Row],[ID_H]]="","",MATCH(NOTA[[#This Row],[NB NOTA_C_QTY]],[4]!db[NB NOTA_C_QTY+F],0))</f>
        <v>#REF!</v>
      </c>
      <c r="AX56" s="53">
        <f ca="1">IF(NOTA[[#This Row],[NB NOTA_C_QTY]]="","",ROW()-2)</f>
        <v>54</v>
      </c>
    </row>
    <row r="57" spans="1:50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6</v>
      </c>
      <c r="E57" s="46"/>
      <c r="F57" s="37"/>
      <c r="G57" s="37"/>
      <c r="H57" s="47"/>
      <c r="I57" s="37"/>
      <c r="J57" s="39"/>
      <c r="K57" s="37"/>
      <c r="L57" s="37" t="s">
        <v>202</v>
      </c>
      <c r="M57" s="40">
        <v>2</v>
      </c>
      <c r="N57" s="38">
        <v>864</v>
      </c>
      <c r="O57" s="37" t="s">
        <v>115</v>
      </c>
      <c r="P57" s="41">
        <v>4400</v>
      </c>
      <c r="Q57" s="42"/>
      <c r="R57" s="48"/>
      <c r="S57" s="49">
        <v>0.125</v>
      </c>
      <c r="T57" s="44">
        <v>0.05</v>
      </c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3801600</v>
      </c>
      <c r="Y57" s="50">
        <f>IF(NOTA[[#This Row],[JUMLAH]]="","",NOTA[[#This Row],[JUMLAH]]*NOTA[[#This Row],[DISC 1]])</f>
        <v>475200</v>
      </c>
      <c r="Z57" s="50">
        <f>IF(NOTA[[#This Row],[JUMLAH]]="","",(NOTA[[#This Row],[JUMLAH]]-NOTA[[#This Row],[DISC 1-]])*NOTA[[#This Row],[DISC 2]])</f>
        <v>166320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641520</v>
      </c>
      <c r="AC57" s="50">
        <f>IF(NOTA[[#This Row],[JUMLAH]]="","",NOTA[[#This Row],[JUMLAH]]-NOTA[[#This Row],[DISC]])</f>
        <v>3160080</v>
      </c>
      <c r="AD57" s="50"/>
      <c r="AE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2621970</v>
      </c>
      <c r="AF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12915630</v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57" s="50">
        <f>IF(OR(NOTA[[#This Row],[QTY]]="",NOTA[[#This Row],[HARGA SATUAN]]="",),"",NOTA[[#This Row],[QTY]]*NOTA[[#This Row],[HARGA SATUAN]])</f>
        <v>3801600</v>
      </c>
      <c r="AI57" s="39">
        <f ca="1">IF(NOTA[ID_H]="","",INDEX(NOTA[TANGGAL],MATCH(,INDIRECT(ADDRESS(ROW(NOTA[TANGGAL]),COLUMN(NOTA[TANGGAL]))&amp;":"&amp;ADDRESS(ROW(),COLUMN(NOTA[TANGGAL]))),-1)))</f>
        <v>45297</v>
      </c>
      <c r="AJ57" s="41" t="str">
        <f ca="1">IF(NOTA[[#This Row],[NAMA BARANG]]="","",INDEX(NOTA[SUPPLIER],MATCH(,INDIRECT(ADDRESS(ROW(NOTA[ID]),COLUMN(NOTA[ID]))&amp;":"&amp;ADDRESS(ROW(),COLUMN(NOTA[ID]))),-1)))</f>
        <v>ATALI MAKMUR</v>
      </c>
      <c r="AK57" s="41" t="str">
        <f ca="1">IF(NOTA[[#This Row],[ID_H]]="","",IF(NOTA[[#This Row],[FAKTUR]]="",INDIRECT(ADDRESS(ROW()-1,COLUMN())),NOTA[[#This Row],[FAKTUR]]))</f>
        <v>ARTO MORO</v>
      </c>
      <c r="AL57" s="38" t="str">
        <f ca="1">IF(NOTA[[#This Row],[ID]]="","",COUNTIF(NOTA[ID_H],NOTA[[#This Row],[ID_H]]))</f>
        <v/>
      </c>
      <c r="AM57" s="38">
        <f ca="1">IF(NOTA[[#This Row],[TGL.NOTA]]="",IF(NOTA[[#This Row],[SUPPLIER_H]]="","",AM56),MONTH(NOTA[[#This Row],[TGL.NOTA]]))</f>
        <v>1</v>
      </c>
      <c r="AN57" s="38" t="str">
        <f>LOWER(SUBSTITUTE(SUBSTITUTE(SUBSTITUTE(SUBSTITUTE(SUBSTITUTE(SUBSTITUTE(SUBSTITUTE(SUBSTITUTE(SUBSTITUTE(NOTA[NAMA BARANG]," ",),".",""),"-",""),"(",""),")",""),",",""),"/",""),"""",""),"+",""))</f>
        <v>gluestickgs25jk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Row],[CONCAT4]],[2]!RAW[CONCAT_H],0),FALSE))</f>
        <v/>
      </c>
      <c r="AS57" s="38">
        <f>IF(NOTA[[#This Row],[CONCAT1]]="","",MATCH(NOTA[[#This Row],[CONCAT1]],[3]!db[NB NOTA_C],0))</f>
        <v>1335</v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>36 LSN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gluestickgs25jk36lsnartomoro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 t="str">
        <f ca="1">IF(NOTA[[#This Row],[NAMA BARANG]]="","",INDEX(NOTA[ID],MATCH(,INDIRECT(ADDRESS(ROW(NOTA[ID]),COLUMN(NOTA[ID]))&amp;":"&amp;ADDRESS(ROW(),COLUMN(NOTA[ID]))),-1)))</f>
        <v/>
      </c>
      <c r="E58" s="46"/>
      <c r="F58" s="37"/>
      <c r="G58" s="37"/>
      <c r="H58" s="47"/>
      <c r="I58" s="37"/>
      <c r="J58" s="39"/>
      <c r="K58" s="37"/>
      <c r="L58" s="37"/>
      <c r="M58" s="40"/>
      <c r="O58" s="37"/>
      <c r="P58" s="41"/>
      <c r="Q58" s="42"/>
      <c r="R58" s="48"/>
      <c r="S58" s="49"/>
      <c r="T58" s="44"/>
      <c r="U58" s="44"/>
      <c r="V58" s="50"/>
      <c r="W58" s="45"/>
      <c r="X58" s="50" t="str">
        <f>IF(NOTA[[#This Row],[HARGA/ CTN]]="",NOTA[[#This Row],[JUMLAH_H]],NOTA[[#This Row],[HARGA/ CTN]]*IF(NOTA[[#This Row],[C]]="",0,NOTA[[#This Row],[C]]))</f>
        <v/>
      </c>
      <c r="Y58" s="50" t="str">
        <f>IF(NOTA[[#This Row],[JUMLAH]]="","",NOTA[[#This Row],[JUMLAH]]*NOTA[[#This Row],[DISC 1]])</f>
        <v/>
      </c>
      <c r="Z58" s="50" t="str">
        <f>IF(NOTA[[#This Row],[JUMLAH]]="","",(NOTA[[#This Row],[JUMLAH]]-NOTA[[#This Row],[DISC 1-]])*NOTA[[#This Row],[DISC 2]])</f>
        <v/>
      </c>
      <c r="AA58" s="50" t="str">
        <f>IF(NOTA[[#This Row],[JUMLAH]]="","",(NOTA[[#This Row],[JUMLAH]]-NOTA[[#This Row],[DISC 1-]]-NOTA[[#This Row],[DISC 2-]])*NOTA[[#This Row],[DISC 3]])</f>
        <v/>
      </c>
      <c r="AB58" s="50" t="str">
        <f>IF(NOTA[[#This Row],[JUMLAH]]="","",NOTA[[#This Row],[DISC 1-]]+NOTA[[#This Row],[DISC 2-]]+NOTA[[#This Row],[DISC 3-]])</f>
        <v/>
      </c>
      <c r="AC58" s="50" t="str">
        <f>IF(NOTA[[#This Row],[JUMLAH]]="","",NOTA[[#This Row],[JUMLAH]]-NOTA[[#This Row],[DISC]])</f>
        <v/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" s="50" t="str">
        <f>IF(OR(NOTA[[#This Row],[QTY]]="",NOTA[[#This Row],[HARGA SATUAN]]="",),"",NOTA[[#This Row],[QTY]]*NOTA[[#This Row],[HARGA SATUAN]])</f>
        <v/>
      </c>
      <c r="AI58" s="39" t="str">
        <f ca="1">IF(NOTA[ID_H]="","",INDEX(NOTA[TANGGAL],MATCH(,INDIRECT(ADDRESS(ROW(NOTA[TANGGAL]),COLUMN(NOTA[TANGGAL]))&amp;":"&amp;ADDRESS(ROW(),COLUMN(NOTA[TANGGAL]))),-1)))</f>
        <v/>
      </c>
      <c r="AJ58" s="41" t="str">
        <f ca="1">IF(NOTA[[#This Row],[NAMA BARANG]]="","",INDEX(NOTA[SUPPLIER],MATCH(,INDIRECT(ADDRESS(ROW(NOTA[ID]),COLUMN(NOTA[ID]))&amp;":"&amp;ADDRESS(ROW(),COLUMN(NOTA[ID]))),-1)))</f>
        <v/>
      </c>
      <c r="AK58" s="41" t="str">
        <f ca="1">IF(NOTA[[#This Row],[ID_H]]="","",IF(NOTA[[#This Row],[FAKTUR]]="",INDIRECT(ADDRESS(ROW()-1,COLUMN())),NOTA[[#This Row],[FAKTUR]]))</f>
        <v/>
      </c>
      <c r="AL58" s="38" t="str">
        <f ca="1">IF(NOTA[[#This Row],[ID]]="","",COUNTIF(NOTA[ID_H],NOTA[[#This Row],[ID_H]]))</f>
        <v/>
      </c>
      <c r="AM58" s="38" t="str">
        <f ca="1">IF(NOTA[[#This Row],[TGL.NOTA]]="",IF(NOTA[[#This Row],[SUPPLIER_H]]="","",AM57),MONTH(NOTA[[#This Row],[TGL.NOTA]]))</f>
        <v/>
      </c>
      <c r="AN58" s="38" t="str">
        <f>LOWER(SUBSTITUTE(SUBSTITUTE(SUBSTITUTE(SUBSTITUTE(SUBSTITUTE(SUBSTITUTE(SUBSTITUTE(SUBSTITUTE(SUBSTITUTE(NOTA[NAMA BARANG]," ",),".",""),"-",""),"(",""),")",""),",",""),"/",""),"""",""),"+",""))</f>
        <v/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 t="str">
        <f>IF(NOTA[[#This Row],[CONCAT1]]="","",MATCH(NOTA[[#This Row],[CONCAT1]],[3]!db[NB NOTA_C],0))</f>
        <v/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/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" s="38" t="str">
        <f ca="1">IF(NOTA[[#This Row],[ID_H]]="","",MATCH(NOTA[[#This Row],[NB NOTA_C_QTY]],[4]!db[NB NOTA_C_QTY+F],0))</f>
        <v/>
      </c>
      <c r="AX58" s="53" t="str">
        <f ca="1">IF(NOTA[[#This Row],[NB NOTA_C_QTY]]="","",ROW()-2)</f>
        <v/>
      </c>
    </row>
    <row r="59" spans="1:50" s="38" customFormat="1" ht="20.100000000000001" customHeight="1" x14ac:dyDescent="0.25">
      <c r="A59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ATA_0601_068-9</v>
      </c>
      <c r="C59" s="38" t="e">
        <f ca="1">IF(NOTA[[#This Row],[ID_P]]="","",MATCH(NOTA[[#This Row],[ID_P]],[1]!B_MSK[N_ID],0))</f>
        <v>#REF!</v>
      </c>
      <c r="D59" s="38">
        <f ca="1">IF(NOTA[[#This Row],[NAMA BARANG]]="","",INDEX(NOTA[ID],MATCH(,INDIRECT(ADDRESS(ROW(NOTA[ID]),COLUMN(NOTA[ID]))&amp;":"&amp;ADDRESS(ROW(),COLUMN(NOTA[ID]))),-1)))</f>
        <v>7</v>
      </c>
      <c r="E59" s="46"/>
      <c r="F59" s="37" t="s">
        <v>24</v>
      </c>
      <c r="G59" s="37" t="s">
        <v>23</v>
      </c>
      <c r="H59" s="47" t="s">
        <v>203</v>
      </c>
      <c r="I59" s="37"/>
      <c r="J59" s="39">
        <v>45294</v>
      </c>
      <c r="K59" s="37"/>
      <c r="L59" s="37" t="s">
        <v>204</v>
      </c>
      <c r="M59" s="40">
        <v>5</v>
      </c>
      <c r="N59" s="38">
        <v>120</v>
      </c>
      <c r="O59" s="37" t="s">
        <v>118</v>
      </c>
      <c r="P59" s="41">
        <v>70800</v>
      </c>
      <c r="Q59" s="42"/>
      <c r="R59" s="48"/>
      <c r="S59" s="49">
        <v>0.125</v>
      </c>
      <c r="T59" s="44">
        <v>0.05</v>
      </c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8496000</v>
      </c>
      <c r="Y59" s="50">
        <f>IF(NOTA[[#This Row],[JUMLAH]]="","",NOTA[[#This Row],[JUMLAH]]*NOTA[[#This Row],[DISC 1]])</f>
        <v>1062000</v>
      </c>
      <c r="Z59" s="50">
        <f>IF(NOTA[[#This Row],[JUMLAH]]="","",(NOTA[[#This Row],[JUMLAH]]-NOTA[[#This Row],[DISC 1-]])*NOTA[[#This Row],[DISC 2]])</f>
        <v>371700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1433700</v>
      </c>
      <c r="AC59" s="50">
        <f>IF(NOTA[[#This Row],[JUMLAH]]="","",NOTA[[#This Row],[JUMLAH]]-NOTA[[#This Row],[DISC]])</f>
        <v>7062300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H59" s="50">
        <f>IF(OR(NOTA[[#This Row],[QTY]]="",NOTA[[#This Row],[HARGA SATUAN]]="",),"",NOTA[[#This Row],[QTY]]*NOTA[[#This Row],[HARGA SATUAN]])</f>
        <v>8496000</v>
      </c>
      <c r="AI59" s="39">
        <f ca="1">IF(NOTA[ID_H]="","",INDEX(NOTA[TANGGAL],MATCH(,INDIRECT(ADDRESS(ROW(NOTA[TANGGAL]),COLUMN(NOTA[TANGGAL]))&amp;":"&amp;ADDRESS(ROW(),COLUMN(NOTA[TANGGAL]))),-1)))</f>
        <v>45297</v>
      </c>
      <c r="AJ59" s="41" t="str">
        <f ca="1">IF(NOTA[[#This Row],[NAMA BARANG]]="","",INDEX(NOTA[SUPPLIER],MATCH(,INDIRECT(ADDRESS(ROW(NOTA[ID]),COLUMN(NOTA[ID]))&amp;":"&amp;ADDRESS(ROW(),COLUMN(NOTA[ID]))),-1)))</f>
        <v>ATALI MAKMUR</v>
      </c>
      <c r="AK59" s="41" t="str">
        <f ca="1">IF(NOTA[[#This Row],[ID_H]]="","",IF(NOTA[[#This Row],[FAKTUR]]="",INDIRECT(ADDRESS(ROW()-1,COLUMN())),NOTA[[#This Row],[FAKTUR]]))</f>
        <v>ARTO MORO</v>
      </c>
      <c r="AL59" s="38">
        <f ca="1">IF(NOTA[[#This Row],[ID]]="","",COUNTIF(NOTA[ID_H],NOTA[[#This Row],[ID_H]]))</f>
        <v>9</v>
      </c>
      <c r="AM59" s="38">
        <f>IF(NOTA[[#This Row],[TGL.NOTA]]="",IF(NOTA[[#This Row],[SUPPLIER_H]]="","",AM58),MONTH(NOTA[[#This Row],[TGL.NOTA]]))</f>
        <v>1</v>
      </c>
      <c r="AN59" s="38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MOROSA24010006845294correctionfluidcfs221jk</v>
      </c>
      <c r="AR59" s="38" t="e">
        <f>IF(NOTA[[#This Row],[CONCAT4]]="","",_xlfn.IFNA(MATCH(NOTA[[#This Row],[CONCAT4]],[2]!RAW[CONCAT_H],0),FALSE))</f>
        <v>#REF!</v>
      </c>
      <c r="AS59" s="38">
        <f>IF(NOTA[[#This Row],[CONCAT1]]="","",MATCH(NOTA[[#This Row],[CONCAT1]],[3]!db[NB NOTA_C],0))</f>
        <v>711</v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>24 BOX (24 PCS)</v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correctionfluidcfs221jk24box24pcsartomoro</v>
      </c>
      <c r="AW59" s="38" t="e">
        <f ca="1">IF(NOTA[[#This Row],[ID_H]]="","",MATCH(NOTA[[#This Row],[NB NOTA_C_QTY]],[4]!db[NB NOTA_C_QTY+F],0))</f>
        <v>#REF!</v>
      </c>
      <c r="AX59" s="53">
        <f ca="1">IF(NOTA[[#This Row],[NB NOTA_C_QTY]]="","",ROW()-2)</f>
        <v>57</v>
      </c>
    </row>
    <row r="60" spans="1:50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7</v>
      </c>
      <c r="E60" s="46"/>
      <c r="F60" s="37"/>
      <c r="G60" s="37"/>
      <c r="H60" s="47"/>
      <c r="I60" s="37"/>
      <c r="J60" s="39"/>
      <c r="K60" s="37"/>
      <c r="L60" s="37" t="s">
        <v>205</v>
      </c>
      <c r="M60" s="40">
        <v>5</v>
      </c>
      <c r="N60" s="38">
        <v>120</v>
      </c>
      <c r="O60" s="37" t="s">
        <v>118</v>
      </c>
      <c r="P60" s="41">
        <v>70800</v>
      </c>
      <c r="Q60" s="42"/>
      <c r="R60" s="48"/>
      <c r="S60" s="49">
        <v>0.125</v>
      </c>
      <c r="T60" s="44">
        <v>0.05</v>
      </c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8496000</v>
      </c>
      <c r="Y60" s="50">
        <f>IF(NOTA[[#This Row],[JUMLAH]]="","",NOTA[[#This Row],[JUMLAH]]*NOTA[[#This Row],[DISC 1]])</f>
        <v>1062000</v>
      </c>
      <c r="Z60" s="50">
        <f>IF(NOTA[[#This Row],[JUMLAH]]="","",(NOTA[[#This Row],[JUMLAH]]-NOTA[[#This Row],[DISC 1-]])*NOTA[[#This Row],[DISC 2]])</f>
        <v>371700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1433700</v>
      </c>
      <c r="AC60" s="50">
        <f>IF(NOTA[[#This Row],[JUMLAH]]="","",NOTA[[#This Row],[JUMLAH]]-NOTA[[#This Row],[DISC]])</f>
        <v>7062300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H60" s="50">
        <f>IF(OR(NOTA[[#This Row],[QTY]]="",NOTA[[#This Row],[HARGA SATUAN]]="",),"",NOTA[[#This Row],[QTY]]*NOTA[[#This Row],[HARGA SATUAN]])</f>
        <v>8496000</v>
      </c>
      <c r="AI60" s="39">
        <f ca="1">IF(NOTA[ID_H]="","",INDEX(NOTA[TANGGAL],MATCH(,INDIRECT(ADDRESS(ROW(NOTA[TANGGAL]),COLUMN(NOTA[TANGGAL]))&amp;":"&amp;ADDRESS(ROW(),COLUMN(NOTA[TANGGAL]))),-1)))</f>
        <v>45297</v>
      </c>
      <c r="AJ60" s="41" t="str">
        <f ca="1">IF(NOTA[[#This Row],[NAMA BARANG]]="","",INDEX(NOTA[SUPPLIER],MATCH(,INDIRECT(ADDRESS(ROW(NOTA[ID]),COLUMN(NOTA[ID]))&amp;":"&amp;ADDRESS(ROW(),COLUMN(NOTA[ID]))),-1)))</f>
        <v>ATALI MAKMUR</v>
      </c>
      <c r="AK60" s="41" t="str">
        <f ca="1">IF(NOTA[[#This Row],[ID_H]]="","",IF(NOTA[[#This Row],[FAKTUR]]="",INDIRECT(ADDRESS(ROW()-1,COLUMN())),NOTA[[#This Row],[FAKTUR]]))</f>
        <v>ARTO MORO</v>
      </c>
      <c r="AL60" s="38" t="str">
        <f ca="1">IF(NOTA[[#This Row],[ID]]="","",COUNTIF(NOTA[ID_H],NOTA[[#This Row],[ID_H]]))</f>
        <v/>
      </c>
      <c r="AM60" s="38">
        <f ca="1">IF(NOTA[[#This Row],[TGL.NOTA]]="",IF(NOTA[[#This Row],[SUPPLIER_H]]="","",AM59),MONTH(NOTA[[#This Row],[TGL.NOTA]]))</f>
        <v>1</v>
      </c>
      <c r="AN60" s="38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" s="38" t="str">
        <f>IF(NOTA[[#This Row],[CONCAT4]]="","",_xlfn.IFNA(MATCH(NOTA[[#This Row],[CONCAT4]],[2]!RAW[CONCAT_H],0),FALSE))</f>
        <v/>
      </c>
      <c r="AS60" s="38">
        <f>IF(NOTA[[#This Row],[CONCAT1]]="","",MATCH(NOTA[[#This Row],[CONCAT1]],[3]!db[NB NOTA_C],0))</f>
        <v>712</v>
      </c>
      <c r="AT60" s="38" t="str">
        <f>IF(NOTA[[#This Row],[QTY/ CTN]]="","",TRUE)</f>
        <v/>
      </c>
      <c r="AU60" s="38" t="str">
        <f ca="1">IF(NOTA[[#This Row],[ID_H]]="","",IF(NOTA[[#This Row],[Column3]]=TRUE,NOTA[[#This Row],[QTY/ CTN]],INDEX([3]!db[QTY/ CTN],NOTA[[#This Row],[//DB]])))</f>
        <v>24 BOX (24 PCS)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correctionfluidcfs224jk24box24pcsartomoro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7</v>
      </c>
      <c r="E61" s="46"/>
      <c r="F61" s="37"/>
      <c r="G61" s="37"/>
      <c r="H61" s="47"/>
      <c r="I61" s="37"/>
      <c r="J61" s="39"/>
      <c r="K61" s="37"/>
      <c r="L61" s="37" t="s">
        <v>206</v>
      </c>
      <c r="M61" s="40">
        <v>3</v>
      </c>
      <c r="N61" s="38">
        <v>108</v>
      </c>
      <c r="O61" s="37" t="s">
        <v>111</v>
      </c>
      <c r="P61" s="41">
        <v>34200</v>
      </c>
      <c r="Q61" s="42"/>
      <c r="R61" s="48"/>
      <c r="S61" s="49">
        <v>0.125</v>
      </c>
      <c r="T61" s="44">
        <v>0.05</v>
      </c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3693600</v>
      </c>
      <c r="Y61" s="50">
        <f>IF(NOTA[[#This Row],[JUMLAH]]="","",NOTA[[#This Row],[JUMLAH]]*NOTA[[#This Row],[DISC 1]])</f>
        <v>461700</v>
      </c>
      <c r="Z61" s="50">
        <f>IF(NOTA[[#This Row],[JUMLAH]]="","",(NOTA[[#This Row],[JUMLAH]]-NOTA[[#This Row],[DISC 1-]])*NOTA[[#This Row],[DISC 2]])</f>
        <v>161595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623295</v>
      </c>
      <c r="AC61" s="50">
        <f>IF(NOTA[[#This Row],[JUMLAH]]="","",NOTA[[#This Row],[JUMLAH]]-NOTA[[#This Row],[DISC]])</f>
        <v>3070305</v>
      </c>
      <c r="AD61" s="50"/>
      <c r="AE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H61" s="50">
        <f>IF(OR(NOTA[[#This Row],[QTY]]="",NOTA[[#This Row],[HARGA SATUAN]]="",),"",NOTA[[#This Row],[QTY]]*NOTA[[#This Row],[HARGA SATUAN]])</f>
        <v>3693600</v>
      </c>
      <c r="AI61" s="39">
        <f ca="1">IF(NOTA[ID_H]="","",INDEX(NOTA[TANGGAL],MATCH(,INDIRECT(ADDRESS(ROW(NOTA[TANGGAL]),COLUMN(NOTA[TANGGAL]))&amp;":"&amp;ADDRESS(ROW(),COLUMN(NOTA[TANGGAL]))),-1)))</f>
        <v>45297</v>
      </c>
      <c r="AJ61" s="41" t="str">
        <f ca="1">IF(NOTA[[#This Row],[NAMA BARANG]]="","",INDEX(NOTA[SUPPLIER],MATCH(,INDIRECT(ADDRESS(ROW(NOTA[ID]),COLUMN(NOTA[ID]))&amp;":"&amp;ADDRESS(ROW(),COLUMN(NOTA[ID]))),-1)))</f>
        <v>ATALI MAKMUR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1</v>
      </c>
      <c r="AN61" s="38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713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36 LSN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correctionfluidcfs225jk36lsnartomoro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>
        <f ca="1">IF(NOTA[[#This Row],[NAMA BARANG]]="","",INDEX(NOTA[ID],MATCH(,INDIRECT(ADDRESS(ROW(NOTA[ID]),COLUMN(NOTA[ID]))&amp;":"&amp;ADDRESS(ROW(),COLUMN(NOTA[ID]))),-1)))</f>
        <v>7</v>
      </c>
      <c r="E62" s="46"/>
      <c r="F62" s="37"/>
      <c r="G62" s="37"/>
      <c r="H62" s="47"/>
      <c r="I62" s="37"/>
      <c r="J62" s="39"/>
      <c r="K62" s="37"/>
      <c r="L62" s="37" t="s">
        <v>207</v>
      </c>
      <c r="M62" s="40">
        <v>1</v>
      </c>
      <c r="N62" s="38">
        <v>24</v>
      </c>
      <c r="O62" s="37" t="s">
        <v>111</v>
      </c>
      <c r="P62" s="41">
        <v>89400</v>
      </c>
      <c r="Q62" s="42"/>
      <c r="R62" s="48"/>
      <c r="S62" s="49">
        <v>0.125</v>
      </c>
      <c r="T62" s="44">
        <v>0.05</v>
      </c>
      <c r="U62" s="44"/>
      <c r="V62" s="50"/>
      <c r="W62" s="45"/>
      <c r="X62" s="50">
        <f>IF(NOTA[[#This Row],[HARGA/ CTN]]="",NOTA[[#This Row],[JUMLAH_H]],NOTA[[#This Row],[HARGA/ CTN]]*IF(NOTA[[#This Row],[C]]="",0,NOTA[[#This Row],[C]]))</f>
        <v>2145600</v>
      </c>
      <c r="Y62" s="50">
        <f>IF(NOTA[[#This Row],[JUMLAH]]="","",NOTA[[#This Row],[JUMLAH]]*NOTA[[#This Row],[DISC 1]])</f>
        <v>268200</v>
      </c>
      <c r="Z62" s="50">
        <f>IF(NOTA[[#This Row],[JUMLAH]]="","",(NOTA[[#This Row],[JUMLAH]]-NOTA[[#This Row],[DISC 1-]])*NOTA[[#This Row],[DISC 2]])</f>
        <v>93870</v>
      </c>
      <c r="AA62" s="50">
        <f>IF(NOTA[[#This Row],[JUMLAH]]="","",(NOTA[[#This Row],[JUMLAH]]-NOTA[[#This Row],[DISC 1-]]-NOTA[[#This Row],[DISC 2-]])*NOTA[[#This Row],[DISC 3]])</f>
        <v>0</v>
      </c>
      <c r="AB62" s="50">
        <f>IF(NOTA[[#This Row],[JUMLAH]]="","",NOTA[[#This Row],[DISC 1-]]+NOTA[[#This Row],[DISC 2-]]+NOTA[[#This Row],[DISC 3-]])</f>
        <v>362070</v>
      </c>
      <c r="AC62" s="50">
        <f>IF(NOTA[[#This Row],[JUMLAH]]="","",NOTA[[#This Row],[JUMLAH]]-NOTA[[#This Row],[DISC]])</f>
        <v>1783530</v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62" s="50">
        <f>IF(OR(NOTA[[#This Row],[QTY]]="",NOTA[[#This Row],[HARGA SATUAN]]="",),"",NOTA[[#This Row],[QTY]]*NOTA[[#This Row],[HARGA SATUAN]])</f>
        <v>2145600</v>
      </c>
      <c r="AI62" s="39">
        <f ca="1">IF(NOTA[ID_H]="","",INDEX(NOTA[TANGGAL],MATCH(,INDIRECT(ADDRESS(ROW(NOTA[TANGGAL]),COLUMN(NOTA[TANGGAL]))&amp;":"&amp;ADDRESS(ROW(),COLUMN(NOTA[TANGGAL]))),-1)))</f>
        <v>45297</v>
      </c>
      <c r="AJ62" s="41" t="str">
        <f ca="1">IF(NOTA[[#This Row],[NAMA BARANG]]="","",INDEX(NOTA[SUPPLIER],MATCH(,INDIRECT(ADDRESS(ROW(NOTA[ID]),COLUMN(NOTA[ID]))&amp;":"&amp;ADDRESS(ROW(),COLUMN(NOTA[ID]))),-1)))</f>
        <v>ATALI MAKMUR</v>
      </c>
      <c r="AK62" s="41" t="str">
        <f ca="1">IF(NOTA[[#This Row],[ID_H]]="","",IF(NOTA[[#This Row],[FAKTUR]]="",INDIRECT(ADDRESS(ROW()-1,COLUMN())),NOTA[[#This Row],[FAKTUR]]))</f>
        <v>ARTO MORO</v>
      </c>
      <c r="AL62" s="38" t="str">
        <f ca="1">IF(NOTA[[#This Row],[ID]]="","",COUNTIF(NOTA[ID_H],NOTA[[#This Row],[ID_H]]))</f>
        <v/>
      </c>
      <c r="AM62" s="38">
        <f ca="1">IF(NOTA[[#This Row],[TGL.NOTA]]="",IF(NOTA[[#This Row],[SUPPLIER_H]]="","",AM61),MONTH(NOTA[[#This Row],[TGL.NOTA]]))</f>
        <v>1</v>
      </c>
      <c r="AN62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>
        <f>IF(NOTA[[#This Row],[CONCAT1]]="","",MATCH(NOTA[[#This Row],[CONCAT1]],[3]!db[NB NOTA_C],0))</f>
        <v>2053</v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>24 LSN</v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W62" s="38" t="e">
        <f ca="1">IF(NOTA[[#This Row],[ID_H]]="","",MATCH(NOTA[[#This Row],[NB NOTA_C_QTY]],[4]!db[NB NOTA_C_QTY+F],0))</f>
        <v>#REF!</v>
      </c>
      <c r="AX62" s="53">
        <f ca="1">IF(NOTA[[#This Row],[NB NOTA_C_QTY]]="","",ROW()-2)</f>
        <v>60</v>
      </c>
    </row>
    <row r="63" spans="1:50" s="38" customFormat="1" ht="20.100000000000001" customHeight="1" x14ac:dyDescent="0.25">
      <c r="A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8" t="str">
        <f>IF(NOTA[[#This Row],[ID_P]]="","",MATCH(NOTA[[#This Row],[ID_P]],[1]!B_MSK[N_ID],0))</f>
        <v/>
      </c>
      <c r="D63" s="38">
        <f ca="1">IF(NOTA[[#This Row],[NAMA BARANG]]="","",INDEX(NOTA[ID],MATCH(,INDIRECT(ADDRESS(ROW(NOTA[ID]),COLUMN(NOTA[ID]))&amp;":"&amp;ADDRESS(ROW(),COLUMN(NOTA[ID]))),-1)))</f>
        <v>7</v>
      </c>
      <c r="E63" s="46"/>
      <c r="F63" s="37"/>
      <c r="G63" s="37"/>
      <c r="H63" s="47"/>
      <c r="I63" s="37"/>
      <c r="J63" s="39"/>
      <c r="K63" s="37"/>
      <c r="L63" s="37" t="s">
        <v>208</v>
      </c>
      <c r="M63" s="40">
        <v>1</v>
      </c>
      <c r="N63" s="38">
        <v>24</v>
      </c>
      <c r="O63" s="37" t="s">
        <v>111</v>
      </c>
      <c r="P63" s="41">
        <v>89400</v>
      </c>
      <c r="Q63" s="42"/>
      <c r="R63" s="48"/>
      <c r="S63" s="49">
        <v>0.125</v>
      </c>
      <c r="T63" s="44">
        <v>0.05</v>
      </c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2145600</v>
      </c>
      <c r="Y63" s="50">
        <f>IF(NOTA[[#This Row],[JUMLAH]]="","",NOTA[[#This Row],[JUMLAH]]*NOTA[[#This Row],[DISC 1]])</f>
        <v>268200</v>
      </c>
      <c r="Z63" s="50">
        <f>IF(NOTA[[#This Row],[JUMLAH]]="","",(NOTA[[#This Row],[JUMLAH]]-NOTA[[#This Row],[DISC 1-]])*NOTA[[#This Row],[DISC 2]])</f>
        <v>93870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362070</v>
      </c>
      <c r="AC63" s="50">
        <f>IF(NOTA[[#This Row],[JUMLAH]]="","",NOTA[[#This Row],[JUMLAH]]-NOTA[[#This Row],[DISC]])</f>
        <v>1783530</v>
      </c>
      <c r="AD63" s="50"/>
      <c r="AE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63" s="50">
        <f>IF(OR(NOTA[[#This Row],[QTY]]="",NOTA[[#This Row],[HARGA SATUAN]]="",),"",NOTA[[#This Row],[QTY]]*NOTA[[#This Row],[HARGA SATUAN]])</f>
        <v>2145600</v>
      </c>
      <c r="AI63" s="39">
        <f ca="1">IF(NOTA[ID_H]="","",INDEX(NOTA[TANGGAL],MATCH(,INDIRECT(ADDRESS(ROW(NOTA[TANGGAL]),COLUMN(NOTA[TANGGAL]))&amp;":"&amp;ADDRESS(ROW(),COLUMN(NOTA[TANGGAL]))),-1)))</f>
        <v>45297</v>
      </c>
      <c r="AJ63" s="41" t="str">
        <f ca="1">IF(NOTA[[#This Row],[NAMA BARANG]]="","",INDEX(NOTA[SUPPLIER],MATCH(,INDIRECT(ADDRESS(ROW(NOTA[ID]),COLUMN(NOTA[ID]))&amp;":"&amp;ADDRESS(ROW(),COLUMN(NOTA[ID]))),-1)))</f>
        <v>ATALI MAKMUR</v>
      </c>
      <c r="AK63" s="41" t="str">
        <f ca="1">IF(NOTA[[#This Row],[ID_H]]="","",IF(NOTA[[#This Row],[FAKTUR]]="",INDIRECT(ADDRESS(ROW()-1,COLUMN())),NOTA[[#This Row],[FAKTUR]]))</f>
        <v>ARTO MORO</v>
      </c>
      <c r="AL63" s="38" t="str">
        <f ca="1">IF(NOTA[[#This Row],[ID]]="","",COUNTIF(NOTA[ID_H],NOTA[[#This Row],[ID_H]]))</f>
        <v/>
      </c>
      <c r="AM63" s="38">
        <f ca="1">IF(NOTA[[#This Row],[TGL.NOTA]]="",IF(NOTA[[#This Row],[SUPPLIER_H]]="","",AM62),MONTH(NOTA[[#This Row],[TGL.NOTA]]))</f>
        <v>1</v>
      </c>
      <c r="AN63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" s="38" t="str">
        <f>IF(NOTA[[#This Row],[CONCAT4]]="","",_xlfn.IFNA(MATCH(NOTA[[#This Row],[CONCAT4]],[2]!RAW[CONCAT_H],0),FALSE))</f>
        <v/>
      </c>
      <c r="AS63" s="38">
        <f>IF(NOTA[[#This Row],[CONCAT1]]="","",MATCH(NOTA[[#This Row],[CONCAT1]],[3]!db[NB NOTA_C],0))</f>
        <v>2057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24 LSN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>
        <f ca="1">IF(NOTA[[#This Row],[NAMA BARANG]]="","",INDEX(NOTA[ID],MATCH(,INDIRECT(ADDRESS(ROW(NOTA[ID]),COLUMN(NOTA[ID]))&amp;":"&amp;ADDRESS(ROW(),COLUMN(NOTA[ID]))),-1)))</f>
        <v>7</v>
      </c>
      <c r="E64" s="46"/>
      <c r="F64" s="37"/>
      <c r="G64" s="37"/>
      <c r="H64" s="47"/>
      <c r="I64" s="37"/>
      <c r="J64" s="39"/>
      <c r="K64" s="37"/>
      <c r="L64" s="37" t="s">
        <v>209</v>
      </c>
      <c r="M64" s="40">
        <v>1</v>
      </c>
      <c r="N64" s="38">
        <v>288</v>
      </c>
      <c r="O64" s="37" t="s">
        <v>116</v>
      </c>
      <c r="P64" s="41">
        <v>12000</v>
      </c>
      <c r="Q64" s="42"/>
      <c r="R64" s="48"/>
      <c r="S64" s="49">
        <v>0.125</v>
      </c>
      <c r="T64" s="44">
        <v>0.05</v>
      </c>
      <c r="U64" s="44"/>
      <c r="V64" s="50"/>
      <c r="W64" s="45"/>
      <c r="X64" s="50">
        <f>IF(NOTA[[#This Row],[HARGA/ CTN]]="",NOTA[[#This Row],[JUMLAH_H]],NOTA[[#This Row],[HARGA/ CTN]]*IF(NOTA[[#This Row],[C]]="",0,NOTA[[#This Row],[C]]))</f>
        <v>3456000</v>
      </c>
      <c r="Y64" s="50">
        <f>IF(NOTA[[#This Row],[JUMLAH]]="","",NOTA[[#This Row],[JUMLAH]]*NOTA[[#This Row],[DISC 1]])</f>
        <v>432000</v>
      </c>
      <c r="Z64" s="50">
        <f>IF(NOTA[[#This Row],[JUMLAH]]="","",(NOTA[[#This Row],[JUMLAH]]-NOTA[[#This Row],[DISC 1-]])*NOTA[[#This Row],[DISC 2]])</f>
        <v>151200</v>
      </c>
      <c r="AA64" s="50">
        <f>IF(NOTA[[#This Row],[JUMLAH]]="","",(NOTA[[#This Row],[JUMLAH]]-NOTA[[#This Row],[DISC 1-]]-NOTA[[#This Row],[DISC 2-]])*NOTA[[#This Row],[DISC 3]])</f>
        <v>0</v>
      </c>
      <c r="AB64" s="50">
        <f>IF(NOTA[[#This Row],[JUMLAH]]="","",NOTA[[#This Row],[DISC 1-]]+NOTA[[#This Row],[DISC 2-]]+NOTA[[#This Row],[DISC 3-]])</f>
        <v>583200</v>
      </c>
      <c r="AC64" s="50">
        <f>IF(NOTA[[#This Row],[JUMLAH]]="","",NOTA[[#This Row],[JUMLAH]]-NOTA[[#This Row],[DISC]])</f>
        <v>2872800</v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64" s="50">
        <f>IF(OR(NOTA[[#This Row],[QTY]]="",NOTA[[#This Row],[HARGA SATUAN]]="",),"",NOTA[[#This Row],[QTY]]*NOTA[[#This Row],[HARGA SATUAN]])</f>
        <v>3456000</v>
      </c>
      <c r="AI64" s="39">
        <f ca="1">IF(NOTA[ID_H]="","",INDEX(NOTA[TANGGAL],MATCH(,INDIRECT(ADDRESS(ROW(NOTA[TANGGAL]),COLUMN(NOTA[TANGGAL]))&amp;":"&amp;ADDRESS(ROW(),COLUMN(NOTA[TANGGAL]))),-1)))</f>
        <v>45297</v>
      </c>
      <c r="AJ64" s="41" t="str">
        <f ca="1">IF(NOTA[[#This Row],[NAMA BARANG]]="","",INDEX(NOTA[SUPPLIER],MATCH(,INDIRECT(ADDRESS(ROW(NOTA[ID]),COLUMN(NOTA[ID]))&amp;":"&amp;ADDRESS(ROW(),COLUMN(NOTA[ID]))),-1)))</f>
        <v>ATALI MAKMUR</v>
      </c>
      <c r="AK64" s="41" t="str">
        <f ca="1">IF(NOTA[[#This Row],[ID_H]]="","",IF(NOTA[[#This Row],[FAKTUR]]="",INDIRECT(ADDRESS(ROW()-1,COLUMN())),NOTA[[#This Row],[FAKTUR]]))</f>
        <v>ARTO MORO</v>
      </c>
      <c r="AL64" s="38" t="str">
        <f ca="1">IF(NOTA[[#This Row],[ID]]="","",COUNTIF(NOTA[ID_H],NOTA[[#This Row],[ID_H]]))</f>
        <v/>
      </c>
      <c r="AM64" s="38">
        <f ca="1">IF(NOTA[[#This Row],[TGL.NOTA]]="",IF(NOTA[[#This Row],[SUPPLIER_H]]="","",AM63),MONTH(NOTA[[#This Row],[TGL.NOTA]]))</f>
        <v>1</v>
      </c>
      <c r="AN64" s="38" t="str">
        <f>LOWER(SUBSTITUTE(SUBSTITUTE(SUBSTITUTE(SUBSTITUTE(SUBSTITUTE(SUBSTITUTE(SUBSTITUTE(SUBSTITUTE(SUBSTITUTE(NOTA[NAMA BARANG]," ",),".",""),"-",""),"(",""),")",""),",",""),"/",""),"""",""),"+",""))</f>
        <v>mathsetms402jk</v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>
        <f>IF(NOTA[[#This Row],[CONCAT1]]="","",MATCH(NOTA[[#This Row],[CONCAT1]],[3]!db[NB NOTA_C],0))</f>
        <v>2055</v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>24 LSN</v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mathsetms402jk24lsnartomoro</v>
      </c>
      <c r="AW64" s="38" t="e">
        <f ca="1">IF(NOTA[[#This Row],[ID_H]]="","",MATCH(NOTA[[#This Row],[NB NOTA_C_QTY]],[4]!db[NB NOTA_C_QTY+F],0))</f>
        <v>#REF!</v>
      </c>
      <c r="AX64" s="53">
        <f ca="1">IF(NOTA[[#This Row],[NB NOTA_C_QTY]]="","",ROW()-2)</f>
        <v>62</v>
      </c>
    </row>
    <row r="65" spans="1:50" s="38" customFormat="1" ht="20.100000000000001" customHeight="1" x14ac:dyDescent="0.25">
      <c r="A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8" t="str">
        <f>IF(NOTA[[#This Row],[ID_P]]="","",MATCH(NOTA[[#This Row],[ID_P]],[1]!B_MSK[N_ID],0))</f>
        <v/>
      </c>
      <c r="D65" s="38">
        <f ca="1">IF(NOTA[[#This Row],[NAMA BARANG]]="","",INDEX(NOTA[ID],MATCH(,INDIRECT(ADDRESS(ROW(NOTA[ID]),COLUMN(NOTA[ID]))&amp;":"&amp;ADDRESS(ROW(),COLUMN(NOTA[ID]))),-1)))</f>
        <v>7</v>
      </c>
      <c r="E65" s="46"/>
      <c r="F65" s="37"/>
      <c r="G65" s="37"/>
      <c r="H65" s="47"/>
      <c r="I65" s="37"/>
      <c r="J65" s="39"/>
      <c r="K65" s="37"/>
      <c r="L65" s="37" t="s">
        <v>139</v>
      </c>
      <c r="M65" s="40">
        <v>10</v>
      </c>
      <c r="N65" s="38">
        <v>500</v>
      </c>
      <c r="O65" s="37" t="s">
        <v>118</v>
      </c>
      <c r="P65" s="41">
        <v>34100</v>
      </c>
      <c r="Q65" s="42"/>
      <c r="R65" s="48"/>
      <c r="S65" s="49">
        <v>0.125</v>
      </c>
      <c r="T65" s="44">
        <v>0.05</v>
      </c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17050000</v>
      </c>
      <c r="Y65" s="50">
        <f>IF(NOTA[[#This Row],[JUMLAH]]="","",NOTA[[#This Row],[JUMLAH]]*NOTA[[#This Row],[DISC 1]])</f>
        <v>2131250</v>
      </c>
      <c r="Z65" s="50">
        <f>IF(NOTA[[#This Row],[JUMLAH]]="","",(NOTA[[#This Row],[JUMLAH]]-NOTA[[#This Row],[DISC 1-]])*NOTA[[#This Row],[DISC 2]])</f>
        <v>745937.5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2877187.5</v>
      </c>
      <c r="AC65" s="50">
        <f>IF(NOTA[[#This Row],[JUMLAH]]="","",NOTA[[#This Row],[JUMLAH]]-NOTA[[#This Row],[DISC]])</f>
        <v>14172812.5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5" s="50">
        <f>IF(OR(NOTA[[#This Row],[QTY]]="",NOTA[[#This Row],[HARGA SATUAN]]="",),"",NOTA[[#This Row],[QTY]]*NOTA[[#This Row],[HARGA SATUAN]])</f>
        <v>17050000</v>
      </c>
      <c r="AI65" s="39">
        <f ca="1">IF(NOTA[ID_H]="","",INDEX(NOTA[TANGGAL],MATCH(,INDIRECT(ADDRESS(ROW(NOTA[TANGGAL]),COLUMN(NOTA[TANGGAL]))&amp;":"&amp;ADDRESS(ROW(),COLUMN(NOTA[TANGGAL]))),-1)))</f>
        <v>45297</v>
      </c>
      <c r="AJ65" s="41" t="str">
        <f ca="1">IF(NOTA[[#This Row],[NAMA BARANG]]="","",INDEX(NOTA[SUPPLIER],MATCH(,INDIRECT(ADDRESS(ROW(NOTA[ID]),COLUMN(NOTA[ID]))&amp;":"&amp;ADDRESS(ROW(),COLUMN(NOTA[ID]))),-1)))</f>
        <v>ATALI MAKMUR</v>
      </c>
      <c r="AK65" s="41" t="str">
        <f ca="1">IF(NOTA[[#This Row],[ID_H]]="","",IF(NOTA[[#This Row],[FAKTUR]]="",INDIRECT(ADDRESS(ROW()-1,COLUMN())),NOTA[[#This Row],[FAKTUR]]))</f>
        <v>ARTO MORO</v>
      </c>
      <c r="AL65" s="38" t="str">
        <f ca="1">IF(NOTA[[#This Row],[ID]]="","",COUNTIF(NOTA[ID_H],NOTA[[#This Row],[ID_H]]))</f>
        <v/>
      </c>
      <c r="AM65" s="38">
        <f ca="1">IF(NOTA[[#This Row],[TGL.NOTA]]="",IF(NOTA[[#This Row],[SUPPLIER_H]]="","",AM64),MONTH(NOTA[[#This Row],[TGL.NOTA]]))</f>
        <v>1</v>
      </c>
      <c r="AN65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" s="38" t="str">
        <f>IF(NOTA[[#This Row],[CONCAT4]]="","",_xlfn.IFNA(MATCH(NOTA[[#This Row],[CONCAT4]],[2]!RAW[CONCAT_H],0),FALSE))</f>
        <v/>
      </c>
      <c r="AS65" s="38">
        <f>IF(NOTA[[#This Row],[CONCAT1]]="","",MATCH(NOTA[[#This Row],[CONCAT1]],[3]!db[NB NOTA_C],0))</f>
        <v>953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50 BOX (20 PCS)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7</v>
      </c>
      <c r="E66" s="46"/>
      <c r="F66" s="37"/>
      <c r="G66" s="37"/>
      <c r="H66" s="47"/>
      <c r="I66" s="37"/>
      <c r="J66" s="39"/>
      <c r="K66" s="37"/>
      <c r="L66" s="37" t="s">
        <v>210</v>
      </c>
      <c r="M66" s="40">
        <v>5</v>
      </c>
      <c r="N66" s="38">
        <v>250</v>
      </c>
      <c r="O66" s="37" t="s">
        <v>118</v>
      </c>
      <c r="P66" s="41">
        <v>34100</v>
      </c>
      <c r="Q66" s="42"/>
      <c r="R66" s="48"/>
      <c r="S66" s="49">
        <v>0.125</v>
      </c>
      <c r="T66" s="44">
        <v>0.05</v>
      </c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8525000</v>
      </c>
      <c r="Y66" s="50">
        <f>IF(NOTA[[#This Row],[JUMLAH]]="","",NOTA[[#This Row],[JUMLAH]]*NOTA[[#This Row],[DISC 1]])</f>
        <v>1065625</v>
      </c>
      <c r="Z66" s="50">
        <f>IF(NOTA[[#This Row],[JUMLAH]]="","",(NOTA[[#This Row],[JUMLAH]]-NOTA[[#This Row],[DISC 1-]])*NOTA[[#This Row],[DISC 2]])</f>
        <v>372968.75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1438593.75</v>
      </c>
      <c r="AC66" s="50">
        <f>IF(NOTA[[#This Row],[JUMLAH]]="","",NOTA[[#This Row],[JUMLAH]]-NOTA[[#This Row],[DISC]])</f>
        <v>7086406.25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6" s="50">
        <f>IF(OR(NOTA[[#This Row],[QTY]]="",NOTA[[#This Row],[HARGA SATUAN]]="",),"",NOTA[[#This Row],[QTY]]*NOTA[[#This Row],[HARGA SATUAN]])</f>
        <v>8525000</v>
      </c>
      <c r="AI66" s="39">
        <f ca="1">IF(NOTA[ID_H]="","",INDEX(NOTA[TANGGAL],MATCH(,INDIRECT(ADDRESS(ROW(NOTA[TANGGAL]),COLUMN(NOTA[TANGGAL]))&amp;":"&amp;ADDRESS(ROW(),COLUMN(NOTA[TANGGAL]))),-1)))</f>
        <v>45297</v>
      </c>
      <c r="AJ66" s="41" t="str">
        <f ca="1">IF(NOTA[[#This Row],[NAMA BARANG]]="","",INDEX(NOTA[SUPPLIER],MATCH(,INDIRECT(ADDRESS(ROW(NOTA[ID]),COLUMN(NOTA[ID]))&amp;":"&amp;ADDRESS(ROW(),COLUMN(NOTA[ID]))),-1)))</f>
        <v>ATALI MAKMUR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1</v>
      </c>
      <c r="AN66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>
        <f>IF(NOTA[[#This Row],[CONCAT1]]="","",MATCH(NOTA[[#This Row],[CONCAT1]],[3]!db[NB NOTA_C],0))</f>
        <v>964</v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>50 BOX (20 PCS)</v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66" s="38" t="e">
        <f ca="1">IF(NOTA[[#This Row],[ID_H]]="","",MATCH(NOTA[[#This Row],[NB NOTA_C_QTY]],[4]!db[NB NOTA_C_QTY+F],0))</f>
        <v>#REF!</v>
      </c>
      <c r="AX66" s="53">
        <f ca="1">IF(NOTA[[#This Row],[NB NOTA_C_QTY]]="","",ROW()-2)</f>
        <v>64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7</v>
      </c>
      <c r="E67" s="46"/>
      <c r="F67" s="37"/>
      <c r="G67" s="37"/>
      <c r="H67" s="47"/>
      <c r="I67" s="37"/>
      <c r="J67" s="39"/>
      <c r="K67" s="37"/>
      <c r="L67" s="37" t="s">
        <v>142</v>
      </c>
      <c r="M67" s="40">
        <v>5</v>
      </c>
      <c r="N67" s="38">
        <v>720</v>
      </c>
      <c r="O67" s="37" t="s">
        <v>115</v>
      </c>
      <c r="P67" s="41">
        <v>9750</v>
      </c>
      <c r="Q67" s="42"/>
      <c r="R67" s="48"/>
      <c r="S67" s="49">
        <v>0.125</v>
      </c>
      <c r="T67" s="44">
        <v>0.05</v>
      </c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7020000</v>
      </c>
      <c r="Y67" s="50">
        <f>IF(NOTA[[#This Row],[JUMLAH]]="","",NOTA[[#This Row],[JUMLAH]]*NOTA[[#This Row],[DISC 1]])</f>
        <v>877500</v>
      </c>
      <c r="Z67" s="50">
        <f>IF(NOTA[[#This Row],[JUMLAH]]="","",(NOTA[[#This Row],[JUMLAH]]-NOTA[[#This Row],[DISC 1-]])*NOTA[[#This Row],[DISC 2]])</f>
        <v>307125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1184625</v>
      </c>
      <c r="AC67" s="50">
        <f>IF(NOTA[[#This Row],[JUMLAH]]="","",NOTA[[#This Row],[JUMLAH]]-NOTA[[#This Row],[DISC]])</f>
        <v>5835375</v>
      </c>
      <c r="AD67" s="50"/>
      <c r="AE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10298441.25</v>
      </c>
      <c r="AF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50729358.75</v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67" s="50">
        <f>IF(OR(NOTA[[#This Row],[QTY]]="",NOTA[[#This Row],[HARGA SATUAN]]="",),"",NOTA[[#This Row],[QTY]]*NOTA[[#This Row],[HARGA SATUAN]])</f>
        <v>7020000</v>
      </c>
      <c r="AI67" s="39">
        <f ca="1">IF(NOTA[ID_H]="","",INDEX(NOTA[TANGGAL],MATCH(,INDIRECT(ADDRESS(ROW(NOTA[TANGGAL]),COLUMN(NOTA[TANGGAL]))&amp;":"&amp;ADDRESS(ROW(),COLUMN(NOTA[TANGGAL]))),-1)))</f>
        <v>45297</v>
      </c>
      <c r="AJ67" s="41" t="str">
        <f ca="1">IF(NOTA[[#This Row],[NAMA BARANG]]="","",INDEX(NOTA[SUPPLIER],MATCH(,INDIRECT(ADDRESS(ROW(NOTA[ID]),COLUMN(NOTA[ID]))&amp;":"&amp;ADDRESS(ROW(),COLUMN(NOTA[ID]))),-1)))</f>
        <v>ATALI MAKMUR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1</v>
      </c>
      <c r="AN67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2749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12 LSN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 t="str">
        <f ca="1">IF(NOTA[[#This Row],[NAMA BARANG]]="","",INDEX(NOTA[ID],MATCH(,INDIRECT(ADDRESS(ROW(NOTA[ID]),COLUMN(NOTA[ID]))&amp;":"&amp;ADDRESS(ROW(),COLUMN(NOTA[ID]))),-1)))</f>
        <v/>
      </c>
      <c r="E68" s="46"/>
      <c r="F68" s="37"/>
      <c r="G68" s="37"/>
      <c r="H68" s="47"/>
      <c r="I68" s="37"/>
      <c r="J68" s="39"/>
      <c r="K68" s="37"/>
      <c r="L68" s="37"/>
      <c r="M68" s="40"/>
      <c r="O68" s="37"/>
      <c r="P68" s="41"/>
      <c r="Q68" s="42"/>
      <c r="R68" s="48"/>
      <c r="S68" s="49"/>
      <c r="T68" s="44"/>
      <c r="U68" s="44"/>
      <c r="V68" s="50"/>
      <c r="W68" s="45"/>
      <c r="X68" s="50" t="str">
        <f>IF(NOTA[[#This Row],[HARGA/ CTN]]="",NOTA[[#This Row],[JUMLAH_H]],NOTA[[#This Row],[HARGA/ CTN]]*IF(NOTA[[#This Row],[C]]="",0,NOTA[[#This Row],[C]]))</f>
        <v/>
      </c>
      <c r="Y68" s="50" t="str">
        <f>IF(NOTA[[#This Row],[JUMLAH]]="","",NOTA[[#This Row],[JUMLAH]]*NOTA[[#This Row],[DISC 1]])</f>
        <v/>
      </c>
      <c r="Z68" s="50" t="str">
        <f>IF(NOTA[[#This Row],[JUMLAH]]="","",(NOTA[[#This Row],[JUMLAH]]-NOTA[[#This Row],[DISC 1-]])*NOTA[[#This Row],[DISC 2]])</f>
        <v/>
      </c>
      <c r="AA68" s="50" t="str">
        <f>IF(NOTA[[#This Row],[JUMLAH]]="","",(NOTA[[#This Row],[JUMLAH]]-NOTA[[#This Row],[DISC 1-]]-NOTA[[#This Row],[DISC 2-]])*NOTA[[#This Row],[DISC 3]])</f>
        <v/>
      </c>
      <c r="AB68" s="50" t="str">
        <f>IF(NOTA[[#This Row],[JUMLAH]]="","",NOTA[[#This Row],[DISC 1-]]+NOTA[[#This Row],[DISC 2-]]+NOTA[[#This Row],[DISC 3-]])</f>
        <v/>
      </c>
      <c r="AC68" s="50" t="str">
        <f>IF(NOTA[[#This Row],[JUMLAH]]="","",NOTA[[#This Row],[JUMLAH]]-NOTA[[#This Row],[DISC]])</f>
        <v/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" s="50" t="str">
        <f>IF(OR(NOTA[[#This Row],[QTY]]="",NOTA[[#This Row],[HARGA SATUAN]]="",),"",NOTA[[#This Row],[QTY]]*NOTA[[#This Row],[HARGA SATUAN]])</f>
        <v/>
      </c>
      <c r="AI68" s="39" t="str">
        <f ca="1">IF(NOTA[ID_H]="","",INDEX(NOTA[TANGGAL],MATCH(,INDIRECT(ADDRESS(ROW(NOTA[TANGGAL]),COLUMN(NOTA[TANGGAL]))&amp;":"&amp;ADDRESS(ROW(),COLUMN(NOTA[TANGGAL]))),-1)))</f>
        <v/>
      </c>
      <c r="AJ68" s="41" t="str">
        <f ca="1">IF(NOTA[[#This Row],[NAMA BARANG]]="","",INDEX(NOTA[SUPPLIER],MATCH(,INDIRECT(ADDRESS(ROW(NOTA[ID]),COLUMN(NOTA[ID]))&amp;":"&amp;ADDRESS(ROW(),COLUMN(NOTA[ID]))),-1)))</f>
        <v/>
      </c>
      <c r="AK68" s="41" t="str">
        <f ca="1">IF(NOTA[[#This Row],[ID_H]]="","",IF(NOTA[[#This Row],[FAKTUR]]="",INDIRECT(ADDRESS(ROW()-1,COLUMN())),NOTA[[#This Row],[FAKTUR]]))</f>
        <v/>
      </c>
      <c r="AL68" s="38" t="str">
        <f ca="1">IF(NOTA[[#This Row],[ID]]="","",COUNTIF(NOTA[ID_H],NOTA[[#This Row],[ID_H]]))</f>
        <v/>
      </c>
      <c r="AM68" s="38" t="str">
        <f ca="1">IF(NOTA[[#This Row],[TGL.NOTA]]="",IF(NOTA[[#This Row],[SUPPLIER_H]]="","",AM67),MONTH(NOTA[[#This Row],[TGL.NOTA]]))</f>
        <v/>
      </c>
      <c r="AN68" s="38" t="str">
        <f>LOWER(SUBSTITUTE(SUBSTITUTE(SUBSTITUTE(SUBSTITUTE(SUBSTITUTE(SUBSTITUTE(SUBSTITUTE(SUBSTITUTE(SUBSTITUTE(NOTA[NAMA BARANG]," ",),".",""),"-",""),"(",""),")",""),",",""),"/",""),"""",""),"+",""))</f>
        <v/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 t="str">
        <f>IF(NOTA[[#This Row],[CONCAT1]]="","",MATCH(NOTA[[#This Row],[CONCAT1]],[3]!db[NB NOTA_C],0))</f>
        <v/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/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" s="38" t="str">
        <f ca="1">IF(NOTA[[#This Row],[ID_H]]="","",MATCH(NOTA[[#This Row],[NB NOTA_C_QTY]],[4]!db[NB NOTA_C_QTY+F],0))</f>
        <v/>
      </c>
      <c r="AX68" s="53" t="str">
        <f ca="1">IF(NOTA[[#This Row],[NB NOTA_C_QTY]]="","",ROW()-2)</f>
        <v/>
      </c>
    </row>
    <row r="69" spans="1:50" s="38" customFormat="1" ht="20.100000000000001" customHeight="1" x14ac:dyDescent="0.25">
      <c r="A69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6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ATA_0801_178-2</v>
      </c>
      <c r="C69" s="38" t="e">
        <f ca="1">IF(NOTA[[#This Row],[ID_P]]="","",MATCH(NOTA[[#This Row],[ID_P]],[1]!B_MSK[N_ID],0))</f>
        <v>#REF!</v>
      </c>
      <c r="D69" s="38">
        <f ca="1">IF(NOTA[[#This Row],[NAMA BARANG]]="","",INDEX(NOTA[ID],MATCH(,INDIRECT(ADDRESS(ROW(NOTA[ID]),COLUMN(NOTA[ID]))&amp;":"&amp;ADDRESS(ROW(),COLUMN(NOTA[ID]))),-1)))</f>
        <v>8</v>
      </c>
      <c r="E69" s="46">
        <v>45299</v>
      </c>
      <c r="F69" s="37" t="s">
        <v>24</v>
      </c>
      <c r="G69" s="37" t="s">
        <v>23</v>
      </c>
      <c r="H69" s="47" t="s">
        <v>211</v>
      </c>
      <c r="I69" s="37"/>
      <c r="J69" s="39">
        <v>45295</v>
      </c>
      <c r="K69" s="37"/>
      <c r="L69" s="37" t="s">
        <v>212</v>
      </c>
      <c r="M69" s="40">
        <v>1</v>
      </c>
      <c r="N69" s="38">
        <v>10</v>
      </c>
      <c r="O69" s="37" t="s">
        <v>135</v>
      </c>
      <c r="P69" s="41">
        <v>86000</v>
      </c>
      <c r="Q69" s="42"/>
      <c r="R69" s="48"/>
      <c r="S69" s="49">
        <v>0.125</v>
      </c>
      <c r="T69" s="44">
        <v>0.05</v>
      </c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860000</v>
      </c>
      <c r="Y69" s="50">
        <f>IF(NOTA[[#This Row],[JUMLAH]]="","",NOTA[[#This Row],[JUMLAH]]*NOTA[[#This Row],[DISC 1]])</f>
        <v>107500</v>
      </c>
      <c r="Z69" s="50">
        <f>IF(NOTA[[#This Row],[JUMLAH]]="","",(NOTA[[#This Row],[JUMLAH]]-NOTA[[#This Row],[DISC 1-]])*NOTA[[#This Row],[DISC 2]])</f>
        <v>37625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145125</v>
      </c>
      <c r="AC69" s="50">
        <f>IF(NOTA[[#This Row],[JUMLAH]]="","",NOTA[[#This Row],[JUMLAH]]-NOTA[[#This Row],[DISC]])</f>
        <v>714875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9" s="50">
        <f>IF(OR(NOTA[[#This Row],[QTY]]="",NOTA[[#This Row],[HARGA SATUAN]]="",),"",NOTA[[#This Row],[QTY]]*NOTA[[#This Row],[HARGA SATUAN]])</f>
        <v>860000</v>
      </c>
      <c r="AI69" s="39">
        <f ca="1">IF(NOTA[ID_H]="","",INDEX(NOTA[TANGGAL],MATCH(,INDIRECT(ADDRESS(ROW(NOTA[TANGGAL]),COLUMN(NOTA[TANGGAL]))&amp;":"&amp;ADDRESS(ROW(),COLUMN(NOTA[TANGGAL]))),-1)))</f>
        <v>45299</v>
      </c>
      <c r="AJ69" s="41" t="str">
        <f ca="1">IF(NOTA[[#This Row],[NAMA BARANG]]="","",INDEX(NOTA[SUPPLIER],MATCH(,INDIRECT(ADDRESS(ROW(NOTA[ID]),COLUMN(NOTA[ID]))&amp;":"&amp;ADDRESS(ROW(),COLUMN(NOTA[ID]))),-1)))</f>
        <v>ATALI MAKMUR</v>
      </c>
      <c r="AK69" s="41" t="str">
        <f ca="1">IF(NOTA[[#This Row],[ID_H]]="","",IF(NOTA[[#This Row],[FAKTUR]]="",INDIRECT(ADDRESS(ROW()-1,COLUMN())),NOTA[[#This Row],[FAKTUR]]))</f>
        <v>ARTO MORO</v>
      </c>
      <c r="AL69" s="38">
        <f ca="1">IF(NOTA[[#This Row],[ID]]="","",COUNTIF(NOTA[ID_H],NOTA[[#This Row],[ID_H]]))</f>
        <v>2</v>
      </c>
      <c r="AM69" s="38">
        <f>IF(NOTA[[#This Row],[TGL.NOTA]]="",IF(NOTA[[#This Row],[SUPPLIER_H]]="","",AM68),MONTH(NOTA[[#This Row],[TGL.NOTA]]))</f>
        <v>1</v>
      </c>
      <c r="AN69" s="38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MOROSA24010017845295laminatingfilmlf1002234f4jk</v>
      </c>
      <c r="AR69" s="38" t="e">
        <f>IF(NOTA[[#This Row],[CONCAT4]]="","",_xlfn.IFNA(MATCH(NOTA[[#This Row],[CONCAT4]],[2]!RAW[CONCAT_H],0),FALSE))</f>
        <v>#REF!</v>
      </c>
      <c r="AS69" s="38">
        <f>IF(NOTA[[#This Row],[CONCAT1]]="","",MATCH(NOTA[[#This Row],[CONCAT1]],[3]!db[NB NOTA_C],0))</f>
        <v>1868</v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>10 PAK (100 PCS)</v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W69" s="38" t="e">
        <f ca="1">IF(NOTA[[#This Row],[ID_H]]="","",MATCH(NOTA[[#This Row],[NB NOTA_C_QTY]],[4]!db[NB NOTA_C_QTY+F],0))</f>
        <v>#REF!</v>
      </c>
      <c r="AX69" s="53">
        <f ca="1">IF(NOTA[[#This Row],[NB NOTA_C_QTY]]="","",ROW()-2)</f>
        <v>67</v>
      </c>
    </row>
    <row r="70" spans="1:50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8</v>
      </c>
      <c r="E70" s="46"/>
      <c r="F70" s="37"/>
      <c r="G70" s="37"/>
      <c r="H70" s="47"/>
      <c r="I70" s="37"/>
      <c r="J70" s="39"/>
      <c r="K70" s="37"/>
      <c r="L70" s="37" t="s">
        <v>213</v>
      </c>
      <c r="M70" s="40">
        <v>2</v>
      </c>
      <c r="N70" s="38">
        <v>48</v>
      </c>
      <c r="O70" s="37" t="s">
        <v>115</v>
      </c>
      <c r="P70" s="41">
        <v>40000</v>
      </c>
      <c r="Q70" s="42"/>
      <c r="R70" s="48"/>
      <c r="S70" s="49">
        <v>0.125</v>
      </c>
      <c r="T70" s="44">
        <v>0.05</v>
      </c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1920000</v>
      </c>
      <c r="Y70" s="50">
        <f>IF(NOTA[[#This Row],[JUMLAH]]="","",NOTA[[#This Row],[JUMLAH]]*NOTA[[#This Row],[DISC 1]])</f>
        <v>240000</v>
      </c>
      <c r="Z70" s="50">
        <f>IF(NOTA[[#This Row],[JUMLAH]]="","",(NOTA[[#This Row],[JUMLAH]]-NOTA[[#This Row],[DISC 1-]])*NOTA[[#This Row],[DISC 2]])</f>
        <v>84000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324000</v>
      </c>
      <c r="AC70" s="50">
        <f>IF(NOTA[[#This Row],[JUMLAH]]="","",NOTA[[#This Row],[JUMLAH]]-NOTA[[#This Row],[DISC]])</f>
        <v>1596000</v>
      </c>
      <c r="AD70" s="50"/>
      <c r="AE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469125</v>
      </c>
      <c r="AF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2310875</v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70" s="50">
        <f>IF(OR(NOTA[[#This Row],[QTY]]="",NOTA[[#This Row],[HARGA SATUAN]]="",),"",NOTA[[#This Row],[QTY]]*NOTA[[#This Row],[HARGA SATUAN]])</f>
        <v>1920000</v>
      </c>
      <c r="AI70" s="39">
        <f ca="1">IF(NOTA[ID_H]="","",INDEX(NOTA[TANGGAL],MATCH(,INDIRECT(ADDRESS(ROW(NOTA[TANGGAL]),COLUMN(NOTA[TANGGAL]))&amp;":"&amp;ADDRESS(ROW(),COLUMN(NOTA[TANGGAL]))),-1)))</f>
        <v>45299</v>
      </c>
      <c r="AJ70" s="41" t="str">
        <f ca="1">IF(NOTA[[#This Row],[NAMA BARANG]]="","",INDEX(NOTA[SUPPLIER],MATCH(,INDIRECT(ADDRESS(ROW(NOTA[ID]),COLUMN(NOTA[ID]))&amp;":"&amp;ADDRESS(ROW(),COLUMN(NOTA[ID]))),-1)))</f>
        <v>ATALI MAKMUR</v>
      </c>
      <c r="AK70" s="41" t="str">
        <f ca="1">IF(NOTA[[#This Row],[ID_H]]="","",IF(NOTA[[#This Row],[FAKTUR]]="",INDIRECT(ADDRESS(ROW()-1,COLUMN())),NOTA[[#This Row],[FAKTUR]]))</f>
        <v>ARTO MORO</v>
      </c>
      <c r="AL70" s="38" t="str">
        <f ca="1">IF(NOTA[[#This Row],[ID]]="","",COUNTIF(NOTA[ID_H],NOTA[[#This Row],[ID_H]]))</f>
        <v/>
      </c>
      <c r="AM70" s="38">
        <f ca="1">IF(NOTA[[#This Row],[TGL.NOTA]]="",IF(NOTA[[#This Row],[SUPPLIER_H]]="","",AM69),MONTH(NOTA[[#This Row],[TGL.NOTA]]))</f>
        <v>1</v>
      </c>
      <c r="AN70" s="38" t="str">
        <f>LOWER(SUBSTITUTE(SUBSTITUTE(SUBSTITUTE(SUBSTITUTE(SUBSTITUTE(SUBSTITUTE(SUBSTITUTE(SUBSTITUTE(SUBSTITUTE(NOTA[NAMA BARANG]," ",),".",""),"-",""),"(",""),")",""),",",""),"/",""),"""",""),"+",""))</f>
        <v>punchno85jk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" s="38" t="str">
        <f>IF(NOTA[[#This Row],[CONCAT4]]="","",_xlfn.IFNA(MATCH(NOTA[[#This Row],[CONCAT4]],[2]!RAW[CONCAT_H],0),FALSE))</f>
        <v/>
      </c>
      <c r="AS70" s="38">
        <f>IF(NOTA[[#This Row],[CONCAT1]]="","",MATCH(NOTA[[#This Row],[CONCAT1]],[3]!db[NB NOTA_C],0))</f>
        <v>2688</v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>24 PCS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W70" s="38" t="e">
        <f ca="1">IF(NOTA[[#This Row],[ID_H]]="","",MATCH(NOTA[[#This Row],[NB NOTA_C_QTY]],[4]!db[NB NOTA_C_QTY+F],0))</f>
        <v>#REF!</v>
      </c>
      <c r="AX70" s="53">
        <f ca="1">IF(NOTA[[#This Row],[NB NOTA_C_QTY]]="","",ROW()-2)</f>
        <v>68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 t="str">
        <f ca="1">IF(NOTA[[#This Row],[NAMA BARANG]]="","",INDEX(NOTA[ID],MATCH(,INDIRECT(ADDRESS(ROW(NOTA[ID]),COLUMN(NOTA[ID]))&amp;":"&amp;ADDRESS(ROW(),COLUMN(NOTA[ID]))),-1)))</f>
        <v/>
      </c>
      <c r="E71" s="46"/>
      <c r="F71" s="37"/>
      <c r="G71" s="37"/>
      <c r="H71" s="47"/>
      <c r="I71" s="37"/>
      <c r="J71" s="39"/>
      <c r="K71" s="37"/>
      <c r="L71" s="37"/>
      <c r="M71" s="40"/>
      <c r="O71" s="37"/>
      <c r="P71" s="41"/>
      <c r="Q71" s="42"/>
      <c r="R71" s="48"/>
      <c r="S71" s="49"/>
      <c r="T71" s="44"/>
      <c r="U71" s="44"/>
      <c r="V71" s="50"/>
      <c r="W71" s="45"/>
      <c r="X71" s="50" t="str">
        <f>IF(NOTA[[#This Row],[HARGA/ CTN]]="",NOTA[[#This Row],[JUMLAH_H]],NOTA[[#This Row],[HARGA/ CTN]]*IF(NOTA[[#This Row],[C]]="",0,NOTA[[#This Row],[C]]))</f>
        <v/>
      </c>
      <c r="Y71" s="50" t="str">
        <f>IF(NOTA[[#This Row],[JUMLAH]]="","",NOTA[[#This Row],[JUMLAH]]*NOTA[[#This Row],[DISC 1]])</f>
        <v/>
      </c>
      <c r="Z71" s="50" t="str">
        <f>IF(NOTA[[#This Row],[JUMLAH]]="","",(NOTA[[#This Row],[JUMLAH]]-NOTA[[#This Row],[DISC 1-]])*NOTA[[#This Row],[DISC 2]])</f>
        <v/>
      </c>
      <c r="AA71" s="50" t="str">
        <f>IF(NOTA[[#This Row],[JUMLAH]]="","",(NOTA[[#This Row],[JUMLAH]]-NOTA[[#This Row],[DISC 1-]]-NOTA[[#This Row],[DISC 2-]])*NOTA[[#This Row],[DISC 3]])</f>
        <v/>
      </c>
      <c r="AB71" s="50" t="str">
        <f>IF(NOTA[[#This Row],[JUMLAH]]="","",NOTA[[#This Row],[DISC 1-]]+NOTA[[#This Row],[DISC 2-]]+NOTA[[#This Row],[DISC 3-]])</f>
        <v/>
      </c>
      <c r="AC71" s="50" t="str">
        <f>IF(NOTA[[#This Row],[JUMLAH]]="","",NOTA[[#This Row],[JUMLAH]]-NOTA[[#This Row],[DISC]])</f>
        <v/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" s="50" t="str">
        <f>IF(OR(NOTA[[#This Row],[QTY]]="",NOTA[[#This Row],[HARGA SATUAN]]="",),"",NOTA[[#This Row],[QTY]]*NOTA[[#This Row],[HARGA SATUAN]])</f>
        <v/>
      </c>
      <c r="AI71" s="39" t="str">
        <f ca="1">IF(NOTA[ID_H]="","",INDEX(NOTA[TANGGAL],MATCH(,INDIRECT(ADDRESS(ROW(NOTA[TANGGAL]),COLUMN(NOTA[TANGGAL]))&amp;":"&amp;ADDRESS(ROW(),COLUMN(NOTA[TANGGAL]))),-1)))</f>
        <v/>
      </c>
      <c r="AJ71" s="41" t="str">
        <f ca="1">IF(NOTA[[#This Row],[NAMA BARANG]]="","",INDEX(NOTA[SUPPLIER],MATCH(,INDIRECT(ADDRESS(ROW(NOTA[ID]),COLUMN(NOTA[ID]))&amp;":"&amp;ADDRESS(ROW(),COLUMN(NOTA[ID]))),-1)))</f>
        <v/>
      </c>
      <c r="AK71" s="41" t="str">
        <f ca="1">IF(NOTA[[#This Row],[ID_H]]="","",IF(NOTA[[#This Row],[FAKTUR]]="",INDIRECT(ADDRESS(ROW()-1,COLUMN())),NOTA[[#This Row],[FAKTUR]]))</f>
        <v/>
      </c>
      <c r="AL71" s="38" t="str">
        <f ca="1">IF(NOTA[[#This Row],[ID]]="","",COUNTIF(NOTA[ID_H],NOTA[[#This Row],[ID_H]]))</f>
        <v/>
      </c>
      <c r="AM71" s="38" t="str">
        <f ca="1">IF(NOTA[[#This Row],[TGL.NOTA]]="",IF(NOTA[[#This Row],[SUPPLIER_H]]="","",AM70),MONTH(NOTA[[#This Row],[TGL.NOTA]]))</f>
        <v/>
      </c>
      <c r="AN71" s="38" t="str">
        <f>LOWER(SUBSTITUTE(SUBSTITUTE(SUBSTITUTE(SUBSTITUTE(SUBSTITUTE(SUBSTITUTE(SUBSTITUTE(SUBSTITUTE(SUBSTITUTE(NOTA[NAMA BARANG]," ",),".",""),"-",""),"(",""),")",""),",",""),"/",""),"""",""),"+",""))</f>
        <v/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 t="str">
        <f>IF(NOTA[[#This Row],[CONCAT1]]="","",MATCH(NOTA[[#This Row],[CONCAT1]],[3]!db[NB NOTA_C],0))</f>
        <v/>
      </c>
      <c r="AT71" s="38" t="str">
        <f>IF(NOTA[[#This Row],[QTY/ CTN]]="","",TRUE)</f>
        <v/>
      </c>
      <c r="AU71" s="38" t="str">
        <f ca="1">IF(NOTA[[#This Row],[ID_H]]="","",IF(NOTA[[#This Row],[Column3]]=TRUE,NOTA[[#This Row],[QTY/ CTN]],INDEX([3]!db[QTY/ CTN],NOTA[[#This Row],[//DB]])))</f>
        <v/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" s="38" t="str">
        <f ca="1">IF(NOTA[[#This Row],[ID_H]]="","",MATCH(NOTA[[#This Row],[NB NOTA_C_QTY]],[4]!db[NB NOTA_C_QTY+F],0))</f>
        <v/>
      </c>
      <c r="AX71" s="53" t="str">
        <f ca="1">IF(NOTA[[#This Row],[NB NOTA_C_QTY]]="","",ROW()-2)</f>
        <v/>
      </c>
    </row>
    <row r="72" spans="1:50" s="38" customFormat="1" ht="20.100000000000001" customHeight="1" x14ac:dyDescent="0.25">
      <c r="A72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KEN_0601_061-10</v>
      </c>
      <c r="C72" s="38" t="e">
        <f ca="1">IF(NOTA[[#This Row],[ID_P]]="","",MATCH(NOTA[[#This Row],[ID_P]],[1]!B_MSK[N_ID],0))</f>
        <v>#REF!</v>
      </c>
      <c r="D72" s="38">
        <f ca="1">IF(NOTA[[#This Row],[NAMA BARANG]]="","",INDEX(NOTA[ID],MATCH(,INDIRECT(ADDRESS(ROW(NOTA[ID]),COLUMN(NOTA[ID]))&amp;":"&amp;ADDRESS(ROW(),COLUMN(NOTA[ID]))),-1)))</f>
        <v>9</v>
      </c>
      <c r="E72" s="46">
        <v>45297</v>
      </c>
      <c r="F72" s="37" t="s">
        <v>22</v>
      </c>
      <c r="G72" s="37" t="s">
        <v>23</v>
      </c>
      <c r="H72" s="47" t="s">
        <v>214</v>
      </c>
      <c r="I72" s="37"/>
      <c r="J72" s="39">
        <v>45295</v>
      </c>
      <c r="K72" s="37"/>
      <c r="L72" s="37" t="s">
        <v>215</v>
      </c>
      <c r="M72" s="40">
        <v>1</v>
      </c>
      <c r="O72" s="37"/>
      <c r="P72" s="41"/>
      <c r="Q72" s="42">
        <v>1020000</v>
      </c>
      <c r="R72" s="48"/>
      <c r="S72" s="49">
        <v>0.17</v>
      </c>
      <c r="T72" s="44"/>
      <c r="U72" s="44"/>
      <c r="V72" s="50"/>
      <c r="W72" s="45"/>
      <c r="X72" s="50">
        <f>IF(NOTA[[#This Row],[HARGA/ CTN]]="",NOTA[[#This Row],[JUMLAH_H]],NOTA[[#This Row],[HARGA/ CTN]]*IF(NOTA[[#This Row],[C]]="",0,NOTA[[#This Row],[C]]))</f>
        <v>1020000</v>
      </c>
      <c r="Y72" s="50">
        <f>IF(NOTA[[#This Row],[JUMLAH]]="","",NOTA[[#This Row],[JUMLAH]]*NOTA[[#This Row],[DISC 1]])</f>
        <v>173400</v>
      </c>
      <c r="Z72" s="50">
        <f>IF(NOTA[[#This Row],[JUMLAH]]="","",(NOTA[[#This Row],[JUMLAH]]-NOTA[[#This Row],[DISC 1-]])*NOTA[[#This Row],[DISC 2]])</f>
        <v>0</v>
      </c>
      <c r="AA72" s="50">
        <f>IF(NOTA[[#This Row],[JUMLAH]]="","",(NOTA[[#This Row],[JUMLAH]]-NOTA[[#This Row],[DISC 1-]]-NOTA[[#This Row],[DISC 2-]])*NOTA[[#This Row],[DISC 3]])</f>
        <v>0</v>
      </c>
      <c r="AB72" s="50">
        <f>IF(NOTA[[#This Row],[JUMLAH]]="","",NOTA[[#This Row],[DISC 1-]]+NOTA[[#This Row],[DISC 2-]]+NOTA[[#This Row],[DISC 3-]])</f>
        <v>173400</v>
      </c>
      <c r="AC72" s="50">
        <f>IF(NOTA[[#This Row],[JUMLAH]]="","",NOTA[[#This Row],[JUMLAH]]-NOTA[[#This Row],[DISC]])</f>
        <v>846600</v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H72" s="50" t="str">
        <f>IF(OR(NOTA[[#This Row],[QTY]]="",NOTA[[#This Row],[HARGA SATUAN]]="",),"",NOTA[[#This Row],[QTY]]*NOTA[[#This Row],[HARGA SATUAN]])</f>
        <v/>
      </c>
      <c r="AI72" s="39">
        <f ca="1">IF(NOTA[ID_H]="","",INDEX(NOTA[TANGGAL],MATCH(,INDIRECT(ADDRESS(ROW(NOTA[TANGGAL]),COLUMN(NOTA[TANGGAL]))&amp;":"&amp;ADDRESS(ROW(),COLUMN(NOTA[TANGGAL]))),-1)))</f>
        <v>45297</v>
      </c>
      <c r="AJ72" s="41" t="str">
        <f ca="1">IF(NOTA[[#This Row],[NAMA BARANG]]="","",INDEX(NOTA[SUPPLIER],MATCH(,INDIRECT(ADDRESS(ROW(NOTA[ID]),COLUMN(NOTA[ID]))&amp;":"&amp;ADDRESS(ROW(),COLUMN(NOTA[ID]))),-1)))</f>
        <v>KENKO SINAR INDONESIA</v>
      </c>
      <c r="AK72" s="41" t="str">
        <f ca="1">IF(NOTA[[#This Row],[ID_H]]="","",IF(NOTA[[#This Row],[FAKTUR]]="",INDIRECT(ADDRESS(ROW()-1,COLUMN())),NOTA[[#This Row],[FAKTUR]]))</f>
        <v>ARTO MORO</v>
      </c>
      <c r="AL72" s="38">
        <f ca="1">IF(NOTA[[#This Row],[ID]]="","",COUNTIF(NOTA[ID_H],NOTA[[#This Row],[ID_H]]))</f>
        <v>10</v>
      </c>
      <c r="AM72" s="38">
        <f>IF(NOTA[[#This Row],[TGL.NOTA]]="",IF(NOTA[[#This Row],[SUPPLIER_H]]="","",AM71),MONTH(NOTA[[#This Row],[TGL.NOTA]]))</f>
        <v>1</v>
      </c>
      <c r="AN72" s="38" t="str">
        <f>LOWER(SUBSTITUTE(SUBSTITUTE(SUBSTITUTE(SUBSTITUTE(SUBSTITUTE(SUBSTITUTE(SUBSTITUTE(SUBSTITUTE(SUBSTITUTE(NOTA[NAMA BARANG]," ",),".",""),"-",""),"(",""),")",""),",",""),"/",""),"""",""),"+",""))</f>
        <v>kenkopunchno85n</v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kenkopunchno85n10200000.17</v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kenkopunchno85n10200000.17</v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MORO2401006145295kenkopunchno85n</v>
      </c>
      <c r="AR72" s="38" t="e">
        <f>IF(NOTA[[#This Row],[CONCAT4]]="","",_xlfn.IFNA(MATCH(NOTA[[#This Row],[CONCAT4]],[2]!RAW[CONCAT_H],0),FALSE))</f>
        <v>#REF!</v>
      </c>
      <c r="AS72" s="38">
        <f>IF(NOTA[[#This Row],[CONCAT1]]="","",MATCH(NOTA[[#This Row],[CONCAT1]],[3]!db[NB NOTA_C],0))</f>
        <v>1752</v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>24 PCS</v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kenkopunchno85n24pcsartomoro</v>
      </c>
      <c r="AW72" s="38" t="e">
        <f ca="1">IF(NOTA[[#This Row],[ID_H]]="","",MATCH(NOTA[[#This Row],[NB NOTA_C_QTY]],[4]!db[NB NOTA_C_QTY+F],0))</f>
        <v>#REF!</v>
      </c>
      <c r="AX72" s="53">
        <f ca="1">IF(NOTA[[#This Row],[NB NOTA_C_QTY]]="","",ROW()-2)</f>
        <v>70</v>
      </c>
    </row>
    <row r="73" spans="1:50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>
        <f ca="1">IF(NOTA[[#This Row],[NAMA BARANG]]="","",INDEX(NOTA[ID],MATCH(,INDIRECT(ADDRESS(ROW(NOTA[ID]),COLUMN(NOTA[ID]))&amp;":"&amp;ADDRESS(ROW(),COLUMN(NOTA[ID]))),-1)))</f>
        <v>9</v>
      </c>
      <c r="E73" s="46"/>
      <c r="F73" s="37"/>
      <c r="G73" s="37"/>
      <c r="H73" s="47"/>
      <c r="I73" s="37"/>
      <c r="J73" s="39"/>
      <c r="K73" s="37"/>
      <c r="L73" s="37" t="s">
        <v>842</v>
      </c>
      <c r="M73" s="40">
        <v>1</v>
      </c>
      <c r="O73" s="37"/>
      <c r="P73" s="41"/>
      <c r="Q73" s="42">
        <v>801600</v>
      </c>
      <c r="R73" s="48"/>
      <c r="S73" s="49">
        <v>0.17</v>
      </c>
      <c r="T73" s="44"/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801600</v>
      </c>
      <c r="Y73" s="50">
        <f>IF(NOTA[[#This Row],[JUMLAH]]="","",NOTA[[#This Row],[JUMLAH]]*NOTA[[#This Row],[DISC 1]])</f>
        <v>136272</v>
      </c>
      <c r="Z73" s="50">
        <f>IF(NOTA[[#This Row],[JUMLAH]]="","",(NOTA[[#This Row],[JUMLAH]]-NOTA[[#This Row],[DISC 1-]])*NOTA[[#This Row],[DISC 2]])</f>
        <v>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136272</v>
      </c>
      <c r="AC73" s="50">
        <f>IF(NOTA[[#This Row],[JUMLAH]]="","",NOTA[[#This Row],[JUMLAH]]-NOTA[[#This Row],[DISC]])</f>
        <v>665328</v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45297</v>
      </c>
      <c r="AJ73" s="41" t="str">
        <f ca="1">IF(NOTA[[#This Row],[NAMA BARANG]]="","",INDEX(NOTA[SUPPLIER],MATCH(,INDIRECT(ADDRESS(ROW(NOTA[ID]),COLUMN(NOTA[ID]))&amp;":"&amp;ADDRESS(ROW(),COLUMN(NOTA[ID]))),-1)))</f>
        <v>KENKO SINAR INDONESIA</v>
      </c>
      <c r="AK73" s="41" t="str">
        <f ca="1">IF(NOTA[[#This Row],[ID_H]]="","",IF(NOTA[[#This Row],[FAKTUR]]="",INDIRECT(ADDRESS(ROW()-1,COLUMN())),NOTA[[#This Row],[FAKTUR]]))</f>
        <v>ARTO MORO</v>
      </c>
      <c r="AL73" s="38" t="str">
        <f ca="1">IF(NOTA[[#This Row],[ID]]="","",COUNTIF(NOTA[ID_H],NOTA[[#This Row],[ID_H]]))</f>
        <v/>
      </c>
      <c r="AM73" s="38">
        <f ca="1">IF(NOTA[[#This Row],[TGL.NOTA]]="",IF(NOTA[[#This Row],[SUPPLIER_H]]="","",AM72),MONTH(NOTA[[#This Row],[TGL.NOTA]]))</f>
        <v>1</v>
      </c>
      <c r="AN73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" s="38" t="str">
        <f>IF(NOTA[[#This Row],[CONCAT4]]="","",_xlfn.IFNA(MATCH(NOTA[[#This Row],[CONCAT4]],[2]!RAW[CONCAT_H],0),FALSE))</f>
        <v/>
      </c>
      <c r="AS73" s="38">
        <f>IF(NOTA[[#This Row],[CONCAT1]]="","",MATCH(NOTA[[#This Row],[CONCAT1]],[3]!db[NB NOTA_C],0))</f>
        <v>1690</v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>96 PCS</v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73" s="38" t="e">
        <f ca="1">IF(NOTA[[#This Row],[ID_H]]="","",MATCH(NOTA[[#This Row],[NB NOTA_C_QTY]],[4]!db[NB NOTA_C_QTY+F],0))</f>
        <v>#REF!</v>
      </c>
      <c r="AX73" s="53">
        <f ca="1">IF(NOTA[[#This Row],[NB NOTA_C_QTY]]="","",ROW()-2)</f>
        <v>71</v>
      </c>
    </row>
    <row r="74" spans="1:50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>
        <f ca="1">IF(NOTA[[#This Row],[NAMA BARANG]]="","",INDEX(NOTA[ID],MATCH(,INDIRECT(ADDRESS(ROW(NOTA[ID]),COLUMN(NOTA[ID]))&amp;":"&amp;ADDRESS(ROW(),COLUMN(NOTA[ID]))),-1)))</f>
        <v>9</v>
      </c>
      <c r="E74" s="46"/>
      <c r="F74" s="37"/>
      <c r="G74" s="37"/>
      <c r="H74" s="47"/>
      <c r="I74" s="37"/>
      <c r="J74" s="39"/>
      <c r="K74" s="37"/>
      <c r="L74" s="37" t="s">
        <v>131</v>
      </c>
      <c r="M74" s="40">
        <v>1</v>
      </c>
      <c r="O74" s="37"/>
      <c r="P74" s="41"/>
      <c r="Q74" s="42">
        <v>3110400</v>
      </c>
      <c r="R74" s="48"/>
      <c r="S74" s="49">
        <v>0.17</v>
      </c>
      <c r="T74" s="44"/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3110400</v>
      </c>
      <c r="Y74" s="50">
        <f>IF(NOTA[[#This Row],[JUMLAH]]="","",NOTA[[#This Row],[JUMLAH]]*NOTA[[#This Row],[DISC 1]])</f>
        <v>528768</v>
      </c>
      <c r="Z74" s="50">
        <f>IF(NOTA[[#This Row],[JUMLAH]]="","",(NOTA[[#This Row],[JUMLAH]]-NOTA[[#This Row],[DISC 1-]])*NOTA[[#This Row],[DISC 2]])</f>
        <v>0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528768</v>
      </c>
      <c r="AC74" s="50">
        <f>IF(NOTA[[#This Row],[JUMLAH]]="","",NOTA[[#This Row],[JUMLAH]]-NOTA[[#This Row],[DISC]])</f>
        <v>2581632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74" s="50" t="str">
        <f>IF(OR(NOTA[[#This Row],[QTY]]="",NOTA[[#This Row],[HARGA SATUAN]]="",),"",NOTA[[#This Row],[QTY]]*NOTA[[#This Row],[HARGA SATUAN]])</f>
        <v/>
      </c>
      <c r="AI74" s="39">
        <f ca="1">IF(NOTA[ID_H]="","",INDEX(NOTA[TANGGAL],MATCH(,INDIRECT(ADDRESS(ROW(NOTA[TANGGAL]),COLUMN(NOTA[TANGGAL]))&amp;":"&amp;ADDRESS(ROW(),COLUMN(NOTA[TANGGAL]))),-1)))</f>
        <v>45297</v>
      </c>
      <c r="AJ74" s="41" t="str">
        <f ca="1">IF(NOTA[[#This Row],[NAMA BARANG]]="","",INDEX(NOTA[SUPPLIER],MATCH(,INDIRECT(ADDRESS(ROW(NOTA[ID]),COLUMN(NOTA[ID]))&amp;":"&amp;ADDRESS(ROW(),COLUMN(NOTA[ID]))),-1)))</f>
        <v>KENKO SINAR INDONESIA</v>
      </c>
      <c r="AK74" s="41" t="str">
        <f ca="1">IF(NOTA[[#This Row],[ID_H]]="","",IF(NOTA[[#This Row],[FAKTUR]]="",INDIRECT(ADDRESS(ROW()-1,COLUMN())),NOTA[[#This Row],[FAKTUR]]))</f>
        <v>ARTO MORO</v>
      </c>
      <c r="AL74" s="38" t="str">
        <f ca="1">IF(NOTA[[#This Row],[ID]]="","",COUNTIF(NOTA[ID_H],NOTA[[#This Row],[ID_H]]))</f>
        <v/>
      </c>
      <c r="AM74" s="38">
        <f ca="1">IF(NOTA[[#This Row],[TGL.NOTA]]="",IF(NOTA[[#This Row],[SUPPLIER_H]]="","",AM73),MONTH(NOTA[[#This Row],[TGL.NOTA]]))</f>
        <v>1</v>
      </c>
      <c r="AN7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38" t="str">
        <f>IF(NOTA[[#This Row],[CONCAT4]]="","",_xlfn.IFNA(MATCH(NOTA[[#This Row],[CONCAT4]],[2]!RAW[CONCAT_H],0),FALSE))</f>
        <v/>
      </c>
      <c r="AS74" s="38">
        <f>IF(NOTA[[#This Row],[CONCAT1]]="","",MATCH(NOTA[[#This Row],[CONCAT1]],[3]!db[NB NOTA_C],0))</f>
        <v>1644</v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>144 LSN</v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74" s="38" t="e">
        <f ca="1">IF(NOTA[[#This Row],[ID_H]]="","",MATCH(NOTA[[#This Row],[NB NOTA_C_QTY]],[4]!db[NB NOTA_C_QTY+F],0))</f>
        <v>#REF!</v>
      </c>
      <c r="AX74" s="53">
        <f ca="1">IF(NOTA[[#This Row],[NB NOTA_C_QTY]]="","",ROW()-2)</f>
        <v>72</v>
      </c>
    </row>
    <row r="75" spans="1:50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9</v>
      </c>
      <c r="E75" s="46"/>
      <c r="F75" s="37"/>
      <c r="G75" s="37"/>
      <c r="H75" s="47"/>
      <c r="I75" s="37"/>
      <c r="J75" s="39"/>
      <c r="K75" s="39"/>
      <c r="L75" s="37" t="s">
        <v>146</v>
      </c>
      <c r="M75" s="40">
        <v>1</v>
      </c>
      <c r="O75" s="37"/>
      <c r="P75" s="41"/>
      <c r="Q75" s="42">
        <v>800000</v>
      </c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800000</v>
      </c>
      <c r="Y75" s="50">
        <f>IF(NOTA[[#This Row],[JUMLAH]]="","",NOTA[[#This Row],[JUMLAH]]*NOTA[[#This Row],[DISC 1]])</f>
        <v>136000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136000</v>
      </c>
      <c r="AC75" s="50">
        <f>IF(NOTA[[#This Row],[JUMLAH]]="","",NOTA[[#This Row],[JUMLAH]]-NOTA[[#This Row],[DISC]])</f>
        <v>664000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45297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 t="str">
        <f ca="1">IF(NOTA[[#This Row],[ID]]="","",COUNTIF(NOTA[ID_H],NOTA[[#This Row],[ID_H]]))</f>
        <v/>
      </c>
      <c r="AM75" s="38">
        <f ca="1">IF(NOTA[[#This Row],[TGL.NOTA]]="",IF(NOTA[[#This Row],[SUPPLIER_H]]="","",AM74),MONTH(NOTA[[#This Row],[TGL.NOTA]]))</f>
        <v>1</v>
      </c>
      <c r="AN75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38" t="str">
        <f>IF(NOTA[[#This Row],[CONCAT4]]="","",_xlfn.IFNA(MATCH(NOTA[[#This Row],[CONCAT4]],[2]!RAW[CONCAT_H],0),FALSE))</f>
        <v/>
      </c>
      <c r="AS75" s="38">
        <f>IF(NOTA[[#This Row],[CONCAT1]]="","",MATCH(NOTA[[#This Row],[CONCAT1]],[3]!db[NB NOTA_C],0))</f>
        <v>1801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500 BOX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9</v>
      </c>
      <c r="E76" s="46"/>
      <c r="F76" s="37"/>
      <c r="G76" s="37"/>
      <c r="H76" s="47"/>
      <c r="I76" s="37"/>
      <c r="J76" s="39"/>
      <c r="K76" s="37"/>
      <c r="L76" s="37" t="s">
        <v>129</v>
      </c>
      <c r="M76" s="40">
        <v>1</v>
      </c>
      <c r="O76" s="37"/>
      <c r="P76" s="41"/>
      <c r="Q76" s="42">
        <v>2376000</v>
      </c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2376000</v>
      </c>
      <c r="Y76" s="50">
        <f>IF(NOTA[[#This Row],[JUMLAH]]="","",NOTA[[#This Row],[JUMLAH]]*NOTA[[#This Row],[DISC 1]])</f>
        <v>403920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403920</v>
      </c>
      <c r="AC76" s="50">
        <f>IF(NOTA[[#This Row],[JUMLAH]]="","",NOTA[[#This Row],[JUMLAH]]-NOTA[[#This Row],[DISC]])</f>
        <v>1972080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45297</v>
      </c>
      <c r="AJ76" s="41" t="str">
        <f ca="1">IF(NOTA[[#This Row],[NAMA BARANG]]="","",INDEX(NOTA[SUPPLIER],MATCH(,INDIRECT(ADDRESS(ROW(NOTA[ID]),COLUMN(NOTA[ID]))&amp;":"&amp;ADDRESS(ROW(),COLUMN(NOTA[ID]))),-1)))</f>
        <v>KENKO SINAR INDONESIA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1</v>
      </c>
      <c r="AN76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1662</v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>36 BOX (30 PCS)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9</v>
      </c>
      <c r="E77" s="46"/>
      <c r="F77" s="37"/>
      <c r="G77" s="37"/>
      <c r="H77" s="47"/>
      <c r="I77" s="37"/>
      <c r="J77" s="39"/>
      <c r="K77" s="37"/>
      <c r="L77" s="37" t="s">
        <v>130</v>
      </c>
      <c r="M77" s="40">
        <v>1</v>
      </c>
      <c r="O77" s="37"/>
      <c r="P77" s="41"/>
      <c r="Q77" s="42">
        <v>2160000</v>
      </c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2160000</v>
      </c>
      <c r="Y77" s="50">
        <f>IF(NOTA[[#This Row],[JUMLAH]]="","",NOTA[[#This Row],[JUMLAH]]*NOTA[[#This Row],[DISC 1]])</f>
        <v>367200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367200</v>
      </c>
      <c r="AC77" s="50">
        <f>IF(NOTA[[#This Row],[JUMLAH]]="","",NOTA[[#This Row],[JUMLAH]]-NOTA[[#This Row],[DISC]])</f>
        <v>1792800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45297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1</v>
      </c>
      <c r="AN77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>
        <f>IF(NOTA[[#This Row],[CONCAT1]]="","",MATCH(NOTA[[#This Row],[CONCAT1]],[3]!db[NB NOTA_C],0))</f>
        <v>1661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36 LSN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9</v>
      </c>
      <c r="E78" s="46"/>
      <c r="F78" s="37"/>
      <c r="G78" s="37"/>
      <c r="H78" s="47"/>
      <c r="I78" s="37"/>
      <c r="J78" s="39"/>
      <c r="K78" s="37"/>
      <c r="L78" s="37" t="s">
        <v>216</v>
      </c>
      <c r="M78" s="40">
        <v>1</v>
      </c>
      <c r="O78" s="37"/>
      <c r="P78" s="41"/>
      <c r="Q78" s="42">
        <v>504000</v>
      </c>
      <c r="R78" s="48"/>
      <c r="S78" s="49">
        <v>0.17</v>
      </c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504000</v>
      </c>
      <c r="Y78" s="50">
        <f>IF(NOTA[[#This Row],[JUMLAH]]="","",NOTA[[#This Row],[JUMLAH]]*NOTA[[#This Row],[DISC 1]])</f>
        <v>85680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85680</v>
      </c>
      <c r="AC78" s="50">
        <f>IF(NOTA[[#This Row],[JUMLAH]]="","",NOTA[[#This Row],[JUMLAH]]-NOTA[[#This Row],[DISC]])</f>
        <v>418320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8" s="50" t="str">
        <f>IF(OR(NOTA[[#This Row],[QTY]]="",NOTA[[#This Row],[HARGA SATUAN]]="",),"",NOTA[[#This Row],[QTY]]*NOTA[[#This Row],[HARGA SATUAN]])</f>
        <v/>
      </c>
      <c r="AI78" s="39">
        <f ca="1">IF(NOTA[ID_H]="","",INDEX(NOTA[TANGGAL],MATCH(,INDIRECT(ADDRESS(ROW(NOTA[TANGGAL]),COLUMN(NOTA[TANGGAL]))&amp;":"&amp;ADDRESS(ROW(),COLUMN(NOTA[TANGGAL]))),-1)))</f>
        <v>45297</v>
      </c>
      <c r="AJ78" s="41" t="str">
        <f ca="1">IF(NOTA[[#This Row],[NAMA BARANG]]="","",INDEX(NOTA[SUPPLIER],MATCH(,INDIRECT(ADDRESS(ROW(NOTA[ID]),COLUMN(NOTA[ID]))&amp;":"&amp;ADDRESS(ROW(),COLUMN(NOTA[ID]))),-1)))</f>
        <v>KENKO SINAR INDONESIA</v>
      </c>
      <c r="AK78" s="41" t="str">
        <f ca="1">IF(NOTA[[#This Row],[ID_H]]="","",IF(NOTA[[#This Row],[FAKTUR]]="",INDIRECT(ADDRESS(ROW()-1,COLUMN())),NOTA[[#This Row],[FAKTUR]]))</f>
        <v>ARTO MORO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1</v>
      </c>
      <c r="AN78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>
        <f>IF(NOTA[[#This Row],[CONCAT1]]="","",MATCH(NOTA[[#This Row],[CONCAT1]],[3]!db[NB NOTA_C],0))</f>
        <v>1689</v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>20 LSN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9</v>
      </c>
      <c r="E79" s="46"/>
      <c r="F79" s="37"/>
      <c r="G79" s="37"/>
      <c r="H79" s="47"/>
      <c r="I79" s="37"/>
      <c r="J79" s="39"/>
      <c r="K79" s="37"/>
      <c r="L79" s="37" t="s">
        <v>144</v>
      </c>
      <c r="M79" s="40">
        <v>1</v>
      </c>
      <c r="O79" s="37"/>
      <c r="P79" s="41"/>
      <c r="Q79" s="42">
        <v>462000</v>
      </c>
      <c r="R79" s="48"/>
      <c r="S79" s="49">
        <v>0.17</v>
      </c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462000</v>
      </c>
      <c r="Y79" s="50">
        <f>IF(NOTA[[#This Row],[JUMLAH]]="","",NOTA[[#This Row],[JUMLAH]]*NOTA[[#This Row],[DISC 1]])</f>
        <v>78540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78540</v>
      </c>
      <c r="AC79" s="50">
        <f>IF(NOTA[[#This Row],[JUMLAH]]="","",NOTA[[#This Row],[JUMLAH]]-NOTA[[#This Row],[DISC]])</f>
        <v>383460</v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79" s="50" t="str">
        <f>IF(OR(NOTA[[#This Row],[QTY]]="",NOTA[[#This Row],[HARGA SATUAN]]="",),"",NOTA[[#This Row],[QTY]]*NOTA[[#This Row],[HARGA SATUAN]])</f>
        <v/>
      </c>
      <c r="AI79" s="39">
        <f ca="1">IF(NOTA[ID_H]="","",INDEX(NOTA[TANGGAL],MATCH(,INDIRECT(ADDRESS(ROW(NOTA[TANGGAL]),COLUMN(NOTA[TANGGAL]))&amp;":"&amp;ADDRESS(ROW(),COLUMN(NOTA[TANGGAL]))),-1)))</f>
        <v>45297</v>
      </c>
      <c r="AJ79" s="41" t="str">
        <f ca="1">IF(NOTA[[#This Row],[NAMA BARANG]]="","",INDEX(NOTA[SUPPLIER],MATCH(,INDIRECT(ADDRESS(ROW(NOTA[ID]),COLUMN(NOTA[ID]))&amp;":"&amp;ADDRESS(ROW(),COLUMN(NOTA[ID]))),-1)))</f>
        <v>KENKO SINAR INDONESIA</v>
      </c>
      <c r="AK79" s="41" t="str">
        <f ca="1">IF(NOTA[[#This Row],[ID_H]]="","",IF(NOTA[[#This Row],[FAKTUR]]="",INDIRECT(ADDRESS(ROW()-1,COLUMN())),NOTA[[#This Row],[FAKTUR]]))</f>
        <v>ARTO MORO</v>
      </c>
      <c r="AL79" s="38" t="str">
        <f ca="1">IF(NOTA[[#This Row],[ID]]="","",COUNTIF(NOTA[ID_H],NOTA[[#This Row],[ID_H]]))</f>
        <v/>
      </c>
      <c r="AM79" s="38">
        <f ca="1">IF(NOTA[[#This Row],[TGL.NOTA]]="",IF(NOTA[[#This Row],[SUPPLIER_H]]="","",AM78),MONTH(NOTA[[#This Row],[TGL.NOTA]]))</f>
        <v>1</v>
      </c>
      <c r="AN79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>
        <f>IF(NOTA[[#This Row],[CONCAT1]]="","",MATCH(NOTA[[#This Row],[CONCAT1]],[3]!db[NB NOTA_C],0))</f>
        <v>1796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24 PCS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9</v>
      </c>
      <c r="E80" s="46"/>
      <c r="F80" s="37"/>
      <c r="G80" s="37"/>
      <c r="H80" s="47"/>
      <c r="I80" s="37"/>
      <c r="J80" s="39"/>
      <c r="K80" s="37"/>
      <c r="L80" s="37" t="s">
        <v>217</v>
      </c>
      <c r="M80" s="40">
        <v>1</v>
      </c>
      <c r="O80" s="37"/>
      <c r="P80" s="41"/>
      <c r="Q80" s="42">
        <v>741600</v>
      </c>
      <c r="R80" s="48"/>
      <c r="S80" s="49">
        <v>0.17</v>
      </c>
      <c r="T80" s="44"/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741600</v>
      </c>
      <c r="Y80" s="50">
        <f>IF(NOTA[[#This Row],[JUMLAH]]="","",NOTA[[#This Row],[JUMLAH]]*NOTA[[#This Row],[DISC 1]])</f>
        <v>126072.00000000001</v>
      </c>
      <c r="Z80" s="50">
        <f>IF(NOTA[[#This Row],[JUMLAH]]="","",(NOTA[[#This Row],[JUMLAH]]-NOTA[[#This Row],[DISC 1-]])*NOTA[[#This Row],[DISC 2]])</f>
        <v>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126072.00000000001</v>
      </c>
      <c r="AC80" s="50">
        <f>IF(NOTA[[#This Row],[JUMLAH]]="","",NOTA[[#This Row],[JUMLAH]]-NOTA[[#This Row],[DISC]])</f>
        <v>615528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80" s="50" t="str">
        <f>IF(OR(NOTA[[#This Row],[QTY]]="",NOTA[[#This Row],[HARGA SATUAN]]="",),"",NOTA[[#This Row],[QTY]]*NOTA[[#This Row],[HARGA SATUAN]])</f>
        <v/>
      </c>
      <c r="AI80" s="39">
        <f ca="1">IF(NOTA[ID_H]="","",INDEX(NOTA[TANGGAL],MATCH(,INDIRECT(ADDRESS(ROW(NOTA[TANGGAL]),COLUMN(NOTA[TANGGAL]))&amp;":"&amp;ADDRESS(ROW(),COLUMN(NOTA[TANGGAL]))),-1)))</f>
        <v>45297</v>
      </c>
      <c r="AJ80" s="41" t="str">
        <f ca="1">IF(NOTA[[#This Row],[NAMA BARANG]]="","",INDEX(NOTA[SUPPLIER],MATCH(,INDIRECT(ADDRESS(ROW(NOTA[ID]),COLUMN(NOTA[ID]))&amp;":"&amp;ADDRESS(ROW(),COLUMN(NOTA[ID]))),-1)))</f>
        <v>KENKO SINAR INDONESIA</v>
      </c>
      <c r="AK80" s="41" t="str">
        <f ca="1">IF(NOTA[[#This Row],[ID_H]]="","",IF(NOTA[[#This Row],[FAKTUR]]="",INDIRECT(ADDRESS(ROW()-1,COLUMN())),NOTA[[#This Row],[FAKTUR]]))</f>
        <v>ARTO MORO</v>
      </c>
      <c r="AL80" s="38" t="str">
        <f ca="1">IF(NOTA[[#This Row],[ID]]="","",COUNTIF(NOTA[ID_H],NOTA[[#This Row],[ID_H]]))</f>
        <v/>
      </c>
      <c r="AM80" s="38" t="e">
        <f ca="1">IF(NOTA[[#This Row],[TGL.NOTA]]="",IF(NOTA[[#This Row],[SUPPLIER_H]]="","",#REF!),MONTH(NOTA[[#This Row],[TGL.NOTA]]))</f>
        <v>#REF!</v>
      </c>
      <c r="AN80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>
        <f>IF(NOTA[[#This Row],[CONCAT1]]="","",MATCH(NOTA[[#This Row],[CONCAT1]],[3]!db[NB NOTA_C],0))</f>
        <v>1737</v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>12 LSN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9</v>
      </c>
      <c r="E81" s="46"/>
      <c r="F81" s="37"/>
      <c r="G81" s="37"/>
      <c r="H81" s="47"/>
      <c r="I81" s="37"/>
      <c r="J81" s="39"/>
      <c r="K81" s="37"/>
      <c r="L81" s="37" t="s">
        <v>218</v>
      </c>
      <c r="M81" s="40">
        <v>1</v>
      </c>
      <c r="O81" s="37"/>
      <c r="P81" s="41"/>
      <c r="Q81" s="42">
        <v>804000</v>
      </c>
      <c r="R81" s="48"/>
      <c r="S81" s="49">
        <v>0.17</v>
      </c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804000</v>
      </c>
      <c r="Y81" s="50">
        <f>IF(NOTA[[#This Row],[JUMLAH]]="","",NOTA[[#This Row],[JUMLAH]]*NOTA[[#This Row],[DISC 1]])</f>
        <v>136680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136680</v>
      </c>
      <c r="AC81" s="50">
        <f>IF(NOTA[[#This Row],[JUMLAH]]="","",NOTA[[#This Row],[JUMLAH]]-NOTA[[#This Row],[DISC]])</f>
        <v>667320</v>
      </c>
      <c r="AD81" s="50"/>
      <c r="AE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2172532</v>
      </c>
      <c r="AF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10607068</v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81" s="50" t="str">
        <f>IF(OR(NOTA[[#This Row],[QTY]]="",NOTA[[#This Row],[HARGA SATUAN]]="",),"",NOTA[[#This Row],[QTY]]*NOTA[[#This Row],[HARGA SATUAN]])</f>
        <v/>
      </c>
      <c r="AI81" s="39">
        <f ca="1">IF(NOTA[ID_H]="","",INDEX(NOTA[TANGGAL],MATCH(,INDIRECT(ADDRESS(ROW(NOTA[TANGGAL]),COLUMN(NOTA[TANGGAL]))&amp;":"&amp;ADDRESS(ROW(),COLUMN(NOTA[TANGGAL]))),-1)))</f>
        <v>45297</v>
      </c>
      <c r="AJ81" s="41" t="str">
        <f ca="1">IF(NOTA[[#This Row],[NAMA BARANG]]="","",INDEX(NOTA[SUPPLIER],MATCH(,INDIRECT(ADDRESS(ROW(NOTA[ID]),COLUMN(NOTA[ID]))&amp;":"&amp;ADDRESS(ROW(),COLUMN(NOTA[ID]))),-1)))</f>
        <v>KENKO SINAR INDONESIA</v>
      </c>
      <c r="AK81" s="41" t="str">
        <f ca="1">IF(NOTA[[#This Row],[ID_H]]="","",IF(NOTA[[#This Row],[FAKTUR]]="",INDIRECT(ADDRESS(ROW()-1,COLUMN())),NOTA[[#This Row],[FAKTUR]]))</f>
        <v>ARTO MORO</v>
      </c>
      <c r="AL81" s="38" t="str">
        <f ca="1">IF(NOTA[[#This Row],[ID]]="","",COUNTIF(NOTA[ID_H],NOTA[[#This Row],[ID_H]]))</f>
        <v/>
      </c>
      <c r="AM81" s="38" t="e">
        <f ca="1">IF(NOTA[[#This Row],[TGL.NOTA]]="",IF(NOTA[[#This Row],[SUPPLIER_H]]="","",AM80),MONTH(NOTA[[#This Row],[TGL.NOTA]]))</f>
        <v>#REF!</v>
      </c>
      <c r="AN81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>
        <f>IF(NOTA[[#This Row],[CONCAT1]]="","",MATCH(NOTA[[#This Row],[CONCAT1]],[3]!db[NB NOTA_C],0))</f>
        <v>1738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20 LSN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 t="str">
        <f ca="1">IF(NOTA[[#This Row],[NAMA BARANG]]="","",INDEX(NOTA[ID],MATCH(,INDIRECT(ADDRESS(ROW(NOTA[ID]),COLUMN(NOTA[ID]))&amp;":"&amp;ADDRESS(ROW(),COLUMN(NOTA[ID]))),-1)))</f>
        <v/>
      </c>
      <c r="E82" s="46"/>
      <c r="F82" s="37"/>
      <c r="G82" s="37"/>
      <c r="H82" s="47"/>
      <c r="I82" s="37"/>
      <c r="J82" s="39"/>
      <c r="K82" s="37"/>
      <c r="L82" s="37"/>
      <c r="M82" s="40"/>
      <c r="O82" s="37"/>
      <c r="P82" s="41"/>
      <c r="Q82" s="42"/>
      <c r="R82" s="48"/>
      <c r="S82" s="49"/>
      <c r="T82" s="44"/>
      <c r="U82" s="44"/>
      <c r="V82" s="50"/>
      <c r="W82" s="45"/>
      <c r="X82" s="50" t="str">
        <f>IF(NOTA[[#This Row],[HARGA/ CTN]]="",NOTA[[#This Row],[JUMLAH_H]],NOTA[[#This Row],[HARGA/ CTN]]*IF(NOTA[[#This Row],[C]]="",0,NOTA[[#This Row],[C]]))</f>
        <v/>
      </c>
      <c r="Y82" s="50" t="str">
        <f>IF(NOTA[[#This Row],[JUMLAH]]="","",NOTA[[#This Row],[JUMLAH]]*NOTA[[#This Row],[DISC 1]])</f>
        <v/>
      </c>
      <c r="Z82" s="50" t="str">
        <f>IF(NOTA[[#This Row],[JUMLAH]]="","",(NOTA[[#This Row],[JUMLAH]]-NOTA[[#This Row],[DISC 1-]])*NOTA[[#This Row],[DISC 2]])</f>
        <v/>
      </c>
      <c r="AA82" s="50" t="str">
        <f>IF(NOTA[[#This Row],[JUMLAH]]="","",(NOTA[[#This Row],[JUMLAH]]-NOTA[[#This Row],[DISC 1-]]-NOTA[[#This Row],[DISC 2-]])*NOTA[[#This Row],[DISC 3]])</f>
        <v/>
      </c>
      <c r="AB82" s="50" t="str">
        <f>IF(NOTA[[#This Row],[JUMLAH]]="","",NOTA[[#This Row],[DISC 1-]]+NOTA[[#This Row],[DISC 2-]]+NOTA[[#This Row],[DISC 3-]])</f>
        <v/>
      </c>
      <c r="AC82" s="50" t="str">
        <f>IF(NOTA[[#This Row],[JUMLAH]]="","",NOTA[[#This Row],[JUMLAH]]-NOTA[[#This Row],[DISC]])</f>
        <v/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" s="50" t="str">
        <f>IF(OR(NOTA[[#This Row],[QTY]]="",NOTA[[#This Row],[HARGA SATUAN]]="",),"",NOTA[[#This Row],[QTY]]*NOTA[[#This Row],[HARGA SATUAN]])</f>
        <v/>
      </c>
      <c r="AI82" s="39" t="str">
        <f ca="1">IF(NOTA[ID_H]="","",INDEX(NOTA[TANGGAL],MATCH(,INDIRECT(ADDRESS(ROW(NOTA[TANGGAL]),COLUMN(NOTA[TANGGAL]))&amp;":"&amp;ADDRESS(ROW(),COLUMN(NOTA[TANGGAL]))),-1)))</f>
        <v/>
      </c>
      <c r="AJ82" s="41" t="str">
        <f ca="1">IF(NOTA[[#This Row],[NAMA BARANG]]="","",INDEX(NOTA[SUPPLIER],MATCH(,INDIRECT(ADDRESS(ROW(NOTA[ID]),COLUMN(NOTA[ID]))&amp;":"&amp;ADDRESS(ROW(),COLUMN(NOTA[ID]))),-1)))</f>
        <v/>
      </c>
      <c r="AK82" s="41" t="str">
        <f ca="1">IF(NOTA[[#This Row],[ID_H]]="","",IF(NOTA[[#This Row],[FAKTUR]]="",INDIRECT(ADDRESS(ROW()-1,COLUMN())),NOTA[[#This Row],[FAKTUR]]))</f>
        <v/>
      </c>
      <c r="AL82" s="38" t="str">
        <f ca="1">IF(NOTA[[#This Row],[ID]]="","",COUNTIF(NOTA[ID_H],NOTA[[#This Row],[ID_H]]))</f>
        <v/>
      </c>
      <c r="AM82" s="38" t="str">
        <f ca="1">IF(NOTA[[#This Row],[TGL.NOTA]]="",IF(NOTA[[#This Row],[SUPPLIER_H]]="","",AM81),MONTH(NOTA[[#This Row],[TGL.NOTA]]))</f>
        <v/>
      </c>
      <c r="AN82" s="38" t="str">
        <f>LOWER(SUBSTITUTE(SUBSTITUTE(SUBSTITUTE(SUBSTITUTE(SUBSTITUTE(SUBSTITUTE(SUBSTITUTE(SUBSTITUTE(SUBSTITUTE(NOTA[NAMA BARANG]," ",),".",""),"-",""),"(",""),")",""),",",""),"/",""),"""",""),"+",""))</f>
        <v/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 t="str">
        <f>IF(NOTA[[#This Row],[CONCAT1]]="","",MATCH(NOTA[[#This Row],[CONCAT1]],[3]!db[NB NOTA_C],0))</f>
        <v/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/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" s="38" t="str">
        <f ca="1">IF(NOTA[[#This Row],[ID_H]]="","",MATCH(NOTA[[#This Row],[NB NOTA_C_QTY]],[4]!db[NB NOTA_C_QTY+F],0))</f>
        <v/>
      </c>
      <c r="AX82" s="53" t="str">
        <f ca="1">IF(NOTA[[#This Row],[NB NOTA_C_QTY]]="","",ROW()-2)</f>
        <v/>
      </c>
    </row>
    <row r="83" spans="1:50" s="38" customFormat="1" ht="20.100000000000001" customHeight="1" x14ac:dyDescent="0.25">
      <c r="A83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KEN_0601_080-6</v>
      </c>
      <c r="C83" s="38" t="e">
        <f ca="1">IF(NOTA[[#This Row],[ID_P]]="","",MATCH(NOTA[[#This Row],[ID_P]],[1]!B_MSK[N_ID],0))</f>
        <v>#REF!</v>
      </c>
      <c r="D83" s="38">
        <f ca="1">IF(NOTA[[#This Row],[NAMA BARANG]]="","",INDEX(NOTA[ID],MATCH(,INDIRECT(ADDRESS(ROW(NOTA[ID]),COLUMN(NOTA[ID]))&amp;":"&amp;ADDRESS(ROW(),COLUMN(NOTA[ID]))),-1)))</f>
        <v>10</v>
      </c>
      <c r="E83" s="46"/>
      <c r="F83" s="37" t="s">
        <v>22</v>
      </c>
      <c r="G83" s="37" t="s">
        <v>23</v>
      </c>
      <c r="H83" s="47" t="s">
        <v>219</v>
      </c>
      <c r="I83" s="37"/>
      <c r="J83" s="39">
        <v>45295</v>
      </c>
      <c r="K83" s="37"/>
      <c r="L83" s="37" t="s">
        <v>220</v>
      </c>
      <c r="M83" s="40">
        <v>1</v>
      </c>
      <c r="O83" s="37"/>
      <c r="P83" s="41"/>
      <c r="Q83" s="42">
        <v>5616000</v>
      </c>
      <c r="R83" s="48"/>
      <c r="S83" s="49">
        <v>0.17</v>
      </c>
      <c r="T83" s="44"/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5616000</v>
      </c>
      <c r="Y83" s="50">
        <f>IF(NOTA[[#This Row],[JUMLAH]]="","",NOTA[[#This Row],[JUMLAH]]*NOTA[[#This Row],[DISC 1]])</f>
        <v>954720.00000000012</v>
      </c>
      <c r="Z83" s="50">
        <f>IF(NOTA[[#This Row],[JUMLAH]]="","",(NOTA[[#This Row],[JUMLAH]]-NOTA[[#This Row],[DISC 1-]])*NOTA[[#This Row],[DISC 2]])</f>
        <v>0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954720.00000000012</v>
      </c>
      <c r="AC83" s="50">
        <f>IF(NOTA[[#This Row],[JUMLAH]]="","",NOTA[[#This Row],[JUMLAH]]-NOTA[[#This Row],[DISC]])</f>
        <v>4661280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83" s="50" t="str">
        <f>IF(OR(NOTA[[#This Row],[QTY]]="",NOTA[[#This Row],[HARGA SATUAN]]="",),"",NOTA[[#This Row],[QTY]]*NOTA[[#This Row],[HARGA SATUAN]])</f>
        <v/>
      </c>
      <c r="AI83" s="39">
        <f ca="1">IF(NOTA[ID_H]="","",INDEX(NOTA[TANGGAL],MATCH(,INDIRECT(ADDRESS(ROW(NOTA[TANGGAL]),COLUMN(NOTA[TANGGAL]))&amp;":"&amp;ADDRESS(ROW(),COLUMN(NOTA[TANGGAL]))),-1)))</f>
        <v>45297</v>
      </c>
      <c r="AJ83" s="41" t="str">
        <f ca="1">IF(NOTA[[#This Row],[NAMA BARANG]]="","",INDEX(NOTA[SUPPLIER],MATCH(,INDIRECT(ADDRESS(ROW(NOTA[ID]),COLUMN(NOTA[ID]))&amp;":"&amp;ADDRESS(ROW(),COLUMN(NOTA[ID]))),-1)))</f>
        <v>KENKO SINAR INDONESIA</v>
      </c>
      <c r="AK83" s="41" t="str">
        <f ca="1">IF(NOTA[[#This Row],[ID_H]]="","",IF(NOTA[[#This Row],[FAKTUR]]="",INDIRECT(ADDRESS(ROW()-1,COLUMN())),NOTA[[#This Row],[FAKTUR]]))</f>
        <v>ARTO MORO</v>
      </c>
      <c r="AL83" s="38">
        <f ca="1">IF(NOTA[[#This Row],[ID]]="","",COUNTIF(NOTA[ID_H],NOTA[[#This Row],[ID_H]]))</f>
        <v>6</v>
      </c>
      <c r="AM83" s="38">
        <f>IF(NOTA[[#This Row],[TGL.NOTA]]="",IF(NOTA[[#This Row],[SUPPLIER_H]]="","",AM82),MONTH(NOTA[[#This Row],[TGL.NOTA]]))</f>
        <v>1</v>
      </c>
      <c r="AN83" s="38" t="str">
        <f>LOWER(SUBSTITUTE(SUBSTITUTE(SUBSTITUTE(SUBSTITUTE(SUBSTITUTE(SUBSTITUTE(SUBSTITUTE(SUBSTITUTE(SUBSTITUTE(NOTA[NAMA BARANG]," ",),".",""),"-",""),"(",""),")",""),",",""),"/",""),"""",""),"+",""))</f>
        <v>kenkogelpenhitechh04mmgreen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kenkogelpenhitechh04mmgreen56160000.17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kenkogelpenhitechh04mmgreen56160000.17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MORO2401008045295kenkogelpenhitechh04mmgreen</v>
      </c>
      <c r="AR83" s="38" t="e">
        <f>IF(NOTA[[#This Row],[CONCAT4]]="","",_xlfn.IFNA(MATCH(NOTA[[#This Row],[CONCAT4]],[2]!RAW[CONCAT_H],0),FALSE))</f>
        <v>#REF!</v>
      </c>
      <c r="AS83" s="38">
        <f>IF(NOTA[[#This Row],[CONCAT1]]="","",MATCH(NOTA[[#This Row],[CONCAT1]],[3]!db[NB NOTA_C],0))</f>
        <v>1625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>144 LSN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kenkogelpenhitechh04mmgreen144lsnartomoro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10</v>
      </c>
      <c r="E84" s="46"/>
      <c r="F84" s="37"/>
      <c r="G84" s="37"/>
      <c r="H84" s="47"/>
      <c r="I84" s="37"/>
      <c r="J84" s="39"/>
      <c r="K84" s="37"/>
      <c r="L84" s="37" t="s">
        <v>221</v>
      </c>
      <c r="M84" s="40">
        <v>1</v>
      </c>
      <c r="O84" s="37"/>
      <c r="P84" s="41"/>
      <c r="Q84" s="42">
        <v>2764800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2764800</v>
      </c>
      <c r="Y84" s="50">
        <f>IF(NOTA[[#This Row],[JUMLAH]]="","",NOTA[[#This Row],[JUMLAH]]*NOTA[[#This Row],[DISC 1]])</f>
        <v>470016.00000000006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470016.00000000006</v>
      </c>
      <c r="AC84" s="50">
        <f>IF(NOTA[[#This Row],[JUMLAH]]="","",NOTA[[#This Row],[JUMLAH]]-NOTA[[#This Row],[DISC]])</f>
        <v>2294784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84" s="50" t="str">
        <f>IF(OR(NOTA[[#This Row],[QTY]]="",NOTA[[#This Row],[HARGA SATUAN]]="",),"",NOTA[[#This Row],[QTY]]*NOTA[[#This Row],[HARGA SATUAN]])</f>
        <v/>
      </c>
      <c r="AI84" s="39">
        <f ca="1">IF(NOTA[ID_H]="","",INDEX(NOTA[TANGGAL],MATCH(,INDIRECT(ADDRESS(ROW(NOTA[TANGGAL]),COLUMN(NOTA[TANGGAL]))&amp;":"&amp;ADDRESS(ROW(),COLUMN(NOTA[TANGGAL]))),-1)))</f>
        <v>45297</v>
      </c>
      <c r="AJ84" s="41" t="str">
        <f ca="1">IF(NOTA[[#This Row],[NAMA BARANG]]="","",INDEX(NOTA[SUPPLIER],MATCH(,INDIRECT(ADDRESS(ROW(NOTA[ID]),COLUMN(NOTA[ID]))&amp;":"&amp;ADDRESS(ROW(),COLUMN(NOTA[ID]))),-1)))</f>
        <v>KENKO SINAR INDONESIA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</v>
      </c>
      <c r="AN84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1640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144 LSN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10</v>
      </c>
      <c r="E85" s="46"/>
      <c r="F85" s="37"/>
      <c r="G85" s="37"/>
      <c r="H85" s="47"/>
      <c r="I85" s="37"/>
      <c r="J85" s="39"/>
      <c r="K85" s="37"/>
      <c r="L85" s="37" t="s">
        <v>222</v>
      </c>
      <c r="M85" s="40">
        <v>1</v>
      </c>
      <c r="O85" s="37"/>
      <c r="P85" s="41"/>
      <c r="Q85" s="42">
        <v>1560000</v>
      </c>
      <c r="R85" s="48"/>
      <c r="S85" s="49">
        <v>0.17</v>
      </c>
      <c r="T85" s="44"/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1560000</v>
      </c>
      <c r="Y85" s="50">
        <f>IF(NOTA[[#This Row],[JUMLAH]]="","",NOTA[[#This Row],[JUMLAH]]*NOTA[[#This Row],[DISC 1]])</f>
        <v>265200</v>
      </c>
      <c r="Z85" s="50">
        <f>IF(NOTA[[#This Row],[JUMLAH]]="","",(NOTA[[#This Row],[JUMLAH]]-NOTA[[#This Row],[DISC 1-]])*NOTA[[#This Row],[DISC 2]])</f>
        <v>0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265200</v>
      </c>
      <c r="AC85" s="50">
        <f>IF(NOTA[[#This Row],[JUMLAH]]="","",NOTA[[#This Row],[JUMLAH]]-NOTA[[#This Row],[DISC]])</f>
        <v>1294800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85" s="50" t="str">
        <f>IF(OR(NOTA[[#This Row],[QTY]]="",NOTA[[#This Row],[HARGA SATUAN]]="",),"",NOTA[[#This Row],[QTY]]*NOTA[[#This Row],[HARGA SATUAN]])</f>
        <v/>
      </c>
      <c r="AI85" s="39">
        <f ca="1">IF(NOTA[ID_H]="","",INDEX(NOTA[TANGGAL],MATCH(,INDIRECT(ADDRESS(ROW(NOTA[TANGGAL]),COLUMN(NOTA[TANGGAL]))&amp;":"&amp;ADDRESS(ROW(),COLUMN(NOTA[TANGGAL]))),-1)))</f>
        <v>45297</v>
      </c>
      <c r="AJ85" s="41" t="str">
        <f ca="1">IF(NOTA[[#This Row],[NAMA BARANG]]="","",INDEX(NOTA[SUPPLIER],MATCH(,INDIRECT(ADDRESS(ROW(NOTA[ID]),COLUMN(NOTA[ID]))&amp;":"&amp;ADDRESS(ROW(),COLUMN(NOTA[ID]))),-1)))</f>
        <v>KENKO SINAR INDONESIA</v>
      </c>
      <c r="AK85" s="41" t="str">
        <f ca="1">IF(NOTA[[#This Row],[ID_H]]="","",IF(NOTA[[#This Row],[FAKTUR]]="",INDIRECT(ADDRESS(ROW()-1,COLUMN())),NOTA[[#This Row],[FAKTUR]]))</f>
        <v>ARTO MORO</v>
      </c>
      <c r="AL85" s="38" t="str">
        <f ca="1">IF(NOTA[[#This Row],[ID]]="","",COUNTIF(NOTA[ID_H],NOTA[[#This Row],[ID_H]]))</f>
        <v/>
      </c>
      <c r="AM85" s="38">
        <f ca="1">IF(NOTA[[#This Row],[TGL.NOTA]]="",IF(NOTA[[#This Row],[SUPPLIER_H]]="","",AM84),MONTH(NOTA[[#This Row],[TGL.NOTA]]))</f>
        <v>1</v>
      </c>
      <c r="AN85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>
        <f>IF(NOTA[[#This Row],[CONCAT1]]="","",MATCH(NOTA[[#This Row],[CONCAT1]],[3]!db[NB NOTA_C],0))</f>
        <v>1746</v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>10 LSN</v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85" s="38" t="e">
        <f ca="1">IF(NOTA[[#This Row],[ID_H]]="","",MATCH(NOTA[[#This Row],[NB NOTA_C_QTY]],[4]!db[NB NOTA_C_QTY+F],0))</f>
        <v>#REF!</v>
      </c>
      <c r="AX85" s="53">
        <f ca="1">IF(NOTA[[#This Row],[NB NOTA_C_QTY]]="","",ROW()-2)</f>
        <v>83</v>
      </c>
    </row>
    <row r="86" spans="1:50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10</v>
      </c>
      <c r="E86" s="46"/>
      <c r="F86" s="37"/>
      <c r="G86" s="37"/>
      <c r="H86" s="47"/>
      <c r="I86" s="37"/>
      <c r="J86" s="39"/>
      <c r="K86" s="37"/>
      <c r="L86" s="37" t="s">
        <v>223</v>
      </c>
      <c r="M86" s="40">
        <v>1</v>
      </c>
      <c r="O86" s="37"/>
      <c r="P86" s="41"/>
      <c r="Q86" s="42">
        <v>1440000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1440000</v>
      </c>
      <c r="Y86" s="50">
        <f>IF(NOTA[[#This Row],[JUMLAH]]="","",NOTA[[#This Row],[JUMLAH]]*NOTA[[#This Row],[DISC 1]])</f>
        <v>244800.00000000003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244800.00000000003</v>
      </c>
      <c r="AC86" s="50">
        <f>IF(NOTA[[#This Row],[JUMLAH]]="","",NOTA[[#This Row],[JUMLAH]]-NOTA[[#This Row],[DISC]])</f>
        <v>1195200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86" s="50" t="str">
        <f>IF(OR(NOTA[[#This Row],[QTY]]="",NOTA[[#This Row],[HARGA SATUAN]]="",),"",NOTA[[#This Row],[QTY]]*NOTA[[#This Row],[HARGA SATUAN]])</f>
        <v/>
      </c>
      <c r="AI86" s="39">
        <f ca="1">IF(NOTA[ID_H]="","",INDEX(NOTA[TANGGAL],MATCH(,INDIRECT(ADDRESS(ROW(NOTA[TANGGAL]),COLUMN(NOTA[TANGGAL]))&amp;":"&amp;ADDRESS(ROW(),COLUMN(NOTA[TANGGAL]))),-1)))</f>
        <v>45297</v>
      </c>
      <c r="AJ86" s="41" t="str">
        <f ca="1">IF(NOTA[[#This Row],[NAMA BARANG]]="","",INDEX(NOTA[SUPPLIER],MATCH(,INDIRECT(ADDRESS(ROW(NOTA[ID]),COLUMN(NOTA[ID]))&amp;":"&amp;ADDRESS(ROW(),COLUMN(NOTA[ID]))),-1)))</f>
        <v>KENKO SINAR INDONESIA</v>
      </c>
      <c r="AK86" s="41" t="str">
        <f ca="1">IF(NOTA[[#This Row],[ID_H]]="","",IF(NOTA[[#This Row],[FAKTUR]]="",INDIRECT(ADDRESS(ROW()-1,COLUMN())),NOTA[[#This Row],[FAKTUR]]))</f>
        <v>ARTO MORO</v>
      </c>
      <c r="AL86" s="38" t="str">
        <f ca="1">IF(NOTA[[#This Row],[ID]]="","",COUNTIF(NOTA[ID_H],NOTA[[#This Row],[ID_H]]))</f>
        <v/>
      </c>
      <c r="AM86" s="38">
        <f ca="1">IF(NOTA[[#This Row],[TGL.NOTA]]="",IF(NOTA[[#This Row],[SUPPLIER_H]]="","",AM85),MONTH(NOTA[[#This Row],[TGL.NOTA]]))</f>
        <v>1</v>
      </c>
      <c r="AN86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38" t="str">
        <f>IF(NOTA[[#This Row],[CONCAT4]]="","",_xlfn.IFNA(MATCH(NOTA[[#This Row],[CONCAT4]],[2]!RAW[CONCAT_H],0),FALSE))</f>
        <v/>
      </c>
      <c r="AS86" s="38">
        <f>IF(NOTA[[#This Row],[CONCAT1]]="","",MATCH(NOTA[[#This Row],[CONCAT1]],[3]!db[NB NOTA_C],0))</f>
        <v>1747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4 BOX (24 PCS)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10</v>
      </c>
      <c r="E87" s="46"/>
      <c r="F87" s="37"/>
      <c r="G87" s="37"/>
      <c r="H87" s="47"/>
      <c r="I87" s="37"/>
      <c r="J87" s="39"/>
      <c r="K87" s="37"/>
      <c r="L87" s="37" t="s">
        <v>128</v>
      </c>
      <c r="M87" s="40">
        <v>2</v>
      </c>
      <c r="O87" s="37"/>
      <c r="P87" s="41"/>
      <c r="Q87" s="42">
        <v>2352000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4704000</v>
      </c>
      <c r="Y87" s="50">
        <f>IF(NOTA[[#This Row],[JUMLAH]]="","",NOTA[[#This Row],[JUMLAH]]*NOTA[[#This Row],[DISC 1]])</f>
        <v>799680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799680</v>
      </c>
      <c r="AC87" s="50">
        <f>IF(NOTA[[#This Row],[JUMLAH]]="","",NOTA[[#This Row],[JUMLAH]]-NOTA[[#This Row],[DISC]])</f>
        <v>3904320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87" s="50" t="str">
        <f>IF(OR(NOTA[[#This Row],[QTY]]="",NOTA[[#This Row],[HARGA SATUAN]]="",),"",NOTA[[#This Row],[QTY]]*NOTA[[#This Row],[HARGA SATUAN]])</f>
        <v/>
      </c>
      <c r="AI87" s="39">
        <f ca="1">IF(NOTA[ID_H]="","",INDEX(NOTA[TANGGAL],MATCH(,INDIRECT(ADDRESS(ROW(NOTA[TANGGAL]),COLUMN(NOTA[TANGGAL]))&amp;":"&amp;ADDRESS(ROW(),COLUMN(NOTA[TANGGAL]))),-1)))</f>
        <v>45297</v>
      </c>
      <c r="AJ87" s="41" t="str">
        <f ca="1">IF(NOTA[[#This Row],[NAMA BARANG]]="","",INDEX(NOTA[SUPPLIER],MATCH(,INDIRECT(ADDRESS(ROW(NOTA[ID]),COLUMN(NOTA[ID]))&amp;":"&amp;ADDRESS(ROW(),COLUMN(NOTA[ID]))),-1)))</f>
        <v>KENKO SINAR INDONESIA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</v>
      </c>
      <c r="AN87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1781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20 LSN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10</v>
      </c>
      <c r="E88" s="46"/>
      <c r="F88" s="37"/>
      <c r="G88" s="37"/>
      <c r="H88" s="47"/>
      <c r="I88" s="37"/>
      <c r="J88" s="39"/>
      <c r="K88" s="37"/>
      <c r="L88" s="37" t="s">
        <v>224</v>
      </c>
      <c r="M88" s="40">
        <v>1</v>
      </c>
      <c r="O88" s="37"/>
      <c r="P88" s="41"/>
      <c r="Q88" s="42">
        <v>2052000</v>
      </c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2052000</v>
      </c>
      <c r="Y88" s="50">
        <f>IF(NOTA[[#This Row],[JUMLAH]]="","",NOTA[[#This Row],[JUMLAH]]*NOTA[[#This Row],[DISC 1]])</f>
        <v>348840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348840</v>
      </c>
      <c r="AC88" s="50">
        <f>IF(NOTA[[#This Row],[JUMLAH]]="","",NOTA[[#This Row],[JUMLAH]]-NOTA[[#This Row],[DISC]])</f>
        <v>1703160</v>
      </c>
      <c r="AD88" s="50"/>
      <c r="AE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3083256</v>
      </c>
      <c r="AF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15053544</v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88" s="50" t="str">
        <f>IF(OR(NOTA[[#This Row],[QTY]]="",NOTA[[#This Row],[HARGA SATUAN]]="",),"",NOTA[[#This Row],[QTY]]*NOTA[[#This Row],[HARGA SATUAN]])</f>
        <v/>
      </c>
      <c r="AI88" s="39">
        <f ca="1">IF(NOTA[ID_H]="","",INDEX(NOTA[TANGGAL],MATCH(,INDIRECT(ADDRESS(ROW(NOTA[TANGGAL]),COLUMN(NOTA[TANGGAL]))&amp;":"&amp;ADDRESS(ROW(),COLUMN(NOTA[TANGGAL]))),-1)))</f>
        <v>45297</v>
      </c>
      <c r="AJ88" s="41" t="str">
        <f ca="1">IF(NOTA[[#This Row],[NAMA BARANG]]="","",INDEX(NOTA[SUPPLIER],MATCH(,INDIRECT(ADDRESS(ROW(NOTA[ID]),COLUMN(NOTA[ID]))&amp;":"&amp;ADDRESS(ROW(),COLUMN(NOTA[ID]))),-1)))</f>
        <v>KENKO SINAR INDONESIA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1</v>
      </c>
      <c r="AN88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1562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36 LSN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 t="str">
        <f ca="1">IF(NOTA[[#This Row],[NAMA BARANG]]="","",INDEX(NOTA[ID],MATCH(,INDIRECT(ADDRESS(ROW(NOTA[ID]),COLUMN(NOTA[ID]))&amp;":"&amp;ADDRESS(ROW(),COLUMN(NOTA[ID]))),-1)))</f>
        <v/>
      </c>
      <c r="E89" s="46"/>
      <c r="F89" s="37"/>
      <c r="G89" s="37"/>
      <c r="H89" s="47"/>
      <c r="I89" s="37"/>
      <c r="J89" s="39"/>
      <c r="K89" s="37"/>
      <c r="L89" s="37"/>
      <c r="M89" s="40"/>
      <c r="O89" s="37"/>
      <c r="P89" s="41"/>
      <c r="Q89" s="42"/>
      <c r="R89" s="48"/>
      <c r="S89" s="49"/>
      <c r="T89" s="44"/>
      <c r="U89" s="44"/>
      <c r="V89" s="50"/>
      <c r="W89" s="45"/>
      <c r="X89" s="50" t="str">
        <f>IF(NOTA[[#This Row],[HARGA/ CTN]]="",NOTA[[#This Row],[JUMLAH_H]],NOTA[[#This Row],[HARGA/ CTN]]*IF(NOTA[[#This Row],[C]]="",0,NOTA[[#This Row],[C]]))</f>
        <v/>
      </c>
      <c r="Y89" s="50" t="str">
        <f>IF(NOTA[[#This Row],[JUMLAH]]="","",NOTA[[#This Row],[JUMLAH]]*NOTA[[#This Row],[DISC 1]])</f>
        <v/>
      </c>
      <c r="Z89" s="50" t="str">
        <f>IF(NOTA[[#This Row],[JUMLAH]]="","",(NOTA[[#This Row],[JUMLAH]]-NOTA[[#This Row],[DISC 1-]])*NOTA[[#This Row],[DISC 2]])</f>
        <v/>
      </c>
      <c r="AA89" s="50" t="str">
        <f>IF(NOTA[[#This Row],[JUMLAH]]="","",(NOTA[[#This Row],[JUMLAH]]-NOTA[[#This Row],[DISC 1-]]-NOTA[[#This Row],[DISC 2-]])*NOTA[[#This Row],[DISC 3]])</f>
        <v/>
      </c>
      <c r="AB89" s="50" t="str">
        <f>IF(NOTA[[#This Row],[JUMLAH]]="","",NOTA[[#This Row],[DISC 1-]]+NOTA[[#This Row],[DISC 2-]]+NOTA[[#This Row],[DISC 3-]])</f>
        <v/>
      </c>
      <c r="AC89" s="50" t="str">
        <f>IF(NOTA[[#This Row],[JUMLAH]]="","",NOTA[[#This Row],[JUMLAH]]-NOTA[[#This Row],[DISC]])</f>
        <v/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" s="50" t="str">
        <f>IF(OR(NOTA[[#This Row],[QTY]]="",NOTA[[#This Row],[HARGA SATUAN]]="",),"",NOTA[[#This Row],[QTY]]*NOTA[[#This Row],[HARGA SATUAN]])</f>
        <v/>
      </c>
      <c r="AI89" s="39" t="str">
        <f ca="1">IF(NOTA[ID_H]="","",INDEX(NOTA[TANGGAL],MATCH(,INDIRECT(ADDRESS(ROW(NOTA[TANGGAL]),COLUMN(NOTA[TANGGAL]))&amp;":"&amp;ADDRESS(ROW(),COLUMN(NOTA[TANGGAL]))),-1)))</f>
        <v/>
      </c>
      <c r="AJ89" s="41" t="str">
        <f ca="1">IF(NOTA[[#This Row],[NAMA BARANG]]="","",INDEX(NOTA[SUPPLIER],MATCH(,INDIRECT(ADDRESS(ROW(NOTA[ID]),COLUMN(NOTA[ID]))&amp;":"&amp;ADDRESS(ROW(),COLUMN(NOTA[ID]))),-1)))</f>
        <v/>
      </c>
      <c r="AK89" s="41" t="str">
        <f ca="1">IF(NOTA[[#This Row],[ID_H]]="","",IF(NOTA[[#This Row],[FAKTUR]]="",INDIRECT(ADDRESS(ROW()-1,COLUMN())),NOTA[[#This Row],[FAKTUR]]))</f>
        <v/>
      </c>
      <c r="AL89" s="38" t="str">
        <f ca="1">IF(NOTA[[#This Row],[ID]]="","",COUNTIF(NOTA[ID_H],NOTA[[#This Row],[ID_H]]))</f>
        <v/>
      </c>
      <c r="AM89" s="38" t="str">
        <f ca="1">IF(NOTA[[#This Row],[TGL.NOTA]]="",IF(NOTA[[#This Row],[SUPPLIER_H]]="","",AM88),MONTH(NOTA[[#This Row],[TGL.NOTA]]))</f>
        <v/>
      </c>
      <c r="AN89" s="38" t="str">
        <f>LOWER(SUBSTITUTE(SUBSTITUTE(SUBSTITUTE(SUBSTITUTE(SUBSTITUTE(SUBSTITUTE(SUBSTITUTE(SUBSTITUTE(SUBSTITUTE(NOTA[NAMA BARANG]," ",),".",""),"-",""),"(",""),")",""),",",""),"/",""),"""",""),"+",""))</f>
        <v/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 t="str">
        <f>IF(NOTA[[#This Row],[CONCAT1]]="","",MATCH(NOTA[[#This Row],[CONCAT1]],[3]!db[NB NOTA_C],0))</f>
        <v/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/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" s="38" t="str">
        <f ca="1">IF(NOTA[[#This Row],[ID_H]]="","",MATCH(NOTA[[#This Row],[NB NOTA_C_QTY]],[4]!db[NB NOTA_C_QTY+F],0))</f>
        <v/>
      </c>
      <c r="AX89" s="53" t="str">
        <f ca="1">IF(NOTA[[#This Row],[NB NOTA_C_QTY]]="","",ROW()-2)</f>
        <v/>
      </c>
    </row>
    <row r="90" spans="1:50" s="38" customFormat="1" ht="20.100000000000001" customHeight="1" x14ac:dyDescent="0.25">
      <c r="A90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KEN_0601_062-7</v>
      </c>
      <c r="C90" s="38" t="e">
        <f ca="1">IF(NOTA[[#This Row],[ID_P]]="","",MATCH(NOTA[[#This Row],[ID_P]],[1]!B_MSK[N_ID],0))</f>
        <v>#REF!</v>
      </c>
      <c r="D90" s="38">
        <f ca="1">IF(NOTA[[#This Row],[NAMA BARANG]]="","",INDEX(NOTA[ID],MATCH(,INDIRECT(ADDRESS(ROW(NOTA[ID]),COLUMN(NOTA[ID]))&amp;":"&amp;ADDRESS(ROW(),COLUMN(NOTA[ID]))),-1)))</f>
        <v>11</v>
      </c>
      <c r="E90" s="46"/>
      <c r="F90" s="37" t="s">
        <v>22</v>
      </c>
      <c r="G90" s="37" t="s">
        <v>23</v>
      </c>
      <c r="H90" s="47" t="s">
        <v>225</v>
      </c>
      <c r="I90" s="37"/>
      <c r="J90" s="39">
        <v>45295</v>
      </c>
      <c r="K90" s="37"/>
      <c r="L90" s="37" t="s">
        <v>226</v>
      </c>
      <c r="M90" s="40">
        <v>1</v>
      </c>
      <c r="O90" s="37"/>
      <c r="P90" s="41"/>
      <c r="Q90" s="42">
        <v>810000</v>
      </c>
      <c r="R90" s="48"/>
      <c r="S90" s="49">
        <v>0.17</v>
      </c>
      <c r="T90" s="44"/>
      <c r="U90" s="44"/>
      <c r="V90" s="50"/>
      <c r="W90" s="45"/>
      <c r="X90" s="50">
        <f>IF(NOTA[[#This Row],[HARGA/ CTN]]="",NOTA[[#This Row],[JUMLAH_H]],NOTA[[#This Row],[HARGA/ CTN]]*IF(NOTA[[#This Row],[C]]="",0,NOTA[[#This Row],[C]]))</f>
        <v>810000</v>
      </c>
      <c r="Y90" s="50">
        <f>IF(NOTA[[#This Row],[JUMLAH]]="","",NOTA[[#This Row],[JUMLAH]]*NOTA[[#This Row],[DISC 1]])</f>
        <v>137700</v>
      </c>
      <c r="Z90" s="50">
        <f>IF(NOTA[[#This Row],[JUMLAH]]="","",(NOTA[[#This Row],[JUMLAH]]-NOTA[[#This Row],[DISC 1-]])*NOTA[[#This Row],[DISC 2]])</f>
        <v>0</v>
      </c>
      <c r="AA90" s="50">
        <f>IF(NOTA[[#This Row],[JUMLAH]]="","",(NOTA[[#This Row],[JUMLAH]]-NOTA[[#This Row],[DISC 1-]]-NOTA[[#This Row],[DISC 2-]])*NOTA[[#This Row],[DISC 3]])</f>
        <v>0</v>
      </c>
      <c r="AB90" s="50">
        <f>IF(NOTA[[#This Row],[JUMLAH]]="","",NOTA[[#This Row],[DISC 1-]]+NOTA[[#This Row],[DISC 2-]]+NOTA[[#This Row],[DISC 3-]])</f>
        <v>137700</v>
      </c>
      <c r="AC90" s="50">
        <f>IF(NOTA[[#This Row],[JUMLAH]]="","",NOTA[[#This Row],[JUMLAH]]-NOTA[[#This Row],[DISC]])</f>
        <v>672300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90" s="50" t="str">
        <f>IF(OR(NOTA[[#This Row],[QTY]]="",NOTA[[#This Row],[HARGA SATUAN]]="",),"",NOTA[[#This Row],[QTY]]*NOTA[[#This Row],[HARGA SATUAN]])</f>
        <v/>
      </c>
      <c r="AI90" s="39">
        <f ca="1">IF(NOTA[ID_H]="","",INDEX(NOTA[TANGGAL],MATCH(,INDIRECT(ADDRESS(ROW(NOTA[TANGGAL]),COLUMN(NOTA[TANGGAL]))&amp;":"&amp;ADDRESS(ROW(),COLUMN(NOTA[TANGGAL]))),-1)))</f>
        <v>45297</v>
      </c>
      <c r="AJ90" s="41" t="str">
        <f ca="1">IF(NOTA[[#This Row],[NAMA BARANG]]="","",INDEX(NOTA[SUPPLIER],MATCH(,INDIRECT(ADDRESS(ROW(NOTA[ID]),COLUMN(NOTA[ID]))&amp;":"&amp;ADDRESS(ROW(),COLUMN(NOTA[ID]))),-1)))</f>
        <v>KENKO SINAR INDONESIA</v>
      </c>
      <c r="AK90" s="41" t="str">
        <f ca="1">IF(NOTA[[#This Row],[ID_H]]="","",IF(NOTA[[#This Row],[FAKTUR]]="",INDIRECT(ADDRESS(ROW()-1,COLUMN())),NOTA[[#This Row],[FAKTUR]]))</f>
        <v>ARTO MORO</v>
      </c>
      <c r="AL90" s="38">
        <f ca="1">IF(NOTA[[#This Row],[ID]]="","",COUNTIF(NOTA[ID_H],NOTA[[#This Row],[ID_H]]))</f>
        <v>7</v>
      </c>
      <c r="AM90" s="38">
        <f>IF(NOTA[[#This Row],[TGL.NOTA]]="",IF(NOTA[[#This Row],[SUPPLIER_H]]="","",AM88),MONTH(NOTA[[#This Row],[TGL.NOTA]]))</f>
        <v>1</v>
      </c>
      <c r="AN90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MORO2401006245295kenkopocketnotepn501</v>
      </c>
      <c r="AR90" s="38" t="e">
        <f>IF(NOTA[[#This Row],[CONCAT4]]="","",_xlfn.IFNA(MATCH(NOTA[[#This Row],[CONCAT4]],[2]!RAW[CONCAT_H],0),FALSE))</f>
        <v>#REF!</v>
      </c>
      <c r="AS90" s="38">
        <f>IF(NOTA[[#This Row],[CONCAT1]]="","",MATCH(NOTA[[#This Row],[CONCAT1]],[3]!db[NB NOTA_C],0))</f>
        <v>1739</v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>6 LSN</v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90" s="38" t="e">
        <f ca="1">IF(NOTA[[#This Row],[ID_H]]="","",MATCH(NOTA[[#This Row],[NB NOTA_C_QTY]],[4]!db[NB NOTA_C_QTY+F],0))</f>
        <v>#REF!</v>
      </c>
      <c r="AX90" s="53">
        <f ca="1">IF(NOTA[[#This Row],[NB NOTA_C_QTY]]="","",ROW()-2)</f>
        <v>88</v>
      </c>
    </row>
    <row r="91" spans="1:50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11</v>
      </c>
      <c r="E91" s="46"/>
      <c r="F91" s="37"/>
      <c r="G91" s="37"/>
      <c r="H91" s="47"/>
      <c r="I91" s="37"/>
      <c r="J91" s="39"/>
      <c r="K91" s="37"/>
      <c r="L91" s="37" t="s">
        <v>227</v>
      </c>
      <c r="M91" s="40">
        <v>1</v>
      </c>
      <c r="O91" s="37"/>
      <c r="P91" s="41"/>
      <c r="Q91" s="42">
        <v>762000</v>
      </c>
      <c r="R91" s="48"/>
      <c r="S91" s="49">
        <v>0.17</v>
      </c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762000</v>
      </c>
      <c r="Y91" s="50">
        <f>IF(NOTA[[#This Row],[JUMLAH]]="","",NOTA[[#This Row],[JUMLAH]]*NOTA[[#This Row],[DISC 1]])</f>
        <v>129540.00000000001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129540.00000000001</v>
      </c>
      <c r="AC91" s="50">
        <f>IF(NOTA[[#This Row],[JUMLAH]]="","",NOTA[[#This Row],[JUMLAH]]-NOTA[[#This Row],[DISC]])</f>
        <v>632460</v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762000</v>
      </c>
      <c r="AH91" s="50" t="str">
        <f>IF(OR(NOTA[[#This Row],[QTY]]="",NOTA[[#This Row],[HARGA SATUAN]]="",),"",NOTA[[#This Row],[QTY]]*NOTA[[#This Row],[HARGA SATUAN]])</f>
        <v/>
      </c>
      <c r="AI91" s="39">
        <f ca="1">IF(NOTA[ID_H]="","",INDEX(NOTA[TANGGAL],MATCH(,INDIRECT(ADDRESS(ROW(NOTA[TANGGAL]),COLUMN(NOTA[TANGGAL]))&amp;":"&amp;ADDRESS(ROW(),COLUMN(NOTA[TANGGAL]))),-1)))</f>
        <v>45297</v>
      </c>
      <c r="AJ91" s="41" t="str">
        <f ca="1">IF(NOTA[[#This Row],[NAMA BARANG]]="","",INDEX(NOTA[SUPPLIER],MATCH(,INDIRECT(ADDRESS(ROW(NOTA[ID]),COLUMN(NOTA[ID]))&amp;":"&amp;ADDRESS(ROW(),COLUMN(NOTA[ID]))),-1)))</f>
        <v>KENKO SINAR INDONESIA</v>
      </c>
      <c r="AK91" s="41" t="str">
        <f ca="1">IF(NOTA[[#This Row],[ID_H]]="","",IF(NOTA[[#This Row],[FAKTUR]]="",INDIRECT(ADDRESS(ROW()-1,COLUMN())),NOTA[[#This Row],[FAKTUR]]))</f>
        <v>ARTO MORO</v>
      </c>
      <c r="AL91" s="38" t="str">
        <f ca="1">IF(NOTA[[#This Row],[ID]]="","",COUNTIF(NOTA[ID_H],NOTA[[#This Row],[ID_H]]))</f>
        <v/>
      </c>
      <c r="AM91" s="38">
        <f ca="1">IF(NOTA[[#This Row],[TGL.NOTA]]="",IF(NOTA[[#This Row],[SUPPLIER_H]]="","",AM90),MONTH(NOTA[[#This Row],[TGL.NOTA]]))</f>
        <v>1</v>
      </c>
      <c r="AN91" s="38" t="str">
        <f>LOWER(SUBSTITUTE(SUBSTITUTE(SUBSTITUTE(SUBSTITUTE(SUBSTITUTE(SUBSTITUTE(SUBSTITUTE(SUBSTITUTE(SUBSTITUTE(NOTA[NAMA BARANG]," ",),".",""),"-",""),"(",""),")",""),",",""),"/",""),"""",""),"+",""))</f>
        <v>kenkoclothtape24mmbluecoreblackbt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kenkoclothtape24mmbluecoreblackbt7620000.17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kenkoclothtape24mmbluecoreblackbt7620000.17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" s="38" t="str">
        <f>IF(NOTA[[#This Row],[CONCAT4]]="","",_xlfn.IFNA(MATCH(NOTA[[#This Row],[CONCAT4]],[2]!RAW[CONCAT_H],0),FALSE))</f>
        <v/>
      </c>
      <c r="AS91" s="38">
        <f>IF(NOTA[[#This Row],[CONCAT1]]="","",MATCH(NOTA[[#This Row],[CONCAT1]],[3]!db[NB NOTA_C],0))</f>
        <v>1533</v>
      </c>
      <c r="AT91" s="38" t="str">
        <f>IF(NOTA[[#This Row],[QTY/ CTN]]="","",TRUE)</f>
        <v/>
      </c>
      <c r="AU91" s="38" t="str">
        <f ca="1">IF(NOTA[[#This Row],[ID_H]]="","",IF(NOTA[[#This Row],[Column3]]=TRUE,NOTA[[#This Row],[QTY/ CTN]],INDEX([3]!db[QTY/ CTN],NOTA[[#This Row],[//DB]])))</f>
        <v>120 ROL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kenkoclothtape24mmbluecoreblackbt120rolartomoro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11</v>
      </c>
      <c r="E92" s="46"/>
      <c r="F92" s="37"/>
      <c r="G92" s="37"/>
      <c r="H92" s="47"/>
      <c r="I92" s="37"/>
      <c r="J92" s="39"/>
      <c r="K92" s="37"/>
      <c r="L92" s="37" t="s">
        <v>228</v>
      </c>
      <c r="M92" s="40">
        <v>2</v>
      </c>
      <c r="O92" s="37"/>
      <c r="P92" s="41"/>
      <c r="Q92" s="42">
        <v>732000</v>
      </c>
      <c r="R92" s="48"/>
      <c r="S92" s="49">
        <v>0.17</v>
      </c>
      <c r="T92" s="44"/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1464000</v>
      </c>
      <c r="Y92" s="50">
        <f>IF(NOTA[[#This Row],[JUMLAH]]="","",NOTA[[#This Row],[JUMLAH]]*NOTA[[#This Row],[DISC 1]])</f>
        <v>248880.00000000003</v>
      </c>
      <c r="Z92" s="50">
        <f>IF(NOTA[[#This Row],[JUMLAH]]="","",(NOTA[[#This Row],[JUMLAH]]-NOTA[[#This Row],[DISC 1-]])*NOTA[[#This Row],[DISC 2]])</f>
        <v>0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248880.00000000003</v>
      </c>
      <c r="AC92" s="50">
        <f>IF(NOTA[[#This Row],[JUMLAH]]="","",NOTA[[#This Row],[JUMLAH]]-NOTA[[#This Row],[DISC]])</f>
        <v>1215120</v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92" s="50" t="str">
        <f>IF(OR(NOTA[[#This Row],[QTY]]="",NOTA[[#This Row],[HARGA SATUAN]]="",),"",NOTA[[#This Row],[QTY]]*NOTA[[#This Row],[HARGA SATUAN]])</f>
        <v/>
      </c>
      <c r="AI92" s="39">
        <f ca="1">IF(NOTA[ID_H]="","",INDEX(NOTA[TANGGAL],MATCH(,INDIRECT(ADDRESS(ROW(NOTA[TANGGAL]),COLUMN(NOTA[TANGGAL]))&amp;":"&amp;ADDRESS(ROW(),COLUMN(NOTA[TANGGAL]))),-1)))</f>
        <v>45297</v>
      </c>
      <c r="AJ92" s="41" t="str">
        <f ca="1">IF(NOTA[[#This Row],[NAMA BARANG]]="","",INDEX(NOTA[SUPPLIER],MATCH(,INDIRECT(ADDRESS(ROW(NOTA[ID]),COLUMN(NOTA[ID]))&amp;":"&amp;ADDRESS(ROW(),COLUMN(NOTA[ID]))),-1)))</f>
        <v>KENKO SINAR INDONESIA</v>
      </c>
      <c r="AK92" s="41" t="str">
        <f ca="1">IF(NOTA[[#This Row],[ID_H]]="","",IF(NOTA[[#This Row],[FAKTUR]]="",INDIRECT(ADDRESS(ROW()-1,COLUMN())),NOTA[[#This Row],[FAKTUR]]))</f>
        <v>ARTO MORO</v>
      </c>
      <c r="AL92" s="38" t="str">
        <f ca="1">IF(NOTA[[#This Row],[ID]]="","",COUNTIF(NOTA[ID_H],NOTA[[#This Row],[ID_H]]))</f>
        <v/>
      </c>
      <c r="AM92" s="38">
        <f ca="1">IF(NOTA[[#This Row],[TGL.NOTA]]="",IF(NOTA[[#This Row],[SUPPLIER_H]]="","",AM91),MONTH(NOTA[[#This Row],[TGL.NOTA]]))</f>
        <v>1</v>
      </c>
      <c r="AN92" s="38" t="str">
        <f>LOWER(SUBSTITUTE(SUBSTITUTE(SUBSTITUTE(SUBSTITUTE(SUBSTITUTE(SUBSTITUTE(SUBSTITUTE(SUBSTITUTE(SUBSTITUTE(NOTA[NAMA BARANG]," ",),".",""),"-",""),"(",""),")",""),",",""),"/",""),"""",""),"+",""))</f>
        <v>kenkoclothtape36mmbluecoreblackbt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kenkoclothtape36mmbluecoreblackbt7320000.17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kenkoclothtape36mmbluecoreblackbt7320000.17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>
        <f>IF(NOTA[[#This Row],[CONCAT1]]="","",MATCH(NOTA[[#This Row],[CONCAT1]],[3]!db[NB NOTA_C],0))</f>
        <v>1537</v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>80 ROL</v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kenkoclothtape36mmbluecoreblackbt80rolartomoro</v>
      </c>
      <c r="AW92" s="38" t="e">
        <f ca="1">IF(NOTA[[#This Row],[ID_H]]="","",MATCH(NOTA[[#This Row],[NB NOTA_C_QTY]],[4]!db[NB NOTA_C_QTY+F],0))</f>
        <v>#REF!</v>
      </c>
      <c r="AX92" s="53">
        <f ca="1">IF(NOTA[[#This Row],[NB NOTA_C_QTY]]="","",ROW()-2)</f>
        <v>90</v>
      </c>
    </row>
    <row r="93" spans="1:50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>
        <f ca="1">IF(NOTA[[#This Row],[NAMA BARANG]]="","",INDEX(NOTA[ID],MATCH(,INDIRECT(ADDRESS(ROW(NOTA[ID]),COLUMN(NOTA[ID]))&amp;":"&amp;ADDRESS(ROW(),COLUMN(NOTA[ID]))),-1)))</f>
        <v>11</v>
      </c>
      <c r="E93" s="46"/>
      <c r="F93" s="37"/>
      <c r="G93" s="37"/>
      <c r="H93" s="47"/>
      <c r="I93" s="37"/>
      <c r="J93" s="39"/>
      <c r="K93" s="37"/>
      <c r="L93" s="37" t="s">
        <v>132</v>
      </c>
      <c r="M93" s="40">
        <v>1</v>
      </c>
      <c r="O93" s="37"/>
      <c r="P93" s="41"/>
      <c r="Q93" s="42">
        <v>2008800</v>
      </c>
      <c r="R93" s="48"/>
      <c r="S93" s="49">
        <v>0.17</v>
      </c>
      <c r="T93" s="44"/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2008800</v>
      </c>
      <c r="Y93" s="50">
        <f>IF(NOTA[[#This Row],[JUMLAH]]="","",NOTA[[#This Row],[JUMLAH]]*NOTA[[#This Row],[DISC 1]])</f>
        <v>341496</v>
      </c>
      <c r="Z93" s="50">
        <f>IF(NOTA[[#This Row],[JUMLAH]]="","",(NOTA[[#This Row],[JUMLAH]]-NOTA[[#This Row],[DISC 1-]])*NOTA[[#This Row],[DISC 2]])</f>
        <v>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341496</v>
      </c>
      <c r="AC93" s="50">
        <f>IF(NOTA[[#This Row],[JUMLAH]]="","",NOTA[[#This Row],[JUMLAH]]-NOTA[[#This Row],[DISC]])</f>
        <v>1667304</v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45297</v>
      </c>
      <c r="AJ93" s="41" t="str">
        <f ca="1">IF(NOTA[[#This Row],[NAMA BARANG]]="","",INDEX(NOTA[SUPPLIER],MATCH(,INDIRECT(ADDRESS(ROW(NOTA[ID]),COLUMN(NOTA[ID]))&amp;":"&amp;ADDRESS(ROW(),COLUMN(NOTA[ID]))),-1)))</f>
        <v>KENKO SINAR INDONESIA</v>
      </c>
      <c r="AK93" s="41" t="str">
        <f ca="1">IF(NOTA[[#This Row],[ID_H]]="","",IF(NOTA[[#This Row],[FAKTUR]]="",INDIRECT(ADDRESS(ROW()-1,COLUMN())),NOTA[[#This Row],[FAKTUR]]))</f>
        <v>ARTO MORO</v>
      </c>
      <c r="AL93" s="38" t="str">
        <f ca="1">IF(NOTA[[#This Row],[ID]]="","",COUNTIF(NOTA[ID_H],NOTA[[#This Row],[ID_H]]))</f>
        <v/>
      </c>
      <c r="AM93" s="38">
        <f ca="1">IF(NOTA[[#This Row],[TGL.NOTA]]="",IF(NOTA[[#This Row],[SUPPLIER_H]]="","",AM92),MONTH(NOTA[[#This Row],[TGL.NOTA]]))</f>
        <v>1</v>
      </c>
      <c r="AN93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Row],[CONCAT4]],[2]!RAW[CONCAT_H],0),FALSE))</f>
        <v/>
      </c>
      <c r="AS93" s="38">
        <f>IF(NOTA[[#This Row],[CONCAT1]]="","",MATCH(NOTA[[#This Row],[CONCAT1]],[3]!db[NB NOTA_C],0))</f>
        <v>1559</v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CTN]],INDEX([3]!db[QTY/ CTN],NOTA[[#This Row],[//DB]])))</f>
        <v>36 LSN</v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93" s="38" t="e">
        <f ca="1">IF(NOTA[[#This Row],[ID_H]]="","",MATCH(NOTA[[#This Row],[NB NOTA_C_QTY]],[4]!db[NB NOTA_C_QTY+F],0))</f>
        <v>#REF!</v>
      </c>
      <c r="AX93" s="53">
        <f ca="1">IF(NOTA[[#This Row],[NB NOTA_C_QTY]]="","",ROW()-2)</f>
        <v>91</v>
      </c>
    </row>
    <row r="94" spans="1:50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11</v>
      </c>
      <c r="E94" s="46"/>
      <c r="F94" s="37"/>
      <c r="G94" s="37"/>
      <c r="H94" s="47"/>
      <c r="I94" s="37"/>
      <c r="J94" s="39"/>
      <c r="K94" s="37"/>
      <c r="L94" s="37" t="s">
        <v>229</v>
      </c>
      <c r="M94" s="40">
        <v>1</v>
      </c>
      <c r="O94" s="37"/>
      <c r="P94" s="41"/>
      <c r="Q94" s="42">
        <v>1695600</v>
      </c>
      <c r="R94" s="48"/>
      <c r="S94" s="49">
        <v>0.17</v>
      </c>
      <c r="T94" s="44"/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1695600</v>
      </c>
      <c r="Y94" s="50">
        <f>IF(NOTA[[#This Row],[JUMLAH]]="","",NOTA[[#This Row],[JUMLAH]]*NOTA[[#This Row],[DISC 1]])</f>
        <v>288252</v>
      </c>
      <c r="Z94" s="50">
        <f>IF(NOTA[[#This Row],[JUMLAH]]="","",(NOTA[[#This Row],[JUMLAH]]-NOTA[[#This Row],[DISC 1-]])*NOTA[[#This Row],[DISC 2]])</f>
        <v>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288252</v>
      </c>
      <c r="AC94" s="50">
        <f>IF(NOTA[[#This Row],[JUMLAH]]="","",NOTA[[#This Row],[JUMLAH]]-NOTA[[#This Row],[DISC]])</f>
        <v>1407348</v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94" s="50" t="str">
        <f>IF(OR(NOTA[[#This Row],[QTY]]="",NOTA[[#This Row],[HARGA SATUAN]]="",),"",NOTA[[#This Row],[QTY]]*NOTA[[#This Row],[HARGA SATUAN]])</f>
        <v/>
      </c>
      <c r="AI94" s="39">
        <f ca="1">IF(NOTA[ID_H]="","",INDEX(NOTA[TANGGAL],MATCH(,INDIRECT(ADDRESS(ROW(NOTA[TANGGAL]),COLUMN(NOTA[TANGGAL]))&amp;":"&amp;ADDRESS(ROW(),COLUMN(NOTA[TANGGAL]))),-1)))</f>
        <v>45297</v>
      </c>
      <c r="AJ94" s="41" t="str">
        <f ca="1">IF(NOTA[[#This Row],[NAMA BARANG]]="","",INDEX(NOTA[SUPPLIER],MATCH(,INDIRECT(ADDRESS(ROW(NOTA[ID]),COLUMN(NOTA[ID]))&amp;":"&amp;ADDRESS(ROW(),COLUMN(NOTA[ID]))),-1)))</f>
        <v>KENKO SINAR INDONESIA</v>
      </c>
      <c r="AK94" s="41" t="str">
        <f ca="1">IF(NOTA[[#This Row],[ID_H]]="","",IF(NOTA[[#This Row],[FAKTUR]]="",INDIRECT(ADDRESS(ROW()-1,COLUMN())),NOTA[[#This Row],[FAKTUR]]))</f>
        <v>ARTO MORO</v>
      </c>
      <c r="AL94" s="38" t="str">
        <f ca="1">IF(NOTA[[#This Row],[ID]]="","",COUNTIF(NOTA[ID_H],NOTA[[#This Row],[ID_H]]))</f>
        <v/>
      </c>
      <c r="AM94" s="38">
        <f ca="1">IF(NOTA[[#This Row],[TGL.NOTA]]="",IF(NOTA[[#This Row],[SUPPLIER_H]]="","",AM93),MONTH(NOTA[[#This Row],[TGL.NOTA]]))</f>
        <v>1</v>
      </c>
      <c r="AN94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Row],[CONCAT4]],[2]!RAW[CONCAT_H],0),FALSE))</f>
        <v/>
      </c>
      <c r="AS94" s="38">
        <f>IF(NOTA[[#This Row],[CONCAT1]]="","",MATCH(NOTA[[#This Row],[CONCAT1]],[3]!db[NB NOTA_C],0))</f>
        <v>1560</v>
      </c>
      <c r="AT94" s="38" t="str">
        <f>IF(NOTA[[#This Row],[QTY/ CTN]]="","",TRUE)</f>
        <v/>
      </c>
      <c r="AU94" s="38" t="str">
        <f ca="1">IF(NOTA[[#This Row],[ID_H]]="","",IF(NOTA[[#This Row],[Column3]]=TRUE,NOTA[[#This Row],[QTY/ CTN]],INDEX([3]!db[QTY/ CTN],NOTA[[#This Row],[//DB]])))</f>
        <v>36 LSN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94" s="38" t="e">
        <f ca="1">IF(NOTA[[#This Row],[ID_H]]="","",MATCH(NOTA[[#This Row],[NB NOTA_C_QTY]],[4]!db[NB NOTA_C_QTY+F],0))</f>
        <v>#REF!</v>
      </c>
      <c r="AX94" s="53">
        <f ca="1">IF(NOTA[[#This Row],[NB NOTA_C_QTY]]="","",ROW()-2)</f>
        <v>92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11</v>
      </c>
      <c r="E95" s="46"/>
      <c r="F95" s="37"/>
      <c r="G95" s="37"/>
      <c r="H95" s="47"/>
      <c r="I95" s="37"/>
      <c r="J95" s="39"/>
      <c r="K95" s="37"/>
      <c r="L95" s="37" t="s">
        <v>230</v>
      </c>
      <c r="M95" s="40">
        <v>1</v>
      </c>
      <c r="O95" s="37"/>
      <c r="P95" s="41"/>
      <c r="Q95" s="42">
        <v>2052000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2052000</v>
      </c>
      <c r="Y95" s="50">
        <f>IF(NOTA[[#This Row],[JUMLAH]]="","",NOTA[[#This Row],[JUMLAH]]*NOTA[[#This Row],[DISC 1]])</f>
        <v>348840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348840</v>
      </c>
      <c r="AC95" s="50">
        <f>IF(NOTA[[#This Row],[JUMLAH]]="","",NOTA[[#This Row],[JUMLAH]]-NOTA[[#This Row],[DISC]])</f>
        <v>1703160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45297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 t="str">
        <f ca="1">IF(NOTA[[#This Row],[ID]]="","",COUNTIF(NOTA[ID_H],NOTA[[#This Row],[ID_H]]))</f>
        <v/>
      </c>
      <c r="AM95" s="38">
        <f ca="1">IF(NOTA[[#This Row],[TGL.NOTA]]="",IF(NOTA[[#This Row],[SUPPLIER_H]]="","",AM94),MONTH(NOTA[[#This Row],[TGL.NOTA]]))</f>
        <v>1</v>
      </c>
      <c r="AN95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>
        <f>IF(NOTA[[#This Row],[CONCAT1]]="","",MATCH(NOTA[[#This Row],[CONCAT1]],[3]!db[NB NOTA_C],0))</f>
        <v>1562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36 LSN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11</v>
      </c>
      <c r="E96" s="46"/>
      <c r="F96" s="37"/>
      <c r="G96" s="37"/>
      <c r="H96" s="47"/>
      <c r="I96" s="37"/>
      <c r="J96" s="39"/>
      <c r="K96" s="37"/>
      <c r="L96" s="37" t="s">
        <v>125</v>
      </c>
      <c r="M96" s="40">
        <v>4</v>
      </c>
      <c r="O96" s="37"/>
      <c r="P96" s="41"/>
      <c r="Q96" s="42">
        <v>1954800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7819200</v>
      </c>
      <c r="Y96" s="50">
        <f>IF(NOTA[[#This Row],[JUMLAH]]="","",NOTA[[#This Row],[JUMLAH]]*NOTA[[#This Row],[DISC 1]])</f>
        <v>1329264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1329264</v>
      </c>
      <c r="AC96" s="50">
        <f>IF(NOTA[[#This Row],[JUMLAH]]="","",NOTA[[#This Row],[JUMLAH]]-NOTA[[#This Row],[DISC]])</f>
        <v>6489936</v>
      </c>
      <c r="AD96" s="50"/>
      <c r="AE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2823972</v>
      </c>
      <c r="AF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13787628</v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45297</v>
      </c>
      <c r="AJ96" s="41" t="str">
        <f ca="1">IF(NOTA[[#This Row],[NAMA BARANG]]="","",INDEX(NOTA[SUPPLIER],MATCH(,INDIRECT(ADDRESS(ROW(NOTA[ID]),COLUMN(NOTA[ID]))&amp;":"&amp;ADDRESS(ROW(),COLUMN(NOTA[ID]))),-1)))</f>
        <v>KENKO SINAR INDONESIA</v>
      </c>
      <c r="AK96" s="41" t="str">
        <f ca="1">IF(NOTA[[#This Row],[ID_H]]="","",IF(NOTA[[#This Row],[FAKTUR]]="",INDIRECT(ADDRESS(ROW()-1,COLUMN())),NOTA[[#This Row],[FAKTUR]]))</f>
        <v>ARTO MORO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1</v>
      </c>
      <c r="AN9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>
        <f>IF(NOTA[[#This Row],[CONCAT1]]="","",MATCH(NOTA[[#This Row],[CONCAT1]],[3]!db[NB NOTA_C],0))</f>
        <v>1558</v>
      </c>
      <c r="AT96" s="38" t="str">
        <f>IF(NOTA[[#This Row],[QTY/ CTN]]="","",TRUE)</f>
        <v/>
      </c>
      <c r="AU96" s="38" t="str">
        <f ca="1">IF(NOTA[[#This Row],[ID_H]]="","",IF(NOTA[[#This Row],[Column3]]=TRUE,NOTA[[#This Row],[QTY/ CTN]],INDEX([3]!db[QTY/ CTN],NOTA[[#This Row],[//DB]])))</f>
        <v>36 LSN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 t="str">
        <f ca="1">IF(NOTA[[#This Row],[NAMA BARANG]]="","",INDEX(NOTA[ID],MATCH(,INDIRECT(ADDRESS(ROW(NOTA[ID]),COLUMN(NOTA[ID]))&amp;":"&amp;ADDRESS(ROW(),COLUMN(NOTA[ID]))),-1)))</f>
        <v/>
      </c>
      <c r="E97" s="46"/>
      <c r="F97" s="37"/>
      <c r="G97" s="37"/>
      <c r="H97" s="47"/>
      <c r="I97" s="37"/>
      <c r="J97" s="39"/>
      <c r="K97" s="37"/>
      <c r="L97" s="37"/>
      <c r="M97" s="40"/>
      <c r="O97" s="37"/>
      <c r="P97" s="41"/>
      <c r="Q97" s="42"/>
      <c r="R97" s="48"/>
      <c r="S97" s="49"/>
      <c r="T97" s="44"/>
      <c r="U97" s="44"/>
      <c r="V97" s="50"/>
      <c r="W97" s="45"/>
      <c r="X97" s="50" t="str">
        <f>IF(NOTA[[#This Row],[HARGA/ CTN]]="",NOTA[[#This Row],[JUMLAH_H]],NOTA[[#This Row],[HARGA/ CTN]]*IF(NOTA[[#This Row],[C]]="",0,NOTA[[#This Row],[C]]))</f>
        <v/>
      </c>
      <c r="Y97" s="50" t="str">
        <f>IF(NOTA[[#This Row],[JUMLAH]]="","",NOTA[[#This Row],[JUMLAH]]*NOTA[[#This Row],[DISC 1]])</f>
        <v/>
      </c>
      <c r="Z97" s="50" t="str">
        <f>IF(NOTA[[#This Row],[JUMLAH]]="","",(NOTA[[#This Row],[JUMLAH]]-NOTA[[#This Row],[DISC 1-]])*NOTA[[#This Row],[DISC 2]])</f>
        <v/>
      </c>
      <c r="AA97" s="50" t="str">
        <f>IF(NOTA[[#This Row],[JUMLAH]]="","",(NOTA[[#This Row],[JUMLAH]]-NOTA[[#This Row],[DISC 1-]]-NOTA[[#This Row],[DISC 2-]])*NOTA[[#This Row],[DISC 3]])</f>
        <v/>
      </c>
      <c r="AB97" s="50" t="str">
        <f>IF(NOTA[[#This Row],[JUMLAH]]="","",NOTA[[#This Row],[DISC 1-]]+NOTA[[#This Row],[DISC 2-]]+NOTA[[#This Row],[DISC 3-]])</f>
        <v/>
      </c>
      <c r="AC97" s="50" t="str">
        <f>IF(NOTA[[#This Row],[JUMLAH]]="","",NOTA[[#This Row],[JUMLAH]]-NOTA[[#This Row],[DISC]])</f>
        <v/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7" s="50" t="str">
        <f>IF(OR(NOTA[[#This Row],[QTY]]="",NOTA[[#This Row],[HARGA SATUAN]]="",),"",NOTA[[#This Row],[QTY]]*NOTA[[#This Row],[HARGA SATUAN]])</f>
        <v/>
      </c>
      <c r="AI97" s="39" t="str">
        <f ca="1">IF(NOTA[ID_H]="","",INDEX(NOTA[TANGGAL],MATCH(,INDIRECT(ADDRESS(ROW(NOTA[TANGGAL]),COLUMN(NOTA[TANGGAL]))&amp;":"&amp;ADDRESS(ROW(),COLUMN(NOTA[TANGGAL]))),-1)))</f>
        <v/>
      </c>
      <c r="AJ97" s="41" t="str">
        <f ca="1">IF(NOTA[[#This Row],[NAMA BARANG]]="","",INDEX(NOTA[SUPPLIER],MATCH(,INDIRECT(ADDRESS(ROW(NOTA[ID]),COLUMN(NOTA[ID]))&amp;":"&amp;ADDRESS(ROW(),COLUMN(NOTA[ID]))),-1)))</f>
        <v/>
      </c>
      <c r="AK97" s="41" t="str">
        <f ca="1">IF(NOTA[[#This Row],[ID_H]]="","",IF(NOTA[[#This Row],[FAKTUR]]="",INDIRECT(ADDRESS(ROW()-1,COLUMN())),NOTA[[#This Row],[FAKTUR]]))</f>
        <v/>
      </c>
      <c r="AL97" s="38" t="str">
        <f ca="1">IF(NOTA[[#This Row],[ID]]="","",COUNTIF(NOTA[ID_H],NOTA[[#This Row],[ID_H]]))</f>
        <v/>
      </c>
      <c r="AM97" s="38" t="str">
        <f ca="1">IF(NOTA[[#This Row],[TGL.NOTA]]="",IF(NOTA[[#This Row],[SUPPLIER_H]]="","",AM96),MONTH(NOTA[[#This Row],[TGL.NOTA]]))</f>
        <v/>
      </c>
      <c r="AN97" s="38" t="str">
        <f>LOWER(SUBSTITUTE(SUBSTITUTE(SUBSTITUTE(SUBSTITUTE(SUBSTITUTE(SUBSTITUTE(SUBSTITUTE(SUBSTITUTE(SUBSTITUTE(NOTA[NAMA BARANG]," ",),".",""),"-",""),"(",""),")",""),",",""),"/",""),"""",""),"+",""))</f>
        <v/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 t="str">
        <f>IF(NOTA[[#This Row],[CONCAT1]]="","",MATCH(NOTA[[#This Row],[CONCAT1]],[3]!db[NB NOTA_C],0))</f>
        <v/>
      </c>
      <c r="AT97" s="38" t="str">
        <f>IF(NOTA[[#This Row],[QTY/ CTN]]="","",TRUE)</f>
        <v/>
      </c>
      <c r="AU97" s="38" t="str">
        <f ca="1">IF(NOTA[[#This Row],[ID_H]]="","",IF(NOTA[[#This Row],[Column3]]=TRUE,NOTA[[#This Row],[QTY/ CTN]],INDEX([3]!db[QTY/ CTN],NOTA[[#This Row],[//DB]])))</f>
        <v/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7" s="38" t="str">
        <f ca="1">IF(NOTA[[#This Row],[ID_H]]="","",MATCH(NOTA[[#This Row],[NB NOTA_C_QTY]],[4]!db[NB NOTA_C_QTY+F],0))</f>
        <v/>
      </c>
      <c r="AX97" s="53" t="str">
        <f ca="1">IF(NOTA[[#This Row],[NB NOTA_C_QTY]]="","",ROW()-2)</f>
        <v/>
      </c>
    </row>
    <row r="98" spans="1:50" s="38" customFormat="1" ht="20.100000000000001" customHeight="1" x14ac:dyDescent="0.25">
      <c r="A98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KEN_0601_114-11</v>
      </c>
      <c r="C98" s="38" t="e">
        <f ca="1">IF(NOTA[[#This Row],[ID_P]]="","",MATCH(NOTA[[#This Row],[ID_P]],[1]!B_MSK[N_ID],0))</f>
        <v>#REF!</v>
      </c>
      <c r="D98" s="38">
        <f ca="1">IF(NOTA[[#This Row],[NAMA BARANG]]="","",INDEX(NOTA[ID],MATCH(,INDIRECT(ADDRESS(ROW(NOTA[ID]),COLUMN(NOTA[ID]))&amp;":"&amp;ADDRESS(ROW(),COLUMN(NOTA[ID]))),-1)))</f>
        <v>12</v>
      </c>
      <c r="E98" s="46"/>
      <c r="F98" s="37" t="s">
        <v>22</v>
      </c>
      <c r="G98" s="37" t="s">
        <v>23</v>
      </c>
      <c r="H98" s="47" t="s">
        <v>231</v>
      </c>
      <c r="I98" s="37"/>
      <c r="J98" s="39">
        <v>45295</v>
      </c>
      <c r="K98" s="37"/>
      <c r="L98" s="37" t="s">
        <v>147</v>
      </c>
      <c r="M98" s="40">
        <v>2</v>
      </c>
      <c r="O98" s="37"/>
      <c r="P98" s="41"/>
      <c r="Q98" s="42">
        <v>462000</v>
      </c>
      <c r="R98" s="48"/>
      <c r="S98" s="49">
        <v>0.17</v>
      </c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924000</v>
      </c>
      <c r="Y98" s="50">
        <f>IF(NOTA[[#This Row],[JUMLAH]]="","",NOTA[[#This Row],[JUMLAH]]*NOTA[[#This Row],[DISC 1]])</f>
        <v>157080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157080</v>
      </c>
      <c r="AC98" s="50">
        <f>IF(NOTA[[#This Row],[JUMLAH]]="","",NOTA[[#This Row],[JUMLAH]]-NOTA[[#This Row],[DISC]])</f>
        <v>766920</v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98" s="50" t="str">
        <f>IF(OR(NOTA[[#This Row],[QTY]]="",NOTA[[#This Row],[HARGA SATUAN]]="",),"",NOTA[[#This Row],[QTY]]*NOTA[[#This Row],[HARGA SATUAN]])</f>
        <v/>
      </c>
      <c r="AI98" s="39">
        <f ca="1">IF(NOTA[ID_H]="","",INDEX(NOTA[TANGGAL],MATCH(,INDIRECT(ADDRESS(ROW(NOTA[TANGGAL]),COLUMN(NOTA[TANGGAL]))&amp;":"&amp;ADDRESS(ROW(),COLUMN(NOTA[TANGGAL]))),-1)))</f>
        <v>45297</v>
      </c>
      <c r="AJ98" s="41" t="str">
        <f ca="1">IF(NOTA[[#This Row],[NAMA BARANG]]="","",INDEX(NOTA[SUPPLIER],MATCH(,INDIRECT(ADDRESS(ROW(NOTA[ID]),COLUMN(NOTA[ID]))&amp;":"&amp;ADDRESS(ROW(),COLUMN(NOTA[ID]))),-1)))</f>
        <v>KENKO SINAR INDONESIA</v>
      </c>
      <c r="AK98" s="41" t="str">
        <f ca="1">IF(NOTA[[#This Row],[ID_H]]="","",IF(NOTA[[#This Row],[FAKTUR]]="",INDIRECT(ADDRESS(ROW()-1,COLUMN())),NOTA[[#This Row],[FAKTUR]]))</f>
        <v>ARTO MORO</v>
      </c>
      <c r="AL98" s="38">
        <f ca="1">IF(NOTA[[#This Row],[ID]]="","",COUNTIF(NOTA[ID_H],NOTA[[#This Row],[ID_H]]))</f>
        <v>11</v>
      </c>
      <c r="AM98" s="38">
        <f>IF(NOTA[[#This Row],[TGL.NOTA]]="",IF(NOTA[[#This Row],[SUPPLIER_H]]="","",AM97),MONTH(NOTA[[#This Row],[TGL.NOTA]]))</f>
        <v>1</v>
      </c>
      <c r="AN98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MORO2401011445295kenkotapedispensertd3231&amp;3core</v>
      </c>
      <c r="AR98" s="38" t="e">
        <f>IF(NOTA[[#This Row],[CONCAT4]]="","",_xlfn.IFNA(MATCH(NOTA[[#This Row],[CONCAT4]],[2]!RAW[CONCAT_H],0),FALSE))</f>
        <v>#REF!</v>
      </c>
      <c r="AS98" s="38">
        <f>IF(NOTA[[#This Row],[CONCAT1]]="","",MATCH(NOTA[[#This Row],[CONCAT1]],[3]!db[NB NOTA_C],0))</f>
        <v>1796</v>
      </c>
      <c r="AT98" s="38" t="str">
        <f>IF(NOTA[[#This Row],[QTY/ CTN]]="","",TRUE)</f>
        <v/>
      </c>
      <c r="AU98" s="38" t="str">
        <f ca="1">IF(NOTA[[#This Row],[ID_H]]="","",IF(NOTA[[#This Row],[Column3]]=TRUE,NOTA[[#This Row],[QTY/ CTN]],INDEX([3]!db[QTY/ CTN],NOTA[[#This Row],[//DB]])))</f>
        <v>24 PCS</v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98" s="38" t="e">
        <f ca="1">IF(NOTA[[#This Row],[ID_H]]="","",MATCH(NOTA[[#This Row],[NB NOTA_C_QTY]],[4]!db[NB NOTA_C_QTY+F],0))</f>
        <v>#REF!</v>
      </c>
      <c r="AX98" s="53">
        <f ca="1">IF(NOTA[[#This Row],[NB NOTA_C_QTY]]="","",ROW()-2)</f>
        <v>96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>
        <f ca="1">IF(NOTA[[#This Row],[NAMA BARANG]]="","",INDEX(NOTA[ID],MATCH(,INDIRECT(ADDRESS(ROW(NOTA[ID]),COLUMN(NOTA[ID]))&amp;":"&amp;ADDRESS(ROW(),COLUMN(NOTA[ID]))),-1)))</f>
        <v>12</v>
      </c>
      <c r="E99" s="46"/>
      <c r="F99" s="37"/>
      <c r="G99" s="37"/>
      <c r="H99" s="47"/>
      <c r="I99" s="37"/>
      <c r="J99" s="39"/>
      <c r="K99" s="37"/>
      <c r="L99" s="37" t="s">
        <v>129</v>
      </c>
      <c r="M99" s="40">
        <v>1</v>
      </c>
      <c r="O99" s="37"/>
      <c r="P99" s="41"/>
      <c r="Q99" s="42">
        <v>2376000</v>
      </c>
      <c r="R99" s="48"/>
      <c r="S99" s="49">
        <v>0.17</v>
      </c>
      <c r="T99" s="44"/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2376000</v>
      </c>
      <c r="Y99" s="50">
        <f>IF(NOTA[[#This Row],[JUMLAH]]="","",NOTA[[#This Row],[JUMLAH]]*NOTA[[#This Row],[DISC 1]])</f>
        <v>403920</v>
      </c>
      <c r="Z99" s="50">
        <f>IF(NOTA[[#This Row],[JUMLAH]]="","",(NOTA[[#This Row],[JUMLAH]]-NOTA[[#This Row],[DISC 1-]])*NOTA[[#This Row],[DISC 2]])</f>
        <v>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403920</v>
      </c>
      <c r="AC99" s="50">
        <f>IF(NOTA[[#This Row],[JUMLAH]]="","",NOTA[[#This Row],[JUMLAH]]-NOTA[[#This Row],[DISC]])</f>
        <v>1972080</v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99" s="50" t="str">
        <f>IF(OR(NOTA[[#This Row],[QTY]]="",NOTA[[#This Row],[HARGA SATUAN]]="",),"",NOTA[[#This Row],[QTY]]*NOTA[[#This Row],[HARGA SATUAN]])</f>
        <v/>
      </c>
      <c r="AI99" s="39">
        <f ca="1">IF(NOTA[ID_H]="","",INDEX(NOTA[TANGGAL],MATCH(,INDIRECT(ADDRESS(ROW(NOTA[TANGGAL]),COLUMN(NOTA[TANGGAL]))&amp;":"&amp;ADDRESS(ROW(),COLUMN(NOTA[TANGGAL]))),-1)))</f>
        <v>45297</v>
      </c>
      <c r="AJ99" s="41" t="str">
        <f ca="1">IF(NOTA[[#This Row],[NAMA BARANG]]="","",INDEX(NOTA[SUPPLIER],MATCH(,INDIRECT(ADDRESS(ROW(NOTA[ID]),COLUMN(NOTA[ID]))&amp;":"&amp;ADDRESS(ROW(),COLUMN(NOTA[ID]))),-1)))</f>
        <v>KENKO SINAR INDONESIA</v>
      </c>
      <c r="AK99" s="41" t="str">
        <f ca="1">IF(NOTA[[#This Row],[ID_H]]="","",IF(NOTA[[#This Row],[FAKTUR]]="",INDIRECT(ADDRESS(ROW()-1,COLUMN())),NOTA[[#This Row],[FAKTUR]]))</f>
        <v>ARTO MORO</v>
      </c>
      <c r="AL99" s="38" t="str">
        <f ca="1">IF(NOTA[[#This Row],[ID]]="","",COUNTIF(NOTA[ID_H],NOTA[[#This Row],[ID_H]]))</f>
        <v/>
      </c>
      <c r="AM99" s="38">
        <f ca="1">IF(NOTA[[#This Row],[TGL.NOTA]]="",IF(NOTA[[#This Row],[SUPPLIER_H]]="","",AM98),MONTH(NOTA[[#This Row],[TGL.NOTA]]))</f>
        <v>1</v>
      </c>
      <c r="AN99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>
        <f>IF(NOTA[[#This Row],[CONCAT1]]="","",MATCH(NOTA[[#This Row],[CONCAT1]],[3]!db[NB NOTA_C],0))</f>
        <v>1662</v>
      </c>
      <c r="AT99" s="38" t="str">
        <f>IF(NOTA[[#This Row],[QTY/ CTN]]="","",TRUE)</f>
        <v/>
      </c>
      <c r="AU99" s="38" t="str">
        <f ca="1">IF(NOTA[[#This Row],[ID_H]]="","",IF(NOTA[[#This Row],[Column3]]=TRUE,NOTA[[#This Row],[QTY/ CTN]],INDEX([3]!db[QTY/ CTN],NOTA[[#This Row],[//DB]])))</f>
        <v>36 BOX (30 PCS)</v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99" s="38" t="e">
        <f ca="1">IF(NOTA[[#This Row],[ID_H]]="","",MATCH(NOTA[[#This Row],[NB NOTA_C_QTY]],[4]!db[NB NOTA_C_QTY+F],0))</f>
        <v>#REF!</v>
      </c>
      <c r="AX99" s="53">
        <f ca="1">IF(NOTA[[#This Row],[NB NOTA_C_QTY]]="","",ROW()-2)</f>
        <v>97</v>
      </c>
    </row>
    <row r="100" spans="1:50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>
        <f ca="1">IF(NOTA[[#This Row],[NAMA BARANG]]="","",INDEX(NOTA[ID],MATCH(,INDIRECT(ADDRESS(ROW(NOTA[ID]),COLUMN(NOTA[ID]))&amp;":"&amp;ADDRESS(ROW(),COLUMN(NOTA[ID]))),-1)))</f>
        <v>12</v>
      </c>
      <c r="E100" s="46"/>
      <c r="F100" s="37"/>
      <c r="G100" s="37"/>
      <c r="H100" s="47"/>
      <c r="I100" s="37"/>
      <c r="J100" s="39"/>
      <c r="K100" s="37"/>
      <c r="L100" s="37" t="s">
        <v>232</v>
      </c>
      <c r="M100" s="40">
        <v>1</v>
      </c>
      <c r="O100" s="37"/>
      <c r="P100" s="41"/>
      <c r="Q100" s="42">
        <v>2822400</v>
      </c>
      <c r="R100" s="48"/>
      <c r="S100" s="49">
        <v>0.17</v>
      </c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2822400</v>
      </c>
      <c r="Y100" s="50">
        <f>IF(NOTA[[#This Row],[JUMLAH]]="","",NOTA[[#This Row],[JUMLAH]]*NOTA[[#This Row],[DISC 1]])</f>
        <v>479808.00000000006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479808.00000000006</v>
      </c>
      <c r="AC100" s="50">
        <f>IF(NOTA[[#This Row],[JUMLAH]]="","",NOTA[[#This Row],[JUMLAH]]-NOTA[[#This Row],[DISC]])</f>
        <v>2342592</v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2822400</v>
      </c>
      <c r="AH100" s="50" t="str">
        <f>IF(OR(NOTA[[#This Row],[QTY]]="",NOTA[[#This Row],[HARGA SATUAN]]="",),"",NOTA[[#This Row],[QTY]]*NOTA[[#This Row],[HARGA SATUAN]])</f>
        <v/>
      </c>
      <c r="AI100" s="39">
        <f ca="1">IF(NOTA[ID_H]="","",INDEX(NOTA[TANGGAL],MATCH(,INDIRECT(ADDRESS(ROW(NOTA[TANGGAL]),COLUMN(NOTA[TANGGAL]))&amp;":"&amp;ADDRESS(ROW(),COLUMN(NOTA[TANGGAL]))),-1)))</f>
        <v>45297</v>
      </c>
      <c r="AJ100" s="41" t="str">
        <f ca="1">IF(NOTA[[#This Row],[NAMA BARANG]]="","",INDEX(NOTA[SUPPLIER],MATCH(,INDIRECT(ADDRESS(ROW(NOTA[ID]),COLUMN(NOTA[ID]))&amp;":"&amp;ADDRESS(ROW(),COLUMN(NOTA[ID]))),-1)))</f>
        <v>KENKO SINAR INDONESIA</v>
      </c>
      <c r="AK100" s="41" t="str">
        <f ca="1">IF(NOTA[[#This Row],[ID_H]]="","",IF(NOTA[[#This Row],[FAKTUR]]="",INDIRECT(ADDRESS(ROW()-1,COLUMN())),NOTA[[#This Row],[FAKTUR]]))</f>
        <v>ARTO MORO</v>
      </c>
      <c r="AL100" s="38" t="str">
        <f ca="1">IF(NOTA[[#This Row],[ID]]="","",COUNTIF(NOTA[ID_H],NOTA[[#This Row],[ID_H]]))</f>
        <v/>
      </c>
      <c r="AM100" s="38">
        <f ca="1">IF(NOTA[[#This Row],[TGL.NOTA]]="",IF(NOTA[[#This Row],[SUPPLIER_H]]="","",AM99),MONTH(NOTA[[#This Row],[TGL.NOTA]]))</f>
        <v>1</v>
      </c>
      <c r="AN100" s="38" t="str">
        <f>LOWER(SUBSTITUTE(SUBSTITUTE(SUBSTITUTE(SUBSTITUTE(SUBSTITUTE(SUBSTITUTE(SUBSTITUTE(SUBSTITUTE(SUBSTITUTE(NOTA[NAMA BARANG]," ",),".",""),"-",""),"(",""),")",""),",",""),"/",""),"""",""),"+",""))</f>
        <v>kenkostandpenstp18m2smileblack</v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kenkostandpenstp18m2smileblack28224000.17</v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kenkostandpenstp18m2smileblack28224000.17</v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38" t="str">
        <f>IF(NOTA[[#This Row],[CONCAT4]]="","",_xlfn.IFNA(MATCH(NOTA[[#This Row],[CONCAT4]],[2]!RAW[CONCAT_H],0),FALSE))</f>
        <v/>
      </c>
      <c r="AS100" s="38">
        <f>IF(NOTA[[#This Row],[CONCAT1]]="","",MATCH(NOTA[[#This Row],[CONCAT1]],[3]!db[NB NOTA_C],0))</f>
        <v>1777</v>
      </c>
      <c r="AT100" s="38" t="str">
        <f>IF(NOTA[[#This Row],[QTY/ CTN]]="","",TRUE)</f>
        <v/>
      </c>
      <c r="AU100" s="38" t="str">
        <f ca="1">IF(NOTA[[#This Row],[ID_H]]="","",IF(NOTA[[#This Row],[Column3]]=TRUE,NOTA[[#This Row],[QTY/ CTN]],INDEX([3]!db[QTY/ CTN],NOTA[[#This Row],[//DB]])))</f>
        <v>24 BOX (24 PCS)</v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kenkostandpenstp18m2smileblack24box24pcsartomoro</v>
      </c>
      <c r="AW100" s="38" t="e">
        <f ca="1">IF(NOTA[[#This Row],[ID_H]]="","",MATCH(NOTA[[#This Row],[NB NOTA_C_QTY]],[4]!db[NB NOTA_C_QTY+F],0))</f>
        <v>#REF!</v>
      </c>
      <c r="AX100" s="53">
        <f ca="1">IF(NOTA[[#This Row],[NB NOTA_C_QTY]]="","",ROW()-2)</f>
        <v>98</v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12</v>
      </c>
      <c r="E101" s="46"/>
      <c r="F101" s="37"/>
      <c r="G101" s="37"/>
      <c r="H101" s="47"/>
      <c r="I101" s="37"/>
      <c r="J101" s="39"/>
      <c r="K101" s="37"/>
      <c r="L101" s="37" t="s">
        <v>127</v>
      </c>
      <c r="M101" s="40">
        <v>2</v>
      </c>
      <c r="O101" s="37"/>
      <c r="P101" s="41"/>
      <c r="Q101" s="42">
        <v>1560000</v>
      </c>
      <c r="R101" s="48"/>
      <c r="S101" s="49">
        <v>0.17</v>
      </c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3120000</v>
      </c>
      <c r="Y101" s="50">
        <f>IF(NOTA[[#This Row],[JUMLAH]]="","",NOTA[[#This Row],[JUMLAH]]*NOTA[[#This Row],[DISC 1]])</f>
        <v>530400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530400</v>
      </c>
      <c r="AC101" s="50">
        <f>IF(NOTA[[#This Row],[JUMLAH]]="","",NOTA[[#This Row],[JUMLAH]]-NOTA[[#This Row],[DISC]])</f>
        <v>2589600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01" s="50" t="str">
        <f>IF(OR(NOTA[[#This Row],[QTY]]="",NOTA[[#This Row],[HARGA SATUAN]]="",),"",NOTA[[#This Row],[QTY]]*NOTA[[#This Row],[HARGA SATUAN]])</f>
        <v/>
      </c>
      <c r="AI101" s="39">
        <f ca="1">IF(NOTA[ID_H]="","",INDEX(NOTA[TANGGAL],MATCH(,INDIRECT(ADDRESS(ROW(NOTA[TANGGAL]),COLUMN(NOTA[TANGGAL]))&amp;":"&amp;ADDRESS(ROW(),COLUMN(NOTA[TANGGAL]))),-1)))</f>
        <v>45297</v>
      </c>
      <c r="AJ101" s="41" t="str">
        <f ca="1">IF(NOTA[[#This Row],[NAMA BARANG]]="","",INDEX(NOTA[SUPPLIER],MATCH(,INDIRECT(ADDRESS(ROW(NOTA[ID]),COLUMN(NOTA[ID]))&amp;":"&amp;ADDRESS(ROW(),COLUMN(NOTA[ID]))),-1)))</f>
        <v>KENKO SINAR INDONESIA</v>
      </c>
      <c r="AK101" s="41" t="str">
        <f ca="1">IF(NOTA[[#This Row],[ID_H]]="","",IF(NOTA[[#This Row],[FAKTUR]]="",INDIRECT(ADDRESS(ROW()-1,COLUMN())),NOTA[[#This Row],[FAKTUR]]))</f>
        <v>ARTO MORO</v>
      </c>
      <c r="AL101" s="38" t="str">
        <f ca="1">IF(NOTA[[#This Row],[ID]]="","",COUNTIF(NOTA[ID_H],NOTA[[#This Row],[ID_H]]))</f>
        <v/>
      </c>
      <c r="AM101" s="38">
        <f ca="1">IF(NOTA[[#This Row],[TGL.NOTA]]="",IF(NOTA[[#This Row],[SUPPLIER_H]]="","",AM100),MONTH(NOTA[[#This Row],[TGL.NOTA]]))</f>
        <v>1</v>
      </c>
      <c r="AN101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kenkopunchno30xl15600000.17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kenkopunchno30xl15600000.17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>
        <f>IF(NOTA[[#This Row],[CONCAT1]]="","",MATCH(NOTA[[#This Row],[CONCAT1]],[3]!db[NB NOTA_C],0))</f>
        <v>1747</v>
      </c>
      <c r="AT101" s="38" t="str">
        <f>IF(NOTA[[#This Row],[QTY/ CTN]]="","",TRUE)</f>
        <v/>
      </c>
      <c r="AU101" s="38" t="str">
        <f ca="1">IF(NOTA[[#This Row],[ID_H]]="","",IF(NOTA[[#This Row],[Column3]]=TRUE,NOTA[[#This Row],[QTY/ CTN]],INDEX([3]!db[QTY/ CTN],NOTA[[#This Row],[//DB]])))</f>
        <v>4 BOX (24 PCS)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12</v>
      </c>
      <c r="E102" s="46"/>
      <c r="F102" s="37"/>
      <c r="G102" s="37"/>
      <c r="H102" s="47"/>
      <c r="I102" s="37"/>
      <c r="J102" s="39"/>
      <c r="K102" s="37"/>
      <c r="L102" s="37" t="s">
        <v>126</v>
      </c>
      <c r="M102" s="40">
        <v>1</v>
      </c>
      <c r="O102" s="37"/>
      <c r="P102" s="41"/>
      <c r="Q102" s="42">
        <v>1200000</v>
      </c>
      <c r="R102" s="48"/>
      <c r="S102" s="49">
        <v>0.17</v>
      </c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1200000</v>
      </c>
      <c r="Y102" s="50">
        <f>IF(NOTA[[#This Row],[JUMLAH]]="","",NOTA[[#This Row],[JUMLAH]]*NOTA[[#This Row],[DISC 1]])</f>
        <v>204000.00000000003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204000.00000000003</v>
      </c>
      <c r="AC102" s="50">
        <f>IF(NOTA[[#This Row],[JUMLAH]]="","",NOTA[[#This Row],[JUMLAH]]-NOTA[[#This Row],[DISC]])</f>
        <v>996000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102" s="50" t="str">
        <f>IF(OR(NOTA[[#This Row],[QTY]]="",NOTA[[#This Row],[HARGA SATUAN]]="",),"",NOTA[[#This Row],[QTY]]*NOTA[[#This Row],[HARGA SATUAN]])</f>
        <v/>
      </c>
      <c r="AI102" s="39">
        <f ca="1">IF(NOTA[ID_H]="","",INDEX(NOTA[TANGGAL],MATCH(,INDIRECT(ADDRESS(ROW(NOTA[TANGGAL]),COLUMN(NOTA[TANGGAL]))&amp;":"&amp;ADDRESS(ROW(),COLUMN(NOTA[TANGGAL]))),-1)))</f>
        <v>45297</v>
      </c>
      <c r="AJ102" s="41" t="str">
        <f ca="1">IF(NOTA[[#This Row],[NAMA BARANG]]="","",INDEX(NOTA[SUPPLIER],MATCH(,INDIRECT(ADDRESS(ROW(NOTA[ID]),COLUMN(NOTA[ID]))&amp;":"&amp;ADDRESS(ROW(),COLUMN(NOTA[ID]))),-1)))</f>
        <v>KENKO SINAR INDONESIA</v>
      </c>
      <c r="AK102" s="41" t="str">
        <f ca="1">IF(NOTA[[#This Row],[ID_H]]="","",IF(NOTA[[#This Row],[FAKTUR]]="",INDIRECT(ADDRESS(ROW()-1,COLUMN())),NOTA[[#This Row],[FAKTUR]]))</f>
        <v>ARTO MORO</v>
      </c>
      <c r="AL102" s="38" t="str">
        <f ca="1">IF(NOTA[[#This Row],[ID]]="","",COUNTIF(NOTA[ID_H],NOTA[[#This Row],[ID_H]]))</f>
        <v/>
      </c>
      <c r="AM102" s="38">
        <f ca="1">IF(NOTA[[#This Row],[TGL.NOTA]]="",IF(NOTA[[#This Row],[SUPPLIER_H]]="","",AM101),MONTH(NOTA[[#This Row],[TGL.NOTA]]))</f>
        <v>1</v>
      </c>
      <c r="AN102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1501</v>
      </c>
      <c r="AT102" s="38" t="str">
        <f>IF(NOTA[[#This Row],[QTY/ CTN]]="","",TRUE)</f>
        <v/>
      </c>
      <c r="AU102" s="38" t="str">
        <f ca="1">IF(NOTA[[#This Row],[ID_H]]="","",IF(NOTA[[#This Row],[Column3]]=TRUE,NOTA[[#This Row],[QTY/ CTN]],INDEX([3]!db[QTY/ CTN],NOTA[[#This Row],[//DB]])))</f>
        <v>10 GRS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12</v>
      </c>
      <c r="E103" s="46"/>
      <c r="F103" s="37"/>
      <c r="G103" s="37"/>
      <c r="H103" s="47"/>
      <c r="I103" s="37"/>
      <c r="J103" s="39"/>
      <c r="K103" s="37"/>
      <c r="L103" s="37" t="s">
        <v>148</v>
      </c>
      <c r="M103" s="40">
        <v>2</v>
      </c>
      <c r="O103" s="37"/>
      <c r="P103" s="41"/>
      <c r="Q103" s="42">
        <v>5616000</v>
      </c>
      <c r="R103" s="48"/>
      <c r="S103" s="49">
        <v>0.17</v>
      </c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11232000</v>
      </c>
      <c r="Y103" s="50">
        <f>IF(NOTA[[#This Row],[JUMLAH]]="","",NOTA[[#This Row],[JUMLAH]]*NOTA[[#This Row],[DISC 1]])</f>
        <v>1909440.0000000002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1909440.0000000002</v>
      </c>
      <c r="AC103" s="50">
        <f>IF(NOTA[[#This Row],[JUMLAH]]="","",NOTA[[#This Row],[JUMLAH]]-NOTA[[#This Row],[DISC]])</f>
        <v>9322560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3" s="50" t="str">
        <f>IF(OR(NOTA[[#This Row],[QTY]]="",NOTA[[#This Row],[HARGA SATUAN]]="",),"",NOTA[[#This Row],[QTY]]*NOTA[[#This Row],[HARGA SATUAN]])</f>
        <v/>
      </c>
      <c r="AI103" s="39">
        <f ca="1">IF(NOTA[ID_H]="","",INDEX(NOTA[TANGGAL],MATCH(,INDIRECT(ADDRESS(ROW(NOTA[TANGGAL]),COLUMN(NOTA[TANGGAL]))&amp;":"&amp;ADDRESS(ROW(),COLUMN(NOTA[TANGGAL]))),-1)))</f>
        <v>45297</v>
      </c>
      <c r="AJ103" s="41" t="str">
        <f ca="1">IF(NOTA[[#This Row],[NAMA BARANG]]="","",INDEX(NOTA[SUPPLIER],MATCH(,INDIRECT(ADDRESS(ROW(NOTA[ID]),COLUMN(NOTA[ID]))&amp;":"&amp;ADDRESS(ROW(),COLUMN(NOTA[ID]))),-1)))</f>
        <v>KENKO SINAR INDONESIA</v>
      </c>
      <c r="AK103" s="41" t="str">
        <f ca="1">IF(NOTA[[#This Row],[ID_H]]="","",IF(NOTA[[#This Row],[FAKTUR]]="",INDIRECT(ADDRESS(ROW()-1,COLUMN())),NOTA[[#This Row],[FAKTUR]]))</f>
        <v>ARTO MORO</v>
      </c>
      <c r="AL103" s="38" t="str">
        <f ca="1">IF(NOTA[[#This Row],[ID]]="","",COUNTIF(NOTA[ID_H],NOTA[[#This Row],[ID_H]]))</f>
        <v/>
      </c>
      <c r="AM103" s="38">
        <f ca="1">IF(NOTA[[#This Row],[TGL.NOTA]]="",IF(NOTA[[#This Row],[SUPPLIER_H]]="","",AM102),MONTH(NOTA[[#This Row],[TGL.NOTA]]))</f>
        <v>1</v>
      </c>
      <c r="AN103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1621</v>
      </c>
      <c r="AT103" s="38" t="str">
        <f>IF(NOTA[[#This Row],[QTY/ CTN]]="","",TRUE)</f>
        <v/>
      </c>
      <c r="AU103" s="38" t="str">
        <f ca="1">IF(NOTA[[#This Row],[ID_H]]="","",IF(NOTA[[#This Row],[Column3]]=TRUE,NOTA[[#This Row],[QTY/ CTN]],INDEX([3]!db[QTY/ CTN],NOTA[[#This Row],[//DB]])))</f>
        <v>144 LSN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12</v>
      </c>
      <c r="E104" s="46"/>
      <c r="F104" s="37"/>
      <c r="G104" s="37"/>
      <c r="H104" s="47"/>
      <c r="I104" s="37"/>
      <c r="J104" s="39"/>
      <c r="K104" s="37"/>
      <c r="L104" s="37" t="s">
        <v>149</v>
      </c>
      <c r="M104" s="40">
        <v>1</v>
      </c>
      <c r="O104" s="37"/>
      <c r="P104" s="41"/>
      <c r="Q104" s="42">
        <v>5616000</v>
      </c>
      <c r="R104" s="48"/>
      <c r="S104" s="49">
        <v>0.17</v>
      </c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5616000</v>
      </c>
      <c r="Y104" s="50">
        <f>IF(NOTA[[#This Row],[JUMLAH]]="","",NOTA[[#This Row],[JUMLAH]]*NOTA[[#This Row],[DISC 1]])</f>
        <v>954720.00000000012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954720.00000000012</v>
      </c>
      <c r="AC104" s="50">
        <f>IF(NOTA[[#This Row],[JUMLAH]]="","",NOTA[[#This Row],[JUMLAH]]-NOTA[[#This Row],[DISC]])</f>
        <v>4661280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4" s="50" t="str">
        <f>IF(OR(NOTA[[#This Row],[QTY]]="",NOTA[[#This Row],[HARGA SATUAN]]="",),"",NOTA[[#This Row],[QTY]]*NOTA[[#This Row],[HARGA SATUAN]])</f>
        <v/>
      </c>
      <c r="AI104" s="39">
        <f ca="1">IF(NOTA[ID_H]="","",INDEX(NOTA[TANGGAL],MATCH(,INDIRECT(ADDRESS(ROW(NOTA[TANGGAL]),COLUMN(NOTA[TANGGAL]))&amp;":"&amp;ADDRESS(ROW(),COLUMN(NOTA[TANGGAL]))),-1)))</f>
        <v>45297</v>
      </c>
      <c r="AJ104" s="41" t="str">
        <f ca="1">IF(NOTA[[#This Row],[NAMA BARANG]]="","",INDEX(NOTA[SUPPLIER],MATCH(,INDIRECT(ADDRESS(ROW(NOTA[ID]),COLUMN(NOTA[ID]))&amp;":"&amp;ADDRESS(ROW(),COLUMN(NOTA[ID]))),-1)))</f>
        <v>KENKO SINAR INDONESIA</v>
      </c>
      <c r="AK104" s="41" t="str">
        <f ca="1">IF(NOTA[[#This Row],[ID_H]]="","",IF(NOTA[[#This Row],[FAKTUR]]="",INDIRECT(ADDRESS(ROW()-1,COLUMN())),NOTA[[#This Row],[FAKTUR]]))</f>
        <v>ARTO MORO</v>
      </c>
      <c r="AL104" s="38" t="str">
        <f ca="1">IF(NOTA[[#This Row],[ID]]="","",COUNTIF(NOTA[ID_H],NOTA[[#This Row],[ID_H]]))</f>
        <v/>
      </c>
      <c r="AM104" s="38">
        <f ca="1">IF(NOTA[[#This Row],[TGL.NOTA]]="",IF(NOTA[[#This Row],[SUPPLIER_H]]="","",AM103),MONTH(NOTA[[#This Row],[TGL.NOTA]]))</f>
        <v>1</v>
      </c>
      <c r="AN104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1622</v>
      </c>
      <c r="AT104" s="38" t="str">
        <f>IF(NOTA[[#This Row],[QTY/ CTN]]="","",TRUE)</f>
        <v/>
      </c>
      <c r="AU104" s="38" t="str">
        <f ca="1">IF(NOTA[[#This Row],[ID_H]]="","",IF(NOTA[[#This Row],[Column3]]=TRUE,NOTA[[#This Row],[QTY/ CTN]],INDEX([3]!db[QTY/ CTN],NOTA[[#This Row],[//DB]])))</f>
        <v>144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12</v>
      </c>
      <c r="E105" s="46"/>
      <c r="F105" s="37"/>
      <c r="G105" s="37"/>
      <c r="H105" s="47"/>
      <c r="I105" s="37"/>
      <c r="J105" s="39"/>
      <c r="K105" s="37"/>
      <c r="L105" s="37" t="s">
        <v>145</v>
      </c>
      <c r="M105" s="40">
        <v>1</v>
      </c>
      <c r="O105" s="37"/>
      <c r="P105" s="41"/>
      <c r="Q105" s="42">
        <v>1695600</v>
      </c>
      <c r="R105" s="48"/>
      <c r="S105" s="49">
        <v>0.17</v>
      </c>
      <c r="T105" s="44"/>
      <c r="U105" s="44"/>
      <c r="V105" s="50"/>
      <c r="W105" s="45"/>
      <c r="X105" s="50">
        <f>IF(NOTA[[#This Row],[HARGA/ CTN]]="",NOTA[[#This Row],[JUMLAH_H]],NOTA[[#This Row],[HARGA/ CTN]]*IF(NOTA[[#This Row],[C]]="",0,NOTA[[#This Row],[C]]))</f>
        <v>1695600</v>
      </c>
      <c r="Y105" s="50">
        <f>IF(NOTA[[#This Row],[JUMLAH]]="","",NOTA[[#This Row],[JUMLAH]]*NOTA[[#This Row],[DISC 1]])</f>
        <v>288252</v>
      </c>
      <c r="Z105" s="50">
        <f>IF(NOTA[[#This Row],[JUMLAH]]="","",(NOTA[[#This Row],[JUMLAH]]-NOTA[[#This Row],[DISC 1-]])*NOTA[[#This Row],[DISC 2]])</f>
        <v>0</v>
      </c>
      <c r="AA105" s="50">
        <f>IF(NOTA[[#This Row],[JUMLAH]]="","",(NOTA[[#This Row],[JUMLAH]]-NOTA[[#This Row],[DISC 1-]]-NOTA[[#This Row],[DISC 2-]])*NOTA[[#This Row],[DISC 3]])</f>
        <v>0</v>
      </c>
      <c r="AB105" s="50">
        <f>IF(NOTA[[#This Row],[JUMLAH]]="","",NOTA[[#This Row],[DISC 1-]]+NOTA[[#This Row],[DISC 2-]]+NOTA[[#This Row],[DISC 3-]])</f>
        <v>288252</v>
      </c>
      <c r="AC105" s="50">
        <f>IF(NOTA[[#This Row],[JUMLAH]]="","",NOTA[[#This Row],[JUMLAH]]-NOTA[[#This Row],[DISC]])</f>
        <v>1407348</v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105" s="50" t="str">
        <f>IF(OR(NOTA[[#This Row],[QTY]]="",NOTA[[#This Row],[HARGA SATUAN]]="",),"",NOTA[[#This Row],[QTY]]*NOTA[[#This Row],[HARGA SATUAN]])</f>
        <v/>
      </c>
      <c r="AI105" s="39">
        <f ca="1">IF(NOTA[ID_H]="","",INDEX(NOTA[TANGGAL],MATCH(,INDIRECT(ADDRESS(ROW(NOTA[TANGGAL]),COLUMN(NOTA[TANGGAL]))&amp;":"&amp;ADDRESS(ROW(),COLUMN(NOTA[TANGGAL]))),-1)))</f>
        <v>45297</v>
      </c>
      <c r="AJ105" s="41" t="str">
        <f ca="1">IF(NOTA[[#This Row],[NAMA BARANG]]="","",INDEX(NOTA[SUPPLIER],MATCH(,INDIRECT(ADDRESS(ROW(NOTA[ID]),COLUMN(NOTA[ID]))&amp;":"&amp;ADDRESS(ROW(),COLUMN(NOTA[ID]))),-1)))</f>
        <v>KENKO SINAR INDONESIA</v>
      </c>
      <c r="AK105" s="41" t="str">
        <f ca="1">IF(NOTA[[#This Row],[ID_H]]="","",IF(NOTA[[#This Row],[FAKTUR]]="",INDIRECT(ADDRESS(ROW()-1,COLUMN())),NOTA[[#This Row],[FAKTUR]]))</f>
        <v>ARTO MORO</v>
      </c>
      <c r="AL105" s="38" t="str">
        <f ca="1">IF(NOTA[[#This Row],[ID]]="","",COUNTIF(NOTA[ID_H],NOTA[[#This Row],[ID_H]]))</f>
        <v/>
      </c>
      <c r="AM105" s="38">
        <f ca="1">IF(NOTA[[#This Row],[TGL.NOTA]]="",IF(NOTA[[#This Row],[SUPPLIER_H]]="","",AM104),MONTH(NOTA[[#This Row],[TGL.NOTA]]))</f>
        <v>1</v>
      </c>
      <c r="AN105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>
        <f>IF(NOTA[[#This Row],[CONCAT1]]="","",MATCH(NOTA[[#This Row],[CONCAT1]],[3]!db[NB NOTA_C],0))</f>
        <v>1560</v>
      </c>
      <c r="AT105" s="38" t="str">
        <f>IF(NOTA[[#This Row],[QTY/ CTN]]="","",TRUE)</f>
        <v/>
      </c>
      <c r="AU105" s="38" t="str">
        <f ca="1">IF(NOTA[[#This Row],[ID_H]]="","",IF(NOTA[[#This Row],[Column3]]=TRUE,NOTA[[#This Row],[QTY/ CTN]],INDEX([3]!db[QTY/ CTN],NOTA[[#This Row],[//DB]])))</f>
        <v>36 LSN</v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105" s="38" t="e">
        <f ca="1">IF(NOTA[[#This Row],[ID_H]]="","",MATCH(NOTA[[#This Row],[NB NOTA_C_QTY]],[4]!db[NB NOTA_C_QTY+F],0))</f>
        <v>#REF!</v>
      </c>
      <c r="AX105" s="53">
        <f ca="1">IF(NOTA[[#This Row],[NB NOTA_C_QTY]]="","",ROW()-2)</f>
        <v>103</v>
      </c>
    </row>
    <row r="106" spans="1:50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12</v>
      </c>
      <c r="E106" s="46"/>
      <c r="F106" s="37"/>
      <c r="G106" s="37"/>
      <c r="H106" s="47"/>
      <c r="I106" s="37"/>
      <c r="J106" s="39"/>
      <c r="K106" s="37"/>
      <c r="L106" s="37" t="s">
        <v>131</v>
      </c>
      <c r="M106" s="40">
        <v>1</v>
      </c>
      <c r="O106" s="37"/>
      <c r="P106" s="41"/>
      <c r="Q106" s="42">
        <v>3110400</v>
      </c>
      <c r="R106" s="48"/>
      <c r="S106" s="49">
        <v>0.17</v>
      </c>
      <c r="T106" s="44"/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3110400</v>
      </c>
      <c r="Y106" s="50">
        <f>IF(NOTA[[#This Row],[JUMLAH]]="","",NOTA[[#This Row],[JUMLAH]]*NOTA[[#This Row],[DISC 1]])</f>
        <v>528768</v>
      </c>
      <c r="Z106" s="50">
        <f>IF(NOTA[[#This Row],[JUMLAH]]="","",(NOTA[[#This Row],[JUMLAH]]-NOTA[[#This Row],[DISC 1-]])*NOTA[[#This Row],[DISC 2]])</f>
        <v>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528768</v>
      </c>
      <c r="AC106" s="50">
        <f>IF(NOTA[[#This Row],[JUMLAH]]="","",NOTA[[#This Row],[JUMLAH]]-NOTA[[#This Row],[DISC]])</f>
        <v>2581632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106" s="50" t="str">
        <f>IF(OR(NOTA[[#This Row],[QTY]]="",NOTA[[#This Row],[HARGA SATUAN]]="",),"",NOTA[[#This Row],[QTY]]*NOTA[[#This Row],[HARGA SATUAN]])</f>
        <v/>
      </c>
      <c r="AI106" s="39">
        <f ca="1">IF(NOTA[ID_H]="","",INDEX(NOTA[TANGGAL],MATCH(,INDIRECT(ADDRESS(ROW(NOTA[TANGGAL]),COLUMN(NOTA[TANGGAL]))&amp;":"&amp;ADDRESS(ROW(),COLUMN(NOTA[TANGGAL]))),-1)))</f>
        <v>45297</v>
      </c>
      <c r="AJ106" s="41" t="str">
        <f ca="1">IF(NOTA[[#This Row],[NAMA BARANG]]="","",INDEX(NOTA[SUPPLIER],MATCH(,INDIRECT(ADDRESS(ROW(NOTA[ID]),COLUMN(NOTA[ID]))&amp;":"&amp;ADDRESS(ROW(),COLUMN(NOTA[ID]))),-1)))</f>
        <v>KENKO SINAR INDONESIA</v>
      </c>
      <c r="AK106" s="41" t="str">
        <f ca="1">IF(NOTA[[#This Row],[ID_H]]="","",IF(NOTA[[#This Row],[FAKTUR]]="",INDIRECT(ADDRESS(ROW()-1,COLUMN())),NOTA[[#This Row],[FAKTUR]]))</f>
        <v>ARTO MORO</v>
      </c>
      <c r="AL106" s="38" t="str">
        <f ca="1">IF(NOTA[[#This Row],[ID]]="","",COUNTIF(NOTA[ID_H],NOTA[[#This Row],[ID_H]]))</f>
        <v/>
      </c>
      <c r="AM106" s="38">
        <f ca="1">IF(NOTA[[#This Row],[TGL.NOTA]]="",IF(NOTA[[#This Row],[SUPPLIER_H]]="","",AM105),MONTH(NOTA[[#This Row],[TGL.NOTA]]))</f>
        <v>1</v>
      </c>
      <c r="AN106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6" s="38" t="str">
        <f>IF(NOTA[[#This Row],[CONCAT4]]="","",_xlfn.IFNA(MATCH(NOTA[[#This Row],[CONCAT4]],[2]!RAW[CONCAT_H],0),FALSE))</f>
        <v/>
      </c>
      <c r="AS106" s="38">
        <f>IF(NOTA[[#This Row],[CONCAT1]]="","",MATCH(NOTA[[#This Row],[CONCAT1]],[3]!db[NB NOTA_C],0))</f>
        <v>1644</v>
      </c>
      <c r="AT106" s="38" t="str">
        <f>IF(NOTA[[#This Row],[QTY/ CTN]]="","",TRUE)</f>
        <v/>
      </c>
      <c r="AU106" s="38" t="str">
        <f ca="1">IF(NOTA[[#This Row],[ID_H]]="","",IF(NOTA[[#This Row],[Column3]]=TRUE,NOTA[[#This Row],[QTY/ CTN]],INDEX([3]!db[QTY/ CTN],NOTA[[#This Row],[//DB]])))</f>
        <v>144 LSN</v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106" s="38" t="e">
        <f ca="1">IF(NOTA[[#This Row],[ID_H]]="","",MATCH(NOTA[[#This Row],[NB NOTA_C_QTY]],[4]!db[NB NOTA_C_QTY+F],0))</f>
        <v>#REF!</v>
      </c>
      <c r="AX106" s="53">
        <f ca="1">IF(NOTA[[#This Row],[NB NOTA_C_QTY]]="","",ROW()-2)</f>
        <v>104</v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12</v>
      </c>
      <c r="E107" s="46"/>
      <c r="F107" s="37"/>
      <c r="G107" s="37"/>
      <c r="H107" s="47"/>
      <c r="I107" s="37"/>
      <c r="J107" s="39"/>
      <c r="K107" s="37"/>
      <c r="L107" s="37" t="s">
        <v>233</v>
      </c>
      <c r="M107" s="40">
        <v>1</v>
      </c>
      <c r="O107" s="37"/>
      <c r="P107" s="41"/>
      <c r="Q107" s="42">
        <v>1410000</v>
      </c>
      <c r="R107" s="48"/>
      <c r="S107" s="49">
        <v>0.17</v>
      </c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1410000</v>
      </c>
      <c r="Y107" s="50">
        <f>IF(NOTA[[#This Row],[JUMLAH]]="","",NOTA[[#This Row],[JUMLAH]]*NOTA[[#This Row],[DISC 1]])</f>
        <v>239700.00000000003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239700.00000000003</v>
      </c>
      <c r="AC107" s="50">
        <f>IF(NOTA[[#This Row],[JUMLAH]]="","",NOTA[[#This Row],[JUMLAH]]-NOTA[[#This Row],[DISC]])</f>
        <v>1170300</v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107" s="50" t="str">
        <f>IF(OR(NOTA[[#This Row],[QTY]]="",NOTA[[#This Row],[HARGA SATUAN]]="",),"",NOTA[[#This Row],[QTY]]*NOTA[[#This Row],[HARGA SATUAN]])</f>
        <v/>
      </c>
      <c r="AI107" s="39">
        <f ca="1">IF(NOTA[ID_H]="","",INDEX(NOTA[TANGGAL],MATCH(,INDIRECT(ADDRESS(ROW(NOTA[TANGGAL]),COLUMN(NOTA[TANGGAL]))&amp;":"&amp;ADDRESS(ROW(),COLUMN(NOTA[TANGGAL]))),-1)))</f>
        <v>45297</v>
      </c>
      <c r="AJ107" s="41" t="str">
        <f ca="1">IF(NOTA[[#This Row],[NAMA BARANG]]="","",INDEX(NOTA[SUPPLIER],MATCH(,INDIRECT(ADDRESS(ROW(NOTA[ID]),COLUMN(NOTA[ID]))&amp;":"&amp;ADDRESS(ROW(),COLUMN(NOTA[ID]))),-1)))</f>
        <v>KENKO SINAR INDONESIA</v>
      </c>
      <c r="AK107" s="41" t="str">
        <f ca="1">IF(NOTA[[#This Row],[ID_H]]="","",IF(NOTA[[#This Row],[FAKTUR]]="",INDIRECT(ADDRESS(ROW()-1,COLUMN())),NOTA[[#This Row],[FAKTUR]]))</f>
        <v>ARTO MORO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1</v>
      </c>
      <c r="AN107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>
        <f>IF(NOTA[[#This Row],[CONCAT1]]="","",MATCH(NOTA[[#This Row],[CONCAT1]],[3]!db[NB NOTA_C],0))</f>
        <v>1755</v>
      </c>
      <c r="AT107" s="38" t="str">
        <f>IF(NOTA[[#This Row],[QTY/ CTN]]="","",TRUE)</f>
        <v/>
      </c>
      <c r="AU107" s="38" t="str">
        <f ca="1">IF(NOTA[[#This Row],[ID_H]]="","",IF(NOTA[[#This Row],[Column3]]=TRUE,NOTA[[#This Row],[QTY/ CTN]],INDEX([3]!db[QTY/ CTN],NOTA[[#This Row],[//DB]])))</f>
        <v>25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107" s="38" t="e">
        <f ca="1">IF(NOTA[[#This Row],[ID_H]]="","",MATCH(NOTA[[#This Row],[NB NOTA_C_QTY]],[4]!db[NB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12</v>
      </c>
      <c r="E108" s="46"/>
      <c r="F108" s="37"/>
      <c r="G108" s="37"/>
      <c r="H108" s="47"/>
      <c r="I108" s="37"/>
      <c r="J108" s="39"/>
      <c r="K108" s="37"/>
      <c r="L108" s="37" t="s">
        <v>109</v>
      </c>
      <c r="M108" s="40">
        <v>1</v>
      </c>
      <c r="O108" s="37"/>
      <c r="P108" s="41"/>
      <c r="Q108" s="42">
        <v>3240000</v>
      </c>
      <c r="R108" s="48"/>
      <c r="S108" s="49">
        <v>0.17</v>
      </c>
      <c r="T108" s="44"/>
      <c r="U108" s="44"/>
      <c r="V108" s="50"/>
      <c r="W108" s="45"/>
      <c r="X108" s="50">
        <f>IF(NOTA[[#This Row],[HARGA/ CTN]]="",NOTA[[#This Row],[JUMLAH_H]],NOTA[[#This Row],[HARGA/ CTN]]*IF(NOTA[[#This Row],[C]]="",0,NOTA[[#This Row],[C]]))</f>
        <v>3240000</v>
      </c>
      <c r="Y108" s="50">
        <f>IF(NOTA[[#This Row],[JUMLAH]]="","",NOTA[[#This Row],[JUMLAH]]*NOTA[[#This Row],[DISC 1]])</f>
        <v>550800</v>
      </c>
      <c r="Z108" s="50">
        <f>IF(NOTA[[#This Row],[JUMLAH]]="","",(NOTA[[#This Row],[JUMLAH]]-NOTA[[#This Row],[DISC 1-]])*NOTA[[#This Row],[DISC 2]])</f>
        <v>0</v>
      </c>
      <c r="AA108" s="50">
        <f>IF(NOTA[[#This Row],[JUMLAH]]="","",(NOTA[[#This Row],[JUMLAH]]-NOTA[[#This Row],[DISC 1-]]-NOTA[[#This Row],[DISC 2-]])*NOTA[[#This Row],[DISC 3]])</f>
        <v>0</v>
      </c>
      <c r="AB108" s="50">
        <f>IF(NOTA[[#This Row],[JUMLAH]]="","",NOTA[[#This Row],[DISC 1-]]+NOTA[[#This Row],[DISC 2-]]+NOTA[[#This Row],[DISC 3-]])</f>
        <v>550800</v>
      </c>
      <c r="AC108" s="50">
        <f>IF(NOTA[[#This Row],[JUMLAH]]="","",NOTA[[#This Row],[JUMLAH]]-NOTA[[#This Row],[DISC]])</f>
        <v>2689200</v>
      </c>
      <c r="AD108" s="50"/>
      <c r="AE1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6246888</v>
      </c>
      <c r="AF1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30499512</v>
      </c>
      <c r="AG108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108" s="50" t="str">
        <f>IF(OR(NOTA[[#This Row],[QTY]]="",NOTA[[#This Row],[HARGA SATUAN]]="",),"",NOTA[[#This Row],[QTY]]*NOTA[[#This Row],[HARGA SATUAN]])</f>
        <v/>
      </c>
      <c r="AI108" s="39">
        <f ca="1">IF(NOTA[ID_H]="","",INDEX(NOTA[TANGGAL],MATCH(,INDIRECT(ADDRESS(ROW(NOTA[TANGGAL]),COLUMN(NOTA[TANGGAL]))&amp;":"&amp;ADDRESS(ROW(),COLUMN(NOTA[TANGGAL]))),-1)))</f>
        <v>45297</v>
      </c>
      <c r="AJ108" s="41" t="str">
        <f ca="1">IF(NOTA[[#This Row],[NAMA BARANG]]="","",INDEX(NOTA[SUPPLIER],MATCH(,INDIRECT(ADDRESS(ROW(NOTA[ID]),COLUMN(NOTA[ID]))&amp;":"&amp;ADDRESS(ROW(),COLUMN(NOTA[ID]))),-1)))</f>
        <v>KENKO SINAR INDONESIA</v>
      </c>
      <c r="AK108" s="41" t="str">
        <f ca="1">IF(NOTA[[#This Row],[ID_H]]="","",IF(NOTA[[#This Row],[FAKTUR]]="",INDIRECT(ADDRESS(ROW()-1,COLUMN())),NOTA[[#This Row],[FAKTUR]]))</f>
        <v>ARTO MORO</v>
      </c>
      <c r="AL108" s="38" t="str">
        <f ca="1">IF(NOTA[[#This Row],[ID]]="","",COUNTIF(NOTA[ID_H],NOTA[[#This Row],[ID_H]]))</f>
        <v/>
      </c>
      <c r="AM108" s="38">
        <f ca="1">IF(NOTA[[#This Row],[TGL.NOTA]]="",IF(NOTA[[#This Row],[SUPPLIER_H]]="","",AM107),MONTH(NOTA[[#This Row],[TGL.NOTA]]))</f>
        <v>1</v>
      </c>
      <c r="AN108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>
        <f>IF(NOTA[[#This Row],[CONCAT1]]="","",MATCH(NOTA[[#This Row],[CONCAT1]],[3]!db[NB NOTA_C],0))</f>
        <v>1733</v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>18 GRS</v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W108" s="38" t="e">
        <f ca="1">IF(NOTA[[#This Row],[ID_H]]="","",MATCH(NOTA[[#This Row],[NB NOTA_C_QTY]],[4]!db[NB NOTA_C_QTY+F],0))</f>
        <v>#REF!</v>
      </c>
      <c r="AX108" s="53">
        <f ca="1">IF(NOTA[[#This Row],[NB NOTA_C_QTY]]="","",ROW()-2)</f>
        <v>106</v>
      </c>
    </row>
    <row r="109" spans="1:50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 t="str">
        <f ca="1">IF(NOTA[[#This Row],[NAMA BARANG]]="","",INDEX(NOTA[ID],MATCH(,INDIRECT(ADDRESS(ROW(NOTA[ID]),COLUMN(NOTA[ID]))&amp;":"&amp;ADDRESS(ROW(),COLUMN(NOTA[ID]))),-1)))</f>
        <v/>
      </c>
      <c r="E109" s="46"/>
      <c r="F109" s="37"/>
      <c r="G109" s="37"/>
      <c r="H109" s="47"/>
      <c r="I109" s="37"/>
      <c r="J109" s="39"/>
      <c r="K109" s="37"/>
      <c r="L109" s="37"/>
      <c r="M109" s="40"/>
      <c r="O109" s="37"/>
      <c r="P109" s="41"/>
      <c r="Q109" s="42"/>
      <c r="R109" s="48"/>
      <c r="S109" s="49"/>
      <c r="T109" s="44"/>
      <c r="U109" s="44"/>
      <c r="V109" s="50"/>
      <c r="W109" s="45"/>
      <c r="X109" s="50" t="str">
        <f>IF(NOTA[[#This Row],[HARGA/ CTN]]="",NOTA[[#This Row],[JUMLAH_H]],NOTA[[#This Row],[HARGA/ CTN]]*IF(NOTA[[#This Row],[C]]="",0,NOTA[[#This Row],[C]]))</f>
        <v/>
      </c>
      <c r="Y109" s="50" t="str">
        <f>IF(NOTA[[#This Row],[JUMLAH]]="","",NOTA[[#This Row],[JUMLAH]]*NOTA[[#This Row],[DISC 1]])</f>
        <v/>
      </c>
      <c r="Z109" s="50" t="str">
        <f>IF(NOTA[[#This Row],[JUMLAH]]="","",(NOTA[[#This Row],[JUMLAH]]-NOTA[[#This Row],[DISC 1-]])*NOTA[[#This Row],[DISC 2]])</f>
        <v/>
      </c>
      <c r="AA109" s="50" t="str">
        <f>IF(NOTA[[#This Row],[JUMLAH]]="","",(NOTA[[#This Row],[JUMLAH]]-NOTA[[#This Row],[DISC 1-]]-NOTA[[#This Row],[DISC 2-]])*NOTA[[#This Row],[DISC 3]])</f>
        <v/>
      </c>
      <c r="AB109" s="50" t="str">
        <f>IF(NOTA[[#This Row],[JUMLAH]]="","",NOTA[[#This Row],[DISC 1-]]+NOTA[[#This Row],[DISC 2-]]+NOTA[[#This Row],[DISC 3-]])</f>
        <v/>
      </c>
      <c r="AC109" s="50" t="str">
        <f>IF(NOTA[[#This Row],[JUMLAH]]="","",NOTA[[#This Row],[JUMLAH]]-NOTA[[#This Row],[DISC]])</f>
        <v/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9" s="50" t="str">
        <f>IF(OR(NOTA[[#This Row],[QTY]]="",NOTA[[#This Row],[HARGA SATUAN]]="",),"",NOTA[[#This Row],[QTY]]*NOTA[[#This Row],[HARGA SATUAN]])</f>
        <v/>
      </c>
      <c r="AI109" s="39" t="str">
        <f ca="1">IF(NOTA[ID_H]="","",INDEX(NOTA[TANGGAL],MATCH(,INDIRECT(ADDRESS(ROW(NOTA[TANGGAL]),COLUMN(NOTA[TANGGAL]))&amp;":"&amp;ADDRESS(ROW(),COLUMN(NOTA[TANGGAL]))),-1)))</f>
        <v/>
      </c>
      <c r="AJ109" s="41" t="str">
        <f ca="1">IF(NOTA[[#This Row],[NAMA BARANG]]="","",INDEX(NOTA[SUPPLIER],MATCH(,INDIRECT(ADDRESS(ROW(NOTA[ID]),COLUMN(NOTA[ID]))&amp;":"&amp;ADDRESS(ROW(),COLUMN(NOTA[ID]))),-1)))</f>
        <v/>
      </c>
      <c r="AK109" s="41" t="str">
        <f ca="1">IF(NOTA[[#This Row],[ID_H]]="","",IF(NOTA[[#This Row],[FAKTUR]]="",INDIRECT(ADDRESS(ROW()-1,COLUMN())),NOTA[[#This Row],[FAKTUR]]))</f>
        <v/>
      </c>
      <c r="AL109" s="38" t="str">
        <f ca="1">IF(NOTA[[#This Row],[ID]]="","",COUNTIF(NOTA[ID_H],NOTA[[#This Row],[ID_H]]))</f>
        <v/>
      </c>
      <c r="AM109" s="38" t="str">
        <f ca="1">IF(NOTA[[#This Row],[TGL.NOTA]]="",IF(NOTA[[#This Row],[SUPPLIER_H]]="","",AM108),MONTH(NOTA[[#This Row],[TGL.NOTA]]))</f>
        <v/>
      </c>
      <c r="AN109" s="38" t="str">
        <f>LOWER(SUBSTITUTE(SUBSTITUTE(SUBSTITUTE(SUBSTITUTE(SUBSTITUTE(SUBSTITUTE(SUBSTITUTE(SUBSTITUTE(SUBSTITUTE(NOTA[NAMA BARANG]," ",),".",""),"-",""),"(",""),")",""),",",""),"/",""),"""",""),"+",""))</f>
        <v/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38" t="str">
        <f>IF(NOTA[[#This Row],[CONCAT4]]="","",_xlfn.IFNA(MATCH(NOTA[[#This Row],[CONCAT4]],[2]!RAW[CONCAT_H],0),FALSE))</f>
        <v/>
      </c>
      <c r="AS109" s="38" t="str">
        <f>IF(NOTA[[#This Row],[CONCAT1]]="","",MATCH(NOTA[[#This Row],[CONCAT1]],[3]!db[NB NOTA_C],0))</f>
        <v/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CTN]],INDEX([3]!db[QTY/ CTN],NOTA[[#This Row],[//DB]])))</f>
        <v/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9" s="38" t="str">
        <f ca="1">IF(NOTA[[#This Row],[ID_H]]="","",MATCH(NOTA[[#This Row],[NB NOTA_C_QTY]],[4]!db[NB NOTA_C_QTY+F],0))</f>
        <v/>
      </c>
      <c r="AX109" s="53" t="str">
        <f ca="1">IF(NOTA[[#This Row],[NB NOTA_C_QTY]]="","",ROW()-2)</f>
        <v/>
      </c>
    </row>
    <row r="110" spans="1:50" s="38" customFormat="1" ht="20.100000000000001" customHeight="1" x14ac:dyDescent="0.25">
      <c r="A110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1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RAP_0801_-24-2</v>
      </c>
      <c r="C110" s="38" t="e">
        <f ca="1">IF(NOTA[[#This Row],[ID_P]]="","",MATCH(NOTA[[#This Row],[ID_P]],[1]!B_MSK[N_ID],0))</f>
        <v>#REF!</v>
      </c>
      <c r="D110" s="38">
        <f ca="1">IF(NOTA[[#This Row],[NAMA BARANG]]="","",INDEX(NOTA[ID],MATCH(,INDIRECT(ADDRESS(ROW(NOTA[ID]),COLUMN(NOTA[ID]))&amp;":"&amp;ADDRESS(ROW(),COLUMN(NOTA[ID]))),-1)))</f>
        <v>13</v>
      </c>
      <c r="E110" s="46">
        <v>45299</v>
      </c>
      <c r="F110" s="37" t="s">
        <v>57</v>
      </c>
      <c r="G110" s="37" t="s">
        <v>23</v>
      </c>
      <c r="H110" s="47" t="s">
        <v>234</v>
      </c>
      <c r="I110" s="37"/>
      <c r="J110" s="39">
        <v>45294</v>
      </c>
      <c r="K110" s="37"/>
      <c r="L110" s="37" t="s">
        <v>235</v>
      </c>
      <c r="M110" s="40">
        <v>3</v>
      </c>
      <c r="N110" s="38">
        <v>288</v>
      </c>
      <c r="O110" s="37" t="s">
        <v>111</v>
      </c>
      <c r="P110" s="41">
        <v>26500</v>
      </c>
      <c r="Q110" s="42"/>
      <c r="R110" s="48"/>
      <c r="S110" s="49">
        <v>0.03</v>
      </c>
      <c r="T110" s="44"/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7632000</v>
      </c>
      <c r="Y110" s="50">
        <f>IF(NOTA[[#This Row],[JUMLAH]]="","",NOTA[[#This Row],[JUMLAH]]*NOTA[[#This Row],[DISC 1]])</f>
        <v>228960</v>
      </c>
      <c r="Z110" s="50">
        <f>IF(NOTA[[#This Row],[JUMLAH]]="","",(NOTA[[#This Row],[JUMLAH]]-NOTA[[#This Row],[DISC 1-]])*NOTA[[#This Row],[DISC 2]])</f>
        <v>0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228960</v>
      </c>
      <c r="AC110" s="50">
        <f>IF(NOTA[[#This Row],[JUMLAH]]="","",NOTA[[#This Row],[JUMLAH]]-NOTA[[#This Row],[DISC]])</f>
        <v>7403040</v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0" s="50">
        <f>IF(OR(NOTA[[#This Row],[QTY]]="",NOTA[[#This Row],[HARGA SATUAN]]="",),"",NOTA[[#This Row],[QTY]]*NOTA[[#This Row],[HARGA SATUAN]])</f>
        <v>7632000</v>
      </c>
      <c r="AI110" s="39">
        <f ca="1">IF(NOTA[ID_H]="","",INDEX(NOTA[TANGGAL],MATCH(,INDIRECT(ADDRESS(ROW(NOTA[TANGGAL]),COLUMN(NOTA[TANGGAL]))&amp;":"&amp;ADDRESS(ROW(),COLUMN(NOTA[TANGGAL]))),-1)))</f>
        <v>45299</v>
      </c>
      <c r="AJ110" s="41" t="str">
        <f ca="1">IF(NOTA[[#This Row],[NAMA BARANG]]="","",INDEX(NOTA[SUPPLIER],MATCH(,INDIRECT(ADDRESS(ROW(NOTA[ID]),COLUMN(NOTA[ID]))&amp;":"&amp;ADDRESS(ROW(),COLUMN(NOTA[ID]))),-1)))</f>
        <v>RAPINAN BROTHER</v>
      </c>
      <c r="AK110" s="41" t="str">
        <f ca="1">IF(NOTA[[#This Row],[ID_H]]="","",IF(NOTA[[#This Row],[FAKTUR]]="",INDIRECT(ADDRESS(ROW()-1,COLUMN())),NOTA[[#This Row],[FAKTUR]]))</f>
        <v>ARTO MORO</v>
      </c>
      <c r="AL110" s="38">
        <f ca="1">IF(NOTA[[#This Row],[ID]]="","",COUNTIF(NOTA[ID_H],NOTA[[#This Row],[ID_H]]))</f>
        <v>2</v>
      </c>
      <c r="AM110" s="38">
        <f>IF(NOTA[[#This Row],[TGL.NOTA]]="",IF(NOTA[[#This Row],[SUPPLIER_H]]="","",AM109),MONTH(NOTA[[#This Row],[TGL.NOTA]]))</f>
        <v>1</v>
      </c>
      <c r="AN110" s="38" t="str">
        <f>LOWER(SUBSTITUTE(SUBSTITUTE(SUBSTITUTE(SUBSTITUTE(SUBSTITUTE(SUBSTITUTE(SUBSTITUTE(SUBSTITUTE(SUBSTITUTE(NOTA[NAMA BARANG]," ",),".",""),"-",""),"(",""),")",""),",",""),"/",""),"""",""),"+",""))</f>
        <v>ballpengeltf1190htmhightech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ballpengeltf1190htmhightech25440000.03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ballpengeltf1190htmhightech25440000.03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MOROHMP/001/01-2445294ballpengeltf1190htmhightech</v>
      </c>
      <c r="AR110" s="38" t="e">
        <f>IF(NOTA[[#This Row],[CONCAT4]]="","",_xlfn.IFNA(MATCH(NOTA[[#This Row],[CONCAT4]],[2]!RAW[CONCAT_H],0),FALSE))</f>
        <v>#REF!</v>
      </c>
      <c r="AS110" s="38" t="e">
        <f>IF(NOTA[[#This Row],[CONCAT1]]="","",MATCH(NOTA[[#This Row],[CONCAT1]],[3]!db[NB NOTA_C],0))</f>
        <v>#N/A</v>
      </c>
      <c r="AT110" s="38" t="str">
        <f>IF(NOTA[[#This Row],[QTY/ CTN]]="","",TRUE)</f>
        <v/>
      </c>
      <c r="AU110" s="38" t="e">
        <f ca="1">IF(NOTA[[#This Row],[ID_H]]="","",IF(NOTA[[#This Row],[Column3]]=TRUE,NOTA[[#This Row],[QTY/ CTN]],INDEX([3]!db[QTY/ CTN],NOTA[[#This Row],[//DB]])))</f>
        <v>#N/A</v>
      </c>
      <c r="AV11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10" s="38" t="e">
        <f ca="1">IF(NOTA[[#This Row],[ID_H]]="","",MATCH(NOTA[[#This Row],[NB NOTA_C_QTY]],[4]!db[NB NOTA_C_QTY+F],0))</f>
        <v>#N/A</v>
      </c>
      <c r="AX110" s="53" t="e">
        <f ca="1">IF(NOTA[[#This Row],[NB NOTA_C_QTY]]="","",ROW()-2)</f>
        <v>#N/A</v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>
        <f ca="1">IF(NOTA[[#This Row],[NAMA BARANG]]="","",INDEX(NOTA[ID],MATCH(,INDIRECT(ADDRESS(ROW(NOTA[ID]),COLUMN(NOTA[ID]))&amp;":"&amp;ADDRESS(ROW(),COLUMN(NOTA[ID]))),-1)))</f>
        <v>13</v>
      </c>
      <c r="E111" s="46"/>
      <c r="F111" s="37"/>
      <c r="G111" s="37"/>
      <c r="H111" s="47"/>
      <c r="I111" s="37"/>
      <c r="J111" s="39"/>
      <c r="K111" s="37"/>
      <c r="L111" s="37" t="s">
        <v>236</v>
      </c>
      <c r="M111" s="40">
        <v>2</v>
      </c>
      <c r="N111" s="38">
        <v>192</v>
      </c>
      <c r="O111" s="37" t="s">
        <v>111</v>
      </c>
      <c r="P111" s="41">
        <v>26500</v>
      </c>
      <c r="Q111" s="42"/>
      <c r="R111" s="48"/>
      <c r="S111" s="49">
        <v>0.03</v>
      </c>
      <c r="T111" s="44"/>
      <c r="U111" s="44"/>
      <c r="V111" s="50"/>
      <c r="W111" s="45"/>
      <c r="X111" s="50">
        <f>IF(NOTA[[#This Row],[HARGA/ CTN]]="",NOTA[[#This Row],[JUMLAH_H]],NOTA[[#This Row],[HARGA/ CTN]]*IF(NOTA[[#This Row],[C]]="",0,NOTA[[#This Row],[C]]))</f>
        <v>5088000</v>
      </c>
      <c r="Y111" s="50">
        <f>IF(NOTA[[#This Row],[JUMLAH]]="","",NOTA[[#This Row],[JUMLAH]]*NOTA[[#This Row],[DISC 1]])</f>
        <v>152640</v>
      </c>
      <c r="Z111" s="50">
        <f>IF(NOTA[[#This Row],[JUMLAH]]="","",(NOTA[[#This Row],[JUMLAH]]-NOTA[[#This Row],[DISC 1-]])*NOTA[[#This Row],[DISC 2]])</f>
        <v>0</v>
      </c>
      <c r="AA111" s="50">
        <f>IF(NOTA[[#This Row],[JUMLAH]]="","",(NOTA[[#This Row],[JUMLAH]]-NOTA[[#This Row],[DISC 1-]]-NOTA[[#This Row],[DISC 2-]])*NOTA[[#This Row],[DISC 3]])</f>
        <v>0</v>
      </c>
      <c r="AB111" s="50">
        <f>IF(NOTA[[#This Row],[JUMLAH]]="","",NOTA[[#This Row],[DISC 1-]]+NOTA[[#This Row],[DISC 2-]]+NOTA[[#This Row],[DISC 3-]])</f>
        <v>152640</v>
      </c>
      <c r="AC111" s="50">
        <f>IF(NOTA[[#This Row],[JUMLAH]]="","",NOTA[[#This Row],[JUMLAH]]-NOTA[[#This Row],[DISC]])</f>
        <v>4935360</v>
      </c>
      <c r="AD111" s="50"/>
      <c r="AE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381600</v>
      </c>
      <c r="AF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12338400</v>
      </c>
      <c r="AG11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1" s="50">
        <f>IF(OR(NOTA[[#This Row],[QTY]]="",NOTA[[#This Row],[HARGA SATUAN]]="",),"",NOTA[[#This Row],[QTY]]*NOTA[[#This Row],[HARGA SATUAN]])</f>
        <v>5088000</v>
      </c>
      <c r="AI111" s="39">
        <f ca="1">IF(NOTA[ID_H]="","",INDEX(NOTA[TANGGAL],MATCH(,INDIRECT(ADDRESS(ROW(NOTA[TANGGAL]),COLUMN(NOTA[TANGGAL]))&amp;":"&amp;ADDRESS(ROW(),COLUMN(NOTA[TANGGAL]))),-1)))</f>
        <v>45299</v>
      </c>
      <c r="AJ111" s="41" t="str">
        <f ca="1">IF(NOTA[[#This Row],[NAMA BARANG]]="","",INDEX(NOTA[SUPPLIER],MATCH(,INDIRECT(ADDRESS(ROW(NOTA[ID]),COLUMN(NOTA[ID]))&amp;":"&amp;ADDRESS(ROW(),COLUMN(NOTA[ID]))),-1)))</f>
        <v>RAPINAN BROTHER</v>
      </c>
      <c r="AK111" s="41" t="str">
        <f ca="1">IF(NOTA[[#This Row],[ID_H]]="","",IF(NOTA[[#This Row],[FAKTUR]]="",INDIRECT(ADDRESS(ROW()-1,COLUMN())),NOTA[[#This Row],[FAKTUR]]))</f>
        <v>ARTO MORO</v>
      </c>
      <c r="AL111" s="38" t="str">
        <f ca="1">IF(NOTA[[#This Row],[ID]]="","",COUNTIF(NOTA[ID_H],NOTA[[#This Row],[ID_H]]))</f>
        <v/>
      </c>
      <c r="AM111" s="38">
        <f ca="1">IF(NOTA[[#This Row],[TGL.NOTA]]="",IF(NOTA[[#This Row],[SUPPLIER_H]]="","",AM110),MONTH(NOTA[[#This Row],[TGL.NOTA]]))</f>
        <v>1</v>
      </c>
      <c r="AN111" s="38" t="str">
        <f>LOWER(SUBSTITUTE(SUBSTITUTE(SUBSTITUTE(SUBSTITUTE(SUBSTITUTE(SUBSTITUTE(SUBSTITUTE(SUBSTITUTE(SUBSTITUTE(NOTA[NAMA BARANG]," ",),".",""),"-",""),"(",""),")",""),",",""),"/",""),"""",""),"+",""))</f>
        <v>ballpengeltf1190brhightech</v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ballpengeltf1190brhightech25440000.03</v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ballpengeltf1190brhightech25440000.03</v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 t="e">
        <f>IF(NOTA[[#This Row],[CONCAT1]]="","",MATCH(NOTA[[#This Row],[CONCAT1]],[3]!db[NB NOTA_C],0))</f>
        <v>#N/A</v>
      </c>
      <c r="AT111" s="38" t="str">
        <f>IF(NOTA[[#This Row],[QTY/ CTN]]="","",TRUE)</f>
        <v/>
      </c>
      <c r="AU111" s="38" t="e">
        <f ca="1">IF(NOTA[[#This Row],[ID_H]]="","",IF(NOTA[[#This Row],[Column3]]=TRUE,NOTA[[#This Row],[QTY/ CTN]],INDEX([3]!db[QTY/ CTN],NOTA[[#This Row],[//DB]])))</f>
        <v>#N/A</v>
      </c>
      <c r="AV11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11" s="38" t="e">
        <f ca="1">IF(NOTA[[#This Row],[ID_H]]="","",MATCH(NOTA[[#This Row],[NB NOTA_C_QTY]],[4]!db[NB NOTA_C_QTY+F],0))</f>
        <v>#N/A</v>
      </c>
      <c r="AX111" s="53" t="e">
        <f ca="1">IF(NOTA[[#This Row],[NB NOTA_C_QTY]]="","",ROW()-2)</f>
        <v>#N/A</v>
      </c>
    </row>
    <row r="112" spans="1:50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/>
      <c r="F112" s="37"/>
      <c r="G112" s="37"/>
      <c r="H112" s="47"/>
      <c r="I112" s="37"/>
      <c r="J112" s="39"/>
      <c r="K112" s="37"/>
      <c r="L112" s="37"/>
      <c r="M112" s="40"/>
      <c r="O112" s="37"/>
      <c r="P112" s="41"/>
      <c r="Q112" s="42"/>
      <c r="R112" s="48"/>
      <c r="S112" s="49"/>
      <c r="T112" s="44"/>
      <c r="U112" s="44"/>
      <c r="V112" s="50"/>
      <c r="W112" s="45"/>
      <c r="X112" s="50" t="str">
        <f>IF(NOTA[[#This Row],[HARGA/ CTN]]="",NOTA[[#This Row],[JUMLAH_H]],NOTA[[#This Row],[HARGA/ CTN]]*IF(NOTA[[#This Row],[C]]="",0,NOTA[[#This Row],[C]]))</f>
        <v/>
      </c>
      <c r="Y112" s="50" t="str">
        <f>IF(NOTA[[#This Row],[JUMLAH]]="","",NOTA[[#This Row],[JUMLAH]]*NOTA[[#This Row],[DISC 1]])</f>
        <v/>
      </c>
      <c r="Z112" s="50" t="str">
        <f>IF(NOTA[[#This Row],[JUMLAH]]="","",(NOTA[[#This Row],[JUMLAH]]-NOTA[[#This Row],[DISC 1-]])*NOTA[[#This Row],[DISC 2]])</f>
        <v/>
      </c>
      <c r="AA112" s="50" t="str">
        <f>IF(NOTA[[#This Row],[JUMLAH]]="","",(NOTA[[#This Row],[JUMLAH]]-NOTA[[#This Row],[DISC 1-]]-NOTA[[#This Row],[DISC 2-]])*NOTA[[#This Row],[DISC 3]])</f>
        <v/>
      </c>
      <c r="AB112" s="50" t="str">
        <f>IF(NOTA[[#This Row],[JUMLAH]]="","",NOTA[[#This Row],[DISC 1-]]+NOTA[[#This Row],[DISC 2-]]+NOTA[[#This Row],[DISC 3-]])</f>
        <v/>
      </c>
      <c r="AC112" s="50" t="str">
        <f>IF(NOTA[[#This Row],[JUMLAH]]="","",NOTA[[#This Row],[JUMLAH]]-NOTA[[#This Row],[DISC]])</f>
        <v/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2" s="50" t="str">
        <f>IF(OR(NOTA[[#This Row],[QTY]]="",NOTA[[#This Row],[HARGA SATUAN]]="",),"",NOTA[[#This Row],[QTY]]*NOTA[[#This Row],[HARGA SATUAN]])</f>
        <v/>
      </c>
      <c r="AI112" s="39" t="str">
        <f ca="1">IF(NOTA[ID_H]="","",INDEX(NOTA[TANGGAL],MATCH(,INDIRECT(ADDRESS(ROW(NOTA[TANGGAL]),COLUMN(NOTA[TANGGAL]))&amp;":"&amp;ADDRESS(ROW(),COLUMN(NOTA[TANGGAL]))),-1)))</f>
        <v/>
      </c>
      <c r="AJ112" s="41" t="str">
        <f ca="1">IF(NOTA[[#This Row],[NAMA BARANG]]="","",INDEX(NOTA[SUPPLIER],MATCH(,INDIRECT(ADDRESS(ROW(NOTA[ID]),COLUMN(NOTA[ID]))&amp;":"&amp;ADDRESS(ROW(),COLUMN(NOTA[ID]))),-1)))</f>
        <v/>
      </c>
      <c r="AK112" s="41" t="str">
        <f ca="1">IF(NOTA[[#This Row],[ID_H]]="","",IF(NOTA[[#This Row],[FAKTUR]]="",INDIRECT(ADDRESS(ROW()-1,COLUMN())),NOTA[[#This Row],[FAKTUR]]))</f>
        <v/>
      </c>
      <c r="AL112" s="38" t="str">
        <f ca="1">IF(NOTA[[#This Row],[ID]]="","",COUNTIF(NOTA[ID_H],NOTA[[#This Row],[ID_H]]))</f>
        <v/>
      </c>
      <c r="AM112" s="38" t="str">
        <f ca="1">IF(NOTA[[#This Row],[TGL.NOTA]]="",IF(NOTA[[#This Row],[SUPPLIER_H]]="","",AM111),MONTH(NOTA[[#This Row],[TGL.NOTA]]))</f>
        <v/>
      </c>
      <c r="AN112" s="38" t="str">
        <f>LOWER(SUBSTITUTE(SUBSTITUTE(SUBSTITUTE(SUBSTITUTE(SUBSTITUTE(SUBSTITUTE(SUBSTITUTE(SUBSTITUTE(SUBSTITUTE(NOTA[NAMA BARANG]," ",),".",""),"-",""),"(",""),")",""),",",""),"/",""),"""",""),"+",""))</f>
        <v/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2" s="38" t="str">
        <f>IF(NOTA[[#This Row],[CONCAT4]]="","",_xlfn.IFNA(MATCH(NOTA[[#This Row],[CONCAT4]],[2]!RAW[CONCAT_H],0),FALSE))</f>
        <v/>
      </c>
      <c r="AS112" s="38" t="str">
        <f>IF(NOTA[[#This Row],[CONCAT1]]="","",MATCH(NOTA[[#This Row],[CONCAT1]],[3]!db[NB NOTA_C],0))</f>
        <v/>
      </c>
      <c r="AT112" s="38" t="str">
        <f>IF(NOTA[[#This Row],[QTY/ CTN]]="","",TRUE)</f>
        <v/>
      </c>
      <c r="AU112" s="38" t="str">
        <f ca="1">IF(NOTA[[#This Row],[ID_H]]="","",IF(NOTA[[#This Row],[Column3]]=TRUE,NOTA[[#This Row],[QTY/ CTN]],INDEX([3]!db[QTY/ CTN],NOTA[[#This Row],[//DB]])))</f>
        <v/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2" s="38" t="str">
        <f ca="1">IF(NOTA[[#This Row],[ID_H]]="","",MATCH(NOTA[[#This Row],[NB NOTA_C_QTY]],[4]!db[NB NOTA_C_QTY+F],0))</f>
        <v/>
      </c>
      <c r="AX112" s="53" t="str">
        <f ca="1">IF(NOTA[[#This Row],[NB NOTA_C_QTY]]="","",ROW()-2)</f>
        <v/>
      </c>
    </row>
    <row r="113" spans="1:50" s="38" customFormat="1" ht="20.100000000000001" customHeight="1" x14ac:dyDescent="0.25">
      <c r="A11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1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GRA_0401_008-2</v>
      </c>
      <c r="C113" s="38" t="e">
        <f ca="1">IF(NOTA[[#This Row],[ID_P]]="","",MATCH(NOTA[[#This Row],[ID_P]],[1]!B_MSK[N_ID],0))</f>
        <v>#REF!</v>
      </c>
      <c r="D113" s="38">
        <f ca="1">IF(NOTA[[#This Row],[NAMA BARANG]]="","",INDEX(NOTA[ID],MATCH(,INDIRECT(ADDRESS(ROW(NOTA[ID]),COLUMN(NOTA[ID]))&amp;":"&amp;ADDRESS(ROW(),COLUMN(NOTA[ID]))),-1)))</f>
        <v>14</v>
      </c>
      <c r="E113" s="46">
        <v>45295</v>
      </c>
      <c r="F113" s="37" t="s">
        <v>237</v>
      </c>
      <c r="G113" s="37" t="s">
        <v>110</v>
      </c>
      <c r="H113" s="47" t="s">
        <v>238</v>
      </c>
      <c r="I113" s="37"/>
      <c r="J113" s="39">
        <v>45293</v>
      </c>
      <c r="K113" s="37"/>
      <c r="L113" s="37" t="s">
        <v>239</v>
      </c>
      <c r="M113" s="40">
        <v>1</v>
      </c>
      <c r="N113" s="38">
        <v>50</v>
      </c>
      <c r="O113" s="37" t="s">
        <v>111</v>
      </c>
      <c r="P113" s="41">
        <v>15250</v>
      </c>
      <c r="Q113" s="42"/>
      <c r="R113" s="48" t="s">
        <v>240</v>
      </c>
      <c r="S113" s="49"/>
      <c r="T113" s="44"/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762500</v>
      </c>
      <c r="Y113" s="50">
        <f>IF(NOTA[[#This Row],[JUMLAH]]="","",NOTA[[#This Row],[JUMLAH]]*NOTA[[#This Row],[DISC 1]])</f>
        <v>0</v>
      </c>
      <c r="Z113" s="50">
        <f>IF(NOTA[[#This Row],[JUMLAH]]="","",(NOTA[[#This Row],[JUMLAH]]-NOTA[[#This Row],[DISC 1-]])*NOTA[[#This Row],[DISC 2]])</f>
        <v>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0</v>
      </c>
      <c r="AC113" s="50">
        <f>IF(NOTA[[#This Row],[JUMLAH]]="","",NOTA[[#This Row],[JUMLAH]]-NOTA[[#This Row],[DISC]])</f>
        <v>762500</v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13" s="50">
        <f>IF(OR(NOTA[[#This Row],[QTY]]="",NOTA[[#This Row],[HARGA SATUAN]]="",),"",NOTA[[#This Row],[QTY]]*NOTA[[#This Row],[HARGA SATUAN]])</f>
        <v>762500</v>
      </c>
      <c r="AI113" s="39">
        <f ca="1">IF(NOTA[ID_H]="","",INDEX(NOTA[TANGGAL],MATCH(,INDIRECT(ADDRESS(ROW(NOTA[TANGGAL]),COLUMN(NOTA[TANGGAL]))&amp;":"&amp;ADDRESS(ROW(),COLUMN(NOTA[TANGGAL]))),-1)))</f>
        <v>45295</v>
      </c>
      <c r="AJ113" s="41" t="str">
        <f ca="1">IF(NOTA[[#This Row],[NAMA BARANG]]="","",INDEX(NOTA[SUPPLIER],MATCH(,INDIRECT(ADDRESS(ROW(NOTA[ID]),COLUMN(NOTA[ID]))&amp;":"&amp;ADDRESS(ROW(),COLUMN(NOTA[ID]))),-1)))</f>
        <v>GRAFINDO</v>
      </c>
      <c r="AK113" s="41" t="str">
        <f ca="1">IF(NOTA[[#This Row],[ID_H]]="","",IF(NOTA[[#This Row],[FAKTUR]]="",INDIRECT(ADDRESS(ROW()-1,COLUMN())),NOTA[[#This Row],[FAKTUR]]))</f>
        <v>UNTANA</v>
      </c>
      <c r="AL113" s="38">
        <f ca="1">IF(NOTA[[#This Row],[ID]]="","",COUNTIF(NOTA[ID_H],NOTA[[#This Row],[ID_H]]))</f>
        <v>2</v>
      </c>
      <c r="AM113" s="38">
        <f>IF(NOTA[[#This Row],[TGL.NOTA]]="",IF(NOTA[[#This Row],[SUPPLIER_H]]="","",AM111),MONTH(NOTA[[#This Row],[TGL.NOTA]]))</f>
        <v>1</v>
      </c>
      <c r="AN113" s="38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maptalisikaac06biru762500</v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maptalisikaac06biru762500</v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GRAFINDOUNTANAGA-24-01-000845293maptalisikaac06biru</v>
      </c>
      <c r="AR113" s="38" t="e">
        <f>IF(NOTA[[#This Row],[CONCAT4]]="","",_xlfn.IFNA(MATCH(NOTA[[#This Row],[CONCAT4]],[2]!RAW[CONCAT_H],0),FALSE))</f>
        <v>#REF!</v>
      </c>
      <c r="AS113" s="38">
        <f>IF(NOTA[[#This Row],[CONCAT1]]="","",MATCH(NOTA[[#This Row],[CONCAT1]],[3]!db[NB NOTA_C],0))</f>
        <v>2023</v>
      </c>
      <c r="AT113" s="38" t="b">
        <f>IF(NOTA[[#This Row],[QTY/ CTN]]="","",TRUE)</f>
        <v>1</v>
      </c>
      <c r="AU113" s="38" t="str">
        <f ca="1">IF(NOTA[[#This Row],[ID_H]]="","",IF(NOTA[[#This Row],[Column3]]=TRUE,NOTA[[#This Row],[QTY/ CTN]],INDEX([3]!db[QTY/ CTN],NOTA[[#This Row],[//DB]])))</f>
        <v>50 LSN</v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maptalisikaac06biru50lsnuntana</v>
      </c>
      <c r="AW113" s="38" t="e">
        <f ca="1">IF(NOTA[[#This Row],[ID_H]]="","",MATCH(NOTA[[#This Row],[NB NOTA_C_QTY]],[4]!db[NB NOTA_C_QTY+F],0))</f>
        <v>#REF!</v>
      </c>
      <c r="AX113" s="53">
        <f ca="1">IF(NOTA[[#This Row],[NB NOTA_C_QTY]]="","",ROW()-2)</f>
        <v>111</v>
      </c>
    </row>
    <row r="114" spans="1:50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14</v>
      </c>
      <c r="E114" s="46"/>
      <c r="F114" s="37"/>
      <c r="G114" s="37"/>
      <c r="H114" s="47"/>
      <c r="I114" s="37"/>
      <c r="J114" s="39"/>
      <c r="K114" s="37"/>
      <c r="L114" s="37" t="s">
        <v>241</v>
      </c>
      <c r="M114" s="40">
        <v>2</v>
      </c>
      <c r="N114" s="38">
        <v>100</v>
      </c>
      <c r="O114" s="37" t="s">
        <v>111</v>
      </c>
      <c r="P114" s="41">
        <v>15250</v>
      </c>
      <c r="Q114" s="42"/>
      <c r="R114" s="48" t="s">
        <v>240</v>
      </c>
      <c r="S114" s="49"/>
      <c r="T114" s="44"/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1525000</v>
      </c>
      <c r="Y114" s="50">
        <f>IF(NOTA[[#This Row],[JUMLAH]]="","",NOTA[[#This Row],[JUMLAH]]*NOTA[[#This Row],[DISC 1]])</f>
        <v>0</v>
      </c>
      <c r="Z114" s="50">
        <f>IF(NOTA[[#This Row],[JUMLAH]]="","",(NOTA[[#This Row],[JUMLAH]]-NOTA[[#This Row],[DISC 1-]])*NOTA[[#This Row],[DISC 2]])</f>
        <v>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0</v>
      </c>
      <c r="AC114" s="50">
        <f>IF(NOTA[[#This Row],[JUMLAH]]="","",NOTA[[#This Row],[JUMLAH]]-NOTA[[#This Row],[DISC]])</f>
        <v>1525000</v>
      </c>
      <c r="AD114" s="50"/>
      <c r="AE1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2287500</v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14" s="50">
        <f>IF(OR(NOTA[[#This Row],[QTY]]="",NOTA[[#This Row],[HARGA SATUAN]]="",),"",NOTA[[#This Row],[QTY]]*NOTA[[#This Row],[HARGA SATUAN]])</f>
        <v>1525000</v>
      </c>
      <c r="AI114" s="39">
        <f ca="1">IF(NOTA[ID_H]="","",INDEX(NOTA[TANGGAL],MATCH(,INDIRECT(ADDRESS(ROW(NOTA[TANGGAL]),COLUMN(NOTA[TANGGAL]))&amp;":"&amp;ADDRESS(ROW(),COLUMN(NOTA[TANGGAL]))),-1)))</f>
        <v>45295</v>
      </c>
      <c r="AJ114" s="41" t="str">
        <f ca="1">IF(NOTA[[#This Row],[NAMA BARANG]]="","",INDEX(NOTA[SUPPLIER],MATCH(,INDIRECT(ADDRESS(ROW(NOTA[ID]),COLUMN(NOTA[ID]))&amp;":"&amp;ADDRESS(ROW(),COLUMN(NOTA[ID]))),-1)))</f>
        <v>GRAFINDO</v>
      </c>
      <c r="AK114" s="41" t="str">
        <f ca="1">IF(NOTA[[#This Row],[ID_H]]="","",IF(NOTA[[#This Row],[FAKTUR]]="",INDIRECT(ADDRESS(ROW()-1,COLUMN())),NOTA[[#This Row],[FAKTUR]]))</f>
        <v>UNTANA</v>
      </c>
      <c r="AL114" s="38" t="str">
        <f ca="1">IF(NOTA[[#This Row],[ID]]="","",COUNTIF(NOTA[ID_H],NOTA[[#This Row],[ID_H]]))</f>
        <v/>
      </c>
      <c r="AM114" s="38">
        <f ca="1">IF(NOTA[[#This Row],[TGL.NOTA]]="",IF(NOTA[[#This Row],[SUPPLIER_H]]="","",AM113),MONTH(NOTA[[#This Row],[TGL.NOTA]]))</f>
        <v>1</v>
      </c>
      <c r="AN114" s="38" t="str">
        <f>LOWER(SUBSTITUTE(SUBSTITUTE(SUBSTITUTE(SUBSTITUTE(SUBSTITUTE(SUBSTITUTE(SUBSTITUTE(SUBSTITUTE(SUBSTITUTE(NOTA[NAMA BARANG]," ",),".",""),"-",""),"(",""),")",""),",",""),"/",""),"""",""),"+",""))</f>
        <v>maptalisikaac06merah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maptalisikaac06merah762500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maptalisikaac06merah762500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38" t="str">
        <f>IF(NOTA[[#This Row],[CONCAT4]]="","",_xlfn.IFNA(MATCH(NOTA[[#This Row],[CONCAT4]],[2]!RAW[CONCAT_H],0),FALSE))</f>
        <v/>
      </c>
      <c r="AS114" s="38">
        <f>IF(NOTA[[#This Row],[CONCAT1]]="","",MATCH(NOTA[[#This Row],[CONCAT1]],[3]!db[NB NOTA_C],0))</f>
        <v>2026</v>
      </c>
      <c r="AT114" s="38" t="b">
        <f>IF(NOTA[[#This Row],[QTY/ CTN]]="","",TRUE)</f>
        <v>1</v>
      </c>
      <c r="AU114" s="38" t="str">
        <f ca="1">IF(NOTA[[#This Row],[ID_H]]="","",IF(NOTA[[#This Row],[Column3]]=TRUE,NOTA[[#This Row],[QTY/ CTN]],INDEX([3]!db[QTY/ CTN],NOTA[[#This Row],[//DB]])))</f>
        <v>50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maptalisikaac06merah50lsnuntana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 t="str">
        <f ca="1">IF(NOTA[[#This Row],[NAMA BARANG]]="","",INDEX(NOTA[ID],MATCH(,INDIRECT(ADDRESS(ROW(NOTA[ID]),COLUMN(NOTA[ID]))&amp;":"&amp;ADDRESS(ROW(),COLUMN(NOTA[ID]))),-1)))</f>
        <v/>
      </c>
      <c r="E115" s="46"/>
      <c r="F115" s="37"/>
      <c r="G115" s="37"/>
      <c r="H115" s="47"/>
      <c r="I115" s="37"/>
      <c r="J115" s="39"/>
      <c r="K115" s="37"/>
      <c r="L115" s="37"/>
      <c r="M115" s="40"/>
      <c r="O115" s="37"/>
      <c r="P115" s="41"/>
      <c r="Q115" s="42"/>
      <c r="R115" s="48"/>
      <c r="S115" s="49"/>
      <c r="T115" s="44"/>
      <c r="U115" s="44"/>
      <c r="V115" s="50"/>
      <c r="W115" s="45"/>
      <c r="X115" s="50" t="str">
        <f>IF(NOTA[[#This Row],[HARGA/ CTN]]="",NOTA[[#This Row],[JUMLAH_H]],NOTA[[#This Row],[HARGA/ CTN]]*IF(NOTA[[#This Row],[C]]="",0,NOTA[[#This Row],[C]]))</f>
        <v/>
      </c>
      <c r="Y115" s="50" t="str">
        <f>IF(NOTA[[#This Row],[JUMLAH]]="","",NOTA[[#This Row],[JUMLAH]]*NOTA[[#This Row],[DISC 1]])</f>
        <v/>
      </c>
      <c r="Z115" s="50" t="str">
        <f>IF(NOTA[[#This Row],[JUMLAH]]="","",(NOTA[[#This Row],[JUMLAH]]-NOTA[[#This Row],[DISC 1-]])*NOTA[[#This Row],[DISC 2]])</f>
        <v/>
      </c>
      <c r="AA115" s="50" t="str">
        <f>IF(NOTA[[#This Row],[JUMLAH]]="","",(NOTA[[#This Row],[JUMLAH]]-NOTA[[#This Row],[DISC 1-]]-NOTA[[#This Row],[DISC 2-]])*NOTA[[#This Row],[DISC 3]])</f>
        <v/>
      </c>
      <c r="AB115" s="50" t="str">
        <f>IF(NOTA[[#This Row],[JUMLAH]]="","",NOTA[[#This Row],[DISC 1-]]+NOTA[[#This Row],[DISC 2-]]+NOTA[[#This Row],[DISC 3-]])</f>
        <v/>
      </c>
      <c r="AC115" s="50" t="str">
        <f>IF(NOTA[[#This Row],[JUMLAH]]="","",NOTA[[#This Row],[JUMLAH]]-NOTA[[#This Row],[DISC]])</f>
        <v/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5" s="50" t="str">
        <f>IF(OR(NOTA[[#This Row],[QTY]]="",NOTA[[#This Row],[HARGA SATUAN]]="",),"",NOTA[[#This Row],[QTY]]*NOTA[[#This Row],[HARGA SATUAN]])</f>
        <v/>
      </c>
      <c r="AI115" s="39" t="str">
        <f ca="1">IF(NOTA[ID_H]="","",INDEX(NOTA[TANGGAL],MATCH(,INDIRECT(ADDRESS(ROW(NOTA[TANGGAL]),COLUMN(NOTA[TANGGAL]))&amp;":"&amp;ADDRESS(ROW(),COLUMN(NOTA[TANGGAL]))),-1)))</f>
        <v/>
      </c>
      <c r="AJ115" s="41" t="str">
        <f ca="1">IF(NOTA[[#This Row],[NAMA BARANG]]="","",INDEX(NOTA[SUPPLIER],MATCH(,INDIRECT(ADDRESS(ROW(NOTA[ID]),COLUMN(NOTA[ID]))&amp;":"&amp;ADDRESS(ROW(),COLUMN(NOTA[ID]))),-1)))</f>
        <v/>
      </c>
      <c r="AK115" s="41" t="str">
        <f ca="1">IF(NOTA[[#This Row],[ID_H]]="","",IF(NOTA[[#This Row],[FAKTUR]]="",INDIRECT(ADDRESS(ROW()-1,COLUMN())),NOTA[[#This Row],[FAKTUR]]))</f>
        <v/>
      </c>
      <c r="AL115" s="38" t="str">
        <f ca="1">IF(NOTA[[#This Row],[ID]]="","",COUNTIF(NOTA[ID_H],NOTA[[#This Row],[ID_H]]))</f>
        <v/>
      </c>
      <c r="AM115" s="38" t="str">
        <f ca="1">IF(NOTA[[#This Row],[TGL.NOTA]]="",IF(NOTA[[#This Row],[SUPPLIER_H]]="","",AM114),MONTH(NOTA[[#This Row],[TGL.NOTA]]))</f>
        <v/>
      </c>
      <c r="AN115" s="38" t="str">
        <f>LOWER(SUBSTITUTE(SUBSTITUTE(SUBSTITUTE(SUBSTITUTE(SUBSTITUTE(SUBSTITUTE(SUBSTITUTE(SUBSTITUTE(SUBSTITUTE(NOTA[NAMA BARANG]," ",),".",""),"-",""),"(",""),")",""),",",""),"/",""),"""",""),"+",""))</f>
        <v/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 t="str">
        <f>IF(NOTA[[#This Row],[CONCAT1]]="","",MATCH(NOTA[[#This Row],[CONCAT1]],[3]!db[NB NOTA_C],0))</f>
        <v/>
      </c>
      <c r="AT115" s="38" t="str">
        <f>IF(NOTA[[#This Row],[QTY/ CTN]]="","",TRUE)</f>
        <v/>
      </c>
      <c r="AU115" s="38" t="str">
        <f ca="1">IF(NOTA[[#This Row],[ID_H]]="","",IF(NOTA[[#This Row],[Column3]]=TRUE,NOTA[[#This Row],[QTY/ CTN]],INDEX([3]!db[QTY/ CTN],NOTA[[#This Row],[//DB]])))</f>
        <v/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5" s="38" t="str">
        <f ca="1">IF(NOTA[[#This Row],[ID_H]]="","",MATCH(NOTA[[#This Row],[NB NOTA_C_QTY]],[4]!db[NB NOTA_C_QTY+F],0))</f>
        <v/>
      </c>
      <c r="AX115" s="53" t="str">
        <f ca="1">IF(NOTA[[#This Row],[NB NOTA_C_QTY]]="","",ROW()-2)</f>
        <v/>
      </c>
    </row>
    <row r="116" spans="1:50" s="38" customFormat="1" ht="20.100000000000001" customHeight="1" x14ac:dyDescent="0.25">
      <c r="A116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1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COM_0401_105-2</v>
      </c>
      <c r="C116" s="38" t="e">
        <f ca="1">IF(NOTA[[#This Row],[ID_P]]="","",MATCH(NOTA[[#This Row],[ID_P]],[1]!B_MSK[N_ID],0))</f>
        <v>#REF!</v>
      </c>
      <c r="D116" s="38">
        <f ca="1">IF(NOTA[[#This Row],[NAMA BARANG]]="","",INDEX(NOTA[ID],MATCH(,INDIRECT(ADDRESS(ROW(NOTA[ID]),COLUMN(NOTA[ID]))&amp;":"&amp;ADDRESS(ROW(),COLUMN(NOTA[ID]))),-1)))</f>
        <v>15</v>
      </c>
      <c r="E116" s="46">
        <v>45295</v>
      </c>
      <c r="F116" s="37" t="s">
        <v>114</v>
      </c>
      <c r="G116" s="37" t="s">
        <v>110</v>
      </c>
      <c r="H116" s="47" t="s">
        <v>242</v>
      </c>
      <c r="I116" s="37"/>
      <c r="J116" s="39">
        <v>45295</v>
      </c>
      <c r="K116" s="37"/>
      <c r="L116" s="37" t="s">
        <v>133</v>
      </c>
      <c r="M116" s="40">
        <v>1</v>
      </c>
      <c r="N116" s="38">
        <v>8</v>
      </c>
      <c r="O116" s="37" t="s">
        <v>111</v>
      </c>
      <c r="P116" s="41">
        <v>195000</v>
      </c>
      <c r="Q116" s="42"/>
      <c r="R116" s="48" t="s">
        <v>134</v>
      </c>
      <c r="S116" s="49"/>
      <c r="T116" s="44"/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1560000</v>
      </c>
      <c r="Y116" s="50">
        <f>IF(NOTA[[#This Row],[JUMLAH]]="","",NOTA[[#This Row],[JUMLAH]]*NOTA[[#This Row],[DISC 1]])</f>
        <v>0</v>
      </c>
      <c r="Z116" s="50">
        <f>IF(NOTA[[#This Row],[JUMLAH]]="","",(NOTA[[#This Row],[JUMLAH]]-NOTA[[#This Row],[DISC 1-]])*NOTA[[#This Row],[DISC 2]])</f>
        <v>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0</v>
      </c>
      <c r="AC116" s="50">
        <f>IF(NOTA[[#This Row],[JUMLAH]]="","",NOTA[[#This Row],[JUMLAH]]-NOTA[[#This Row],[DISC]])</f>
        <v>1560000</v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16" s="50">
        <f>IF(OR(NOTA[[#This Row],[QTY]]="",NOTA[[#This Row],[HARGA SATUAN]]="",),"",NOTA[[#This Row],[QTY]]*NOTA[[#This Row],[HARGA SATUAN]])</f>
        <v>1560000</v>
      </c>
      <c r="AI116" s="39">
        <f ca="1">IF(NOTA[ID_H]="","",INDEX(NOTA[TANGGAL],MATCH(,INDIRECT(ADDRESS(ROW(NOTA[TANGGAL]),COLUMN(NOTA[TANGGAL]))&amp;":"&amp;ADDRESS(ROW(),COLUMN(NOTA[TANGGAL]))),-1)))</f>
        <v>45295</v>
      </c>
      <c r="AJ116" s="41" t="str">
        <f ca="1">IF(NOTA[[#This Row],[NAMA BARANG]]="","",INDEX(NOTA[SUPPLIER],MATCH(,INDIRECT(ADDRESS(ROW(NOTA[ID]),COLUMN(NOTA[ID]))&amp;":"&amp;ADDRESS(ROW(),COLUMN(NOTA[ID]))),-1)))</f>
        <v>COMBI</v>
      </c>
      <c r="AK116" s="41" t="str">
        <f ca="1">IF(NOTA[[#This Row],[ID_H]]="","",IF(NOTA[[#This Row],[FAKTUR]]="",INDIRECT(ADDRESS(ROW()-1,COLUMN())),NOTA[[#This Row],[FAKTUR]]))</f>
        <v>UNTANA</v>
      </c>
      <c r="AL116" s="38">
        <f ca="1">IF(NOTA[[#This Row],[ID]]="","",COUNTIF(NOTA[ID_H],NOTA[[#This Row],[ID_H]]))</f>
        <v>2</v>
      </c>
      <c r="AM116" s="38">
        <f>IF(NOTA[[#This Row],[TGL.NOTA]]="",IF(NOTA[[#This Row],[SUPPLIER_H]]="","",AM115),MONTH(NOTA[[#This Row],[TGL.NOTA]]))</f>
        <v>1</v>
      </c>
      <c r="AN116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COMBIUNTANA010545295docritprestige</v>
      </c>
      <c r="AR116" s="38" t="e">
        <f>IF(NOTA[[#This Row],[CONCAT4]]="","",_xlfn.IFNA(MATCH(NOTA[[#This Row],[CONCAT4]],[2]!RAW[CONCAT_H],0),FALSE))</f>
        <v>#REF!</v>
      </c>
      <c r="AS116" s="38">
        <f>IF(NOTA[[#This Row],[CONCAT1]]="","",MATCH(NOTA[[#This Row],[CONCAT1]],[3]!db[NB NOTA_C],0))</f>
        <v>852</v>
      </c>
      <c r="AT116" s="38" t="b">
        <f>IF(NOTA[[#This Row],[QTY/ CTN]]="","",TRUE)</f>
        <v>1</v>
      </c>
      <c r="AU116" s="38" t="str">
        <f ca="1">IF(NOTA[[#This Row],[ID_H]]="","",IF(NOTA[[#This Row],[Column3]]=TRUE,NOTA[[#This Row],[QTY/ CTN]],INDEX([3]!db[QTY/ CTN],NOTA[[#This Row],[//DB]])))</f>
        <v>8 LSN</v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16" s="38" t="e">
        <f ca="1">IF(NOTA[[#This Row],[ID_H]]="","",MATCH(NOTA[[#This Row],[NB NOTA_C_QTY]],[4]!db[NB NOTA_C_QTY+F],0))</f>
        <v>#REF!</v>
      </c>
      <c r="AX116" s="53">
        <f ca="1">IF(NOTA[[#This Row],[NB NOTA_C_QTY]]="","",ROW()-2)</f>
        <v>114</v>
      </c>
    </row>
    <row r="117" spans="1:50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15</v>
      </c>
      <c r="E117" s="46"/>
      <c r="F117" s="37"/>
      <c r="G117" s="37"/>
      <c r="H117" s="47"/>
      <c r="I117" s="37"/>
      <c r="J117" s="39"/>
      <c r="K117" s="37"/>
      <c r="L117" s="37" t="s">
        <v>133</v>
      </c>
      <c r="M117" s="40">
        <v>1</v>
      </c>
      <c r="N117" s="38">
        <v>8</v>
      </c>
      <c r="O117" s="37" t="s">
        <v>111</v>
      </c>
      <c r="P117" s="41">
        <v>180000</v>
      </c>
      <c r="Q117" s="42"/>
      <c r="R117" s="48" t="s">
        <v>134</v>
      </c>
      <c r="S117" s="49"/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1440000</v>
      </c>
      <c r="Y117" s="50">
        <f>IF(NOTA[[#This Row],[JUMLAH]]="","",NOTA[[#This Row],[JUMLAH]]*NOTA[[#This Row],[DISC 1]])</f>
        <v>0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0</v>
      </c>
      <c r="AC117" s="50">
        <f>IF(NOTA[[#This Row],[JUMLAH]]="","",NOTA[[#This Row],[JUMLAH]]-NOTA[[#This Row],[DISC]])</f>
        <v>1440000</v>
      </c>
      <c r="AD117" s="50"/>
      <c r="AE1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7" s="50">
        <f>IF(OR(NOTA[[#This Row],[QTY]]="",NOTA[[#This Row],[HARGA SATUAN]]="",),"",NOTA[[#This Row],[QTY]]*NOTA[[#This Row],[HARGA SATUAN]])</f>
        <v>1440000</v>
      </c>
      <c r="AI117" s="39">
        <f ca="1">IF(NOTA[ID_H]="","",INDEX(NOTA[TANGGAL],MATCH(,INDIRECT(ADDRESS(ROW(NOTA[TANGGAL]),COLUMN(NOTA[TANGGAL]))&amp;":"&amp;ADDRESS(ROW(),COLUMN(NOTA[TANGGAL]))),-1)))</f>
        <v>45295</v>
      </c>
      <c r="AJ117" s="41" t="str">
        <f ca="1">IF(NOTA[[#This Row],[NAMA BARANG]]="","",INDEX(NOTA[SUPPLIER],MATCH(,INDIRECT(ADDRESS(ROW(NOTA[ID]),COLUMN(NOTA[ID]))&amp;":"&amp;ADDRESS(ROW(),COLUMN(NOTA[ID]))),-1)))</f>
        <v>COMBI</v>
      </c>
      <c r="AK117" s="41" t="str">
        <f ca="1">IF(NOTA[[#This Row],[ID_H]]="","",IF(NOTA[[#This Row],[FAKTUR]]="",INDIRECT(ADDRESS(ROW()-1,COLUMN())),NOTA[[#This Row],[FAKTUR]]))</f>
        <v>UNTANA</v>
      </c>
      <c r="AL117" s="38" t="str">
        <f ca="1">IF(NOTA[[#This Row],[ID]]="","",COUNTIF(NOTA[ID_H],NOTA[[#This Row],[ID_H]]))</f>
        <v/>
      </c>
      <c r="AM117" s="38">
        <f ca="1">IF(NOTA[[#This Row],[TGL.NOTA]]="",IF(NOTA[[#This Row],[SUPPLIER_H]]="","",AM116),MONTH(NOTA[[#This Row],[TGL.NOTA]]))</f>
        <v>1</v>
      </c>
      <c r="AN117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docritprestige1440000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docritprestige1440000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38" t="str">
        <f>IF(NOTA[[#This Row],[CONCAT4]]="","",_xlfn.IFNA(MATCH(NOTA[[#This Row],[CONCAT4]],[2]!RAW[CONCAT_H],0),FALSE))</f>
        <v/>
      </c>
      <c r="AS117" s="38">
        <f>IF(NOTA[[#This Row],[CONCAT1]]="","",MATCH(NOTA[[#This Row],[CONCAT1]],[3]!db[NB NOTA_C],0))</f>
        <v>852</v>
      </c>
      <c r="AT117" s="38" t="b">
        <f>IF(NOTA[[#This Row],[QTY/ CTN]]="","",TRUE)</f>
        <v>1</v>
      </c>
      <c r="AU117" s="38" t="str">
        <f ca="1">IF(NOTA[[#This Row],[ID_H]]="","",IF(NOTA[[#This Row],[Column3]]=TRUE,NOTA[[#This Row],[QTY/ CTN]],INDEX([3]!db[QTY/ CTN],NOTA[[#This Row],[//DB]])))</f>
        <v>8 LSN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 t="str">
        <f ca="1">IF(NOTA[[#This Row],[NAMA BARANG]]="","",INDEX(NOTA[ID],MATCH(,INDIRECT(ADDRESS(ROW(NOTA[ID]),COLUMN(NOTA[ID]))&amp;":"&amp;ADDRESS(ROW(),COLUMN(NOTA[ID]))),-1)))</f>
        <v/>
      </c>
      <c r="E118" s="46"/>
      <c r="F118" s="37"/>
      <c r="G118" s="37"/>
      <c r="H118" s="47"/>
      <c r="I118" s="37"/>
      <c r="J118" s="39"/>
      <c r="K118" s="37"/>
      <c r="L118" s="37"/>
      <c r="M118" s="40"/>
      <c r="O118" s="37"/>
      <c r="P118" s="41"/>
      <c r="Q118" s="42"/>
      <c r="R118" s="48"/>
      <c r="S118" s="49"/>
      <c r="T118" s="44"/>
      <c r="U118" s="44"/>
      <c r="V118" s="50"/>
      <c r="W118" s="45"/>
      <c r="X118" s="50" t="str">
        <f>IF(NOTA[[#This Row],[HARGA/ CTN]]="",NOTA[[#This Row],[JUMLAH_H]],NOTA[[#This Row],[HARGA/ CTN]]*IF(NOTA[[#This Row],[C]]="",0,NOTA[[#This Row],[C]]))</f>
        <v/>
      </c>
      <c r="Y118" s="50" t="str">
        <f>IF(NOTA[[#This Row],[JUMLAH]]="","",NOTA[[#This Row],[JUMLAH]]*NOTA[[#This Row],[DISC 1]])</f>
        <v/>
      </c>
      <c r="Z118" s="50" t="str">
        <f>IF(NOTA[[#This Row],[JUMLAH]]="","",(NOTA[[#This Row],[JUMLAH]]-NOTA[[#This Row],[DISC 1-]])*NOTA[[#This Row],[DISC 2]])</f>
        <v/>
      </c>
      <c r="AA118" s="50" t="str">
        <f>IF(NOTA[[#This Row],[JUMLAH]]="","",(NOTA[[#This Row],[JUMLAH]]-NOTA[[#This Row],[DISC 1-]]-NOTA[[#This Row],[DISC 2-]])*NOTA[[#This Row],[DISC 3]])</f>
        <v/>
      </c>
      <c r="AB118" s="50" t="str">
        <f>IF(NOTA[[#This Row],[JUMLAH]]="","",NOTA[[#This Row],[DISC 1-]]+NOTA[[#This Row],[DISC 2-]]+NOTA[[#This Row],[DISC 3-]])</f>
        <v/>
      </c>
      <c r="AC118" s="50" t="str">
        <f>IF(NOTA[[#This Row],[JUMLAH]]="","",NOTA[[#This Row],[JUMLAH]]-NOTA[[#This Row],[DISC]])</f>
        <v/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8" s="50" t="str">
        <f>IF(OR(NOTA[[#This Row],[QTY]]="",NOTA[[#This Row],[HARGA SATUAN]]="",),"",NOTA[[#This Row],[QTY]]*NOTA[[#This Row],[HARGA SATUAN]])</f>
        <v/>
      </c>
      <c r="AI118" s="39" t="str">
        <f ca="1">IF(NOTA[ID_H]="","",INDEX(NOTA[TANGGAL],MATCH(,INDIRECT(ADDRESS(ROW(NOTA[TANGGAL]),COLUMN(NOTA[TANGGAL]))&amp;":"&amp;ADDRESS(ROW(),COLUMN(NOTA[TANGGAL]))),-1)))</f>
        <v/>
      </c>
      <c r="AJ118" s="41" t="str">
        <f ca="1">IF(NOTA[[#This Row],[NAMA BARANG]]="","",INDEX(NOTA[SUPPLIER],MATCH(,INDIRECT(ADDRESS(ROW(NOTA[ID]),COLUMN(NOTA[ID]))&amp;":"&amp;ADDRESS(ROW(),COLUMN(NOTA[ID]))),-1)))</f>
        <v/>
      </c>
      <c r="AK118" s="41" t="str">
        <f ca="1">IF(NOTA[[#This Row],[ID_H]]="","",IF(NOTA[[#This Row],[FAKTUR]]="",INDIRECT(ADDRESS(ROW()-1,COLUMN())),NOTA[[#This Row],[FAKTUR]]))</f>
        <v/>
      </c>
      <c r="AL118" s="38" t="str">
        <f ca="1">IF(NOTA[[#This Row],[ID]]="","",COUNTIF(NOTA[ID_H],NOTA[[#This Row],[ID_H]]))</f>
        <v/>
      </c>
      <c r="AM118" s="38" t="str">
        <f ca="1">IF(NOTA[[#This Row],[TGL.NOTA]]="",IF(NOTA[[#This Row],[SUPPLIER_H]]="","",AM117),MONTH(NOTA[[#This Row],[TGL.NOTA]]))</f>
        <v/>
      </c>
      <c r="AN118" s="38" t="str">
        <f>LOWER(SUBSTITUTE(SUBSTITUTE(SUBSTITUTE(SUBSTITUTE(SUBSTITUTE(SUBSTITUTE(SUBSTITUTE(SUBSTITUTE(SUBSTITUTE(NOTA[NAMA BARANG]," ",),".",""),"-",""),"(",""),")",""),",",""),"/",""),"""",""),"+",""))</f>
        <v/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 t="str">
        <f>IF(NOTA[[#This Row],[CONCAT1]]="","",MATCH(NOTA[[#This Row],[CONCAT1]],[3]!db[NB NOTA_C],0))</f>
        <v/>
      </c>
      <c r="AT118" s="38" t="str">
        <f>IF(NOTA[[#This Row],[QTY/ CTN]]="","",TRUE)</f>
        <v/>
      </c>
      <c r="AU118" s="38" t="str">
        <f ca="1">IF(NOTA[[#This Row],[ID_H]]="","",IF(NOTA[[#This Row],[Column3]]=TRUE,NOTA[[#This Row],[QTY/ CTN]],INDEX([3]!db[QTY/ CTN],NOTA[[#This Row],[//DB]])))</f>
        <v/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8" s="38" t="str">
        <f ca="1">IF(NOTA[[#This Row],[ID_H]]="","",MATCH(NOTA[[#This Row],[NB NOTA_C_QTY]],[4]!db[NB NOTA_C_QTY+F],0))</f>
        <v/>
      </c>
      <c r="AX118" s="53" t="str">
        <f ca="1">IF(NOTA[[#This Row],[NB NOTA_C_QTY]]="","",ROW()-2)</f>
        <v/>
      </c>
    </row>
    <row r="119" spans="1:50" s="38" customFormat="1" ht="20.100000000000001" customHeight="1" x14ac:dyDescent="0.25">
      <c r="A119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1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DBS_0501_724-13</v>
      </c>
      <c r="C119" s="38" t="e">
        <f ca="1">IF(NOTA[[#This Row],[ID_P]]="","",MATCH(NOTA[[#This Row],[ID_P]],[1]!B_MSK[N_ID],0))</f>
        <v>#REF!</v>
      </c>
      <c r="D119" s="38">
        <f ca="1">IF(NOTA[[#This Row],[NAMA BARANG]]="","",INDEX(NOTA[ID],MATCH(,INDIRECT(ADDRESS(ROW(NOTA[ID]),COLUMN(NOTA[ID]))&amp;":"&amp;ADDRESS(ROW(),COLUMN(NOTA[ID]))),-1)))</f>
        <v>16</v>
      </c>
      <c r="E119" s="46">
        <v>45296</v>
      </c>
      <c r="F119" s="37" t="s">
        <v>112</v>
      </c>
      <c r="G119" s="37" t="s">
        <v>110</v>
      </c>
      <c r="H119" s="47" t="s">
        <v>243</v>
      </c>
      <c r="I119" s="37"/>
      <c r="J119" s="39">
        <v>45293</v>
      </c>
      <c r="K119" s="37"/>
      <c r="L119" s="37" t="s">
        <v>244</v>
      </c>
      <c r="M119" s="40">
        <v>1</v>
      </c>
      <c r="N119" s="38">
        <v>144</v>
      </c>
      <c r="O119" s="37" t="s">
        <v>111</v>
      </c>
      <c r="P119" s="41">
        <v>18250</v>
      </c>
      <c r="Q119" s="42"/>
      <c r="R119" s="48"/>
      <c r="S119" s="49"/>
      <c r="T119" s="44"/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2628000</v>
      </c>
      <c r="Y119" s="50">
        <f>IF(NOTA[[#This Row],[JUMLAH]]="","",NOTA[[#This Row],[JUMLAH]]*NOTA[[#This Row],[DISC 1]])</f>
        <v>0</v>
      </c>
      <c r="Z119" s="50">
        <f>IF(NOTA[[#This Row],[JUMLAH]]="","",(NOTA[[#This Row],[JUMLAH]]-NOTA[[#This Row],[DISC 1-]])*NOTA[[#This Row],[DISC 2]])</f>
        <v>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0</v>
      </c>
      <c r="AC119" s="50">
        <f>IF(NOTA[[#This Row],[JUMLAH]]="","",NOTA[[#This Row],[JUMLAH]]-NOTA[[#This Row],[DISC]])</f>
        <v>2628000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19" s="50">
        <f>IF(OR(NOTA[[#This Row],[QTY]]="",NOTA[[#This Row],[HARGA SATUAN]]="",),"",NOTA[[#This Row],[QTY]]*NOTA[[#This Row],[HARGA SATUAN]])</f>
        <v>2628000</v>
      </c>
      <c r="AI119" s="39">
        <f ca="1">IF(NOTA[ID_H]="","",INDEX(NOTA[TANGGAL],MATCH(,INDIRECT(ADDRESS(ROW(NOTA[TANGGAL]),COLUMN(NOTA[TANGGAL]))&amp;":"&amp;ADDRESS(ROW(),COLUMN(NOTA[TANGGAL]))),-1)))</f>
        <v>45296</v>
      </c>
      <c r="AJ119" s="41" t="str">
        <f ca="1">IF(NOTA[[#This Row],[NAMA BARANG]]="","",INDEX(NOTA[SUPPLIER],MATCH(,INDIRECT(ADDRESS(ROW(NOTA[ID]),COLUMN(NOTA[ID]))&amp;":"&amp;ADDRESS(ROW(),COLUMN(NOTA[ID]))),-1)))</f>
        <v>DB STATIONERY</v>
      </c>
      <c r="AK119" s="41" t="str">
        <f ca="1">IF(NOTA[[#This Row],[ID_H]]="","",IF(NOTA[[#This Row],[FAKTUR]]="",INDIRECT(ADDRESS(ROW()-1,COLUMN())),NOTA[[#This Row],[FAKTUR]]))</f>
        <v>UNTANA</v>
      </c>
      <c r="AL119" s="38">
        <f ca="1">IF(NOTA[[#This Row],[ID]]="","",COUNTIF(NOTA[ID_H],NOTA[[#This Row],[ID_H]]))</f>
        <v>13</v>
      </c>
      <c r="AM119" s="38">
        <f>IF(NOTA[[#This Row],[TGL.NOTA]]="",IF(NOTA[[#This Row],[SUPPLIER_H]]="","",AM118),MONTH(NOTA[[#This Row],[TGL.NOTA]]))</f>
        <v>1</v>
      </c>
      <c r="AN119" s="38" t="str">
        <f>LOWER(SUBSTITUTE(SUBSTITUTE(SUBSTITUTE(SUBSTITUTE(SUBSTITUTE(SUBSTITUTE(SUBSTITUTE(SUBSTITUTE(SUBSTITUTE(NOTA[NAMA BARANG]," ",),".",""),"-",""),"(",""),")",""),",",""),"/",""),"""",""),"+",""))</f>
        <v>geltizofancytg31763f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geltizofancytg31763f2628000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geltizofancytg31763f2628000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STATIONERYUNTANAJUA027/2445293geltizofancytg31763f</v>
      </c>
      <c r="AR119" s="38" t="e">
        <f>IF(NOTA[[#This Row],[CONCAT4]]="","",_xlfn.IFNA(MATCH(NOTA[[#This Row],[CONCAT4]],[2]!RAW[CONCAT_H],0),FALSE))</f>
        <v>#REF!</v>
      </c>
      <c r="AS119" s="38">
        <f>IF(NOTA[[#This Row],[CONCAT1]]="","",MATCH(NOTA[[#This Row],[CONCAT1]],[3]!db[NB NOTA_C],0))</f>
        <v>1184</v>
      </c>
      <c r="AT119" s="38" t="str">
        <f>IF(NOTA[[#This Row],[QTY/ CTN]]="","",TRUE)</f>
        <v/>
      </c>
      <c r="AU119" s="38" t="str">
        <f ca="1">IF(NOTA[[#This Row],[ID_H]]="","",IF(NOTA[[#This Row],[Column3]]=TRUE,NOTA[[#This Row],[QTY/ CTN]],INDEX([3]!db[QTY/ CTN],NOTA[[#This Row],[//DB]])))</f>
        <v>144 LSN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geltizofancytg31763f144lsnuntana</v>
      </c>
      <c r="AW119" s="38" t="e">
        <f ca="1">IF(NOTA[[#This Row],[ID_H]]="","",MATCH(NOTA[[#This Row],[NB NOTA_C_QTY]],[4]!db[NB NOTA_C_QTY+F],0))</f>
        <v>#REF!</v>
      </c>
      <c r="AX119" s="53">
        <f ca="1">IF(NOTA[[#This Row],[NB NOTA_C_QTY]]="","",ROW()-2)</f>
        <v>117</v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16</v>
      </c>
      <c r="E120" s="46"/>
      <c r="F120" s="37"/>
      <c r="G120" s="37"/>
      <c r="H120" s="47"/>
      <c r="I120" s="37"/>
      <c r="J120" s="39"/>
      <c r="K120" s="37"/>
      <c r="L120" s="37" t="s">
        <v>245</v>
      </c>
      <c r="M120" s="40">
        <v>1</v>
      </c>
      <c r="N120" s="38">
        <v>144</v>
      </c>
      <c r="O120" s="37" t="s">
        <v>111</v>
      </c>
      <c r="P120" s="41">
        <v>18250</v>
      </c>
      <c r="Q120" s="42"/>
      <c r="R120" s="48"/>
      <c r="S120" s="49"/>
      <c r="T120" s="44"/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2628000</v>
      </c>
      <c r="Y120" s="50">
        <f>IF(NOTA[[#This Row],[JUMLAH]]="","",NOTA[[#This Row],[JUMLAH]]*NOTA[[#This Row],[DISC 1]])</f>
        <v>0</v>
      </c>
      <c r="Z120" s="50">
        <f>IF(NOTA[[#This Row],[JUMLAH]]="","",(NOTA[[#This Row],[JUMLAH]]-NOTA[[#This Row],[DISC 1-]])*NOTA[[#This Row],[DISC 2]])</f>
        <v>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0</v>
      </c>
      <c r="AC120" s="50">
        <f>IF(NOTA[[#This Row],[JUMLAH]]="","",NOTA[[#This Row],[JUMLAH]]-NOTA[[#This Row],[DISC]])</f>
        <v>2628000</v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0" s="50">
        <f>IF(OR(NOTA[[#This Row],[QTY]]="",NOTA[[#This Row],[HARGA SATUAN]]="",),"",NOTA[[#This Row],[QTY]]*NOTA[[#This Row],[HARGA SATUAN]])</f>
        <v>2628000</v>
      </c>
      <c r="AI120" s="39">
        <f ca="1">IF(NOTA[ID_H]="","",INDEX(NOTA[TANGGAL],MATCH(,INDIRECT(ADDRESS(ROW(NOTA[TANGGAL]),COLUMN(NOTA[TANGGAL]))&amp;":"&amp;ADDRESS(ROW(),COLUMN(NOTA[TANGGAL]))),-1)))</f>
        <v>45296</v>
      </c>
      <c r="AJ120" s="41" t="str">
        <f ca="1">IF(NOTA[[#This Row],[NAMA BARANG]]="","",INDEX(NOTA[SUPPLIER],MATCH(,INDIRECT(ADDRESS(ROW(NOTA[ID]),COLUMN(NOTA[ID]))&amp;":"&amp;ADDRESS(ROW(),COLUMN(NOTA[ID]))),-1)))</f>
        <v>DB STATIONERY</v>
      </c>
      <c r="AK120" s="41" t="str">
        <f ca="1">IF(NOTA[[#This Row],[ID_H]]="","",IF(NOTA[[#This Row],[FAKTUR]]="",INDIRECT(ADDRESS(ROW()-1,COLUMN())),NOTA[[#This Row],[FAKTUR]]))</f>
        <v>UNTANA</v>
      </c>
      <c r="AL120" s="38" t="str">
        <f ca="1">IF(NOTA[[#This Row],[ID]]="","",COUNTIF(NOTA[ID_H],NOTA[[#This Row],[ID_H]]))</f>
        <v/>
      </c>
      <c r="AM120" s="38">
        <f ca="1">IF(NOTA[[#This Row],[TGL.NOTA]]="",IF(NOTA[[#This Row],[SUPPLIER_H]]="","",AM119),MONTH(NOTA[[#This Row],[TGL.NOTA]]))</f>
        <v>1</v>
      </c>
      <c r="AN120" s="38" t="str">
        <f>LOWER(SUBSTITUTE(SUBSTITUTE(SUBSTITUTE(SUBSTITUTE(SUBSTITUTE(SUBSTITUTE(SUBSTITUTE(SUBSTITUTE(SUBSTITUTE(NOTA[NAMA BARANG]," ",),".",""),"-",""),"(",""),")",""),",",""),"/",""),"""",""),"+",""))</f>
        <v>geltizofancytg31780f</v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geltizofancytg31780f2628000</v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geltizofancytg31780f2628000</v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 t="e">
        <f>IF(NOTA[[#This Row],[CONCAT1]]="","",MATCH(NOTA[[#This Row],[CONCAT1]],[3]!db[NB NOTA_C],0))</f>
        <v>#N/A</v>
      </c>
      <c r="AT120" s="38" t="str">
        <f>IF(NOTA[[#This Row],[QTY/ CTN]]="","",TRUE)</f>
        <v/>
      </c>
      <c r="AU120" s="38" t="e">
        <f ca="1">IF(NOTA[[#This Row],[ID_H]]="","",IF(NOTA[[#This Row],[Column3]]=TRUE,NOTA[[#This Row],[QTY/ CTN]],INDEX([3]!db[QTY/ CTN],NOTA[[#This Row],[//DB]])))</f>
        <v>#N/A</v>
      </c>
      <c r="AV12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0" s="38" t="e">
        <f ca="1">IF(NOTA[[#This Row],[ID_H]]="","",MATCH(NOTA[[#This Row],[NB NOTA_C_QTY]],[4]!db[NB NOTA_C_QTY+F],0))</f>
        <v>#N/A</v>
      </c>
      <c r="AX120" s="53" t="e">
        <f ca="1">IF(NOTA[[#This Row],[NB NOTA_C_QTY]]="","",ROW()-2)</f>
        <v>#N/A</v>
      </c>
    </row>
    <row r="121" spans="1:50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16</v>
      </c>
      <c r="E121" s="46"/>
      <c r="F121" s="37"/>
      <c r="G121" s="37"/>
      <c r="H121" s="47"/>
      <c r="I121" s="37"/>
      <c r="J121" s="39"/>
      <c r="K121" s="37"/>
      <c r="L121" s="37" t="s">
        <v>246</v>
      </c>
      <c r="M121" s="40">
        <v>1</v>
      </c>
      <c r="N121" s="38">
        <v>144</v>
      </c>
      <c r="O121" s="37" t="s">
        <v>111</v>
      </c>
      <c r="P121" s="41">
        <v>18250</v>
      </c>
      <c r="Q121" s="42"/>
      <c r="R121" s="48"/>
      <c r="S121" s="49"/>
      <c r="T121" s="44"/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2628000</v>
      </c>
      <c r="Y121" s="50">
        <f>IF(NOTA[[#This Row],[JUMLAH]]="","",NOTA[[#This Row],[JUMLAH]]*NOTA[[#This Row],[DISC 1]])</f>
        <v>0</v>
      </c>
      <c r="Z121" s="50">
        <f>IF(NOTA[[#This Row],[JUMLAH]]="","",(NOTA[[#This Row],[JUMLAH]]-NOTA[[#This Row],[DISC 1-]])*NOTA[[#This Row],[DISC 2]])</f>
        <v>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0</v>
      </c>
      <c r="AC121" s="50">
        <f>IF(NOTA[[#This Row],[JUMLAH]]="","",NOTA[[#This Row],[JUMLAH]]-NOTA[[#This Row],[DISC]])</f>
        <v>2628000</v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1" s="50">
        <f>IF(OR(NOTA[[#This Row],[QTY]]="",NOTA[[#This Row],[HARGA SATUAN]]="",),"",NOTA[[#This Row],[QTY]]*NOTA[[#This Row],[HARGA SATUAN]])</f>
        <v>2628000</v>
      </c>
      <c r="AI121" s="39">
        <f ca="1">IF(NOTA[ID_H]="","",INDEX(NOTA[TANGGAL],MATCH(,INDIRECT(ADDRESS(ROW(NOTA[TANGGAL]),COLUMN(NOTA[TANGGAL]))&amp;":"&amp;ADDRESS(ROW(),COLUMN(NOTA[TANGGAL]))),-1)))</f>
        <v>45296</v>
      </c>
      <c r="AJ121" s="41" t="str">
        <f ca="1">IF(NOTA[[#This Row],[NAMA BARANG]]="","",INDEX(NOTA[SUPPLIER],MATCH(,INDIRECT(ADDRESS(ROW(NOTA[ID]),COLUMN(NOTA[ID]))&amp;":"&amp;ADDRESS(ROW(),COLUMN(NOTA[ID]))),-1)))</f>
        <v>DB STATIONERY</v>
      </c>
      <c r="AK121" s="41" t="str">
        <f ca="1">IF(NOTA[[#This Row],[ID_H]]="","",IF(NOTA[[#This Row],[FAKTUR]]="",INDIRECT(ADDRESS(ROW()-1,COLUMN())),NOTA[[#This Row],[FAKTUR]]))</f>
        <v>UNTANA</v>
      </c>
      <c r="AL121" s="38" t="str">
        <f ca="1">IF(NOTA[[#This Row],[ID]]="","",COUNTIF(NOTA[ID_H],NOTA[[#This Row],[ID_H]]))</f>
        <v/>
      </c>
      <c r="AM121" s="38">
        <f ca="1">IF(NOTA[[#This Row],[TGL.NOTA]]="",IF(NOTA[[#This Row],[SUPPLIER_H]]="","",AM119),MONTH(NOTA[[#This Row],[TGL.NOTA]]))</f>
        <v>1</v>
      </c>
      <c r="AN121" s="38" t="str">
        <f>LOWER(SUBSTITUTE(SUBSTITUTE(SUBSTITUTE(SUBSTITUTE(SUBSTITUTE(SUBSTITUTE(SUBSTITUTE(SUBSTITUTE(SUBSTITUTE(NOTA[NAMA BARANG]," ",),".",""),"-",""),"(",""),")",""),",",""),"/",""),"""",""),"+",""))</f>
        <v>geltizofancytg31810f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geltizofancytg31810f2628000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geltizofancytg31810f2628000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Row],[CONCAT4]],[2]!RAW[CONCAT_H],0),FALSE))</f>
        <v/>
      </c>
      <c r="AS121" s="38" t="e">
        <f>IF(NOTA[[#This Row],[CONCAT1]]="","",MATCH(NOTA[[#This Row],[CONCAT1]],[3]!db[NB NOTA_C],0))</f>
        <v>#N/A</v>
      </c>
      <c r="AT121" s="38" t="str">
        <f>IF(NOTA[[#This Row],[QTY/ CTN]]="","",TRUE)</f>
        <v/>
      </c>
      <c r="AU121" s="38" t="e">
        <f ca="1">IF(NOTA[[#This Row],[ID_H]]="","",IF(NOTA[[#This Row],[Column3]]=TRUE,NOTA[[#This Row],[QTY/ CTN]],INDEX([3]!db[QTY/ CTN],NOTA[[#This Row],[//DB]])))</f>
        <v>#N/A</v>
      </c>
      <c r="AV12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1" s="38" t="e">
        <f ca="1">IF(NOTA[[#This Row],[ID_H]]="","",MATCH(NOTA[[#This Row],[NB NOTA_C_QTY]],[4]!db[NB NOTA_C_QTY+F],0))</f>
        <v>#N/A</v>
      </c>
      <c r="AX121" s="53" t="e">
        <f ca="1">IF(NOTA[[#This Row],[NB NOTA_C_QTY]]="","",ROW()-2)</f>
        <v>#N/A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16</v>
      </c>
      <c r="E122" s="46"/>
      <c r="F122" s="37"/>
      <c r="G122" s="37"/>
      <c r="H122" s="47"/>
      <c r="I122" s="37"/>
      <c r="J122" s="39"/>
      <c r="K122" s="37"/>
      <c r="L122" s="37" t="s">
        <v>247</v>
      </c>
      <c r="M122" s="40">
        <v>1</v>
      </c>
      <c r="N122" s="38">
        <v>144</v>
      </c>
      <c r="O122" s="37" t="s">
        <v>111</v>
      </c>
      <c r="P122" s="41">
        <v>18250</v>
      </c>
      <c r="Q122" s="42"/>
      <c r="R122" s="48"/>
      <c r="S122" s="49"/>
      <c r="T122" s="44"/>
      <c r="U122" s="44"/>
      <c r="V122" s="50"/>
      <c r="W122" s="45"/>
      <c r="X122" s="50">
        <f>IF(NOTA[[#This Row],[HARGA/ CTN]]="",NOTA[[#This Row],[JUMLAH_H]],NOTA[[#This Row],[HARGA/ CTN]]*IF(NOTA[[#This Row],[C]]="",0,NOTA[[#This Row],[C]]))</f>
        <v>2628000</v>
      </c>
      <c r="Y122" s="50">
        <f>IF(NOTA[[#This Row],[JUMLAH]]="","",NOTA[[#This Row],[JUMLAH]]*NOTA[[#This Row],[DISC 1]])</f>
        <v>0</v>
      </c>
      <c r="Z122" s="50">
        <f>IF(NOTA[[#This Row],[JUMLAH]]="","",(NOTA[[#This Row],[JUMLAH]]-NOTA[[#This Row],[DISC 1-]])*NOTA[[#This Row],[DISC 2]])</f>
        <v>0</v>
      </c>
      <c r="AA122" s="50">
        <f>IF(NOTA[[#This Row],[JUMLAH]]="","",(NOTA[[#This Row],[JUMLAH]]-NOTA[[#This Row],[DISC 1-]]-NOTA[[#This Row],[DISC 2-]])*NOTA[[#This Row],[DISC 3]])</f>
        <v>0</v>
      </c>
      <c r="AB122" s="50">
        <f>IF(NOTA[[#This Row],[JUMLAH]]="","",NOTA[[#This Row],[DISC 1-]]+NOTA[[#This Row],[DISC 2-]]+NOTA[[#This Row],[DISC 3-]])</f>
        <v>0</v>
      </c>
      <c r="AC122" s="50">
        <f>IF(NOTA[[#This Row],[JUMLAH]]="","",NOTA[[#This Row],[JUMLAH]]-NOTA[[#This Row],[DISC]])</f>
        <v>2628000</v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2" s="50">
        <f>IF(OR(NOTA[[#This Row],[QTY]]="",NOTA[[#This Row],[HARGA SATUAN]]="",),"",NOTA[[#This Row],[QTY]]*NOTA[[#This Row],[HARGA SATUAN]])</f>
        <v>2628000</v>
      </c>
      <c r="AI122" s="39">
        <f ca="1">IF(NOTA[ID_H]="","",INDEX(NOTA[TANGGAL],MATCH(,INDIRECT(ADDRESS(ROW(NOTA[TANGGAL]),COLUMN(NOTA[TANGGAL]))&amp;":"&amp;ADDRESS(ROW(),COLUMN(NOTA[TANGGAL]))),-1)))</f>
        <v>45296</v>
      </c>
      <c r="AJ122" s="41" t="str">
        <f ca="1">IF(NOTA[[#This Row],[NAMA BARANG]]="","",INDEX(NOTA[SUPPLIER],MATCH(,INDIRECT(ADDRESS(ROW(NOTA[ID]),COLUMN(NOTA[ID]))&amp;":"&amp;ADDRESS(ROW(),COLUMN(NOTA[ID]))),-1)))</f>
        <v>DB STATIONERY</v>
      </c>
      <c r="AK122" s="41" t="str">
        <f ca="1">IF(NOTA[[#This Row],[ID_H]]="","",IF(NOTA[[#This Row],[FAKTUR]]="",INDIRECT(ADDRESS(ROW()-1,COLUMN())),NOTA[[#This Row],[FAKTUR]]))</f>
        <v>UNTANA</v>
      </c>
      <c r="AL122" s="38" t="str">
        <f ca="1">IF(NOTA[[#This Row],[ID]]="","",COUNTIF(NOTA[ID_H],NOTA[[#This Row],[ID_H]]))</f>
        <v/>
      </c>
      <c r="AM122" s="38">
        <f ca="1">IF(NOTA[[#This Row],[TGL.NOTA]]="",IF(NOTA[[#This Row],[SUPPLIER_H]]="","",AM121),MONTH(NOTA[[#This Row],[TGL.NOTA]]))</f>
        <v>1</v>
      </c>
      <c r="AN122" s="38" t="str">
        <f>LOWER(SUBSTITUTE(SUBSTITUTE(SUBSTITUTE(SUBSTITUTE(SUBSTITUTE(SUBSTITUTE(SUBSTITUTE(SUBSTITUTE(SUBSTITUTE(NOTA[NAMA BARANG]," ",),".",""),"-",""),"(",""),")",""),",",""),"/",""),"""",""),"+",""))</f>
        <v>geltizofancys3tg31830e</v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geltizofancys3tg31830e2628000</v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geltizofancys3tg31830e2628000</v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>
        <f>IF(NOTA[[#This Row],[CONCAT1]]="","",MATCH(NOTA[[#This Row],[CONCAT1]],[3]!db[NB NOTA_C],0))</f>
        <v>1125</v>
      </c>
      <c r="AT122" s="38" t="str">
        <f>IF(NOTA[[#This Row],[QTY/ CTN]]="","",TRUE)</f>
        <v/>
      </c>
      <c r="AU122" s="38" t="str">
        <f ca="1">IF(NOTA[[#This Row],[ID_H]]="","",IF(NOTA[[#This Row],[Column3]]=TRUE,NOTA[[#This Row],[QTY/ CTN]],INDEX([3]!db[QTY/ CTN],NOTA[[#This Row],[//DB]])))</f>
        <v>144 LSN</v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geltizofancys3tg31830e144lsnuntana</v>
      </c>
      <c r="AW122" s="38" t="e">
        <f ca="1">IF(NOTA[[#This Row],[ID_H]]="","",MATCH(NOTA[[#This Row],[NB NOTA_C_QTY]],[4]!db[NB NOTA_C_QTY+F],0))</f>
        <v>#REF!</v>
      </c>
      <c r="AX122" s="53">
        <f ca="1">IF(NOTA[[#This Row],[NB NOTA_C_QTY]]="","",ROW()-2)</f>
        <v>120</v>
      </c>
    </row>
    <row r="123" spans="1:50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>
        <f ca="1">IF(NOTA[[#This Row],[NAMA BARANG]]="","",INDEX(NOTA[ID],MATCH(,INDIRECT(ADDRESS(ROW(NOTA[ID]),COLUMN(NOTA[ID]))&amp;":"&amp;ADDRESS(ROW(),COLUMN(NOTA[ID]))),-1)))</f>
        <v>16</v>
      </c>
      <c r="E123" s="46"/>
      <c r="F123" s="37"/>
      <c r="G123" s="37"/>
      <c r="H123" s="47"/>
      <c r="I123" s="37"/>
      <c r="J123" s="39"/>
      <c r="K123" s="37"/>
      <c r="L123" s="37" t="s">
        <v>248</v>
      </c>
      <c r="M123" s="40">
        <v>1</v>
      </c>
      <c r="N123" s="38">
        <v>144</v>
      </c>
      <c r="O123" s="37" t="s">
        <v>111</v>
      </c>
      <c r="P123" s="41">
        <v>18250</v>
      </c>
      <c r="Q123" s="42"/>
      <c r="R123" s="48"/>
      <c r="S123" s="49"/>
      <c r="T123" s="44"/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2628000</v>
      </c>
      <c r="Y123" s="50">
        <f>IF(NOTA[[#This Row],[JUMLAH]]="","",NOTA[[#This Row],[JUMLAH]]*NOTA[[#This Row],[DISC 1]])</f>
        <v>0</v>
      </c>
      <c r="Z123" s="50">
        <f>IF(NOTA[[#This Row],[JUMLAH]]="","",(NOTA[[#This Row],[JUMLAH]]-NOTA[[#This Row],[DISC 1-]])*NOTA[[#This Row],[DISC 2]])</f>
        <v>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0</v>
      </c>
      <c r="AC123" s="50">
        <f>IF(NOTA[[#This Row],[JUMLAH]]="","",NOTA[[#This Row],[JUMLAH]]-NOTA[[#This Row],[DISC]])</f>
        <v>2628000</v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3" s="50">
        <f>IF(OR(NOTA[[#This Row],[QTY]]="",NOTA[[#This Row],[HARGA SATUAN]]="",),"",NOTA[[#This Row],[QTY]]*NOTA[[#This Row],[HARGA SATUAN]])</f>
        <v>2628000</v>
      </c>
      <c r="AI123" s="39">
        <f ca="1">IF(NOTA[ID_H]="","",INDEX(NOTA[TANGGAL],MATCH(,INDIRECT(ADDRESS(ROW(NOTA[TANGGAL]),COLUMN(NOTA[TANGGAL]))&amp;":"&amp;ADDRESS(ROW(),COLUMN(NOTA[TANGGAL]))),-1)))</f>
        <v>45296</v>
      </c>
      <c r="AJ123" s="41" t="str">
        <f ca="1">IF(NOTA[[#This Row],[NAMA BARANG]]="","",INDEX(NOTA[SUPPLIER],MATCH(,INDIRECT(ADDRESS(ROW(NOTA[ID]),COLUMN(NOTA[ID]))&amp;":"&amp;ADDRESS(ROW(),COLUMN(NOTA[ID]))),-1)))</f>
        <v>DB STATIONERY</v>
      </c>
      <c r="AK123" s="41" t="str">
        <f ca="1">IF(NOTA[[#This Row],[ID_H]]="","",IF(NOTA[[#This Row],[FAKTUR]]="",INDIRECT(ADDRESS(ROW()-1,COLUMN())),NOTA[[#This Row],[FAKTUR]]))</f>
        <v>UNTANA</v>
      </c>
      <c r="AL123" s="38" t="str">
        <f ca="1">IF(NOTA[[#This Row],[ID]]="","",COUNTIF(NOTA[ID_H],NOTA[[#This Row],[ID_H]]))</f>
        <v/>
      </c>
      <c r="AM123" s="38">
        <f ca="1">IF(NOTA[[#This Row],[TGL.NOTA]]="",IF(NOTA[[#This Row],[SUPPLIER_H]]="","",AM122),MONTH(NOTA[[#This Row],[TGL.NOTA]]))</f>
        <v>1</v>
      </c>
      <c r="AN123" s="38" t="str">
        <f>LOWER(SUBSTITUTE(SUBSTITUTE(SUBSTITUTE(SUBSTITUTE(SUBSTITUTE(SUBSTITUTE(SUBSTITUTE(SUBSTITUTE(SUBSTITUTE(NOTA[NAMA BARANG]," ",),".",""),"-",""),"(",""),")",""),",",""),"/",""),"""",""),"+",""))</f>
        <v>geltizosegitigatg31831e</v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geltizosegitigatg31831e2628000</v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geltizosegitigatg31831e2628000</v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38" t="str">
        <f>IF(NOTA[[#This Row],[CONCAT4]]="","",_xlfn.IFNA(MATCH(NOTA[[#This Row],[CONCAT4]],[2]!RAW[CONCAT_H],0),FALSE))</f>
        <v/>
      </c>
      <c r="AS123" s="38">
        <f>IF(NOTA[[#This Row],[CONCAT1]]="","",MATCH(NOTA[[#This Row],[CONCAT1]],[3]!db[NB NOTA_C],0))</f>
        <v>1213</v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CTN]],INDEX([3]!db[QTY/ CTN],NOTA[[#This Row],[//DB]])))</f>
        <v>144 LSN</v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geltizosegitigatg31831e144lsnuntana</v>
      </c>
      <c r="AW123" s="38" t="e">
        <f ca="1">IF(NOTA[[#This Row],[ID_H]]="","",MATCH(NOTA[[#This Row],[NB NOTA_C_QTY]],[4]!db[NB NOTA_C_QTY+F],0))</f>
        <v>#REF!</v>
      </c>
      <c r="AX123" s="53">
        <f ca="1">IF(NOTA[[#This Row],[NB NOTA_C_QTY]]="","",ROW()-2)</f>
        <v>121</v>
      </c>
    </row>
    <row r="124" spans="1:50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>
        <f ca="1">IF(NOTA[[#This Row],[NAMA BARANG]]="","",INDEX(NOTA[ID],MATCH(,INDIRECT(ADDRESS(ROW(NOTA[ID]),COLUMN(NOTA[ID]))&amp;":"&amp;ADDRESS(ROW(),COLUMN(NOTA[ID]))),-1)))</f>
        <v>16</v>
      </c>
      <c r="E124" s="46"/>
      <c r="F124" s="37"/>
      <c r="G124" s="37"/>
      <c r="H124" s="47"/>
      <c r="I124" s="37"/>
      <c r="J124" s="39"/>
      <c r="K124" s="37"/>
      <c r="L124" s="37" t="s">
        <v>249</v>
      </c>
      <c r="M124" s="40">
        <v>1</v>
      </c>
      <c r="N124" s="38">
        <v>72</v>
      </c>
      <c r="O124" s="37" t="s">
        <v>111</v>
      </c>
      <c r="P124" s="41"/>
      <c r="Q124" s="42"/>
      <c r="R124" s="48"/>
      <c r="S124" s="49"/>
      <c r="T124" s="44"/>
      <c r="U124" s="44"/>
      <c r="V124" s="50"/>
      <c r="W124" s="45" t="s">
        <v>250</v>
      </c>
      <c r="X124" s="50" t="str">
        <f>IF(NOTA[[#This Row],[HARGA/ CTN]]="",NOTA[[#This Row],[JUMLAH_H]],NOTA[[#This Row],[HARGA/ CTN]]*IF(NOTA[[#This Row],[C]]="",0,NOTA[[#This Row],[C]]))</f>
        <v/>
      </c>
      <c r="Y124" s="50" t="str">
        <f>IF(NOTA[[#This Row],[JUMLAH]]="","",NOTA[[#This Row],[JUMLAH]]*NOTA[[#This Row],[DISC 1]])</f>
        <v/>
      </c>
      <c r="Z124" s="50" t="str">
        <f>IF(NOTA[[#This Row],[JUMLAH]]="","",(NOTA[[#This Row],[JUMLAH]]-NOTA[[#This Row],[DISC 1-]])*NOTA[[#This Row],[DISC 2]])</f>
        <v/>
      </c>
      <c r="AA124" s="50" t="str">
        <f>IF(NOTA[[#This Row],[JUMLAH]]="","",(NOTA[[#This Row],[JUMLAH]]-NOTA[[#This Row],[DISC 1-]]-NOTA[[#This Row],[DISC 2-]])*NOTA[[#This Row],[DISC 3]])</f>
        <v/>
      </c>
      <c r="AB124" s="50" t="str">
        <f>IF(NOTA[[#This Row],[JUMLAH]]="","",NOTA[[#This Row],[DISC 1-]]+NOTA[[#This Row],[DISC 2-]]+NOTA[[#This Row],[DISC 3-]])</f>
        <v/>
      </c>
      <c r="AC124" s="50" t="str">
        <f>IF(NOTA[[#This Row],[JUMLAH]]="","",NOTA[[#This Row],[JUMLAH]]-NOTA[[#This Row],[DISC]])</f>
        <v/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4" s="50" t="str">
        <f>IF(OR(NOTA[[#This Row],[QTY]]="",NOTA[[#This Row],[HARGA SATUAN]]="",),"",NOTA[[#This Row],[QTY]]*NOTA[[#This Row],[HARGA SATUAN]])</f>
        <v/>
      </c>
      <c r="AI124" s="39">
        <f ca="1">IF(NOTA[ID_H]="","",INDEX(NOTA[TANGGAL],MATCH(,INDIRECT(ADDRESS(ROW(NOTA[TANGGAL]),COLUMN(NOTA[TANGGAL]))&amp;":"&amp;ADDRESS(ROW(),COLUMN(NOTA[TANGGAL]))),-1)))</f>
        <v>45296</v>
      </c>
      <c r="AJ124" s="41" t="str">
        <f ca="1">IF(NOTA[[#This Row],[NAMA BARANG]]="","",INDEX(NOTA[SUPPLIER],MATCH(,INDIRECT(ADDRESS(ROW(NOTA[ID]),COLUMN(NOTA[ID]))&amp;":"&amp;ADDRESS(ROW(),COLUMN(NOTA[ID]))),-1)))</f>
        <v>DB STATIONERY</v>
      </c>
      <c r="AK124" s="41" t="str">
        <f ca="1">IF(NOTA[[#This Row],[ID_H]]="","",IF(NOTA[[#This Row],[FAKTUR]]="",INDIRECT(ADDRESS(ROW()-1,COLUMN())),NOTA[[#This Row],[FAKTUR]]))</f>
        <v>UNTANA</v>
      </c>
      <c r="AL124" s="38" t="str">
        <f ca="1">IF(NOTA[[#This Row],[ID]]="","",COUNTIF(NOTA[ID_H],NOTA[[#This Row],[ID_H]]))</f>
        <v/>
      </c>
      <c r="AM124" s="38">
        <f ca="1">IF(NOTA[[#This Row],[TGL.NOTA]]="",IF(NOTA[[#This Row],[SUPPLIER_H]]="","",AM123),MONTH(NOTA[[#This Row],[TGL.NOTA]]))</f>
        <v>1</v>
      </c>
      <c r="AN124" s="38" t="str">
        <f>LOWER(SUBSTITUTE(SUBSTITUTE(SUBSTITUTE(SUBSTITUTE(SUBSTITUTE(SUBSTITUTE(SUBSTITUTE(SUBSTITUTE(SUBSTITUTE(NOTA[NAMA BARANG]," ",),".",""),"-",""),"(",""),")",""),",",""),"/",""),"""",""),"+",""))</f>
        <v>geltizofancytg31035el</v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geltizofancytg31035el0</v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geltizofancytg31035el0</v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Row],[CONCAT4]],[2]!RAW[CONCAT_H],0),FALSE))</f>
        <v/>
      </c>
      <c r="AS124" s="38" t="e">
        <f>IF(NOTA[[#This Row],[CONCAT1]]="","",MATCH(NOTA[[#This Row],[CONCAT1]],[3]!db[NB NOTA_C],0))</f>
        <v>#N/A</v>
      </c>
      <c r="AT124" s="38" t="str">
        <f>IF(NOTA[[#This Row],[QTY/ CTN]]="","",TRUE)</f>
        <v/>
      </c>
      <c r="AU124" s="38" t="e">
        <f ca="1">IF(NOTA[[#This Row],[ID_H]]="","",IF(NOTA[[#This Row],[Column3]]=TRUE,NOTA[[#This Row],[QTY/ CTN]],INDEX([3]!db[QTY/ CTN],NOTA[[#This Row],[//DB]])))</f>
        <v>#N/A</v>
      </c>
      <c r="AV12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4" s="38" t="e">
        <f ca="1">IF(NOTA[[#This Row],[ID_H]]="","",MATCH(NOTA[[#This Row],[NB NOTA_C_QTY]],[4]!db[NB NOTA_C_QTY+F],0))</f>
        <v>#N/A</v>
      </c>
      <c r="AX124" s="53" t="e">
        <f ca="1">IF(NOTA[[#This Row],[NB NOTA_C_QTY]]="","",ROW()-2)</f>
        <v>#N/A</v>
      </c>
    </row>
    <row r="125" spans="1:50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16</v>
      </c>
      <c r="E125" s="46"/>
      <c r="F125" s="37"/>
      <c r="G125" s="37"/>
      <c r="H125" s="47"/>
      <c r="I125" s="37"/>
      <c r="J125" s="39"/>
      <c r="K125" s="37"/>
      <c r="L125" s="37" t="s">
        <v>251</v>
      </c>
      <c r="M125" s="40">
        <v>1</v>
      </c>
      <c r="N125" s="38">
        <v>72</v>
      </c>
      <c r="O125" s="37" t="s">
        <v>111</v>
      </c>
      <c r="P125" s="41"/>
      <c r="Q125" s="42"/>
      <c r="R125" s="48"/>
      <c r="S125" s="49"/>
      <c r="T125" s="44"/>
      <c r="U125" s="44"/>
      <c r="V125" s="50"/>
      <c r="W125" s="45" t="s">
        <v>250</v>
      </c>
      <c r="X125" s="50" t="str">
        <f>IF(NOTA[[#This Row],[HARGA/ CTN]]="",NOTA[[#This Row],[JUMLAH_H]],NOTA[[#This Row],[HARGA/ CTN]]*IF(NOTA[[#This Row],[C]]="",0,NOTA[[#This Row],[C]]))</f>
        <v/>
      </c>
      <c r="Y125" s="50" t="str">
        <f>IF(NOTA[[#This Row],[JUMLAH]]="","",NOTA[[#This Row],[JUMLAH]]*NOTA[[#This Row],[DISC 1]])</f>
        <v/>
      </c>
      <c r="Z125" s="50" t="str">
        <f>IF(NOTA[[#This Row],[JUMLAH]]="","",(NOTA[[#This Row],[JUMLAH]]-NOTA[[#This Row],[DISC 1-]])*NOTA[[#This Row],[DISC 2]])</f>
        <v/>
      </c>
      <c r="AA125" s="50" t="str">
        <f>IF(NOTA[[#This Row],[JUMLAH]]="","",(NOTA[[#This Row],[JUMLAH]]-NOTA[[#This Row],[DISC 1-]]-NOTA[[#This Row],[DISC 2-]])*NOTA[[#This Row],[DISC 3]])</f>
        <v/>
      </c>
      <c r="AB125" s="50" t="str">
        <f>IF(NOTA[[#This Row],[JUMLAH]]="","",NOTA[[#This Row],[DISC 1-]]+NOTA[[#This Row],[DISC 2-]]+NOTA[[#This Row],[DISC 3-]])</f>
        <v/>
      </c>
      <c r="AC125" s="50" t="str">
        <f>IF(NOTA[[#This Row],[JUMLAH]]="","",NOTA[[#This Row],[JUMLAH]]-NOTA[[#This Row],[DISC]])</f>
        <v/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5" s="50" t="str">
        <f>IF(OR(NOTA[[#This Row],[QTY]]="",NOTA[[#This Row],[HARGA SATUAN]]="",),"",NOTA[[#This Row],[QTY]]*NOTA[[#This Row],[HARGA SATUAN]])</f>
        <v/>
      </c>
      <c r="AI125" s="39">
        <f ca="1">IF(NOTA[ID_H]="","",INDEX(NOTA[TANGGAL],MATCH(,INDIRECT(ADDRESS(ROW(NOTA[TANGGAL]),COLUMN(NOTA[TANGGAL]))&amp;":"&amp;ADDRESS(ROW(),COLUMN(NOTA[TANGGAL]))),-1)))</f>
        <v>45296</v>
      </c>
      <c r="AJ125" s="41" t="str">
        <f ca="1">IF(NOTA[[#This Row],[NAMA BARANG]]="","",INDEX(NOTA[SUPPLIER],MATCH(,INDIRECT(ADDRESS(ROW(NOTA[ID]),COLUMN(NOTA[ID]))&amp;":"&amp;ADDRESS(ROW(),COLUMN(NOTA[ID]))),-1)))</f>
        <v>DB STATIONERY</v>
      </c>
      <c r="AK125" s="41" t="str">
        <f ca="1">IF(NOTA[[#This Row],[ID_H]]="","",IF(NOTA[[#This Row],[FAKTUR]]="",INDIRECT(ADDRESS(ROW()-1,COLUMN())),NOTA[[#This Row],[FAKTUR]]))</f>
        <v>UNTANA</v>
      </c>
      <c r="AL125" s="38" t="str">
        <f ca="1">IF(NOTA[[#This Row],[ID]]="","",COUNTIF(NOTA[ID_H],NOTA[[#This Row],[ID_H]]))</f>
        <v/>
      </c>
      <c r="AM125" s="38">
        <f ca="1">IF(NOTA[[#This Row],[TGL.NOTA]]="",IF(NOTA[[#This Row],[SUPPLIER_H]]="","",AM124),MONTH(NOTA[[#This Row],[TGL.NOTA]]))</f>
        <v>1</v>
      </c>
      <c r="AN125" s="38" t="str">
        <f>LOWER(SUBSTITUTE(SUBSTITUTE(SUBSTITUTE(SUBSTITUTE(SUBSTITUTE(SUBSTITUTE(SUBSTITUTE(SUBSTITUTE(SUBSTITUTE(NOTA[NAMA BARANG]," ",),".",""),"-",""),"(",""),")",""),",",""),"/",""),"""",""),"+",""))</f>
        <v>geltizofancytg30900el</v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geltizofancytg30900el0</v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geltizofancytg30900el0</v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38" t="str">
        <f>IF(NOTA[[#This Row],[CONCAT4]]="","",_xlfn.IFNA(MATCH(NOTA[[#This Row],[CONCAT4]],[2]!RAW[CONCAT_H],0),FALSE))</f>
        <v/>
      </c>
      <c r="AS125" s="38" t="e">
        <f>IF(NOTA[[#This Row],[CONCAT1]]="","",MATCH(NOTA[[#This Row],[CONCAT1]],[3]!db[NB NOTA_C],0))</f>
        <v>#N/A</v>
      </c>
      <c r="AT125" s="38" t="str">
        <f>IF(NOTA[[#This Row],[QTY/ CTN]]="","",TRUE)</f>
        <v/>
      </c>
      <c r="AU125" s="38" t="e">
        <f ca="1">IF(NOTA[[#This Row],[ID_H]]="","",IF(NOTA[[#This Row],[Column3]]=TRUE,NOTA[[#This Row],[QTY/ CTN]],INDEX([3]!db[QTY/ CTN],NOTA[[#This Row],[//DB]])))</f>
        <v>#N/A</v>
      </c>
      <c r="AV12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5" s="38" t="e">
        <f ca="1">IF(NOTA[[#This Row],[ID_H]]="","",MATCH(NOTA[[#This Row],[NB NOTA_C_QTY]],[4]!db[NB NOTA_C_QTY+F],0))</f>
        <v>#N/A</v>
      </c>
      <c r="AX125" s="53" t="e">
        <f ca="1">IF(NOTA[[#This Row],[NB NOTA_C_QTY]]="","",ROW()-2)</f>
        <v>#N/A</v>
      </c>
    </row>
    <row r="126" spans="1:50" s="38" customFormat="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16</v>
      </c>
      <c r="E126" s="46"/>
      <c r="F126" s="37"/>
      <c r="G126" s="37"/>
      <c r="H126" s="47"/>
      <c r="I126" s="37"/>
      <c r="J126" s="39"/>
      <c r="K126" s="37"/>
      <c r="L126" s="37" t="s">
        <v>252</v>
      </c>
      <c r="M126" s="40">
        <v>1</v>
      </c>
      <c r="N126" s="38">
        <v>1</v>
      </c>
      <c r="O126" s="37" t="s">
        <v>115</v>
      </c>
      <c r="P126" s="41"/>
      <c r="Q126" s="42"/>
      <c r="R126" s="48"/>
      <c r="S126" s="49"/>
      <c r="T126" s="44"/>
      <c r="U126" s="44"/>
      <c r="V126" s="50"/>
      <c r="W126" s="45" t="s">
        <v>250</v>
      </c>
      <c r="X126" s="50" t="str">
        <f>IF(NOTA[[#This Row],[HARGA/ CTN]]="",NOTA[[#This Row],[JUMLAH_H]],NOTA[[#This Row],[HARGA/ CTN]]*IF(NOTA[[#This Row],[C]]="",0,NOTA[[#This Row],[C]]))</f>
        <v/>
      </c>
      <c r="Y126" s="50" t="str">
        <f>IF(NOTA[[#This Row],[JUMLAH]]="","",NOTA[[#This Row],[JUMLAH]]*NOTA[[#This Row],[DISC 1]])</f>
        <v/>
      </c>
      <c r="Z126" s="50" t="str">
        <f>IF(NOTA[[#This Row],[JUMLAH]]="","",(NOTA[[#This Row],[JUMLAH]]-NOTA[[#This Row],[DISC 1-]])*NOTA[[#This Row],[DISC 2]])</f>
        <v/>
      </c>
      <c r="AA126" s="50" t="str">
        <f>IF(NOTA[[#This Row],[JUMLAH]]="","",(NOTA[[#This Row],[JUMLAH]]-NOTA[[#This Row],[DISC 1-]]-NOTA[[#This Row],[DISC 2-]])*NOTA[[#This Row],[DISC 3]])</f>
        <v/>
      </c>
      <c r="AB126" s="50" t="str">
        <f>IF(NOTA[[#This Row],[JUMLAH]]="","",NOTA[[#This Row],[DISC 1-]]+NOTA[[#This Row],[DISC 2-]]+NOTA[[#This Row],[DISC 3-]])</f>
        <v/>
      </c>
      <c r="AC126" s="50" t="str">
        <f>IF(NOTA[[#This Row],[JUMLAH]]="","",NOTA[[#This Row],[JUMLAH]]-NOTA[[#This Row],[DISC]])</f>
        <v/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6" s="50" t="str">
        <f>IF(OR(NOTA[[#This Row],[QTY]]="",NOTA[[#This Row],[HARGA SATUAN]]="",),"",NOTA[[#This Row],[QTY]]*NOTA[[#This Row],[HARGA SATUAN]])</f>
        <v/>
      </c>
      <c r="AI126" s="39">
        <f ca="1">IF(NOTA[ID_H]="","",INDEX(NOTA[TANGGAL],MATCH(,INDIRECT(ADDRESS(ROW(NOTA[TANGGAL]),COLUMN(NOTA[TANGGAL]))&amp;":"&amp;ADDRESS(ROW(),COLUMN(NOTA[TANGGAL]))),-1)))</f>
        <v>45296</v>
      </c>
      <c r="AJ126" s="41" t="str">
        <f ca="1">IF(NOTA[[#This Row],[NAMA BARANG]]="","",INDEX(NOTA[SUPPLIER],MATCH(,INDIRECT(ADDRESS(ROW(NOTA[ID]),COLUMN(NOTA[ID]))&amp;":"&amp;ADDRESS(ROW(),COLUMN(NOTA[ID]))),-1)))</f>
        <v>DB STATIONERY</v>
      </c>
      <c r="AK126" s="41" t="str">
        <f ca="1">IF(NOTA[[#This Row],[ID_H]]="","",IF(NOTA[[#This Row],[FAKTUR]]="",INDIRECT(ADDRESS(ROW()-1,COLUMN())),NOTA[[#This Row],[FAKTUR]]))</f>
        <v>UNTANA</v>
      </c>
      <c r="AL126" s="38" t="str">
        <f ca="1">IF(NOTA[[#This Row],[ID]]="","",COUNTIF(NOTA[ID_H],NOTA[[#This Row],[ID_H]]))</f>
        <v/>
      </c>
      <c r="AM126" s="38">
        <f ca="1">IF(NOTA[[#This Row],[TGL.NOTA]]="",IF(NOTA[[#This Row],[SUPPLIER_H]]="","",AM125),MONTH(NOTA[[#This Row],[TGL.NOTA]]))</f>
        <v>1</v>
      </c>
      <c r="AN126" s="38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38" t="str">
        <f>IF(NOTA[[#This Row],[CONCAT4]]="","",_xlfn.IFNA(MATCH(NOTA[[#This Row],[CONCAT4]],[2]!RAW[CONCAT_H],0),FALSE))</f>
        <v/>
      </c>
      <c r="AS126" s="38">
        <f>IF(NOTA[[#This Row],[CONCAT1]]="","",MATCH(NOTA[[#This Row],[CONCAT1]],[3]!db[NB NOTA_C],0))</f>
        <v>2932</v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>1 PCS</v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tascabinelpidahijauepcb007hj1pcsuntana</v>
      </c>
      <c r="AW126" s="38" t="e">
        <f ca="1">IF(NOTA[[#This Row],[ID_H]]="","",MATCH(NOTA[[#This Row],[NB NOTA_C_QTY]],[4]!db[NB NOTA_C_QTY+F],0))</f>
        <v>#REF!</v>
      </c>
      <c r="AX126" s="53">
        <f ca="1">IF(NOTA[[#This Row],[NB NOTA_C_QTY]]="","",ROW()-2)</f>
        <v>124</v>
      </c>
    </row>
    <row r="127" spans="1:50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16</v>
      </c>
      <c r="E127" s="46"/>
      <c r="F127" s="37"/>
      <c r="G127" s="37"/>
      <c r="H127" s="47"/>
      <c r="I127" s="37"/>
      <c r="J127" s="39"/>
      <c r="K127" s="37"/>
      <c r="L127" s="37" t="s">
        <v>137</v>
      </c>
      <c r="M127" s="40">
        <v>2</v>
      </c>
      <c r="N127" s="38">
        <v>192</v>
      </c>
      <c r="O127" s="37" t="s">
        <v>111</v>
      </c>
      <c r="P127" s="41">
        <v>29000</v>
      </c>
      <c r="Q127" s="42"/>
      <c r="R127" s="48"/>
      <c r="S127" s="49"/>
      <c r="T127" s="44"/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5568000</v>
      </c>
      <c r="Y127" s="50">
        <f>IF(NOTA[[#This Row],[JUMLAH]]="","",NOTA[[#This Row],[JUMLAH]]*NOTA[[#This Row],[DISC 1]])</f>
        <v>0</v>
      </c>
      <c r="Z127" s="50">
        <f>IF(NOTA[[#This Row],[JUMLAH]]="","",(NOTA[[#This Row],[JUMLAH]]-NOTA[[#This Row],[DISC 1-]])*NOTA[[#This Row],[DISC 2]])</f>
        <v>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0</v>
      </c>
      <c r="AC127" s="50">
        <f>IF(NOTA[[#This Row],[JUMLAH]]="","",NOTA[[#This Row],[JUMLAH]]-NOTA[[#This Row],[DISC]])</f>
        <v>5568000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27" s="50">
        <f>IF(OR(NOTA[[#This Row],[QTY]]="",NOTA[[#This Row],[HARGA SATUAN]]="",),"",NOTA[[#This Row],[QTY]]*NOTA[[#This Row],[HARGA SATUAN]])</f>
        <v>5568000</v>
      </c>
      <c r="AI127" s="39">
        <f ca="1">IF(NOTA[ID_H]="","",INDEX(NOTA[TANGGAL],MATCH(,INDIRECT(ADDRESS(ROW(NOTA[TANGGAL]),COLUMN(NOTA[TANGGAL]))&amp;":"&amp;ADDRESS(ROW(),COLUMN(NOTA[TANGGAL]))),-1)))</f>
        <v>45296</v>
      </c>
      <c r="AJ127" s="41" t="str">
        <f ca="1">IF(NOTA[[#This Row],[NAMA BARANG]]="","",INDEX(NOTA[SUPPLIER],MATCH(,INDIRECT(ADDRESS(ROW(NOTA[ID]),COLUMN(NOTA[ID]))&amp;":"&amp;ADDRESS(ROW(),COLUMN(NOTA[ID]))),-1)))</f>
        <v>DB STATIONERY</v>
      </c>
      <c r="AK127" s="41" t="str">
        <f ca="1">IF(NOTA[[#This Row],[ID_H]]="","",IF(NOTA[[#This Row],[FAKTUR]]="",INDIRECT(ADDRESS(ROW()-1,COLUMN())),NOTA[[#This Row],[FAKTUR]]))</f>
        <v>UNTANA</v>
      </c>
      <c r="AL127" s="38" t="str">
        <f ca="1">IF(NOTA[[#This Row],[ID]]="","",COUNTIF(NOTA[ID_H],NOTA[[#This Row],[ID_H]]))</f>
        <v/>
      </c>
      <c r="AM127" s="38">
        <f ca="1">IF(NOTA[[#This Row],[TGL.NOTA]]="",IF(NOTA[[#This Row],[SUPPLIER_H]]="","",AM126),MONTH(NOTA[[#This Row],[TGL.NOTA]]))</f>
        <v>1</v>
      </c>
      <c r="AN127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38" t="str">
        <f>IF(NOTA[[#This Row],[CONCAT4]]="","",_xlfn.IFNA(MATCH(NOTA[[#This Row],[CONCAT4]],[2]!RAW[CONCAT_H],0),FALSE))</f>
        <v/>
      </c>
      <c r="AS127" s="38">
        <f>IF(NOTA[[#This Row],[CONCAT1]]="","",MATCH(NOTA[[#This Row],[CONCAT1]],[3]!db[NB NOTA_C],0))</f>
        <v>2117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96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16</v>
      </c>
      <c r="E128" s="46"/>
      <c r="F128" s="37"/>
      <c r="G128" s="37"/>
      <c r="H128" s="47"/>
      <c r="I128" s="37"/>
      <c r="J128" s="39"/>
      <c r="K128" s="37"/>
      <c r="L128" s="37" t="s">
        <v>253</v>
      </c>
      <c r="M128" s="40">
        <v>2</v>
      </c>
      <c r="N128" s="38">
        <v>192</v>
      </c>
      <c r="O128" s="37" t="s">
        <v>111</v>
      </c>
      <c r="P128" s="41">
        <v>29000</v>
      </c>
      <c r="Q128" s="42"/>
      <c r="R128" s="48"/>
      <c r="S128" s="49"/>
      <c r="T128" s="44"/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5568000</v>
      </c>
      <c r="Y128" s="50">
        <f>IF(NOTA[[#This Row],[JUMLAH]]="","",NOTA[[#This Row],[JUMLAH]]*NOTA[[#This Row],[DISC 1]])</f>
        <v>0</v>
      </c>
      <c r="Z128" s="50">
        <f>IF(NOTA[[#This Row],[JUMLAH]]="","",(NOTA[[#This Row],[JUMLAH]]-NOTA[[#This Row],[DISC 1-]])*NOTA[[#This Row],[DISC 2]])</f>
        <v>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0</v>
      </c>
      <c r="AC128" s="50">
        <f>IF(NOTA[[#This Row],[JUMLAH]]="","",NOTA[[#This Row],[JUMLAH]]-NOTA[[#This Row],[DISC]])</f>
        <v>5568000</v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28" s="50">
        <f>IF(OR(NOTA[[#This Row],[QTY]]="",NOTA[[#This Row],[HARGA SATUAN]]="",),"",NOTA[[#This Row],[QTY]]*NOTA[[#This Row],[HARGA SATUAN]])</f>
        <v>5568000</v>
      </c>
      <c r="AI128" s="39">
        <f ca="1">IF(NOTA[ID_H]="","",INDEX(NOTA[TANGGAL],MATCH(,INDIRECT(ADDRESS(ROW(NOTA[TANGGAL]),COLUMN(NOTA[TANGGAL]))&amp;":"&amp;ADDRESS(ROW(),COLUMN(NOTA[TANGGAL]))),-1)))</f>
        <v>45296</v>
      </c>
      <c r="AJ128" s="41" t="str">
        <f ca="1">IF(NOTA[[#This Row],[NAMA BARANG]]="","",INDEX(NOTA[SUPPLIER],MATCH(,INDIRECT(ADDRESS(ROW(NOTA[ID]),COLUMN(NOTA[ID]))&amp;":"&amp;ADDRESS(ROW(),COLUMN(NOTA[ID]))),-1)))</f>
        <v>DB STATIONERY</v>
      </c>
      <c r="AK128" s="41" t="str">
        <f ca="1">IF(NOTA[[#This Row],[ID_H]]="","",IF(NOTA[[#This Row],[FAKTUR]]="",INDIRECT(ADDRESS(ROW()-1,COLUMN())),NOTA[[#This Row],[FAKTUR]]))</f>
        <v>UNTANA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1</v>
      </c>
      <c r="AN128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>
        <f>IF(NOTA[[#This Row],[CONCAT1]]="","",MATCH(NOTA[[#This Row],[CONCAT1]],[3]!db[NB NOTA_C],0))</f>
        <v>2108</v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>96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W128" s="38" t="e">
        <f ca="1">IF(NOTA[[#This Row],[ID_H]]="","",MATCH(NOTA[[#This Row],[NB NOTA_C_QTY]],[4]!db[NB NOTA_C_QTY+F],0))</f>
        <v>#REF!</v>
      </c>
      <c r="AX128" s="53">
        <f ca="1">IF(NOTA[[#This Row],[NB NOTA_C_QTY]]="","",ROW()-2)</f>
        <v>126</v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16</v>
      </c>
      <c r="E129" s="46"/>
      <c r="F129" s="37"/>
      <c r="G129" s="37"/>
      <c r="H129" s="47"/>
      <c r="I129" s="37"/>
      <c r="J129" s="39"/>
      <c r="K129" s="37"/>
      <c r="L129" s="37" t="s">
        <v>254</v>
      </c>
      <c r="M129" s="40">
        <v>2</v>
      </c>
      <c r="N129" s="38">
        <v>192</v>
      </c>
      <c r="O129" s="37" t="s">
        <v>111</v>
      </c>
      <c r="P129" s="41">
        <v>29000</v>
      </c>
      <c r="Q129" s="42"/>
      <c r="R129" s="48"/>
      <c r="S129" s="49"/>
      <c r="T129" s="44"/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5568000</v>
      </c>
      <c r="Y129" s="50">
        <f>IF(NOTA[[#This Row],[JUMLAH]]="","",NOTA[[#This Row],[JUMLAH]]*NOTA[[#This Row],[DISC 1]])</f>
        <v>0</v>
      </c>
      <c r="Z129" s="50">
        <f>IF(NOTA[[#This Row],[JUMLAH]]="","",(NOTA[[#This Row],[JUMLAH]]-NOTA[[#This Row],[DISC 1-]])*NOTA[[#This Row],[DISC 2]])</f>
        <v>0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0</v>
      </c>
      <c r="AC129" s="50">
        <f>IF(NOTA[[#This Row],[JUMLAH]]="","",NOTA[[#This Row],[JUMLAH]]-NOTA[[#This Row],[DISC]])</f>
        <v>5568000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29" s="50">
        <f>IF(OR(NOTA[[#This Row],[QTY]]="",NOTA[[#This Row],[HARGA SATUAN]]="",),"",NOTA[[#This Row],[QTY]]*NOTA[[#This Row],[HARGA SATUAN]])</f>
        <v>5568000</v>
      </c>
      <c r="AI129" s="39">
        <f ca="1">IF(NOTA[ID_H]="","",INDEX(NOTA[TANGGAL],MATCH(,INDIRECT(ADDRESS(ROW(NOTA[TANGGAL]),COLUMN(NOTA[TANGGAL]))&amp;":"&amp;ADDRESS(ROW(),COLUMN(NOTA[TANGGAL]))),-1)))</f>
        <v>45296</v>
      </c>
      <c r="AJ129" s="41" t="str">
        <f ca="1">IF(NOTA[[#This Row],[NAMA BARANG]]="","",INDEX(NOTA[SUPPLIER],MATCH(,INDIRECT(ADDRESS(ROW(NOTA[ID]),COLUMN(NOTA[ID]))&amp;":"&amp;ADDRESS(ROW(),COLUMN(NOTA[ID]))),-1)))</f>
        <v>DB STATIONERY</v>
      </c>
      <c r="AK129" s="41" t="str">
        <f ca="1">IF(NOTA[[#This Row],[ID_H]]="","",IF(NOTA[[#This Row],[FAKTUR]]="",INDIRECT(ADDRESS(ROW()-1,COLUMN())),NOTA[[#This Row],[FAKTUR]]))</f>
        <v>UNTANA</v>
      </c>
      <c r="AL129" s="38" t="str">
        <f ca="1">IF(NOTA[[#This Row],[ID]]="","",COUNTIF(NOTA[ID_H],NOTA[[#This Row],[ID_H]]))</f>
        <v/>
      </c>
      <c r="AM129" s="38">
        <f ca="1">IF(NOTA[[#This Row],[TGL.NOTA]]="",IF(NOTA[[#This Row],[SUPPLIER_H]]="","",AM128),MONTH(NOTA[[#This Row],[TGL.NOTA]]))</f>
        <v>1</v>
      </c>
      <c r="AN129" s="38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>
        <f>IF(NOTA[[#This Row],[CONCAT1]]="","",MATCH(NOTA[[#This Row],[CONCAT1]],[3]!db[NB NOTA_C],0))</f>
        <v>2076</v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>96 LSN</v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W129" s="38" t="e">
        <f ca="1">IF(NOTA[[#This Row],[ID_H]]="","",MATCH(NOTA[[#This Row],[NB NOTA_C_QTY]],[4]!db[NB NOTA_C_QTY+F],0))</f>
        <v>#REF!</v>
      </c>
      <c r="AX129" s="53">
        <f ca="1">IF(NOTA[[#This Row],[NB NOTA_C_QTY]]="","",ROW()-2)</f>
        <v>127</v>
      </c>
    </row>
    <row r="130" spans="1:50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16</v>
      </c>
      <c r="E130" s="46"/>
      <c r="F130" s="37"/>
      <c r="G130" s="37"/>
      <c r="H130" s="47"/>
      <c r="I130" s="37"/>
      <c r="J130" s="39"/>
      <c r="K130" s="37"/>
      <c r="L130" s="37" t="s">
        <v>255</v>
      </c>
      <c r="M130" s="40">
        <v>1</v>
      </c>
      <c r="N130" s="38">
        <v>96</v>
      </c>
      <c r="O130" s="37" t="s">
        <v>111</v>
      </c>
      <c r="P130" s="41">
        <v>29000</v>
      </c>
      <c r="Q130" s="42"/>
      <c r="R130" s="48"/>
      <c r="S130" s="49"/>
      <c r="T130" s="44"/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2784000</v>
      </c>
      <c r="Y130" s="50">
        <f>IF(NOTA[[#This Row],[JUMLAH]]="","",NOTA[[#This Row],[JUMLAH]]*NOTA[[#This Row],[DISC 1]])</f>
        <v>0</v>
      </c>
      <c r="Z130" s="50">
        <f>IF(NOTA[[#This Row],[JUMLAH]]="","",(NOTA[[#This Row],[JUMLAH]]-NOTA[[#This Row],[DISC 1-]])*NOTA[[#This Row],[DISC 2]])</f>
        <v>0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0</v>
      </c>
      <c r="AC130" s="50">
        <f>IF(NOTA[[#This Row],[JUMLAH]]="","",NOTA[[#This Row],[JUMLAH]]-NOTA[[#This Row],[DISC]])</f>
        <v>2784000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30" s="50">
        <f>IF(OR(NOTA[[#This Row],[QTY]]="",NOTA[[#This Row],[HARGA SATUAN]]="",),"",NOTA[[#This Row],[QTY]]*NOTA[[#This Row],[HARGA SATUAN]])</f>
        <v>2784000</v>
      </c>
      <c r="AI130" s="39">
        <f ca="1">IF(NOTA[ID_H]="","",INDEX(NOTA[TANGGAL],MATCH(,INDIRECT(ADDRESS(ROW(NOTA[TANGGAL]),COLUMN(NOTA[TANGGAL]))&amp;":"&amp;ADDRESS(ROW(),COLUMN(NOTA[TANGGAL]))),-1)))</f>
        <v>45296</v>
      </c>
      <c r="AJ130" s="41" t="str">
        <f ca="1">IF(NOTA[[#This Row],[NAMA BARANG]]="","",INDEX(NOTA[SUPPLIER],MATCH(,INDIRECT(ADDRESS(ROW(NOTA[ID]),COLUMN(NOTA[ID]))&amp;":"&amp;ADDRESS(ROW(),COLUMN(NOTA[ID]))),-1)))</f>
        <v>DB STATIONERY</v>
      </c>
      <c r="AK130" s="41" t="str">
        <f ca="1">IF(NOTA[[#This Row],[ID_H]]="","",IF(NOTA[[#This Row],[FAKTUR]]="",INDIRECT(ADDRESS(ROW()-1,COLUMN())),NOTA[[#This Row],[FAKTUR]]))</f>
        <v>UNTANA</v>
      </c>
      <c r="AL130" s="38" t="str">
        <f ca="1">IF(NOTA[[#This Row],[ID]]="","",COUNTIF(NOTA[ID_H],NOTA[[#This Row],[ID_H]]))</f>
        <v/>
      </c>
      <c r="AM130" s="38">
        <f ca="1">IF(NOTA[[#This Row],[TGL.NOTA]]="",IF(NOTA[[#This Row],[SUPPLIER_H]]="","",AM129),MONTH(NOTA[[#This Row],[TGL.NOTA]]))</f>
        <v>1</v>
      </c>
      <c r="AN130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Row],[CONCAT4]],[2]!RAW[CONCAT_H],0),FALSE))</f>
        <v/>
      </c>
      <c r="AS130" s="38">
        <f>IF(NOTA[[#This Row],[CONCAT1]]="","",MATCH(NOTA[[#This Row],[CONCAT1]],[3]!db[NB NOTA_C],0))</f>
        <v>2098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96 LSN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16</v>
      </c>
      <c r="E131" s="46"/>
      <c r="F131" s="37"/>
      <c r="G131" s="37"/>
      <c r="H131" s="47"/>
      <c r="I131" s="37"/>
      <c r="J131" s="39"/>
      <c r="K131" s="37"/>
      <c r="L131" s="37" t="s">
        <v>256</v>
      </c>
      <c r="M131" s="40">
        <v>1</v>
      </c>
      <c r="N131" s="38">
        <v>96</v>
      </c>
      <c r="O131" s="37" t="s">
        <v>111</v>
      </c>
      <c r="P131" s="41">
        <v>31500</v>
      </c>
      <c r="Q131" s="42"/>
      <c r="R131" s="48"/>
      <c r="S131" s="49"/>
      <c r="T131" s="44"/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3024000</v>
      </c>
      <c r="Y131" s="50">
        <f>IF(NOTA[[#This Row],[JUMLAH]]="","",NOTA[[#This Row],[JUMLAH]]*NOTA[[#This Row],[DISC 1]])</f>
        <v>0</v>
      </c>
      <c r="Z131" s="50">
        <f>IF(NOTA[[#This Row],[JUMLAH]]="","",(NOTA[[#This Row],[JUMLAH]]-NOTA[[#This Row],[DISC 1-]])*NOTA[[#This Row],[DISC 2]])</f>
        <v>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0</v>
      </c>
      <c r="AC131" s="50">
        <f>IF(NOTA[[#This Row],[JUMLAH]]="","",NOTA[[#This Row],[JUMLAH]]-NOTA[[#This Row],[DISC]])</f>
        <v>3024000</v>
      </c>
      <c r="AD131" s="50"/>
      <c r="AE1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35652000</v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131" s="50">
        <f>IF(OR(NOTA[[#This Row],[QTY]]="",NOTA[[#This Row],[HARGA SATUAN]]="",),"",NOTA[[#This Row],[QTY]]*NOTA[[#This Row],[HARGA SATUAN]])</f>
        <v>3024000</v>
      </c>
      <c r="AI131" s="39">
        <f ca="1">IF(NOTA[ID_H]="","",INDEX(NOTA[TANGGAL],MATCH(,INDIRECT(ADDRESS(ROW(NOTA[TANGGAL]),COLUMN(NOTA[TANGGAL]))&amp;":"&amp;ADDRESS(ROW(),COLUMN(NOTA[TANGGAL]))),-1)))</f>
        <v>45296</v>
      </c>
      <c r="AJ131" s="41" t="str">
        <f ca="1">IF(NOTA[[#This Row],[NAMA BARANG]]="","",INDEX(NOTA[SUPPLIER],MATCH(,INDIRECT(ADDRESS(ROW(NOTA[ID]),COLUMN(NOTA[ID]))&amp;":"&amp;ADDRESS(ROW(),COLUMN(NOTA[ID]))),-1)))</f>
        <v>DB STATIONERY</v>
      </c>
      <c r="AK131" s="41" t="str">
        <f ca="1">IF(NOTA[[#This Row],[ID_H]]="","",IF(NOTA[[#This Row],[FAKTUR]]="",INDIRECT(ADDRESS(ROW()-1,COLUMN())),NOTA[[#This Row],[FAKTUR]]))</f>
        <v>UNTANA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1</v>
      </c>
      <c r="AN131" s="3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1012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>96 LSN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 t="str">
        <f ca="1">IF(NOTA[[#This Row],[NAMA BARANG]]="","",INDEX(NOTA[ID],MATCH(,INDIRECT(ADDRESS(ROW(NOTA[ID]),COLUMN(NOTA[ID]))&amp;":"&amp;ADDRESS(ROW(),COLUMN(NOTA[ID]))),-1)))</f>
        <v/>
      </c>
      <c r="E132" s="46"/>
      <c r="F132" s="37"/>
      <c r="G132" s="37"/>
      <c r="H132" s="47"/>
      <c r="I132" s="37"/>
      <c r="J132" s="39"/>
      <c r="K132" s="37"/>
      <c r="L132" s="37"/>
      <c r="M132" s="40"/>
      <c r="O132" s="37"/>
      <c r="P132" s="41"/>
      <c r="Q132" s="42"/>
      <c r="R132" s="48"/>
      <c r="S132" s="49"/>
      <c r="T132" s="44"/>
      <c r="U132" s="44"/>
      <c r="V132" s="50"/>
      <c r="W132" s="45"/>
      <c r="X132" s="50" t="str">
        <f>IF(NOTA[[#This Row],[HARGA/ CTN]]="",NOTA[[#This Row],[JUMLAH_H]],NOTA[[#This Row],[HARGA/ CTN]]*IF(NOTA[[#This Row],[C]]="",0,NOTA[[#This Row],[C]]))</f>
        <v/>
      </c>
      <c r="Y132" s="50" t="str">
        <f>IF(NOTA[[#This Row],[JUMLAH]]="","",NOTA[[#This Row],[JUMLAH]]*NOTA[[#This Row],[DISC 1]])</f>
        <v/>
      </c>
      <c r="Z132" s="50" t="str">
        <f>IF(NOTA[[#This Row],[JUMLAH]]="","",(NOTA[[#This Row],[JUMLAH]]-NOTA[[#This Row],[DISC 1-]])*NOTA[[#This Row],[DISC 2]])</f>
        <v/>
      </c>
      <c r="AA132" s="50" t="str">
        <f>IF(NOTA[[#This Row],[JUMLAH]]="","",(NOTA[[#This Row],[JUMLAH]]-NOTA[[#This Row],[DISC 1-]]-NOTA[[#This Row],[DISC 2-]])*NOTA[[#This Row],[DISC 3]])</f>
        <v/>
      </c>
      <c r="AB132" s="50" t="str">
        <f>IF(NOTA[[#This Row],[JUMLAH]]="","",NOTA[[#This Row],[DISC 1-]]+NOTA[[#This Row],[DISC 2-]]+NOTA[[#This Row],[DISC 3-]])</f>
        <v/>
      </c>
      <c r="AC132" s="50" t="str">
        <f>IF(NOTA[[#This Row],[JUMLAH]]="","",NOTA[[#This Row],[JUMLAH]]-NOTA[[#This Row],[DISC]])</f>
        <v/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2" s="50" t="str">
        <f>IF(OR(NOTA[[#This Row],[QTY]]="",NOTA[[#This Row],[HARGA SATUAN]]="",),"",NOTA[[#This Row],[QTY]]*NOTA[[#This Row],[HARGA SATUAN]])</f>
        <v/>
      </c>
      <c r="AI132" s="39" t="str">
        <f ca="1">IF(NOTA[ID_H]="","",INDEX(NOTA[TANGGAL],MATCH(,INDIRECT(ADDRESS(ROW(NOTA[TANGGAL]),COLUMN(NOTA[TANGGAL]))&amp;":"&amp;ADDRESS(ROW(),COLUMN(NOTA[TANGGAL]))),-1)))</f>
        <v/>
      </c>
      <c r="AJ132" s="41" t="str">
        <f ca="1">IF(NOTA[[#This Row],[NAMA BARANG]]="","",INDEX(NOTA[SUPPLIER],MATCH(,INDIRECT(ADDRESS(ROW(NOTA[ID]),COLUMN(NOTA[ID]))&amp;":"&amp;ADDRESS(ROW(),COLUMN(NOTA[ID]))),-1)))</f>
        <v/>
      </c>
      <c r="AK132" s="41" t="str">
        <f ca="1">IF(NOTA[[#This Row],[ID_H]]="","",IF(NOTA[[#This Row],[FAKTUR]]="",INDIRECT(ADDRESS(ROW()-1,COLUMN())),NOTA[[#This Row],[FAKTUR]]))</f>
        <v/>
      </c>
      <c r="AL132" s="38" t="str">
        <f ca="1">IF(NOTA[[#This Row],[ID]]="","",COUNTIF(NOTA[ID_H],NOTA[[#This Row],[ID_H]]))</f>
        <v/>
      </c>
      <c r="AM132" s="38" t="str">
        <f ca="1">IF(NOTA[[#This Row],[TGL.NOTA]]="",IF(NOTA[[#This Row],[SUPPLIER_H]]="","",AM131),MONTH(NOTA[[#This Row],[TGL.NOTA]]))</f>
        <v/>
      </c>
      <c r="AN132" s="38" t="str">
        <f>LOWER(SUBSTITUTE(SUBSTITUTE(SUBSTITUTE(SUBSTITUTE(SUBSTITUTE(SUBSTITUTE(SUBSTITUTE(SUBSTITUTE(SUBSTITUTE(NOTA[NAMA BARANG]," ",),".",""),"-",""),"(",""),")",""),",",""),"/",""),"""",""),"+",""))</f>
        <v/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 t="str">
        <f>IF(NOTA[[#This Row],[CONCAT1]]="","",MATCH(NOTA[[#This Row],[CONCAT1]],[3]!db[NB NOTA_C],0))</f>
        <v/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/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2" s="38" t="str">
        <f ca="1">IF(NOTA[[#This Row],[ID_H]]="","",MATCH(NOTA[[#This Row],[NB NOTA_C_QTY]],[4]!db[NB NOTA_C_QTY+F],0))</f>
        <v/>
      </c>
      <c r="AX132" s="53" t="str">
        <f ca="1">IF(NOTA[[#This Row],[NB NOTA_C_QTY]]="","",ROW()-2)</f>
        <v/>
      </c>
    </row>
    <row r="133" spans="1:50" s="38" customFormat="1" ht="20.100000000000001" customHeight="1" x14ac:dyDescent="0.25">
      <c r="A133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1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DBS_0501_624-16</v>
      </c>
      <c r="C133" s="38" t="e">
        <f ca="1">IF(NOTA[[#This Row],[ID_P]]="","",MATCH(NOTA[[#This Row],[ID_P]],[1]!B_MSK[N_ID],0))</f>
        <v>#REF!</v>
      </c>
      <c r="D133" s="38">
        <f ca="1">IF(NOTA[[#This Row],[NAMA BARANG]]="","",INDEX(NOTA[ID],MATCH(,INDIRECT(ADDRESS(ROW(NOTA[ID]),COLUMN(NOTA[ID]))&amp;":"&amp;ADDRESS(ROW(),COLUMN(NOTA[ID]))),-1)))</f>
        <v>17</v>
      </c>
      <c r="E133" s="46"/>
      <c r="F133" s="37" t="s">
        <v>112</v>
      </c>
      <c r="G133" s="37" t="s">
        <v>110</v>
      </c>
      <c r="H133" s="47" t="s">
        <v>257</v>
      </c>
      <c r="I133" s="37"/>
      <c r="J133" s="39">
        <v>45293</v>
      </c>
      <c r="K133" s="37"/>
      <c r="L133" s="37" t="s">
        <v>258</v>
      </c>
      <c r="M133" s="40">
        <v>1</v>
      </c>
      <c r="N133" s="38">
        <v>120</v>
      </c>
      <c r="O133" s="37" t="s">
        <v>111</v>
      </c>
      <c r="P133" s="41">
        <v>18250</v>
      </c>
      <c r="Q133" s="42"/>
      <c r="R133" s="48"/>
      <c r="S133" s="49"/>
      <c r="T133" s="44"/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2190000</v>
      </c>
      <c r="Y133" s="50">
        <f>IF(NOTA[[#This Row],[JUMLAH]]="","",NOTA[[#This Row],[JUMLAH]]*NOTA[[#This Row],[DISC 1]])</f>
        <v>0</v>
      </c>
      <c r="Z133" s="50">
        <f>IF(NOTA[[#This Row],[JUMLAH]]="","",(NOTA[[#This Row],[JUMLAH]]-NOTA[[#This Row],[DISC 1-]])*NOTA[[#This Row],[DISC 2]])</f>
        <v>0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0</v>
      </c>
      <c r="AC133" s="50">
        <f>IF(NOTA[[#This Row],[JUMLAH]]="","",NOTA[[#This Row],[JUMLAH]]-NOTA[[#This Row],[DISC]])</f>
        <v>2190000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3" s="50">
        <f>IF(OR(NOTA[[#This Row],[QTY]]="",NOTA[[#This Row],[HARGA SATUAN]]="",),"",NOTA[[#This Row],[QTY]]*NOTA[[#This Row],[HARGA SATUAN]])</f>
        <v>2190000</v>
      </c>
      <c r="AI133" s="39">
        <f ca="1">IF(NOTA[ID_H]="","",INDEX(NOTA[TANGGAL],MATCH(,INDIRECT(ADDRESS(ROW(NOTA[TANGGAL]),COLUMN(NOTA[TANGGAL]))&amp;":"&amp;ADDRESS(ROW(),COLUMN(NOTA[TANGGAL]))),-1)))</f>
        <v>45296</v>
      </c>
      <c r="AJ133" s="41" t="str">
        <f ca="1">IF(NOTA[[#This Row],[NAMA BARANG]]="","",INDEX(NOTA[SUPPLIER],MATCH(,INDIRECT(ADDRESS(ROW(NOTA[ID]),COLUMN(NOTA[ID]))&amp;":"&amp;ADDRESS(ROW(),COLUMN(NOTA[ID]))),-1)))</f>
        <v>DB STATIONERY</v>
      </c>
      <c r="AK133" s="41" t="str">
        <f ca="1">IF(NOTA[[#This Row],[ID_H]]="","",IF(NOTA[[#This Row],[FAKTUR]]="",INDIRECT(ADDRESS(ROW()-1,COLUMN())),NOTA[[#This Row],[FAKTUR]]))</f>
        <v>UNTANA</v>
      </c>
      <c r="AL133" s="38">
        <f ca="1">IF(NOTA[[#This Row],[ID]]="","",COUNTIF(NOTA[ID_H],NOTA[[#This Row],[ID_H]]))</f>
        <v>16</v>
      </c>
      <c r="AM133" s="38">
        <f>IF(NOTA[[#This Row],[TGL.NOTA]]="",IF(NOTA[[#This Row],[SUPPLIER_H]]="","",AM132),MONTH(NOTA[[#This Row],[TGL.NOTA]]))</f>
        <v>1</v>
      </c>
      <c r="AN133" s="38" t="str">
        <f>LOWER(SUBSTITUTE(SUBSTITUTE(SUBSTITUTE(SUBSTITUTE(SUBSTITUTE(SUBSTITUTE(SUBSTITUTE(SUBSTITUTE(SUBSTITUTE(NOTA[NAMA BARANG]," ",),".",""),"-",""),"(",""),")",""),",",""),"/",""),"""",""),"+",""))</f>
        <v>gelzhixinrefillg3158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gelzhixinrefillg31582190000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gelzhixinrefillg31582190000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STATIONERYUNTANAJUA026/2445293gelzhixinrefillg3158</v>
      </c>
      <c r="AR133" s="38" t="e">
        <f>IF(NOTA[[#This Row],[CONCAT4]]="","",_xlfn.IFNA(MATCH(NOTA[[#This Row],[CONCAT4]],[2]!RAW[CONCAT_H],0),FALSE))</f>
        <v>#REF!</v>
      </c>
      <c r="AS133" s="38">
        <f>IF(NOTA[[#This Row],[CONCAT1]]="","",MATCH(NOTA[[#This Row],[CONCAT1]],[3]!db[NB NOTA_C],0))</f>
        <v>1231</v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>120 LSN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gelzhixinrefillg3158120lsnuntana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17</v>
      </c>
      <c r="E134" s="46"/>
      <c r="F134" s="37"/>
      <c r="G134" s="37"/>
      <c r="H134" s="47"/>
      <c r="I134" s="37"/>
      <c r="J134" s="39"/>
      <c r="K134" s="37"/>
      <c r="L134" s="37" t="s">
        <v>259</v>
      </c>
      <c r="M134" s="40">
        <v>1</v>
      </c>
      <c r="N134" s="38">
        <v>120</v>
      </c>
      <c r="O134" s="37" t="s">
        <v>111</v>
      </c>
      <c r="P134" s="41">
        <v>18250</v>
      </c>
      <c r="Q134" s="42"/>
      <c r="R134" s="48"/>
      <c r="S134" s="49"/>
      <c r="T134" s="44"/>
      <c r="U134" s="44"/>
      <c r="V134" s="50"/>
      <c r="W134" s="45"/>
      <c r="X134" s="50">
        <f>IF(NOTA[[#This Row],[HARGA/ CTN]]="",NOTA[[#This Row],[JUMLAH_H]],NOTA[[#This Row],[HARGA/ CTN]]*IF(NOTA[[#This Row],[C]]="",0,NOTA[[#This Row],[C]]))</f>
        <v>2190000</v>
      </c>
      <c r="Y134" s="50">
        <f>IF(NOTA[[#This Row],[JUMLAH]]="","",NOTA[[#This Row],[JUMLAH]]*NOTA[[#This Row],[DISC 1]])</f>
        <v>0</v>
      </c>
      <c r="Z134" s="50">
        <f>IF(NOTA[[#This Row],[JUMLAH]]="","",(NOTA[[#This Row],[JUMLAH]]-NOTA[[#This Row],[DISC 1-]])*NOTA[[#This Row],[DISC 2]])</f>
        <v>0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0</v>
      </c>
      <c r="AC134" s="50">
        <f>IF(NOTA[[#This Row],[JUMLAH]]="","",NOTA[[#This Row],[JUMLAH]]-NOTA[[#This Row],[DISC]])</f>
        <v>2190000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4" s="50">
        <f>IF(OR(NOTA[[#This Row],[QTY]]="",NOTA[[#This Row],[HARGA SATUAN]]="",),"",NOTA[[#This Row],[QTY]]*NOTA[[#This Row],[HARGA SATUAN]])</f>
        <v>2190000</v>
      </c>
      <c r="AI134" s="39">
        <f ca="1">IF(NOTA[ID_H]="","",INDEX(NOTA[TANGGAL],MATCH(,INDIRECT(ADDRESS(ROW(NOTA[TANGGAL]),COLUMN(NOTA[TANGGAL]))&amp;":"&amp;ADDRESS(ROW(),COLUMN(NOTA[TANGGAL]))),-1)))</f>
        <v>45296</v>
      </c>
      <c r="AJ134" s="41" t="str">
        <f ca="1">IF(NOTA[[#This Row],[NAMA BARANG]]="","",INDEX(NOTA[SUPPLIER],MATCH(,INDIRECT(ADDRESS(ROW(NOTA[ID]),COLUMN(NOTA[ID]))&amp;":"&amp;ADDRESS(ROW(),COLUMN(NOTA[ID]))),-1)))</f>
        <v>DB STATIONERY</v>
      </c>
      <c r="AK134" s="41" t="str">
        <f ca="1">IF(NOTA[[#This Row],[ID_H]]="","",IF(NOTA[[#This Row],[FAKTUR]]="",INDIRECT(ADDRESS(ROW()-1,COLUMN())),NOTA[[#This Row],[FAKTUR]]))</f>
        <v>UNTANA</v>
      </c>
      <c r="AL134" s="38" t="str">
        <f ca="1">IF(NOTA[[#This Row],[ID]]="","",COUNTIF(NOTA[ID_H],NOTA[[#This Row],[ID_H]]))</f>
        <v/>
      </c>
      <c r="AM134" s="38">
        <f ca="1">IF(NOTA[[#This Row],[TGL.NOTA]]="",IF(NOTA[[#This Row],[SUPPLIER_H]]="","",AM133),MONTH(NOTA[[#This Row],[TGL.NOTA]]))</f>
        <v>1</v>
      </c>
      <c r="AN134" s="38" t="str">
        <f>LOWER(SUBSTITUTE(SUBSTITUTE(SUBSTITUTE(SUBSTITUTE(SUBSTITUTE(SUBSTITUTE(SUBSTITUTE(SUBSTITUTE(SUBSTITUTE(NOTA[NAMA BARANG]," ",),".",""),"-",""),"(",""),")",""),",",""),"/",""),"""",""),"+",""))</f>
        <v>gelzhixinrefillg3159</v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gelzhixinrefillg31592190000</v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gelzhixinrefillg31592190000</v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 t="e">
        <f>IF(NOTA[[#This Row],[CONCAT1]]="","",MATCH(NOTA[[#This Row],[CONCAT1]],[3]!db[NB NOTA_C],0))</f>
        <v>#N/A</v>
      </c>
      <c r="AT134" s="38" t="str">
        <f>IF(NOTA[[#This Row],[QTY/ CTN]]="","",TRUE)</f>
        <v/>
      </c>
      <c r="AU134" s="38" t="e">
        <f ca="1">IF(NOTA[[#This Row],[ID_H]]="","",IF(NOTA[[#This Row],[Column3]]=TRUE,NOTA[[#This Row],[QTY/ CTN]],INDEX([3]!db[QTY/ CTN],NOTA[[#This Row],[//DB]])))</f>
        <v>#N/A</v>
      </c>
      <c r="AV13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4" s="38" t="e">
        <f ca="1">IF(NOTA[[#This Row],[ID_H]]="","",MATCH(NOTA[[#This Row],[NB NOTA_C_QTY]],[4]!db[NB NOTA_C_QTY+F],0))</f>
        <v>#N/A</v>
      </c>
      <c r="AX134" s="53" t="e">
        <f ca="1">IF(NOTA[[#This Row],[NB NOTA_C_QTY]]="","",ROW()-2)</f>
        <v>#N/A</v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17</v>
      </c>
      <c r="E135" s="46"/>
      <c r="F135" s="37"/>
      <c r="G135" s="37"/>
      <c r="H135" s="47"/>
      <c r="I135" s="37"/>
      <c r="J135" s="39"/>
      <c r="K135" s="37"/>
      <c r="L135" s="37" t="s">
        <v>260</v>
      </c>
      <c r="M135" s="40">
        <v>1</v>
      </c>
      <c r="N135" s="38">
        <v>120</v>
      </c>
      <c r="O135" s="37" t="s">
        <v>111</v>
      </c>
      <c r="P135" s="41">
        <v>18250</v>
      </c>
      <c r="Q135" s="42"/>
      <c r="R135" s="48"/>
      <c r="S135" s="49"/>
      <c r="T135" s="44"/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2190000</v>
      </c>
      <c r="Y135" s="50">
        <f>IF(NOTA[[#This Row],[JUMLAH]]="","",NOTA[[#This Row],[JUMLAH]]*NOTA[[#This Row],[DISC 1]])</f>
        <v>0</v>
      </c>
      <c r="Z135" s="50">
        <f>IF(NOTA[[#This Row],[JUMLAH]]="","",(NOTA[[#This Row],[JUMLAH]]-NOTA[[#This Row],[DISC 1-]])*NOTA[[#This Row],[DISC 2]])</f>
        <v>0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0</v>
      </c>
      <c r="AC135" s="50">
        <f>IF(NOTA[[#This Row],[JUMLAH]]="","",NOTA[[#This Row],[JUMLAH]]-NOTA[[#This Row],[DISC]])</f>
        <v>2190000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5" s="50">
        <f>IF(OR(NOTA[[#This Row],[QTY]]="",NOTA[[#This Row],[HARGA SATUAN]]="",),"",NOTA[[#This Row],[QTY]]*NOTA[[#This Row],[HARGA SATUAN]])</f>
        <v>2190000</v>
      </c>
      <c r="AI135" s="39">
        <f ca="1">IF(NOTA[ID_H]="","",INDEX(NOTA[TANGGAL],MATCH(,INDIRECT(ADDRESS(ROW(NOTA[TANGGAL]),COLUMN(NOTA[TANGGAL]))&amp;":"&amp;ADDRESS(ROW(),COLUMN(NOTA[TANGGAL]))),-1)))</f>
        <v>45296</v>
      </c>
      <c r="AJ135" s="41" t="str">
        <f ca="1">IF(NOTA[[#This Row],[NAMA BARANG]]="","",INDEX(NOTA[SUPPLIER],MATCH(,INDIRECT(ADDRESS(ROW(NOTA[ID]),COLUMN(NOTA[ID]))&amp;":"&amp;ADDRESS(ROW(),COLUMN(NOTA[ID]))),-1)))</f>
        <v>DB STATIONERY</v>
      </c>
      <c r="AK135" s="41" t="str">
        <f ca="1">IF(NOTA[[#This Row],[ID_H]]="","",IF(NOTA[[#This Row],[FAKTUR]]="",INDIRECT(ADDRESS(ROW()-1,COLUMN())),NOTA[[#This Row],[FAKTUR]]))</f>
        <v>UNTANA</v>
      </c>
      <c r="AL135" s="38" t="str">
        <f ca="1">IF(NOTA[[#This Row],[ID]]="","",COUNTIF(NOTA[ID_H],NOTA[[#This Row],[ID_H]]))</f>
        <v/>
      </c>
      <c r="AM135" s="38">
        <f ca="1">IF(NOTA[[#This Row],[TGL.NOTA]]="",IF(NOTA[[#This Row],[SUPPLIER_H]]="","",AM134),MONTH(NOTA[[#This Row],[TGL.NOTA]]))</f>
        <v>1</v>
      </c>
      <c r="AN135" s="38" t="str">
        <f>LOWER(SUBSTITUTE(SUBSTITUTE(SUBSTITUTE(SUBSTITUTE(SUBSTITUTE(SUBSTITUTE(SUBSTITUTE(SUBSTITUTE(SUBSTITUTE(NOTA[NAMA BARANG]," ",),".",""),"-",""),"(",""),")",""),",",""),"/",""),"""",""),"+",""))</f>
        <v>gelzhixinrefillg3161</v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gelzhixinrefillg31612190000</v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gelzhixinrefillg31612190000</v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 t="e">
        <f>IF(NOTA[[#This Row],[CONCAT1]]="","",MATCH(NOTA[[#This Row],[CONCAT1]],[3]!db[NB NOTA_C],0))</f>
        <v>#N/A</v>
      </c>
      <c r="AT135" s="38" t="str">
        <f>IF(NOTA[[#This Row],[QTY/ CTN]]="","",TRUE)</f>
        <v/>
      </c>
      <c r="AU135" s="38" t="e">
        <f ca="1">IF(NOTA[[#This Row],[ID_H]]="","",IF(NOTA[[#This Row],[Column3]]=TRUE,NOTA[[#This Row],[QTY/ CTN]],INDEX([3]!db[QTY/ CTN],NOTA[[#This Row],[//DB]])))</f>
        <v>#N/A</v>
      </c>
      <c r="AV13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5" s="38" t="e">
        <f ca="1">IF(NOTA[[#This Row],[ID_H]]="","",MATCH(NOTA[[#This Row],[NB NOTA_C_QTY]],[4]!db[NB NOTA_C_QTY+F],0))</f>
        <v>#N/A</v>
      </c>
      <c r="AX135" s="53" t="e">
        <f ca="1">IF(NOTA[[#This Row],[NB NOTA_C_QTY]]="","",ROW()-2)</f>
        <v>#N/A</v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17</v>
      </c>
      <c r="E136" s="46"/>
      <c r="F136" s="37"/>
      <c r="G136" s="37"/>
      <c r="H136" s="47"/>
      <c r="I136" s="37"/>
      <c r="J136" s="39"/>
      <c r="K136" s="37"/>
      <c r="L136" s="37" t="s">
        <v>261</v>
      </c>
      <c r="M136" s="40">
        <v>1</v>
      </c>
      <c r="N136" s="38">
        <v>120</v>
      </c>
      <c r="O136" s="37" t="s">
        <v>111</v>
      </c>
      <c r="P136" s="41">
        <v>18250</v>
      </c>
      <c r="Q136" s="42"/>
      <c r="R136" s="48"/>
      <c r="S136" s="49"/>
      <c r="T136" s="44"/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2190000</v>
      </c>
      <c r="Y136" s="50">
        <f>IF(NOTA[[#This Row],[JUMLAH]]="","",NOTA[[#This Row],[JUMLAH]]*NOTA[[#This Row],[DISC 1]])</f>
        <v>0</v>
      </c>
      <c r="Z136" s="50">
        <f>IF(NOTA[[#This Row],[JUMLAH]]="","",(NOTA[[#This Row],[JUMLAH]]-NOTA[[#This Row],[DISC 1-]])*NOTA[[#This Row],[DISC 2]])</f>
        <v>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0</v>
      </c>
      <c r="AC136" s="50">
        <f>IF(NOTA[[#This Row],[JUMLAH]]="","",NOTA[[#This Row],[JUMLAH]]-NOTA[[#This Row],[DISC]])</f>
        <v>2190000</v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6" s="50">
        <f>IF(OR(NOTA[[#This Row],[QTY]]="",NOTA[[#This Row],[HARGA SATUAN]]="",),"",NOTA[[#This Row],[QTY]]*NOTA[[#This Row],[HARGA SATUAN]])</f>
        <v>2190000</v>
      </c>
      <c r="AI136" s="39">
        <f ca="1">IF(NOTA[ID_H]="","",INDEX(NOTA[TANGGAL],MATCH(,INDIRECT(ADDRESS(ROW(NOTA[TANGGAL]),COLUMN(NOTA[TANGGAL]))&amp;":"&amp;ADDRESS(ROW(),COLUMN(NOTA[TANGGAL]))),-1)))</f>
        <v>45296</v>
      </c>
      <c r="AJ136" s="41" t="str">
        <f ca="1">IF(NOTA[[#This Row],[NAMA BARANG]]="","",INDEX(NOTA[SUPPLIER],MATCH(,INDIRECT(ADDRESS(ROW(NOTA[ID]),COLUMN(NOTA[ID]))&amp;":"&amp;ADDRESS(ROW(),COLUMN(NOTA[ID]))),-1)))</f>
        <v>DB STATIONERY</v>
      </c>
      <c r="AK136" s="41" t="str">
        <f ca="1">IF(NOTA[[#This Row],[ID_H]]="","",IF(NOTA[[#This Row],[FAKTUR]]="",INDIRECT(ADDRESS(ROW()-1,COLUMN())),NOTA[[#This Row],[FAKTUR]]))</f>
        <v>UNTANA</v>
      </c>
      <c r="AL136" s="38" t="str">
        <f ca="1">IF(NOTA[[#This Row],[ID]]="","",COUNTIF(NOTA[ID_H],NOTA[[#This Row],[ID_H]]))</f>
        <v/>
      </c>
      <c r="AM136" s="38">
        <f ca="1">IF(NOTA[[#This Row],[TGL.NOTA]]="",IF(NOTA[[#This Row],[SUPPLIER_H]]="","",AM135),MONTH(NOTA[[#This Row],[TGL.NOTA]]))</f>
        <v>1</v>
      </c>
      <c r="AN136" s="38" t="str">
        <f>LOWER(SUBSTITUTE(SUBSTITUTE(SUBSTITUTE(SUBSTITUTE(SUBSTITUTE(SUBSTITUTE(SUBSTITUTE(SUBSTITUTE(SUBSTITUTE(NOTA[NAMA BARANG]," ",),".",""),"-",""),"(",""),")",""),",",""),"/",""),"""",""),"+",""))</f>
        <v>gelzhixinrefillg3162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gelzhixinrefillg31622190000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gelzhixinrefillg31622190000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 t="e">
        <f>IF(NOTA[[#This Row],[CONCAT1]]="","",MATCH(NOTA[[#This Row],[CONCAT1]],[3]!db[NB NOTA_C],0))</f>
        <v>#N/A</v>
      </c>
      <c r="AT136" s="38" t="str">
        <f>IF(NOTA[[#This Row],[QTY/ CTN]]="","",TRUE)</f>
        <v/>
      </c>
      <c r="AU136" s="38" t="e">
        <f ca="1">IF(NOTA[[#This Row],[ID_H]]="","",IF(NOTA[[#This Row],[Column3]]=TRUE,NOTA[[#This Row],[QTY/ CTN]],INDEX([3]!db[QTY/ CTN],NOTA[[#This Row],[//DB]])))</f>
        <v>#N/A</v>
      </c>
      <c r="AV13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6" s="38" t="e">
        <f ca="1">IF(NOTA[[#This Row],[ID_H]]="","",MATCH(NOTA[[#This Row],[NB NOTA_C_QTY]],[4]!db[NB NOTA_C_QTY+F],0))</f>
        <v>#N/A</v>
      </c>
      <c r="AX136" s="53" t="e">
        <f ca="1">IF(NOTA[[#This Row],[NB NOTA_C_QTY]]="","",ROW()-2)</f>
        <v>#N/A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17</v>
      </c>
      <c r="E137" s="46"/>
      <c r="F137" s="37"/>
      <c r="G137" s="37"/>
      <c r="H137" s="47"/>
      <c r="I137" s="37"/>
      <c r="J137" s="39"/>
      <c r="K137" s="37"/>
      <c r="L137" s="37" t="s">
        <v>262</v>
      </c>
      <c r="M137" s="40">
        <v>1</v>
      </c>
      <c r="N137" s="38">
        <v>120</v>
      </c>
      <c r="O137" s="37" t="s">
        <v>111</v>
      </c>
      <c r="P137" s="41"/>
      <c r="Q137" s="42"/>
      <c r="R137" s="48"/>
      <c r="S137" s="49"/>
      <c r="T137" s="44"/>
      <c r="U137" s="44"/>
      <c r="V137" s="50"/>
      <c r="W137" s="45" t="s">
        <v>250</v>
      </c>
      <c r="X137" s="50" t="str">
        <f>IF(NOTA[[#This Row],[HARGA/ CTN]]="",NOTA[[#This Row],[JUMLAH_H]],NOTA[[#This Row],[HARGA/ CTN]]*IF(NOTA[[#This Row],[C]]="",0,NOTA[[#This Row],[C]]))</f>
        <v/>
      </c>
      <c r="Y137" s="50" t="str">
        <f>IF(NOTA[[#This Row],[JUMLAH]]="","",NOTA[[#This Row],[JUMLAH]]*NOTA[[#This Row],[DISC 1]])</f>
        <v/>
      </c>
      <c r="Z137" s="50" t="str">
        <f>IF(NOTA[[#This Row],[JUMLAH]]="","",(NOTA[[#This Row],[JUMLAH]]-NOTA[[#This Row],[DISC 1-]])*NOTA[[#This Row],[DISC 2]])</f>
        <v/>
      </c>
      <c r="AA137" s="50" t="str">
        <f>IF(NOTA[[#This Row],[JUMLAH]]="","",(NOTA[[#This Row],[JUMLAH]]-NOTA[[#This Row],[DISC 1-]]-NOTA[[#This Row],[DISC 2-]])*NOTA[[#This Row],[DISC 3]])</f>
        <v/>
      </c>
      <c r="AB137" s="50" t="str">
        <f>IF(NOTA[[#This Row],[JUMLAH]]="","",NOTA[[#This Row],[DISC 1-]]+NOTA[[#This Row],[DISC 2-]]+NOTA[[#This Row],[DISC 3-]])</f>
        <v/>
      </c>
      <c r="AC137" s="50" t="str">
        <f>IF(NOTA[[#This Row],[JUMLAH]]="","",NOTA[[#This Row],[JUMLAH]]-NOTA[[#This Row],[DISC]])</f>
        <v/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37" s="50" t="str">
        <f>IF(OR(NOTA[[#This Row],[QTY]]="",NOTA[[#This Row],[HARGA SATUAN]]="",),"",NOTA[[#This Row],[QTY]]*NOTA[[#This Row],[HARGA SATUAN]])</f>
        <v/>
      </c>
      <c r="AI137" s="39">
        <f ca="1">IF(NOTA[ID_H]="","",INDEX(NOTA[TANGGAL],MATCH(,INDIRECT(ADDRESS(ROW(NOTA[TANGGAL]),COLUMN(NOTA[TANGGAL]))&amp;":"&amp;ADDRESS(ROW(),COLUMN(NOTA[TANGGAL]))),-1)))</f>
        <v>45296</v>
      </c>
      <c r="AJ137" s="41" t="str">
        <f ca="1">IF(NOTA[[#This Row],[NAMA BARANG]]="","",INDEX(NOTA[SUPPLIER],MATCH(,INDIRECT(ADDRESS(ROW(NOTA[ID]),COLUMN(NOTA[ID]))&amp;":"&amp;ADDRESS(ROW(),COLUMN(NOTA[ID]))),-1)))</f>
        <v>DB STATIONERY</v>
      </c>
      <c r="AK137" s="41" t="str">
        <f ca="1">IF(NOTA[[#This Row],[ID_H]]="","",IF(NOTA[[#This Row],[FAKTUR]]="",INDIRECT(ADDRESS(ROW()-1,COLUMN())),NOTA[[#This Row],[FAKTUR]]))</f>
        <v>UNTANA</v>
      </c>
      <c r="AL137" s="38" t="str">
        <f ca="1">IF(NOTA[[#This Row],[ID]]="","",COUNTIF(NOTA[ID_H],NOTA[[#This Row],[ID_H]]))</f>
        <v/>
      </c>
      <c r="AM137" s="38">
        <f ca="1">IF(NOTA[[#This Row],[TGL.NOTA]]="",IF(NOTA[[#This Row],[SUPPLIER_H]]="","",AM134),MONTH(NOTA[[#This Row],[TGL.NOTA]]))</f>
        <v>1</v>
      </c>
      <c r="AN137" s="38" t="str">
        <f>LOWER(SUBSTITUTE(SUBSTITUTE(SUBSTITUTE(SUBSTITUTE(SUBSTITUTE(SUBSTITUTE(SUBSTITUTE(SUBSTITUTE(SUBSTITUTE(NOTA[NAMA BARANG]," ",),".",""),"-",""),"(",""),")",""),",",""),"/",""),"""",""),"+",""))</f>
        <v>gelzhixinrefillg5019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gelzhixinrefillg50190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gelzhixinrefillg50190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 t="e">
        <f>IF(NOTA[[#This Row],[CONCAT1]]="","",MATCH(NOTA[[#This Row],[CONCAT1]],[3]!db[NB NOTA_C],0))</f>
        <v>#N/A</v>
      </c>
      <c r="AT137" s="38" t="str">
        <f>IF(NOTA[[#This Row],[QTY/ CTN]]="","",TRUE)</f>
        <v/>
      </c>
      <c r="AU137" s="38" t="e">
        <f ca="1">IF(NOTA[[#This Row],[ID_H]]="","",IF(NOTA[[#This Row],[Column3]]=TRUE,NOTA[[#This Row],[QTY/ CTN]],INDEX([3]!db[QTY/ CTN],NOTA[[#This Row],[//DB]])))</f>
        <v>#N/A</v>
      </c>
      <c r="AV13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7" s="38" t="e">
        <f ca="1">IF(NOTA[[#This Row],[ID_H]]="","",MATCH(NOTA[[#This Row],[NB NOTA_C_QTY]],[4]!db[NB NOTA_C_QTY+F],0))</f>
        <v>#N/A</v>
      </c>
      <c r="AX137" s="53" t="e">
        <f ca="1">IF(NOTA[[#This Row],[NB NOTA_C_QTY]]="","",ROW()-2)</f>
        <v>#N/A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>
        <f ca="1">IF(NOTA[[#This Row],[NAMA BARANG]]="","",INDEX(NOTA[ID],MATCH(,INDIRECT(ADDRESS(ROW(NOTA[ID]),COLUMN(NOTA[ID]))&amp;":"&amp;ADDRESS(ROW(),COLUMN(NOTA[ID]))),-1)))</f>
        <v>17</v>
      </c>
      <c r="E138" s="46"/>
      <c r="F138" s="37"/>
      <c r="G138" s="37"/>
      <c r="H138" s="47"/>
      <c r="I138" s="37"/>
      <c r="J138" s="39"/>
      <c r="K138" s="37"/>
      <c r="L138" s="37" t="s">
        <v>150</v>
      </c>
      <c r="M138" s="40">
        <v>1</v>
      </c>
      <c r="N138" s="38">
        <v>1</v>
      </c>
      <c r="O138" s="37" t="s">
        <v>115</v>
      </c>
      <c r="P138" s="41"/>
      <c r="Q138" s="42"/>
      <c r="R138" s="48"/>
      <c r="S138" s="49"/>
      <c r="T138" s="44"/>
      <c r="U138" s="44"/>
      <c r="V138" s="50"/>
      <c r="W138" s="45" t="s">
        <v>250</v>
      </c>
      <c r="X138" s="50" t="str">
        <f>IF(NOTA[[#This Row],[HARGA/ CTN]]="",NOTA[[#This Row],[JUMLAH_H]],NOTA[[#This Row],[HARGA/ CTN]]*IF(NOTA[[#This Row],[C]]="",0,NOTA[[#This Row],[C]]))</f>
        <v/>
      </c>
      <c r="Y138" s="50" t="str">
        <f>IF(NOTA[[#This Row],[JUMLAH]]="","",NOTA[[#This Row],[JUMLAH]]*NOTA[[#This Row],[DISC 1]])</f>
        <v/>
      </c>
      <c r="Z138" s="50" t="str">
        <f>IF(NOTA[[#This Row],[JUMLAH]]="","",(NOTA[[#This Row],[JUMLAH]]-NOTA[[#This Row],[DISC 1-]])*NOTA[[#This Row],[DISC 2]])</f>
        <v/>
      </c>
      <c r="AA138" s="50" t="str">
        <f>IF(NOTA[[#This Row],[JUMLAH]]="","",(NOTA[[#This Row],[JUMLAH]]-NOTA[[#This Row],[DISC 1-]]-NOTA[[#This Row],[DISC 2-]])*NOTA[[#This Row],[DISC 3]])</f>
        <v/>
      </c>
      <c r="AB138" s="50" t="str">
        <f>IF(NOTA[[#This Row],[JUMLAH]]="","",NOTA[[#This Row],[DISC 1-]]+NOTA[[#This Row],[DISC 2-]]+NOTA[[#This Row],[DISC 3-]])</f>
        <v/>
      </c>
      <c r="AC138" s="50" t="str">
        <f>IF(NOTA[[#This Row],[JUMLAH]]="","",NOTA[[#This Row],[JUMLAH]]-NOTA[[#This Row],[DISC]])</f>
        <v/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38" s="50" t="str">
        <f>IF(OR(NOTA[[#This Row],[QTY]]="",NOTA[[#This Row],[HARGA SATUAN]]="",),"",NOTA[[#This Row],[QTY]]*NOTA[[#This Row],[HARGA SATUAN]])</f>
        <v/>
      </c>
      <c r="AI138" s="39">
        <f ca="1">IF(NOTA[ID_H]="","",INDEX(NOTA[TANGGAL],MATCH(,INDIRECT(ADDRESS(ROW(NOTA[TANGGAL]),COLUMN(NOTA[TANGGAL]))&amp;":"&amp;ADDRESS(ROW(),COLUMN(NOTA[TANGGAL]))),-1)))</f>
        <v>45296</v>
      </c>
      <c r="AJ138" s="41" t="str">
        <f ca="1">IF(NOTA[[#This Row],[NAMA BARANG]]="","",INDEX(NOTA[SUPPLIER],MATCH(,INDIRECT(ADDRESS(ROW(NOTA[ID]),COLUMN(NOTA[ID]))&amp;":"&amp;ADDRESS(ROW(),COLUMN(NOTA[ID]))),-1)))</f>
        <v>DB STATIONERY</v>
      </c>
      <c r="AK138" s="41" t="str">
        <f ca="1">IF(NOTA[[#This Row],[ID_H]]="","",IF(NOTA[[#This Row],[FAKTUR]]="",INDIRECT(ADDRESS(ROW()-1,COLUMN())),NOTA[[#This Row],[FAKTUR]]))</f>
        <v>UNTANA</v>
      </c>
      <c r="AL138" s="38" t="str">
        <f ca="1">IF(NOTA[[#This Row],[ID]]="","",COUNTIF(NOTA[ID_H],NOTA[[#This Row],[ID_H]]))</f>
        <v/>
      </c>
      <c r="AM138" s="38">
        <f ca="1">IF(NOTA[[#This Row],[TGL.NOTA]]="",IF(NOTA[[#This Row],[SUPPLIER_H]]="","",AM137),MONTH(NOTA[[#This Row],[TGL.NOTA]]))</f>
        <v>1</v>
      </c>
      <c r="AN138" s="38" t="str">
        <f>LOWER(SUBSTITUTE(SUBSTITUTE(SUBSTITUTE(SUBSTITUTE(SUBSTITUTE(SUBSTITUTE(SUBSTITUTE(SUBSTITUTE(SUBSTITUTE(NOTA[NAMA BARANG]," ",),".",""),"-",""),"(",""),")",""),",",""),"/",""),"""",""),"+",""))</f>
        <v>tascabinelpidaepcb007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 t="e">
        <f>IF(NOTA[[#This Row],[CONCAT1]]="","",MATCH(NOTA[[#This Row],[CONCAT1]],[3]!db[NB NOTA_C],0))</f>
        <v>#N/A</v>
      </c>
      <c r="AT138" s="38" t="str">
        <f>IF(NOTA[[#This Row],[QTY/ CTN]]="","",TRUE)</f>
        <v/>
      </c>
      <c r="AU138" s="38" t="e">
        <f ca="1">IF(NOTA[[#This Row],[ID_H]]="","",IF(NOTA[[#This Row],[Column3]]=TRUE,NOTA[[#This Row],[QTY/ CTN]],INDEX([3]!db[QTY/ CTN],NOTA[[#This Row],[//DB]])))</f>
        <v>#N/A</v>
      </c>
      <c r="AV1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8" s="38" t="e">
        <f ca="1">IF(NOTA[[#This Row],[ID_H]]="","",MATCH(NOTA[[#This Row],[NB NOTA_C_QTY]],[4]!db[NB NOTA_C_QTY+F],0))</f>
        <v>#N/A</v>
      </c>
      <c r="AX138" s="53" t="e">
        <f ca="1">IF(NOTA[[#This Row],[NB NOTA_C_QTY]]="","",ROW()-2)</f>
        <v>#N/A</v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17</v>
      </c>
      <c r="E139" s="46"/>
      <c r="F139" s="37"/>
      <c r="G139" s="37"/>
      <c r="H139" s="47"/>
      <c r="I139" s="37"/>
      <c r="J139" s="39"/>
      <c r="K139" s="37"/>
      <c r="L139" s="37" t="s">
        <v>263</v>
      </c>
      <c r="M139" s="40">
        <v>1</v>
      </c>
      <c r="N139" s="38">
        <v>144</v>
      </c>
      <c r="O139" s="37" t="s">
        <v>111</v>
      </c>
      <c r="P139" s="41">
        <v>18250</v>
      </c>
      <c r="Q139" s="42"/>
      <c r="R139" s="48"/>
      <c r="S139" s="49"/>
      <c r="T139" s="44"/>
      <c r="U139" s="44"/>
      <c r="V139" s="50"/>
      <c r="W139" s="45"/>
      <c r="X139" s="50">
        <f>IF(NOTA[[#This Row],[HARGA/ CTN]]="",NOTA[[#This Row],[JUMLAH_H]],NOTA[[#This Row],[HARGA/ CTN]]*IF(NOTA[[#This Row],[C]]="",0,NOTA[[#This Row],[C]]))</f>
        <v>2628000</v>
      </c>
      <c r="Y139" s="50">
        <f>IF(NOTA[[#This Row],[JUMLAH]]="","",NOTA[[#This Row],[JUMLAH]]*NOTA[[#This Row],[DISC 1]])</f>
        <v>0</v>
      </c>
      <c r="Z139" s="50">
        <f>IF(NOTA[[#This Row],[JUMLAH]]="","",(NOTA[[#This Row],[JUMLAH]]-NOTA[[#This Row],[DISC 1-]])*NOTA[[#This Row],[DISC 2]])</f>
        <v>0</v>
      </c>
      <c r="AA139" s="50">
        <f>IF(NOTA[[#This Row],[JUMLAH]]="","",(NOTA[[#This Row],[JUMLAH]]-NOTA[[#This Row],[DISC 1-]]-NOTA[[#This Row],[DISC 2-]])*NOTA[[#This Row],[DISC 3]])</f>
        <v>0</v>
      </c>
      <c r="AB139" s="50">
        <f>IF(NOTA[[#This Row],[JUMLAH]]="","",NOTA[[#This Row],[DISC 1-]]+NOTA[[#This Row],[DISC 2-]]+NOTA[[#This Row],[DISC 3-]])</f>
        <v>0</v>
      </c>
      <c r="AC139" s="50">
        <f>IF(NOTA[[#This Row],[JUMLAH]]="","",NOTA[[#This Row],[JUMLAH]]-NOTA[[#This Row],[DISC]])</f>
        <v>2628000</v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39" s="50">
        <f>IF(OR(NOTA[[#This Row],[QTY]]="",NOTA[[#This Row],[HARGA SATUAN]]="",),"",NOTA[[#This Row],[QTY]]*NOTA[[#This Row],[HARGA SATUAN]])</f>
        <v>2628000</v>
      </c>
      <c r="AI139" s="39">
        <f ca="1">IF(NOTA[ID_H]="","",INDEX(NOTA[TANGGAL],MATCH(,INDIRECT(ADDRESS(ROW(NOTA[TANGGAL]),COLUMN(NOTA[TANGGAL]))&amp;":"&amp;ADDRESS(ROW(),COLUMN(NOTA[TANGGAL]))),-1)))</f>
        <v>45296</v>
      </c>
      <c r="AJ139" s="41" t="str">
        <f ca="1">IF(NOTA[[#This Row],[NAMA BARANG]]="","",INDEX(NOTA[SUPPLIER],MATCH(,INDIRECT(ADDRESS(ROW(NOTA[ID]),COLUMN(NOTA[ID]))&amp;":"&amp;ADDRESS(ROW(),COLUMN(NOTA[ID]))),-1)))</f>
        <v>DB STATIONERY</v>
      </c>
      <c r="AK139" s="41" t="str">
        <f ca="1">IF(NOTA[[#This Row],[ID_H]]="","",IF(NOTA[[#This Row],[FAKTUR]]="",INDIRECT(ADDRESS(ROW()-1,COLUMN())),NOTA[[#This Row],[FAKTUR]]))</f>
        <v>UNTANA</v>
      </c>
      <c r="AL139" s="38" t="str">
        <f ca="1">IF(NOTA[[#This Row],[ID]]="","",COUNTIF(NOTA[ID_H],NOTA[[#This Row],[ID_H]]))</f>
        <v/>
      </c>
      <c r="AM139" s="38">
        <f ca="1">IF(NOTA[[#This Row],[TGL.NOTA]]="",IF(NOTA[[#This Row],[SUPPLIER_H]]="","",AM138),MONTH(NOTA[[#This Row],[TGL.NOTA]]))</f>
        <v>1</v>
      </c>
      <c r="AN139" s="3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>
        <f>IF(NOTA[[#This Row],[CONCAT1]]="","",MATCH(NOTA[[#This Row],[CONCAT1]],[3]!db[NB NOTA_C],0))</f>
        <v>1136</v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>144 LSN</v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geltizofancytg30600e144lsnuntana</v>
      </c>
      <c r="AW139" s="38" t="e">
        <f ca="1">IF(NOTA[[#This Row],[ID_H]]="","",MATCH(NOTA[[#This Row],[NB NOTA_C_QTY]],[4]!db[NB NOTA_C_QTY+F],0))</f>
        <v>#REF!</v>
      </c>
      <c r="AX139" s="53">
        <f ca="1">IF(NOTA[[#This Row],[NB NOTA_C_QTY]]="","",ROW()-2)</f>
        <v>137</v>
      </c>
    </row>
    <row r="140" spans="1:50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17</v>
      </c>
      <c r="E140" s="46"/>
      <c r="F140" s="37"/>
      <c r="G140" s="37"/>
      <c r="H140" s="47"/>
      <c r="I140" s="37"/>
      <c r="J140" s="39"/>
      <c r="K140" s="37"/>
      <c r="L140" s="37" t="s">
        <v>264</v>
      </c>
      <c r="M140" s="40">
        <v>1</v>
      </c>
      <c r="N140" s="38">
        <v>144</v>
      </c>
      <c r="O140" s="37" t="s">
        <v>111</v>
      </c>
      <c r="P140" s="41">
        <v>18250</v>
      </c>
      <c r="Q140" s="42"/>
      <c r="R140" s="48"/>
      <c r="S140" s="49"/>
      <c r="T140" s="44"/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2628000</v>
      </c>
      <c r="Y140" s="50">
        <f>IF(NOTA[[#This Row],[JUMLAH]]="","",NOTA[[#This Row],[JUMLAH]]*NOTA[[#This Row],[DISC 1]])</f>
        <v>0</v>
      </c>
      <c r="Z140" s="50">
        <f>IF(NOTA[[#This Row],[JUMLAH]]="","",(NOTA[[#This Row],[JUMLAH]]-NOTA[[#This Row],[DISC 1-]])*NOTA[[#This Row],[DISC 2]])</f>
        <v>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0</v>
      </c>
      <c r="AC140" s="50">
        <f>IF(NOTA[[#This Row],[JUMLAH]]="","",NOTA[[#This Row],[JUMLAH]]-NOTA[[#This Row],[DISC]])</f>
        <v>2628000</v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0" s="50">
        <f>IF(OR(NOTA[[#This Row],[QTY]]="",NOTA[[#This Row],[HARGA SATUAN]]="",),"",NOTA[[#This Row],[QTY]]*NOTA[[#This Row],[HARGA SATUAN]])</f>
        <v>2628000</v>
      </c>
      <c r="AI140" s="39">
        <f ca="1">IF(NOTA[ID_H]="","",INDEX(NOTA[TANGGAL],MATCH(,INDIRECT(ADDRESS(ROW(NOTA[TANGGAL]),COLUMN(NOTA[TANGGAL]))&amp;":"&amp;ADDRESS(ROW(),COLUMN(NOTA[TANGGAL]))),-1)))</f>
        <v>45296</v>
      </c>
      <c r="AJ140" s="41" t="str">
        <f ca="1">IF(NOTA[[#This Row],[NAMA BARANG]]="","",INDEX(NOTA[SUPPLIER],MATCH(,INDIRECT(ADDRESS(ROW(NOTA[ID]),COLUMN(NOTA[ID]))&amp;":"&amp;ADDRESS(ROW(),COLUMN(NOTA[ID]))),-1)))</f>
        <v>DB STATIONERY</v>
      </c>
      <c r="AK140" s="41" t="str">
        <f ca="1">IF(NOTA[[#This Row],[ID_H]]="","",IF(NOTA[[#This Row],[FAKTUR]]="",INDIRECT(ADDRESS(ROW()-1,COLUMN())),NOTA[[#This Row],[FAKTUR]]))</f>
        <v>UNTANA</v>
      </c>
      <c r="AL140" s="38" t="str">
        <f ca="1">IF(NOTA[[#This Row],[ID]]="","",COUNTIF(NOTA[ID_H],NOTA[[#This Row],[ID_H]]))</f>
        <v/>
      </c>
      <c r="AM140" s="38">
        <f ca="1">IF(NOTA[[#This Row],[TGL.NOTA]]="",IF(NOTA[[#This Row],[SUPPLIER_H]]="","",AM139),MONTH(NOTA[[#This Row],[TGL.NOTA]]))</f>
        <v>1</v>
      </c>
      <c r="AN140" s="38" t="str">
        <f>LOWER(SUBSTITUTE(SUBSTITUTE(SUBSTITUTE(SUBSTITUTE(SUBSTITUTE(SUBSTITUTE(SUBSTITUTE(SUBSTITUTE(SUBSTITUTE(NOTA[NAMA BARANG]," ",),".",""),"-",""),"(",""),")",""),",",""),"/",""),"""",""),"+",""))</f>
        <v>geltizofancytg30734f</v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geltizofancytg30734f2628000</v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geltizofancytg30734f2628000</v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0" s="38" t="str">
        <f>IF(NOTA[[#This Row],[CONCAT4]]="","",_xlfn.IFNA(MATCH(NOTA[[#This Row],[CONCAT4]],[2]!RAW[CONCAT_H],0),FALSE))</f>
        <v/>
      </c>
      <c r="AS140" s="38">
        <f>IF(NOTA[[#This Row],[CONCAT1]]="","",MATCH(NOTA[[#This Row],[CONCAT1]],[3]!db[NB NOTA_C],0))</f>
        <v>1146</v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>144 LSN</v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geltizofancytg30734f144lsnuntana</v>
      </c>
      <c r="AW140" s="38" t="e">
        <f ca="1">IF(NOTA[[#This Row],[ID_H]]="","",MATCH(NOTA[[#This Row],[NB NOTA_C_QTY]],[4]!db[NB NOTA_C_QTY+F],0))</f>
        <v>#REF!</v>
      </c>
      <c r="AX140" s="53">
        <f ca="1">IF(NOTA[[#This Row],[NB NOTA_C_QTY]]="","",ROW()-2)</f>
        <v>138</v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17</v>
      </c>
      <c r="E141" s="46"/>
      <c r="F141" s="37"/>
      <c r="G141" s="37"/>
      <c r="H141" s="47"/>
      <c r="I141" s="37"/>
      <c r="J141" s="39"/>
      <c r="K141" s="37"/>
      <c r="L141" s="37" t="s">
        <v>265</v>
      </c>
      <c r="M141" s="40">
        <v>1</v>
      </c>
      <c r="N141" s="38">
        <v>144</v>
      </c>
      <c r="O141" s="37" t="s">
        <v>111</v>
      </c>
      <c r="P141" s="41">
        <v>18250</v>
      </c>
      <c r="Q141" s="42"/>
      <c r="R141" s="48"/>
      <c r="S141" s="49"/>
      <c r="T141" s="44"/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2628000</v>
      </c>
      <c r="Y141" s="50">
        <f>IF(NOTA[[#This Row],[JUMLAH]]="","",NOTA[[#This Row],[JUMLAH]]*NOTA[[#This Row],[DISC 1]])</f>
        <v>0</v>
      </c>
      <c r="Z141" s="50">
        <f>IF(NOTA[[#This Row],[JUMLAH]]="","",(NOTA[[#This Row],[JUMLAH]]-NOTA[[#This Row],[DISC 1-]])*NOTA[[#This Row],[DISC 2]])</f>
        <v>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0</v>
      </c>
      <c r="AC141" s="50">
        <f>IF(NOTA[[#This Row],[JUMLAH]]="","",NOTA[[#This Row],[JUMLAH]]-NOTA[[#This Row],[DISC]])</f>
        <v>2628000</v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1" s="50">
        <f>IF(OR(NOTA[[#This Row],[QTY]]="",NOTA[[#This Row],[HARGA SATUAN]]="",),"",NOTA[[#This Row],[QTY]]*NOTA[[#This Row],[HARGA SATUAN]])</f>
        <v>2628000</v>
      </c>
      <c r="AI141" s="39">
        <f ca="1">IF(NOTA[ID_H]="","",INDEX(NOTA[TANGGAL],MATCH(,INDIRECT(ADDRESS(ROW(NOTA[TANGGAL]),COLUMN(NOTA[TANGGAL]))&amp;":"&amp;ADDRESS(ROW(),COLUMN(NOTA[TANGGAL]))),-1)))</f>
        <v>45296</v>
      </c>
      <c r="AJ141" s="41" t="str">
        <f ca="1">IF(NOTA[[#This Row],[NAMA BARANG]]="","",INDEX(NOTA[SUPPLIER],MATCH(,INDIRECT(ADDRESS(ROW(NOTA[ID]),COLUMN(NOTA[ID]))&amp;":"&amp;ADDRESS(ROW(),COLUMN(NOTA[ID]))),-1)))</f>
        <v>DB STATIONERY</v>
      </c>
      <c r="AK141" s="41" t="str">
        <f ca="1">IF(NOTA[[#This Row],[ID_H]]="","",IF(NOTA[[#This Row],[FAKTUR]]="",INDIRECT(ADDRESS(ROW()-1,COLUMN())),NOTA[[#This Row],[FAKTUR]]))</f>
        <v>UNTANA</v>
      </c>
      <c r="AL141" s="38" t="str">
        <f ca="1">IF(NOTA[[#This Row],[ID]]="","",COUNTIF(NOTA[ID_H],NOTA[[#This Row],[ID_H]]))</f>
        <v/>
      </c>
      <c r="AM141" s="38">
        <f ca="1">IF(NOTA[[#This Row],[TGL.NOTA]]="",IF(NOTA[[#This Row],[SUPPLIER_H]]="","",AM140),MONTH(NOTA[[#This Row],[TGL.NOTA]]))</f>
        <v>1</v>
      </c>
      <c r="AN141" s="38" t="str">
        <f>LOWER(SUBSTITUTE(SUBSTITUTE(SUBSTITUTE(SUBSTITUTE(SUBSTITUTE(SUBSTITUTE(SUBSTITUTE(SUBSTITUTE(SUBSTITUTE(NOTA[NAMA BARANG]," ",),".",""),"-",""),"(",""),")",""),",",""),"/",""),"""",""),"+",""))</f>
        <v>geltizofancys3tg30801f</v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>
        <f>IF(NOTA[[#This Row],[CONCAT1]]="","",MATCH(NOTA[[#This Row],[CONCAT1]],[3]!db[NB NOTA_C],0))</f>
        <v>1123</v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>144 LSN</v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W141" s="38" t="e">
        <f ca="1">IF(NOTA[[#This Row],[ID_H]]="","",MATCH(NOTA[[#This Row],[NB NOTA_C_QTY]],[4]!db[NB NOTA_C_QTY+F],0))</f>
        <v>#REF!</v>
      </c>
      <c r="AX141" s="53">
        <f ca="1">IF(NOTA[[#This Row],[NB NOTA_C_QTY]]="","",ROW()-2)</f>
        <v>139</v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17</v>
      </c>
      <c r="E142" s="46"/>
      <c r="F142" s="37"/>
      <c r="G142" s="37"/>
      <c r="H142" s="47"/>
      <c r="I142" s="37"/>
      <c r="J142" s="39"/>
      <c r="K142" s="37"/>
      <c r="L142" s="37" t="s">
        <v>266</v>
      </c>
      <c r="M142" s="40">
        <v>1</v>
      </c>
      <c r="N142" s="38">
        <v>144</v>
      </c>
      <c r="O142" s="37" t="s">
        <v>111</v>
      </c>
      <c r="P142" s="41">
        <v>18250</v>
      </c>
      <c r="Q142" s="42"/>
      <c r="R142" s="48"/>
      <c r="S142" s="49"/>
      <c r="T142" s="44"/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2628000</v>
      </c>
      <c r="Y142" s="50">
        <f>IF(NOTA[[#This Row],[JUMLAH]]="","",NOTA[[#This Row],[JUMLAH]]*NOTA[[#This Row],[DISC 1]])</f>
        <v>0</v>
      </c>
      <c r="Z142" s="50">
        <f>IF(NOTA[[#This Row],[JUMLAH]]="","",(NOTA[[#This Row],[JUMLAH]]-NOTA[[#This Row],[DISC 1-]])*NOTA[[#This Row],[DISC 2]])</f>
        <v>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0</v>
      </c>
      <c r="AC142" s="50">
        <f>IF(NOTA[[#This Row],[JUMLAH]]="","",NOTA[[#This Row],[JUMLAH]]-NOTA[[#This Row],[DISC]])</f>
        <v>2628000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2" s="50">
        <f>IF(OR(NOTA[[#This Row],[QTY]]="",NOTA[[#This Row],[HARGA SATUAN]]="",),"",NOTA[[#This Row],[QTY]]*NOTA[[#This Row],[HARGA SATUAN]])</f>
        <v>2628000</v>
      </c>
      <c r="AI142" s="39">
        <f ca="1">IF(NOTA[ID_H]="","",INDEX(NOTA[TANGGAL],MATCH(,INDIRECT(ADDRESS(ROW(NOTA[TANGGAL]),COLUMN(NOTA[TANGGAL]))&amp;":"&amp;ADDRESS(ROW(),COLUMN(NOTA[TANGGAL]))),-1)))</f>
        <v>45296</v>
      </c>
      <c r="AJ142" s="41" t="str">
        <f ca="1">IF(NOTA[[#This Row],[NAMA BARANG]]="","",INDEX(NOTA[SUPPLIER],MATCH(,INDIRECT(ADDRESS(ROW(NOTA[ID]),COLUMN(NOTA[ID]))&amp;":"&amp;ADDRESS(ROW(),COLUMN(NOTA[ID]))),-1)))</f>
        <v>DB STATIONERY</v>
      </c>
      <c r="AK142" s="41" t="str">
        <f ca="1">IF(NOTA[[#This Row],[ID_H]]="","",IF(NOTA[[#This Row],[FAKTUR]]="",INDIRECT(ADDRESS(ROW()-1,COLUMN())),NOTA[[#This Row],[FAKTUR]]))</f>
        <v>UNTANA</v>
      </c>
      <c r="AL142" s="38" t="str">
        <f ca="1">IF(NOTA[[#This Row],[ID]]="","",COUNTIF(NOTA[ID_H],NOTA[[#This Row],[ID_H]]))</f>
        <v/>
      </c>
      <c r="AM142" s="38">
        <f ca="1">IF(NOTA[[#This Row],[TGL.NOTA]]="",IF(NOTA[[#This Row],[SUPPLIER_H]]="","",AM141),MONTH(NOTA[[#This Row],[TGL.NOTA]]))</f>
        <v>1</v>
      </c>
      <c r="AN142" s="38" t="str">
        <f>LOWER(SUBSTITUTE(SUBSTITUTE(SUBSTITUTE(SUBSTITUTE(SUBSTITUTE(SUBSTITUTE(SUBSTITUTE(SUBSTITUTE(SUBSTITUTE(NOTA[NAMA BARANG]," ",),".",""),"-",""),"(",""),")",""),",",""),"/",""),"""",""),"+",""))</f>
        <v>geltizofancys3tg30802e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geltizofancys3tg30802e2628000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geltizofancys3tg30802e2628000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>
        <f>IF(NOTA[[#This Row],[CONCAT1]]="","",MATCH(NOTA[[#This Row],[CONCAT1]],[3]!db[NB NOTA_C],0))</f>
        <v>1124</v>
      </c>
      <c r="AT142" s="38" t="str">
        <f>IF(NOTA[[#This Row],[QTY/ CTN]]="","",TRUE)</f>
        <v/>
      </c>
      <c r="AU142" s="38" t="str">
        <f ca="1">IF(NOTA[[#This Row],[ID_H]]="","",IF(NOTA[[#This Row],[Column3]]=TRUE,NOTA[[#This Row],[QTY/ CTN]],INDEX([3]!db[QTY/ CTN],NOTA[[#This Row],[//DB]])))</f>
        <v>144 LSN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geltizofancys3tg30802e144lsnuntana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17</v>
      </c>
      <c r="E143" s="46"/>
      <c r="F143" s="37"/>
      <c r="G143" s="37"/>
      <c r="H143" s="47"/>
      <c r="I143" s="37"/>
      <c r="J143" s="39"/>
      <c r="K143" s="37"/>
      <c r="L143" s="37" t="s">
        <v>267</v>
      </c>
      <c r="M143" s="40">
        <v>1</v>
      </c>
      <c r="N143" s="38">
        <v>144</v>
      </c>
      <c r="O143" s="37" t="s">
        <v>111</v>
      </c>
      <c r="P143" s="41">
        <v>18250</v>
      </c>
      <c r="Q143" s="42"/>
      <c r="R143" s="48"/>
      <c r="S143" s="49"/>
      <c r="T143" s="44"/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2628000</v>
      </c>
      <c r="Y143" s="50">
        <f>IF(NOTA[[#This Row],[JUMLAH]]="","",NOTA[[#This Row],[JUMLAH]]*NOTA[[#This Row],[DISC 1]])</f>
        <v>0</v>
      </c>
      <c r="Z143" s="50">
        <f>IF(NOTA[[#This Row],[JUMLAH]]="","",(NOTA[[#This Row],[JUMLAH]]-NOTA[[#This Row],[DISC 1-]])*NOTA[[#This Row],[DISC 2]])</f>
        <v>0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0</v>
      </c>
      <c r="AC143" s="50">
        <f>IF(NOTA[[#This Row],[JUMLAH]]="","",NOTA[[#This Row],[JUMLAH]]-NOTA[[#This Row],[DISC]])</f>
        <v>2628000</v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3" s="50">
        <f>IF(OR(NOTA[[#This Row],[QTY]]="",NOTA[[#This Row],[HARGA SATUAN]]="",),"",NOTA[[#This Row],[QTY]]*NOTA[[#This Row],[HARGA SATUAN]])</f>
        <v>2628000</v>
      </c>
      <c r="AI143" s="39">
        <f ca="1">IF(NOTA[ID_H]="","",INDEX(NOTA[TANGGAL],MATCH(,INDIRECT(ADDRESS(ROW(NOTA[TANGGAL]),COLUMN(NOTA[TANGGAL]))&amp;":"&amp;ADDRESS(ROW(),COLUMN(NOTA[TANGGAL]))),-1)))</f>
        <v>45296</v>
      </c>
      <c r="AJ143" s="41" t="str">
        <f ca="1">IF(NOTA[[#This Row],[NAMA BARANG]]="","",INDEX(NOTA[SUPPLIER],MATCH(,INDIRECT(ADDRESS(ROW(NOTA[ID]),COLUMN(NOTA[ID]))&amp;":"&amp;ADDRESS(ROW(),COLUMN(NOTA[ID]))),-1)))</f>
        <v>DB STATIONERY</v>
      </c>
      <c r="AK143" s="41" t="str">
        <f ca="1">IF(NOTA[[#This Row],[ID_H]]="","",IF(NOTA[[#This Row],[FAKTUR]]="",INDIRECT(ADDRESS(ROW()-1,COLUMN())),NOTA[[#This Row],[FAKTUR]]))</f>
        <v>UNTANA</v>
      </c>
      <c r="AL143" s="38" t="str">
        <f ca="1">IF(NOTA[[#This Row],[ID]]="","",COUNTIF(NOTA[ID_H],NOTA[[#This Row],[ID_H]]))</f>
        <v/>
      </c>
      <c r="AM143" s="38">
        <f ca="1">IF(NOTA[[#This Row],[TGL.NOTA]]="",IF(NOTA[[#This Row],[SUPPLIER_H]]="","",AM142),MONTH(NOTA[[#This Row],[TGL.NOTA]]))</f>
        <v>1</v>
      </c>
      <c r="AN143" s="38" t="str">
        <f>LOWER(SUBSTITUTE(SUBSTITUTE(SUBSTITUTE(SUBSTITUTE(SUBSTITUTE(SUBSTITUTE(SUBSTITUTE(SUBSTITUTE(SUBSTITUTE(NOTA[NAMA BARANG]," ",),".",""),"-",""),"(",""),")",""),",",""),"/",""),"""",""),"+",""))</f>
        <v>geltizofancytg30900f</v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geltizofancytg30900f2628000</v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geltizofancytg30900f2628000</v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>
        <f>IF(NOTA[[#This Row],[CONCAT1]]="","",MATCH(NOTA[[#This Row],[CONCAT1]],[3]!db[NB NOTA_C],0))</f>
        <v>1157</v>
      </c>
      <c r="AT143" s="38" t="str">
        <f>IF(NOTA[[#This Row],[QTY/ CTN]]="","",TRUE)</f>
        <v/>
      </c>
      <c r="AU143" s="38" t="str">
        <f ca="1">IF(NOTA[[#This Row],[ID_H]]="","",IF(NOTA[[#This Row],[Column3]]=TRUE,NOTA[[#This Row],[QTY/ CTN]],INDEX([3]!db[QTY/ CTN],NOTA[[#This Row],[//DB]])))</f>
        <v>144 LSN</v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geltizofancytg30900f144lsnuntana</v>
      </c>
      <c r="AW143" s="38" t="e">
        <f ca="1">IF(NOTA[[#This Row],[ID_H]]="","",MATCH(NOTA[[#This Row],[NB NOTA_C_QTY]],[4]!db[NB NOTA_C_QTY+F],0))</f>
        <v>#REF!</v>
      </c>
      <c r="AX143" s="53">
        <f ca="1">IF(NOTA[[#This Row],[NB NOTA_C_QTY]]="","",ROW()-2)</f>
        <v>141</v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>
        <f ca="1">IF(NOTA[[#This Row],[NAMA BARANG]]="","",INDEX(NOTA[ID],MATCH(,INDIRECT(ADDRESS(ROW(NOTA[ID]),COLUMN(NOTA[ID]))&amp;":"&amp;ADDRESS(ROW(),COLUMN(NOTA[ID]))),-1)))</f>
        <v>17</v>
      </c>
      <c r="E144" s="46"/>
      <c r="F144" s="37"/>
      <c r="G144" s="37"/>
      <c r="H144" s="47"/>
      <c r="I144" s="37"/>
      <c r="J144" s="39"/>
      <c r="K144" s="37"/>
      <c r="L144" s="37" t="s">
        <v>268</v>
      </c>
      <c r="M144" s="40">
        <v>1</v>
      </c>
      <c r="N144" s="38">
        <v>144</v>
      </c>
      <c r="O144" s="37" t="s">
        <v>111</v>
      </c>
      <c r="P144" s="41">
        <v>18250</v>
      </c>
      <c r="Q144" s="42"/>
      <c r="R144" s="48"/>
      <c r="S144" s="49"/>
      <c r="T144" s="44"/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2628000</v>
      </c>
      <c r="Y144" s="50">
        <f>IF(NOTA[[#This Row],[JUMLAH]]="","",NOTA[[#This Row],[JUMLAH]]*NOTA[[#This Row],[DISC 1]])</f>
        <v>0</v>
      </c>
      <c r="Z144" s="50">
        <f>IF(NOTA[[#This Row],[JUMLAH]]="","",(NOTA[[#This Row],[JUMLAH]]-NOTA[[#This Row],[DISC 1-]])*NOTA[[#This Row],[DISC 2]])</f>
        <v>0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0</v>
      </c>
      <c r="AC144" s="50">
        <f>IF(NOTA[[#This Row],[JUMLAH]]="","",NOTA[[#This Row],[JUMLAH]]-NOTA[[#This Row],[DISC]])</f>
        <v>2628000</v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4" s="50">
        <f>IF(OR(NOTA[[#This Row],[QTY]]="",NOTA[[#This Row],[HARGA SATUAN]]="",),"",NOTA[[#This Row],[QTY]]*NOTA[[#This Row],[HARGA SATUAN]])</f>
        <v>2628000</v>
      </c>
      <c r="AI144" s="39">
        <f ca="1">IF(NOTA[ID_H]="","",INDEX(NOTA[TANGGAL],MATCH(,INDIRECT(ADDRESS(ROW(NOTA[TANGGAL]),COLUMN(NOTA[TANGGAL]))&amp;":"&amp;ADDRESS(ROW(),COLUMN(NOTA[TANGGAL]))),-1)))</f>
        <v>45296</v>
      </c>
      <c r="AJ144" s="41" t="str">
        <f ca="1">IF(NOTA[[#This Row],[NAMA BARANG]]="","",INDEX(NOTA[SUPPLIER],MATCH(,INDIRECT(ADDRESS(ROW(NOTA[ID]),COLUMN(NOTA[ID]))&amp;":"&amp;ADDRESS(ROW(),COLUMN(NOTA[ID]))),-1)))</f>
        <v>DB STATIONERY</v>
      </c>
      <c r="AK144" s="41" t="str">
        <f ca="1">IF(NOTA[[#This Row],[ID_H]]="","",IF(NOTA[[#This Row],[FAKTUR]]="",INDIRECT(ADDRESS(ROW()-1,COLUMN())),NOTA[[#This Row],[FAKTUR]]))</f>
        <v>UNTANA</v>
      </c>
      <c r="AL144" s="38" t="str">
        <f ca="1">IF(NOTA[[#This Row],[ID]]="","",COUNTIF(NOTA[ID_H],NOTA[[#This Row],[ID_H]]))</f>
        <v/>
      </c>
      <c r="AM144" s="38">
        <f ca="1">IF(NOTA[[#This Row],[TGL.NOTA]]="",IF(NOTA[[#This Row],[SUPPLIER_H]]="","",AM143),MONTH(NOTA[[#This Row],[TGL.NOTA]]))</f>
        <v>1</v>
      </c>
      <c r="AN144" s="38" t="str">
        <f>LOWER(SUBSTITUTE(SUBSTITUTE(SUBSTITUTE(SUBSTITUTE(SUBSTITUTE(SUBSTITUTE(SUBSTITUTE(SUBSTITUTE(SUBSTITUTE(NOTA[NAMA BARANG]," ",),".",""),"-",""),"(",""),")",""),",",""),"/",""),"""",""),"+",""))</f>
        <v>geltizofancytg31035f</v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geltizofancytg31035f2628000</v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geltizofancytg31035f2628000</v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 t="e">
        <f>IF(NOTA[[#This Row],[CONCAT1]]="","",MATCH(NOTA[[#This Row],[CONCAT1]],[3]!db[NB NOTA_C],0))</f>
        <v>#N/A</v>
      </c>
      <c r="AT144" s="38" t="str">
        <f>IF(NOTA[[#This Row],[QTY/ CTN]]="","",TRUE)</f>
        <v/>
      </c>
      <c r="AU144" s="38" t="e">
        <f ca="1">IF(NOTA[[#This Row],[ID_H]]="","",IF(NOTA[[#This Row],[Column3]]=TRUE,NOTA[[#This Row],[QTY/ CTN]],INDEX([3]!db[QTY/ CTN],NOTA[[#This Row],[//DB]])))</f>
        <v>#N/A</v>
      </c>
      <c r="AV14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44" s="38" t="e">
        <f ca="1">IF(NOTA[[#This Row],[ID_H]]="","",MATCH(NOTA[[#This Row],[NB NOTA_C_QTY]],[4]!db[NB NOTA_C_QTY+F],0))</f>
        <v>#N/A</v>
      </c>
      <c r="AX144" s="53" t="e">
        <f ca="1">IF(NOTA[[#This Row],[NB NOTA_C_QTY]]="","",ROW()-2)</f>
        <v>#N/A</v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17</v>
      </c>
      <c r="E145" s="46"/>
      <c r="F145" s="37"/>
      <c r="G145" s="37"/>
      <c r="H145" s="47"/>
      <c r="I145" s="37"/>
      <c r="J145" s="39"/>
      <c r="K145" s="37"/>
      <c r="L145" s="37" t="s">
        <v>269</v>
      </c>
      <c r="M145" s="40">
        <v>1</v>
      </c>
      <c r="N145" s="38">
        <v>144</v>
      </c>
      <c r="O145" s="37" t="s">
        <v>111</v>
      </c>
      <c r="P145" s="41">
        <v>18250</v>
      </c>
      <c r="Q145" s="42"/>
      <c r="R145" s="48"/>
      <c r="S145" s="49"/>
      <c r="T145" s="44"/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2628000</v>
      </c>
      <c r="Y145" s="50">
        <f>IF(NOTA[[#This Row],[JUMLAH]]="","",NOTA[[#This Row],[JUMLAH]]*NOTA[[#This Row],[DISC 1]])</f>
        <v>0</v>
      </c>
      <c r="Z145" s="50">
        <f>IF(NOTA[[#This Row],[JUMLAH]]="","",(NOTA[[#This Row],[JUMLAH]]-NOTA[[#This Row],[DISC 1-]])*NOTA[[#This Row],[DISC 2]])</f>
        <v>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0</v>
      </c>
      <c r="AC145" s="50">
        <f>IF(NOTA[[#This Row],[JUMLAH]]="","",NOTA[[#This Row],[JUMLAH]]-NOTA[[#This Row],[DISC]])</f>
        <v>2628000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5" s="50">
        <f>IF(OR(NOTA[[#This Row],[QTY]]="",NOTA[[#This Row],[HARGA SATUAN]]="",),"",NOTA[[#This Row],[QTY]]*NOTA[[#This Row],[HARGA SATUAN]])</f>
        <v>2628000</v>
      </c>
      <c r="AI145" s="39">
        <f ca="1">IF(NOTA[ID_H]="","",INDEX(NOTA[TANGGAL],MATCH(,INDIRECT(ADDRESS(ROW(NOTA[TANGGAL]),COLUMN(NOTA[TANGGAL]))&amp;":"&amp;ADDRESS(ROW(),COLUMN(NOTA[TANGGAL]))),-1)))</f>
        <v>45296</v>
      </c>
      <c r="AJ145" s="41" t="str">
        <f ca="1">IF(NOTA[[#This Row],[NAMA BARANG]]="","",INDEX(NOTA[SUPPLIER],MATCH(,INDIRECT(ADDRESS(ROW(NOTA[ID]),COLUMN(NOTA[ID]))&amp;":"&amp;ADDRESS(ROW(),COLUMN(NOTA[ID]))),-1)))</f>
        <v>DB STATIONERY</v>
      </c>
      <c r="AK145" s="41" t="str">
        <f ca="1">IF(NOTA[[#This Row],[ID_H]]="","",IF(NOTA[[#This Row],[FAKTUR]]="",INDIRECT(ADDRESS(ROW()-1,COLUMN())),NOTA[[#This Row],[FAKTUR]]))</f>
        <v>UNTANA</v>
      </c>
      <c r="AL145" s="38" t="str">
        <f ca="1">IF(NOTA[[#This Row],[ID]]="","",COUNTIF(NOTA[ID_H],NOTA[[#This Row],[ID_H]]))</f>
        <v/>
      </c>
      <c r="AM145" s="38">
        <f ca="1">IF(NOTA[[#This Row],[TGL.NOTA]]="",IF(NOTA[[#This Row],[SUPPLIER_H]]="","",AM144),MONTH(NOTA[[#This Row],[TGL.NOTA]]))</f>
        <v>1</v>
      </c>
      <c r="AN145" s="38" t="str">
        <f>LOWER(SUBSTITUTE(SUBSTITUTE(SUBSTITUTE(SUBSTITUTE(SUBSTITUTE(SUBSTITUTE(SUBSTITUTE(SUBSTITUTE(SUBSTITUTE(NOTA[NAMA BARANG]," ",),".",""),"-",""),"(",""),")",""),",",""),"/",""),"""",""),"+",""))</f>
        <v>geltizofancytg31037f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geltizofancytg31037f2628000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geltizofancytg31037f2628000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>
        <f>IF(NOTA[[#This Row],[CONCAT1]]="","",MATCH(NOTA[[#This Row],[CONCAT1]],[3]!db[NB NOTA_C],0))</f>
        <v>1167</v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>144 LSN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geltizofancytg31037f144lsnuntana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17</v>
      </c>
      <c r="E146" s="46"/>
      <c r="F146" s="37"/>
      <c r="G146" s="37"/>
      <c r="H146" s="47"/>
      <c r="I146" s="37"/>
      <c r="J146" s="39"/>
      <c r="K146" s="37"/>
      <c r="L146" s="37" t="s">
        <v>270</v>
      </c>
      <c r="M146" s="40">
        <v>1</v>
      </c>
      <c r="N146" s="38">
        <v>144</v>
      </c>
      <c r="O146" s="37" t="s">
        <v>111</v>
      </c>
      <c r="P146" s="41">
        <v>18250</v>
      </c>
      <c r="Q146" s="42"/>
      <c r="R146" s="48"/>
      <c r="S146" s="49"/>
      <c r="T146" s="44"/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2628000</v>
      </c>
      <c r="Y146" s="50">
        <f>IF(NOTA[[#This Row],[JUMLAH]]="","",NOTA[[#This Row],[JUMLAH]]*NOTA[[#This Row],[DISC 1]])</f>
        <v>0</v>
      </c>
      <c r="Z146" s="50">
        <f>IF(NOTA[[#This Row],[JUMLAH]]="","",(NOTA[[#This Row],[JUMLAH]]-NOTA[[#This Row],[DISC 1-]])*NOTA[[#This Row],[DISC 2]])</f>
        <v>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0</v>
      </c>
      <c r="AC146" s="50">
        <f>IF(NOTA[[#This Row],[JUMLAH]]="","",NOTA[[#This Row],[JUMLAH]]-NOTA[[#This Row],[DISC]])</f>
        <v>2628000</v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6" s="50">
        <f>IF(OR(NOTA[[#This Row],[QTY]]="",NOTA[[#This Row],[HARGA SATUAN]]="",),"",NOTA[[#This Row],[QTY]]*NOTA[[#This Row],[HARGA SATUAN]])</f>
        <v>2628000</v>
      </c>
      <c r="AI146" s="39">
        <f ca="1">IF(NOTA[ID_H]="","",INDEX(NOTA[TANGGAL],MATCH(,INDIRECT(ADDRESS(ROW(NOTA[TANGGAL]),COLUMN(NOTA[TANGGAL]))&amp;":"&amp;ADDRESS(ROW(),COLUMN(NOTA[TANGGAL]))),-1)))</f>
        <v>45296</v>
      </c>
      <c r="AJ146" s="41" t="str">
        <f ca="1">IF(NOTA[[#This Row],[NAMA BARANG]]="","",INDEX(NOTA[SUPPLIER],MATCH(,INDIRECT(ADDRESS(ROW(NOTA[ID]),COLUMN(NOTA[ID]))&amp;":"&amp;ADDRESS(ROW(),COLUMN(NOTA[ID]))),-1)))</f>
        <v>DB STATIONERY</v>
      </c>
      <c r="AK146" s="41" t="str">
        <f ca="1">IF(NOTA[[#This Row],[ID_H]]="","",IF(NOTA[[#This Row],[FAKTUR]]="",INDIRECT(ADDRESS(ROW()-1,COLUMN())),NOTA[[#This Row],[FAKTUR]]))</f>
        <v>UNTANA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1</v>
      </c>
      <c r="AN146" s="38" t="str">
        <f>LOWER(SUBSTITUTE(SUBSTITUTE(SUBSTITUTE(SUBSTITUTE(SUBSTITUTE(SUBSTITUTE(SUBSTITUTE(SUBSTITUTE(SUBSTITUTE(NOTA[NAMA BARANG]," ",),".",""),"-",""),"(",""),")",""),",",""),"/",""),"""",""),"+",""))</f>
        <v>geltizofancytg31475f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geltizofancytg31475f2628000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geltizofancytg31475f2628000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>
        <f>IF(NOTA[[#This Row],[CONCAT1]]="","",MATCH(NOTA[[#This Row],[CONCAT1]],[3]!db[NB NOTA_C],0))</f>
        <v>1170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>144 LSN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geltizofancytg31475f144lsnuntana</v>
      </c>
      <c r="AW146" s="38" t="e">
        <f ca="1">IF(NOTA[[#This Row],[ID_H]]="","",MATCH(NOTA[[#This Row],[NB NOTA_C_QTY]],[4]!db[NB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17</v>
      </c>
      <c r="E147" s="46"/>
      <c r="F147" s="37"/>
      <c r="G147" s="37"/>
      <c r="H147" s="47"/>
      <c r="I147" s="37"/>
      <c r="J147" s="39"/>
      <c r="K147" s="37"/>
      <c r="L147" s="37" t="s">
        <v>271</v>
      </c>
      <c r="M147" s="40">
        <v>1</v>
      </c>
      <c r="N147" s="38">
        <v>144</v>
      </c>
      <c r="O147" s="37" t="s">
        <v>111</v>
      </c>
      <c r="P147" s="41">
        <v>18250</v>
      </c>
      <c r="Q147" s="42"/>
      <c r="R147" s="48"/>
      <c r="S147" s="49"/>
      <c r="T147" s="44"/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2628000</v>
      </c>
      <c r="Y147" s="50">
        <f>IF(NOTA[[#This Row],[JUMLAH]]="","",NOTA[[#This Row],[JUMLAH]]*NOTA[[#This Row],[DISC 1]])</f>
        <v>0</v>
      </c>
      <c r="Z147" s="50">
        <f>IF(NOTA[[#This Row],[JUMLAH]]="","",(NOTA[[#This Row],[JUMLAH]]-NOTA[[#This Row],[DISC 1-]])*NOTA[[#This Row],[DISC 2]])</f>
        <v>0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0</v>
      </c>
      <c r="AC147" s="50">
        <f>IF(NOTA[[#This Row],[JUMLAH]]="","",NOTA[[#This Row],[JUMLAH]]-NOTA[[#This Row],[DISC]])</f>
        <v>2628000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7" s="50">
        <f>IF(OR(NOTA[[#This Row],[QTY]]="",NOTA[[#This Row],[HARGA SATUAN]]="",),"",NOTA[[#This Row],[QTY]]*NOTA[[#This Row],[HARGA SATUAN]])</f>
        <v>2628000</v>
      </c>
      <c r="AI147" s="39">
        <f ca="1">IF(NOTA[ID_H]="","",INDEX(NOTA[TANGGAL],MATCH(,INDIRECT(ADDRESS(ROW(NOTA[TANGGAL]),COLUMN(NOTA[TANGGAL]))&amp;":"&amp;ADDRESS(ROW(),COLUMN(NOTA[TANGGAL]))),-1)))</f>
        <v>45296</v>
      </c>
      <c r="AJ147" s="41" t="str">
        <f ca="1">IF(NOTA[[#This Row],[NAMA BARANG]]="","",INDEX(NOTA[SUPPLIER],MATCH(,INDIRECT(ADDRESS(ROW(NOTA[ID]),COLUMN(NOTA[ID]))&amp;":"&amp;ADDRESS(ROW(),COLUMN(NOTA[ID]))),-1)))</f>
        <v>DB STATIONERY</v>
      </c>
      <c r="AK147" s="41" t="str">
        <f ca="1">IF(NOTA[[#This Row],[ID_H]]="","",IF(NOTA[[#This Row],[FAKTUR]]="",INDIRECT(ADDRESS(ROW()-1,COLUMN())),NOTA[[#This Row],[FAKTUR]]))</f>
        <v>UNTANA</v>
      </c>
      <c r="AL147" s="38" t="str">
        <f ca="1">IF(NOTA[[#This Row],[ID]]="","",COUNTIF(NOTA[ID_H],NOTA[[#This Row],[ID_H]]))</f>
        <v/>
      </c>
      <c r="AM147" s="38">
        <f ca="1">IF(NOTA[[#This Row],[TGL.NOTA]]="",IF(NOTA[[#This Row],[SUPPLIER_H]]="","",AM146),MONTH(NOTA[[#This Row],[TGL.NOTA]]))</f>
        <v>1</v>
      </c>
      <c r="AN147" s="3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>
        <f>IF(NOTA[[#This Row],[CONCAT1]]="","",MATCH(NOTA[[#This Row],[CONCAT1]],[3]!db[NB NOTA_C],0))</f>
        <v>1173</v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>144 LSN</v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geltizofancytg31590e144lsnuntana</v>
      </c>
      <c r="AW147" s="38" t="e">
        <f ca="1">IF(NOTA[[#This Row],[ID_H]]="","",MATCH(NOTA[[#This Row],[NB NOTA_C_QTY]],[4]!db[NB NOTA_C_QTY+F],0))</f>
        <v>#REF!</v>
      </c>
      <c r="AX147" s="53">
        <f ca="1">IF(NOTA[[#This Row],[NB NOTA_C_QTY]]="","",ROW()-2)</f>
        <v>145</v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17</v>
      </c>
      <c r="E148" s="46"/>
      <c r="F148" s="37"/>
      <c r="G148" s="37"/>
      <c r="H148" s="47"/>
      <c r="I148" s="37"/>
      <c r="J148" s="39"/>
      <c r="K148" s="37"/>
      <c r="L148" s="37" t="s">
        <v>272</v>
      </c>
      <c r="M148" s="40">
        <v>1</v>
      </c>
      <c r="N148" s="38">
        <v>144</v>
      </c>
      <c r="O148" s="37" t="s">
        <v>111</v>
      </c>
      <c r="P148" s="41">
        <v>18250</v>
      </c>
      <c r="Q148" s="42"/>
      <c r="R148" s="48"/>
      <c r="S148" s="49"/>
      <c r="T148" s="44"/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2628000</v>
      </c>
      <c r="Y148" s="50">
        <f>IF(NOTA[[#This Row],[JUMLAH]]="","",NOTA[[#This Row],[JUMLAH]]*NOTA[[#This Row],[DISC 1]])</f>
        <v>0</v>
      </c>
      <c r="Z148" s="50">
        <f>IF(NOTA[[#This Row],[JUMLAH]]="","",(NOTA[[#This Row],[JUMLAH]]-NOTA[[#This Row],[DISC 1-]])*NOTA[[#This Row],[DISC 2]])</f>
        <v>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0</v>
      </c>
      <c r="AC148" s="50">
        <f>IF(NOTA[[#This Row],[JUMLAH]]="","",NOTA[[#This Row],[JUMLAH]]-NOTA[[#This Row],[DISC]])</f>
        <v>2628000</v>
      </c>
      <c r="AD148" s="50"/>
      <c r="AE1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35040000</v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8" s="50">
        <f>IF(OR(NOTA[[#This Row],[QTY]]="",NOTA[[#This Row],[HARGA SATUAN]]="",),"",NOTA[[#This Row],[QTY]]*NOTA[[#This Row],[HARGA SATUAN]])</f>
        <v>2628000</v>
      </c>
      <c r="AI148" s="39">
        <f ca="1">IF(NOTA[ID_H]="","",INDEX(NOTA[TANGGAL],MATCH(,INDIRECT(ADDRESS(ROW(NOTA[TANGGAL]),COLUMN(NOTA[TANGGAL]))&amp;":"&amp;ADDRESS(ROW(),COLUMN(NOTA[TANGGAL]))),-1)))</f>
        <v>45296</v>
      </c>
      <c r="AJ148" s="41" t="str">
        <f ca="1">IF(NOTA[[#This Row],[NAMA BARANG]]="","",INDEX(NOTA[SUPPLIER],MATCH(,INDIRECT(ADDRESS(ROW(NOTA[ID]),COLUMN(NOTA[ID]))&amp;":"&amp;ADDRESS(ROW(),COLUMN(NOTA[ID]))),-1)))</f>
        <v>DB STATIONERY</v>
      </c>
      <c r="AK148" s="41" t="str">
        <f ca="1">IF(NOTA[[#This Row],[ID_H]]="","",IF(NOTA[[#This Row],[FAKTUR]]="",INDIRECT(ADDRESS(ROW()-1,COLUMN())),NOTA[[#This Row],[FAKTUR]]))</f>
        <v>UNTANA</v>
      </c>
      <c r="AL148" s="38" t="str">
        <f ca="1">IF(NOTA[[#This Row],[ID]]="","",COUNTIF(NOTA[ID_H],NOTA[[#This Row],[ID_H]]))</f>
        <v/>
      </c>
      <c r="AM148" s="38">
        <f ca="1">IF(NOTA[[#This Row],[TGL.NOTA]]="",IF(NOTA[[#This Row],[SUPPLIER_H]]="","",AM147),MONTH(NOTA[[#This Row],[TGL.NOTA]]))</f>
        <v>1</v>
      </c>
      <c r="AN148" s="38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>
        <f>IF(NOTA[[#This Row],[CONCAT1]]="","",MATCH(NOTA[[#This Row],[CONCAT1]],[3]!db[NB NOTA_C],0))</f>
        <v>1180</v>
      </c>
      <c r="AT148" s="38" t="str">
        <f>IF(NOTA[[#This Row],[QTY/ CTN]]="","",TRUE)</f>
        <v/>
      </c>
      <c r="AU148" s="38" t="str">
        <f ca="1">IF(NOTA[[#This Row],[ID_H]]="","",IF(NOTA[[#This Row],[Column3]]=TRUE,NOTA[[#This Row],[QTY/ CTN]],INDEX([3]!db[QTY/ CTN],NOTA[[#This Row],[//DB]])))</f>
        <v>144 LSN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 t="str">
        <f ca="1">IF(NOTA[[#This Row],[NAMA BARANG]]="","",INDEX(NOTA[ID],MATCH(,INDIRECT(ADDRESS(ROW(NOTA[ID]),COLUMN(NOTA[ID]))&amp;":"&amp;ADDRESS(ROW(),COLUMN(NOTA[ID]))),-1)))</f>
        <v/>
      </c>
      <c r="E149" s="46"/>
      <c r="F149" s="37"/>
      <c r="G149" s="37"/>
      <c r="H149" s="47"/>
      <c r="I149" s="39"/>
      <c r="J149" s="39"/>
      <c r="K149" s="37"/>
      <c r="L149" s="37"/>
      <c r="M149" s="40"/>
      <c r="O149" s="37"/>
      <c r="P149" s="41"/>
      <c r="Q149" s="42"/>
      <c r="R149" s="48"/>
      <c r="S149" s="49"/>
      <c r="T149" s="44"/>
      <c r="U149" s="44"/>
      <c r="V149" s="50"/>
      <c r="W149" s="45"/>
      <c r="X149" s="50" t="str">
        <f>IF(NOTA[[#This Row],[HARGA/ CTN]]="",NOTA[[#This Row],[JUMLAH_H]],NOTA[[#This Row],[HARGA/ CTN]]*IF(NOTA[[#This Row],[C]]="",0,NOTA[[#This Row],[C]]))</f>
        <v/>
      </c>
      <c r="Y149" s="50" t="str">
        <f>IF(NOTA[[#This Row],[JUMLAH]]="","",NOTA[[#This Row],[JUMLAH]]*NOTA[[#This Row],[DISC 1]])</f>
        <v/>
      </c>
      <c r="Z149" s="50" t="str">
        <f>IF(NOTA[[#This Row],[JUMLAH]]="","",(NOTA[[#This Row],[JUMLAH]]-NOTA[[#This Row],[DISC 1-]])*NOTA[[#This Row],[DISC 2]])</f>
        <v/>
      </c>
      <c r="AA149" s="50" t="str">
        <f>IF(NOTA[[#This Row],[JUMLAH]]="","",(NOTA[[#This Row],[JUMLAH]]-NOTA[[#This Row],[DISC 1-]]-NOTA[[#This Row],[DISC 2-]])*NOTA[[#This Row],[DISC 3]])</f>
        <v/>
      </c>
      <c r="AB149" s="50" t="str">
        <f>IF(NOTA[[#This Row],[JUMLAH]]="","",NOTA[[#This Row],[DISC 1-]]+NOTA[[#This Row],[DISC 2-]]+NOTA[[#This Row],[DISC 3-]])</f>
        <v/>
      </c>
      <c r="AC149" s="50" t="str">
        <f>IF(NOTA[[#This Row],[JUMLAH]]="","",NOTA[[#This Row],[JUMLAH]]-NOTA[[#This Row],[DISC]])</f>
        <v/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9" s="50" t="str">
        <f>IF(OR(NOTA[[#This Row],[QTY]]="",NOTA[[#This Row],[HARGA SATUAN]]="",),"",NOTA[[#This Row],[QTY]]*NOTA[[#This Row],[HARGA SATUAN]])</f>
        <v/>
      </c>
      <c r="AI149" s="39" t="str">
        <f ca="1">IF(NOTA[ID_H]="","",INDEX(NOTA[TANGGAL],MATCH(,INDIRECT(ADDRESS(ROW(NOTA[TANGGAL]),COLUMN(NOTA[TANGGAL]))&amp;":"&amp;ADDRESS(ROW(),COLUMN(NOTA[TANGGAL]))),-1)))</f>
        <v/>
      </c>
      <c r="AJ149" s="41" t="str">
        <f ca="1">IF(NOTA[[#This Row],[NAMA BARANG]]="","",INDEX(NOTA[SUPPLIER],MATCH(,INDIRECT(ADDRESS(ROW(NOTA[ID]),COLUMN(NOTA[ID]))&amp;":"&amp;ADDRESS(ROW(),COLUMN(NOTA[ID]))),-1)))</f>
        <v/>
      </c>
      <c r="AK149" s="41" t="str">
        <f ca="1">IF(NOTA[[#This Row],[ID_H]]="","",IF(NOTA[[#This Row],[FAKTUR]]="",INDIRECT(ADDRESS(ROW()-1,COLUMN())),NOTA[[#This Row],[FAKTUR]]))</f>
        <v/>
      </c>
      <c r="AL149" s="38" t="str">
        <f ca="1">IF(NOTA[[#This Row],[ID]]="","",COUNTIF(NOTA[ID_H],NOTA[[#This Row],[ID_H]]))</f>
        <v/>
      </c>
      <c r="AM149" s="38" t="str">
        <f ca="1">IF(NOTA[[#This Row],[TGL.NOTA]]="",IF(NOTA[[#This Row],[SUPPLIER_H]]="","",AM148),MONTH(NOTA[[#This Row],[TGL.NOTA]]))</f>
        <v/>
      </c>
      <c r="AN149" s="38" t="str">
        <f>LOWER(SUBSTITUTE(SUBSTITUTE(SUBSTITUTE(SUBSTITUTE(SUBSTITUTE(SUBSTITUTE(SUBSTITUTE(SUBSTITUTE(SUBSTITUTE(NOTA[NAMA BARANG]," ",),".",""),"-",""),"(",""),")",""),",",""),"/",""),"""",""),"+",""))</f>
        <v/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 t="str">
        <f>IF(NOTA[[#This Row],[CONCAT1]]="","",MATCH(NOTA[[#This Row],[CONCAT1]],[3]!db[NB NOTA_C],0))</f>
        <v/>
      </c>
      <c r="AT149" s="38" t="str">
        <f>IF(NOTA[[#This Row],[QTY/ CTN]]="","",TRUE)</f>
        <v/>
      </c>
      <c r="AU149" s="38" t="str">
        <f ca="1">IF(NOTA[[#This Row],[ID_H]]="","",IF(NOTA[[#This Row],[Column3]]=TRUE,NOTA[[#This Row],[QTY/ CTN]],INDEX([3]!db[QTY/ CTN],NOTA[[#This Row],[//DB]])))</f>
        <v/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9" s="38" t="str">
        <f ca="1">IF(NOTA[[#This Row],[ID_H]]="","",MATCH(NOTA[[#This Row],[NB NOTA_C_QTY]],[4]!db[NB NOTA_C_QTY+F],0))</f>
        <v/>
      </c>
      <c r="AX149" s="53" t="str">
        <f ca="1">IF(NOTA[[#This Row],[NB NOTA_C_QTY]]="","",ROW()-2)</f>
        <v/>
      </c>
    </row>
    <row r="150" spans="1:50" s="38" customFormat="1" ht="20.100000000000001" customHeight="1" x14ac:dyDescent="0.25">
      <c r="A150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1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DBS_0501_524-16</v>
      </c>
      <c r="C150" s="38" t="e">
        <f ca="1">IF(NOTA[[#This Row],[ID_P]]="","",MATCH(NOTA[[#This Row],[ID_P]],[1]!B_MSK[N_ID],0))</f>
        <v>#REF!</v>
      </c>
      <c r="D150" s="38">
        <f ca="1">IF(NOTA[[#This Row],[NAMA BARANG]]="","",INDEX(NOTA[ID],MATCH(,INDIRECT(ADDRESS(ROW(NOTA[ID]),COLUMN(NOTA[ID]))&amp;":"&amp;ADDRESS(ROW(),COLUMN(NOTA[ID]))),-1)))</f>
        <v>18</v>
      </c>
      <c r="E150" s="46"/>
      <c r="F150" s="37" t="s">
        <v>112</v>
      </c>
      <c r="G150" s="37" t="s">
        <v>110</v>
      </c>
      <c r="H150" s="47" t="s">
        <v>273</v>
      </c>
      <c r="I150" s="37"/>
      <c r="J150" s="39">
        <v>45293</v>
      </c>
      <c r="K150" s="37"/>
      <c r="L150" s="37" t="s">
        <v>274</v>
      </c>
      <c r="M150" s="40">
        <v>2</v>
      </c>
      <c r="N150" s="38">
        <v>240</v>
      </c>
      <c r="O150" s="37" t="s">
        <v>111</v>
      </c>
      <c r="P150" s="41">
        <v>18250</v>
      </c>
      <c r="Q150" s="42"/>
      <c r="R150" s="48" t="s">
        <v>275</v>
      </c>
      <c r="S150" s="49"/>
      <c r="T150" s="44"/>
      <c r="U150" s="44"/>
      <c r="V150" s="50"/>
      <c r="W150" s="45"/>
      <c r="X150" s="50">
        <f>IF(NOTA[[#This Row],[HARGA/ CTN]]="",NOTA[[#This Row],[JUMLAH_H]],NOTA[[#This Row],[HARGA/ CTN]]*IF(NOTA[[#This Row],[C]]="",0,NOTA[[#This Row],[C]]))</f>
        <v>4380000</v>
      </c>
      <c r="Y150" s="50">
        <f>IF(NOTA[[#This Row],[JUMLAH]]="","",NOTA[[#This Row],[JUMLAH]]*NOTA[[#This Row],[DISC 1]])</f>
        <v>0</v>
      </c>
      <c r="Z150" s="50">
        <f>IF(NOTA[[#This Row],[JUMLAH]]="","",(NOTA[[#This Row],[JUMLAH]]-NOTA[[#This Row],[DISC 1-]])*NOTA[[#This Row],[DISC 2]])</f>
        <v>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0</v>
      </c>
      <c r="AC150" s="50">
        <f>IF(NOTA[[#This Row],[JUMLAH]]="","",NOTA[[#This Row],[JUMLAH]]-NOTA[[#This Row],[DISC]])</f>
        <v>4380000</v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0" s="50">
        <f>IF(OR(NOTA[[#This Row],[QTY]]="",NOTA[[#This Row],[HARGA SATUAN]]="",),"",NOTA[[#This Row],[QTY]]*NOTA[[#This Row],[HARGA SATUAN]])</f>
        <v>4380000</v>
      </c>
      <c r="AI150" s="39">
        <f ca="1">IF(NOTA[ID_H]="","",INDEX(NOTA[TANGGAL],MATCH(,INDIRECT(ADDRESS(ROW(NOTA[TANGGAL]),COLUMN(NOTA[TANGGAL]))&amp;":"&amp;ADDRESS(ROW(),COLUMN(NOTA[TANGGAL]))),-1)))</f>
        <v>45296</v>
      </c>
      <c r="AJ150" s="41" t="str">
        <f ca="1">IF(NOTA[[#This Row],[NAMA BARANG]]="","",INDEX(NOTA[SUPPLIER],MATCH(,INDIRECT(ADDRESS(ROW(NOTA[ID]),COLUMN(NOTA[ID]))&amp;":"&amp;ADDRESS(ROW(),COLUMN(NOTA[ID]))),-1)))</f>
        <v>DB STATIONERY</v>
      </c>
      <c r="AK150" s="41" t="str">
        <f ca="1">IF(NOTA[[#This Row],[ID_H]]="","",IF(NOTA[[#This Row],[FAKTUR]]="",INDIRECT(ADDRESS(ROW()-1,COLUMN())),NOTA[[#This Row],[FAKTUR]]))</f>
        <v>UNTANA</v>
      </c>
      <c r="AL150" s="38">
        <f ca="1">IF(NOTA[[#This Row],[ID]]="","",COUNTIF(NOTA[ID_H],NOTA[[#This Row],[ID_H]]))</f>
        <v>16</v>
      </c>
      <c r="AM150" s="38">
        <f>IF(NOTA[[#This Row],[TGL.NOTA]]="",IF(NOTA[[#This Row],[SUPPLIER_H]]="","",AM149),MONTH(NOTA[[#This Row],[TGL.NOTA]]))</f>
        <v>1</v>
      </c>
      <c r="AN150" s="38" t="str">
        <f>LOWER(SUBSTITUTE(SUBSTITUTE(SUBSTITUTE(SUBSTITUTE(SUBSTITUTE(SUBSTITUTE(SUBSTITUTE(SUBSTITUTE(SUBSTITUTE(NOTA[NAMA BARANG]," ",),".",""),"-",""),"(",""),")",""),",",""),"/",""),"""",""),"+",""))</f>
        <v>gelzhixinrefillg3122</v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gelzhixinrefillg31222190000</v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gelzhixinrefillg31222190000</v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STATIONERYUNTANAJUA025/2445293gelzhixinrefillg3122</v>
      </c>
      <c r="AR150" s="38" t="e">
        <f>IF(NOTA[[#This Row],[CONCAT4]]="","",_xlfn.IFNA(MATCH(NOTA[[#This Row],[CONCAT4]],[2]!RAW[CONCAT_H],0),FALSE))</f>
        <v>#REF!</v>
      </c>
      <c r="AS150" s="38">
        <f>IF(NOTA[[#This Row],[CONCAT1]]="","",MATCH(NOTA[[#This Row],[CONCAT1]],[3]!db[NB NOTA_C],0))</f>
        <v>1292</v>
      </c>
      <c r="AT150" s="38" t="b">
        <f>IF(NOTA[[#This Row],[QTY/ CTN]]="","",TRUE)</f>
        <v>1</v>
      </c>
      <c r="AU150" s="38" t="str">
        <f ca="1">IF(NOTA[[#This Row],[ID_H]]="","",IF(NOTA[[#This Row],[Column3]]=TRUE,NOTA[[#This Row],[QTY/ CTN]],INDEX([3]!db[QTY/ CTN],NOTA[[#This Row],[//DB]])))</f>
        <v>120 LSN</v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gelzhixinrefillg3122120lsnuntana</v>
      </c>
      <c r="AW150" s="38" t="e">
        <f ca="1">IF(NOTA[[#This Row],[ID_H]]="","",MATCH(NOTA[[#This Row],[NB NOTA_C_QTY]],[4]!db[NB NOTA_C_QTY+F],0))</f>
        <v>#REF!</v>
      </c>
      <c r="AX150" s="53">
        <f ca="1">IF(NOTA[[#This Row],[NB NOTA_C_QTY]]="","",ROW()-2)</f>
        <v>148</v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>
        <f ca="1">IF(NOTA[[#This Row],[NAMA BARANG]]="","",INDEX(NOTA[ID],MATCH(,INDIRECT(ADDRESS(ROW(NOTA[ID]),COLUMN(NOTA[ID]))&amp;":"&amp;ADDRESS(ROW(),COLUMN(NOTA[ID]))),-1)))</f>
        <v>18</v>
      </c>
      <c r="E151" s="46"/>
      <c r="F151" s="37"/>
      <c r="G151" s="37"/>
      <c r="H151" s="47"/>
      <c r="I151" s="37"/>
      <c r="J151" s="39"/>
      <c r="K151" s="37"/>
      <c r="L151" s="37" t="s">
        <v>276</v>
      </c>
      <c r="M151" s="40">
        <v>2</v>
      </c>
      <c r="N151" s="38">
        <v>240</v>
      </c>
      <c r="O151" s="37" t="s">
        <v>111</v>
      </c>
      <c r="P151" s="41">
        <v>18250</v>
      </c>
      <c r="Q151" s="42"/>
      <c r="R151" s="48" t="s">
        <v>275</v>
      </c>
      <c r="S151" s="49"/>
      <c r="T151" s="44"/>
      <c r="U151" s="44"/>
      <c r="V151" s="50"/>
      <c r="W151" s="45"/>
      <c r="X151" s="50">
        <f>IF(NOTA[[#This Row],[HARGA/ CTN]]="",NOTA[[#This Row],[JUMLAH_H]],NOTA[[#This Row],[HARGA/ CTN]]*IF(NOTA[[#This Row],[C]]="",0,NOTA[[#This Row],[C]]))</f>
        <v>4380000</v>
      </c>
      <c r="Y151" s="50">
        <f>IF(NOTA[[#This Row],[JUMLAH]]="","",NOTA[[#This Row],[JUMLAH]]*NOTA[[#This Row],[DISC 1]])</f>
        <v>0</v>
      </c>
      <c r="Z151" s="50">
        <f>IF(NOTA[[#This Row],[JUMLAH]]="","",(NOTA[[#This Row],[JUMLAH]]-NOTA[[#This Row],[DISC 1-]])*NOTA[[#This Row],[DISC 2]])</f>
        <v>0</v>
      </c>
      <c r="AA151" s="50">
        <f>IF(NOTA[[#This Row],[JUMLAH]]="","",(NOTA[[#This Row],[JUMLAH]]-NOTA[[#This Row],[DISC 1-]]-NOTA[[#This Row],[DISC 2-]])*NOTA[[#This Row],[DISC 3]])</f>
        <v>0</v>
      </c>
      <c r="AB151" s="50">
        <f>IF(NOTA[[#This Row],[JUMLAH]]="","",NOTA[[#This Row],[DISC 1-]]+NOTA[[#This Row],[DISC 2-]]+NOTA[[#This Row],[DISC 3-]])</f>
        <v>0</v>
      </c>
      <c r="AC151" s="50">
        <f>IF(NOTA[[#This Row],[JUMLAH]]="","",NOTA[[#This Row],[JUMLAH]]-NOTA[[#This Row],[DISC]])</f>
        <v>4380000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1" s="50">
        <f>IF(OR(NOTA[[#This Row],[QTY]]="",NOTA[[#This Row],[HARGA SATUAN]]="",),"",NOTA[[#This Row],[QTY]]*NOTA[[#This Row],[HARGA SATUAN]])</f>
        <v>4380000</v>
      </c>
      <c r="AI151" s="39">
        <f ca="1">IF(NOTA[ID_H]="","",INDEX(NOTA[TANGGAL],MATCH(,INDIRECT(ADDRESS(ROW(NOTA[TANGGAL]),COLUMN(NOTA[TANGGAL]))&amp;":"&amp;ADDRESS(ROW(),COLUMN(NOTA[TANGGAL]))),-1)))</f>
        <v>45296</v>
      </c>
      <c r="AJ151" s="41" t="str">
        <f ca="1">IF(NOTA[[#This Row],[NAMA BARANG]]="","",INDEX(NOTA[SUPPLIER],MATCH(,INDIRECT(ADDRESS(ROW(NOTA[ID]),COLUMN(NOTA[ID]))&amp;":"&amp;ADDRESS(ROW(),COLUMN(NOTA[ID]))),-1)))</f>
        <v>DB STATIONERY</v>
      </c>
      <c r="AK151" s="41" t="str">
        <f ca="1">IF(NOTA[[#This Row],[ID_H]]="","",IF(NOTA[[#This Row],[FAKTUR]]="",INDIRECT(ADDRESS(ROW()-1,COLUMN())),NOTA[[#This Row],[FAKTUR]]))</f>
        <v>UNTANA</v>
      </c>
      <c r="AL151" s="38" t="str">
        <f ca="1">IF(NOTA[[#This Row],[ID]]="","",COUNTIF(NOTA[ID_H],NOTA[[#This Row],[ID_H]]))</f>
        <v/>
      </c>
      <c r="AM151" s="38">
        <f ca="1">IF(NOTA[[#This Row],[TGL.NOTA]]="",IF(NOTA[[#This Row],[SUPPLIER_H]]="","",AM150),MONTH(NOTA[[#This Row],[TGL.NOTA]]))</f>
        <v>1</v>
      </c>
      <c r="AN151" s="38" t="str">
        <f>LOWER(SUBSTITUTE(SUBSTITUTE(SUBSTITUTE(SUBSTITUTE(SUBSTITUTE(SUBSTITUTE(SUBSTITUTE(SUBSTITUTE(SUBSTITUTE(NOTA[NAMA BARANG]," ",),".",""),"-",""),"(",""),")",""),",",""),"/",""),"""",""),"+",""))</f>
        <v>gelzhixinrefillg3164</v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gelzhixinrefillg31642190000</v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gelzhixinrefillg31642190000</v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 t="e">
        <f>IF(NOTA[[#This Row],[CONCAT1]]="","",MATCH(NOTA[[#This Row],[CONCAT1]],[3]!db[NB NOTA_C],0))</f>
        <v>#N/A</v>
      </c>
      <c r="AT151" s="38" t="b">
        <f>IF(NOTA[[#This Row],[QTY/ CTN]]="","",TRUE)</f>
        <v>1</v>
      </c>
      <c r="AU151" s="38" t="str">
        <f ca="1">IF(NOTA[[#This Row],[ID_H]]="","",IF(NOTA[[#This Row],[Column3]]=TRUE,NOTA[[#This Row],[QTY/ CTN]],INDEX([3]!db[QTY/ CTN],NOTA[[#This Row],[//DB]])))</f>
        <v>120 LSN</v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gelzhixinrefillg3164120lsnuntana</v>
      </c>
      <c r="AW151" s="38" t="e">
        <f ca="1">IF(NOTA[[#This Row],[ID_H]]="","",MATCH(NOTA[[#This Row],[NB NOTA_C_QTY]],[4]!db[NB NOTA_C_QTY+F],0))</f>
        <v>#REF!</v>
      </c>
      <c r="AX151" s="53">
        <f ca="1">IF(NOTA[[#This Row],[NB NOTA_C_QTY]]="","",ROW()-2)</f>
        <v>149</v>
      </c>
    </row>
    <row r="152" spans="1:50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18</v>
      </c>
      <c r="E152" s="46"/>
      <c r="F152" s="37"/>
      <c r="G152" s="37"/>
      <c r="H152" s="47"/>
      <c r="I152" s="37"/>
      <c r="J152" s="39"/>
      <c r="K152" s="37"/>
      <c r="L152" s="37" t="s">
        <v>277</v>
      </c>
      <c r="M152" s="40">
        <v>2</v>
      </c>
      <c r="N152" s="38">
        <v>240</v>
      </c>
      <c r="O152" s="37" t="s">
        <v>111</v>
      </c>
      <c r="P152" s="41">
        <v>18250</v>
      </c>
      <c r="Q152" s="42"/>
      <c r="R152" s="48" t="s">
        <v>275</v>
      </c>
      <c r="S152" s="49"/>
      <c r="T152" s="44"/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4380000</v>
      </c>
      <c r="Y152" s="50">
        <f>IF(NOTA[[#This Row],[JUMLAH]]="","",NOTA[[#This Row],[JUMLAH]]*NOTA[[#This Row],[DISC 1]])</f>
        <v>0</v>
      </c>
      <c r="Z152" s="50">
        <f>IF(NOTA[[#This Row],[JUMLAH]]="","",(NOTA[[#This Row],[JUMLAH]]-NOTA[[#This Row],[DISC 1-]])*NOTA[[#This Row],[DISC 2]])</f>
        <v>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0</v>
      </c>
      <c r="AC152" s="50">
        <f>IF(NOTA[[#This Row],[JUMLAH]]="","",NOTA[[#This Row],[JUMLAH]]-NOTA[[#This Row],[DISC]])</f>
        <v>4380000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2" s="50">
        <f>IF(OR(NOTA[[#This Row],[QTY]]="",NOTA[[#This Row],[HARGA SATUAN]]="",),"",NOTA[[#This Row],[QTY]]*NOTA[[#This Row],[HARGA SATUAN]])</f>
        <v>4380000</v>
      </c>
      <c r="AI152" s="39">
        <f ca="1">IF(NOTA[ID_H]="","",INDEX(NOTA[TANGGAL],MATCH(,INDIRECT(ADDRESS(ROW(NOTA[TANGGAL]),COLUMN(NOTA[TANGGAL]))&amp;":"&amp;ADDRESS(ROW(),COLUMN(NOTA[TANGGAL]))),-1)))</f>
        <v>45296</v>
      </c>
      <c r="AJ152" s="41" t="str">
        <f ca="1">IF(NOTA[[#This Row],[NAMA BARANG]]="","",INDEX(NOTA[SUPPLIER],MATCH(,INDIRECT(ADDRESS(ROW(NOTA[ID]),COLUMN(NOTA[ID]))&amp;":"&amp;ADDRESS(ROW(),COLUMN(NOTA[ID]))),-1)))</f>
        <v>DB STATIONERY</v>
      </c>
      <c r="AK152" s="41" t="str">
        <f ca="1">IF(NOTA[[#This Row],[ID_H]]="","",IF(NOTA[[#This Row],[FAKTUR]]="",INDIRECT(ADDRESS(ROW()-1,COLUMN())),NOTA[[#This Row],[FAKTUR]]))</f>
        <v>UNTANA</v>
      </c>
      <c r="AL152" s="38" t="str">
        <f ca="1">IF(NOTA[[#This Row],[ID]]="","",COUNTIF(NOTA[ID_H],NOTA[[#This Row],[ID_H]]))</f>
        <v/>
      </c>
      <c r="AM152" s="38">
        <f ca="1">IF(NOTA[[#This Row],[TGL.NOTA]]="",IF(NOTA[[#This Row],[SUPPLIER_H]]="","",AM151),MONTH(NOTA[[#This Row],[TGL.NOTA]]))</f>
        <v>1</v>
      </c>
      <c r="AN152" s="38" t="str">
        <f>LOWER(SUBSTITUTE(SUBSTITUTE(SUBSTITUTE(SUBSTITUTE(SUBSTITUTE(SUBSTITUTE(SUBSTITUTE(SUBSTITUTE(SUBSTITUTE(NOTA[NAMA BARANG]," ",),".",""),"-",""),"(",""),")",""),",",""),"/",""),"""",""),"+",""))</f>
        <v>gelzhixinrefillg3139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gelzhixinrefillg31392190000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gelzhixinrefillg31392190000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2" s="38" t="str">
        <f>IF(NOTA[[#This Row],[CONCAT4]]="","",_xlfn.IFNA(MATCH(NOTA[[#This Row],[CONCAT4]],[2]!RAW[CONCAT_H],0),FALSE))</f>
        <v/>
      </c>
      <c r="AS152" s="38">
        <f>IF(NOTA[[#This Row],[CONCAT1]]="","",MATCH(NOTA[[#This Row],[CONCAT1]],[3]!db[NB NOTA_C],0))</f>
        <v>1222</v>
      </c>
      <c r="AT152" s="38" t="b">
        <f>IF(NOTA[[#This Row],[QTY/ CTN]]="","",TRUE)</f>
        <v>1</v>
      </c>
      <c r="AU152" s="38" t="str">
        <f ca="1">IF(NOTA[[#This Row],[ID_H]]="","",IF(NOTA[[#This Row],[Column3]]=TRUE,NOTA[[#This Row],[QTY/ CTN]],INDEX([3]!db[QTY/ CTN],NOTA[[#This Row],[//DB]])))</f>
        <v>120 LSN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gelzhixinrefillg3139120lsnuntana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18</v>
      </c>
      <c r="E153" s="46"/>
      <c r="F153" s="37"/>
      <c r="G153" s="37"/>
      <c r="H153" s="47"/>
      <c r="I153" s="37"/>
      <c r="J153" s="39"/>
      <c r="K153" s="37"/>
      <c r="L153" s="37" t="s">
        <v>278</v>
      </c>
      <c r="M153" s="40">
        <v>2</v>
      </c>
      <c r="N153" s="38">
        <v>240</v>
      </c>
      <c r="O153" s="37" t="s">
        <v>111</v>
      </c>
      <c r="P153" s="41">
        <v>18250</v>
      </c>
      <c r="Q153" s="42"/>
      <c r="R153" s="48" t="s">
        <v>275</v>
      </c>
      <c r="S153" s="49"/>
      <c r="T153" s="44"/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4380000</v>
      </c>
      <c r="Y153" s="50">
        <f>IF(NOTA[[#This Row],[JUMLAH]]="","",NOTA[[#This Row],[JUMLAH]]*NOTA[[#This Row],[DISC 1]])</f>
        <v>0</v>
      </c>
      <c r="Z153" s="50">
        <f>IF(NOTA[[#This Row],[JUMLAH]]="","",(NOTA[[#This Row],[JUMLAH]]-NOTA[[#This Row],[DISC 1-]])*NOTA[[#This Row],[DISC 2]])</f>
        <v>0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0</v>
      </c>
      <c r="AC153" s="50">
        <f>IF(NOTA[[#This Row],[JUMLAH]]="","",NOTA[[#This Row],[JUMLAH]]-NOTA[[#This Row],[DISC]])</f>
        <v>4380000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3" s="50">
        <f>IF(OR(NOTA[[#This Row],[QTY]]="",NOTA[[#This Row],[HARGA SATUAN]]="",),"",NOTA[[#This Row],[QTY]]*NOTA[[#This Row],[HARGA SATUAN]])</f>
        <v>4380000</v>
      </c>
      <c r="AI153" s="39">
        <f ca="1">IF(NOTA[ID_H]="","",INDEX(NOTA[TANGGAL],MATCH(,INDIRECT(ADDRESS(ROW(NOTA[TANGGAL]),COLUMN(NOTA[TANGGAL]))&amp;":"&amp;ADDRESS(ROW(),COLUMN(NOTA[TANGGAL]))),-1)))</f>
        <v>45296</v>
      </c>
      <c r="AJ153" s="41" t="str">
        <f ca="1">IF(NOTA[[#This Row],[NAMA BARANG]]="","",INDEX(NOTA[SUPPLIER],MATCH(,INDIRECT(ADDRESS(ROW(NOTA[ID]),COLUMN(NOTA[ID]))&amp;":"&amp;ADDRESS(ROW(),COLUMN(NOTA[ID]))),-1)))</f>
        <v>DB STATIONERY</v>
      </c>
      <c r="AK153" s="41" t="str">
        <f ca="1">IF(NOTA[[#This Row],[ID_H]]="","",IF(NOTA[[#This Row],[FAKTUR]]="",INDIRECT(ADDRESS(ROW()-1,COLUMN())),NOTA[[#This Row],[FAKTUR]]))</f>
        <v>UNTANA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1</v>
      </c>
      <c r="AN153" s="38" t="str">
        <f>LOWER(SUBSTITUTE(SUBSTITUTE(SUBSTITUTE(SUBSTITUTE(SUBSTITUTE(SUBSTITUTE(SUBSTITUTE(SUBSTITUTE(SUBSTITUTE(NOTA[NAMA BARANG]," ",),".",""),"-",""),"(",""),")",""),",",""),"/",""),"""",""),"+",""))</f>
        <v>gelzhixinrefillg3156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gelzhixinrefillg31562190000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gelzhixinrefillg31562190000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1229</v>
      </c>
      <c r="AT153" s="38" t="b">
        <f>IF(NOTA[[#This Row],[QTY/ CTN]]="","",TRUE)</f>
        <v>1</v>
      </c>
      <c r="AU153" s="38" t="str">
        <f ca="1">IF(NOTA[[#This Row],[ID_H]]="","",IF(NOTA[[#This Row],[Column3]]=TRUE,NOTA[[#This Row],[QTY/ CTN]],INDEX([3]!db[QTY/ CTN],NOTA[[#This Row],[//DB]])))</f>
        <v>120 LSN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gelzhixinrefillg3156120lsnuntana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18</v>
      </c>
      <c r="E154" s="46"/>
      <c r="F154" s="37"/>
      <c r="G154" s="37"/>
      <c r="H154" s="47"/>
      <c r="I154" s="37"/>
      <c r="J154" s="39"/>
      <c r="K154" s="37"/>
      <c r="L154" s="37" t="s">
        <v>279</v>
      </c>
      <c r="M154" s="40">
        <v>2</v>
      </c>
      <c r="N154" s="38">
        <v>240</v>
      </c>
      <c r="O154" s="37" t="s">
        <v>111</v>
      </c>
      <c r="P154" s="41">
        <v>18250</v>
      </c>
      <c r="Q154" s="42"/>
      <c r="R154" s="48" t="s">
        <v>275</v>
      </c>
      <c r="S154" s="49"/>
      <c r="T154" s="44"/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4380000</v>
      </c>
      <c r="Y154" s="50">
        <f>IF(NOTA[[#This Row],[JUMLAH]]="","",NOTA[[#This Row],[JUMLAH]]*NOTA[[#This Row],[DISC 1]])</f>
        <v>0</v>
      </c>
      <c r="Z154" s="50">
        <f>IF(NOTA[[#This Row],[JUMLAH]]="","",(NOTA[[#This Row],[JUMLAH]]-NOTA[[#This Row],[DISC 1-]])*NOTA[[#This Row],[DISC 2]])</f>
        <v>0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0</v>
      </c>
      <c r="AC154" s="50">
        <f>IF(NOTA[[#This Row],[JUMLAH]]="","",NOTA[[#This Row],[JUMLAH]]-NOTA[[#This Row],[DISC]])</f>
        <v>4380000</v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4" s="50">
        <f>IF(OR(NOTA[[#This Row],[QTY]]="",NOTA[[#This Row],[HARGA SATUAN]]="",),"",NOTA[[#This Row],[QTY]]*NOTA[[#This Row],[HARGA SATUAN]])</f>
        <v>4380000</v>
      </c>
      <c r="AI154" s="39">
        <f ca="1">IF(NOTA[ID_H]="","",INDEX(NOTA[TANGGAL],MATCH(,INDIRECT(ADDRESS(ROW(NOTA[TANGGAL]),COLUMN(NOTA[TANGGAL]))&amp;":"&amp;ADDRESS(ROW(),COLUMN(NOTA[TANGGAL]))),-1)))</f>
        <v>45296</v>
      </c>
      <c r="AJ154" s="41" t="str">
        <f ca="1">IF(NOTA[[#This Row],[NAMA BARANG]]="","",INDEX(NOTA[SUPPLIER],MATCH(,INDIRECT(ADDRESS(ROW(NOTA[ID]),COLUMN(NOTA[ID]))&amp;":"&amp;ADDRESS(ROW(),COLUMN(NOTA[ID]))),-1)))</f>
        <v>DB STATIONERY</v>
      </c>
      <c r="AK154" s="41" t="str">
        <f ca="1">IF(NOTA[[#This Row],[ID_H]]="","",IF(NOTA[[#This Row],[FAKTUR]]="",INDIRECT(ADDRESS(ROW()-1,COLUMN())),NOTA[[#This Row],[FAKTUR]]))</f>
        <v>UNTANA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1</v>
      </c>
      <c r="AN154" s="38" t="str">
        <f>LOWER(SUBSTITUTE(SUBSTITUTE(SUBSTITUTE(SUBSTITUTE(SUBSTITUTE(SUBSTITUTE(SUBSTITUTE(SUBSTITUTE(SUBSTITUTE(NOTA[NAMA BARANG]," ",),".",""),"-",""),"(",""),")",""),",",""),"/",""),"""",""),"+",""))</f>
        <v>gelzhixinrefillg5025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gelzhixinrefillg50252190000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gelzhixinrefillg50252190000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 t="e">
        <f>IF(NOTA[[#This Row],[CONCAT1]]="","",MATCH(NOTA[[#This Row],[CONCAT1]],[3]!db[NB NOTA_C],0))</f>
        <v>#N/A</v>
      </c>
      <c r="AT154" s="38" t="b">
        <f>IF(NOTA[[#This Row],[QTY/ CTN]]="","",TRUE)</f>
        <v>1</v>
      </c>
      <c r="AU154" s="38" t="str">
        <f ca="1">IF(NOTA[[#This Row],[ID_H]]="","",IF(NOTA[[#This Row],[Column3]]=TRUE,NOTA[[#This Row],[QTY/ CTN]],INDEX([3]!db[QTY/ CTN],NOTA[[#This Row],[//DB]])))</f>
        <v>120 LSN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gelzhixinrefillg5025120lsnuntana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18</v>
      </c>
      <c r="E155" s="46"/>
      <c r="F155" s="37"/>
      <c r="G155" s="37"/>
      <c r="H155" s="47"/>
      <c r="I155" s="37"/>
      <c r="J155" s="39"/>
      <c r="K155" s="37"/>
      <c r="L155" s="37" t="s">
        <v>280</v>
      </c>
      <c r="M155" s="40">
        <v>2</v>
      </c>
      <c r="N155" s="38">
        <v>240</v>
      </c>
      <c r="O155" s="37" t="s">
        <v>111</v>
      </c>
      <c r="P155" s="41">
        <v>18250</v>
      </c>
      <c r="Q155" s="42"/>
      <c r="R155" s="48" t="s">
        <v>275</v>
      </c>
      <c r="S155" s="49"/>
      <c r="T155" s="44"/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4380000</v>
      </c>
      <c r="Y155" s="50">
        <f>IF(NOTA[[#This Row],[JUMLAH]]="","",NOTA[[#This Row],[JUMLAH]]*NOTA[[#This Row],[DISC 1]])</f>
        <v>0</v>
      </c>
      <c r="Z155" s="50">
        <f>IF(NOTA[[#This Row],[JUMLAH]]="","",(NOTA[[#This Row],[JUMLAH]]-NOTA[[#This Row],[DISC 1-]])*NOTA[[#This Row],[DISC 2]])</f>
        <v>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0</v>
      </c>
      <c r="AC155" s="50">
        <f>IF(NOTA[[#This Row],[JUMLAH]]="","",NOTA[[#This Row],[JUMLAH]]-NOTA[[#This Row],[DISC]])</f>
        <v>4380000</v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5" s="50">
        <f>IF(OR(NOTA[[#This Row],[QTY]]="",NOTA[[#This Row],[HARGA SATUAN]]="",),"",NOTA[[#This Row],[QTY]]*NOTA[[#This Row],[HARGA SATUAN]])</f>
        <v>4380000</v>
      </c>
      <c r="AI155" s="39">
        <f ca="1">IF(NOTA[ID_H]="","",INDEX(NOTA[TANGGAL],MATCH(,INDIRECT(ADDRESS(ROW(NOTA[TANGGAL]),COLUMN(NOTA[TANGGAL]))&amp;":"&amp;ADDRESS(ROW(),COLUMN(NOTA[TANGGAL]))),-1)))</f>
        <v>45296</v>
      </c>
      <c r="AJ155" s="41" t="str">
        <f ca="1">IF(NOTA[[#This Row],[NAMA BARANG]]="","",INDEX(NOTA[SUPPLIER],MATCH(,INDIRECT(ADDRESS(ROW(NOTA[ID]),COLUMN(NOTA[ID]))&amp;":"&amp;ADDRESS(ROW(),COLUMN(NOTA[ID]))),-1)))</f>
        <v>DB STATIONERY</v>
      </c>
      <c r="AK155" s="41" t="str">
        <f ca="1">IF(NOTA[[#This Row],[ID_H]]="","",IF(NOTA[[#This Row],[FAKTUR]]="",INDIRECT(ADDRESS(ROW()-1,COLUMN())),NOTA[[#This Row],[FAKTUR]]))</f>
        <v>UNTANA</v>
      </c>
      <c r="AL155" s="38" t="str">
        <f ca="1">IF(NOTA[[#This Row],[ID]]="","",COUNTIF(NOTA[ID_H],NOTA[[#This Row],[ID_H]]))</f>
        <v/>
      </c>
      <c r="AM155" s="38">
        <f ca="1">IF(NOTA[[#This Row],[TGL.NOTA]]="",IF(NOTA[[#This Row],[SUPPLIER_H]]="","",AM154),MONTH(NOTA[[#This Row],[TGL.NOTA]]))</f>
        <v>1</v>
      </c>
      <c r="AN155" s="38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>
        <f>IF(NOTA[[#This Row],[CONCAT1]]="","",MATCH(NOTA[[#This Row],[CONCAT1]],[3]!db[NB NOTA_C],0))</f>
        <v>1235</v>
      </c>
      <c r="AT155" s="38" t="b">
        <f>IF(NOTA[[#This Row],[QTY/ CTN]]="","",TRUE)</f>
        <v>1</v>
      </c>
      <c r="AU155" s="38" t="str">
        <f ca="1">IF(NOTA[[#This Row],[ID_H]]="","",IF(NOTA[[#This Row],[Column3]]=TRUE,NOTA[[#This Row],[QTY/ CTN]],INDEX([3]!db[QTY/ CTN],NOTA[[#This Row],[//DB]])))</f>
        <v>120 LSN</v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W155" s="38" t="e">
        <f ca="1">IF(NOTA[[#This Row],[ID_H]]="","",MATCH(NOTA[[#This Row],[NB NOTA_C_QTY]],[4]!db[NB NOTA_C_QTY+F],0))</f>
        <v>#REF!</v>
      </c>
      <c r="AX155" s="53">
        <f ca="1">IF(NOTA[[#This Row],[NB NOTA_C_QTY]]="","",ROW()-2)</f>
        <v>153</v>
      </c>
    </row>
    <row r="156" spans="1:50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18</v>
      </c>
      <c r="E156" s="46"/>
      <c r="F156" s="37"/>
      <c r="G156" s="37"/>
      <c r="H156" s="47"/>
      <c r="I156" s="37"/>
      <c r="J156" s="39"/>
      <c r="K156" s="37"/>
      <c r="L156" s="37" t="s">
        <v>281</v>
      </c>
      <c r="M156" s="40">
        <v>1</v>
      </c>
      <c r="N156" s="38">
        <v>120</v>
      </c>
      <c r="O156" s="37" t="s">
        <v>111</v>
      </c>
      <c r="P156" s="41">
        <v>18250</v>
      </c>
      <c r="Q156" s="42"/>
      <c r="R156" s="48" t="s">
        <v>275</v>
      </c>
      <c r="S156" s="49"/>
      <c r="T156" s="44"/>
      <c r="U156" s="44"/>
      <c r="V156" s="50"/>
      <c r="W156" s="45"/>
      <c r="X156" s="50">
        <f>IF(NOTA[[#This Row],[HARGA/ CTN]]="",NOTA[[#This Row],[JUMLAH_H]],NOTA[[#This Row],[HARGA/ CTN]]*IF(NOTA[[#This Row],[C]]="",0,NOTA[[#This Row],[C]]))</f>
        <v>2190000</v>
      </c>
      <c r="Y156" s="50">
        <f>IF(NOTA[[#This Row],[JUMLAH]]="","",NOTA[[#This Row],[JUMLAH]]*NOTA[[#This Row],[DISC 1]])</f>
        <v>0</v>
      </c>
      <c r="Z156" s="50">
        <f>IF(NOTA[[#This Row],[JUMLAH]]="","",(NOTA[[#This Row],[JUMLAH]]-NOTA[[#This Row],[DISC 1-]])*NOTA[[#This Row],[DISC 2]])</f>
        <v>0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0</v>
      </c>
      <c r="AC156" s="50">
        <f>IF(NOTA[[#This Row],[JUMLAH]]="","",NOTA[[#This Row],[JUMLAH]]-NOTA[[#This Row],[DISC]])</f>
        <v>2190000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6" s="50">
        <f>IF(OR(NOTA[[#This Row],[QTY]]="",NOTA[[#This Row],[HARGA SATUAN]]="",),"",NOTA[[#This Row],[QTY]]*NOTA[[#This Row],[HARGA SATUAN]])</f>
        <v>2190000</v>
      </c>
      <c r="AI156" s="39">
        <f ca="1">IF(NOTA[ID_H]="","",INDEX(NOTA[TANGGAL],MATCH(,INDIRECT(ADDRESS(ROW(NOTA[TANGGAL]),COLUMN(NOTA[TANGGAL]))&amp;":"&amp;ADDRESS(ROW(),COLUMN(NOTA[TANGGAL]))),-1)))</f>
        <v>45296</v>
      </c>
      <c r="AJ156" s="41" t="str">
        <f ca="1">IF(NOTA[[#This Row],[NAMA BARANG]]="","",INDEX(NOTA[SUPPLIER],MATCH(,INDIRECT(ADDRESS(ROW(NOTA[ID]),COLUMN(NOTA[ID]))&amp;":"&amp;ADDRESS(ROW(),COLUMN(NOTA[ID]))),-1)))</f>
        <v>DB STATIONERY</v>
      </c>
      <c r="AK156" s="41" t="str">
        <f ca="1">IF(NOTA[[#This Row],[ID_H]]="","",IF(NOTA[[#This Row],[FAKTUR]]="",INDIRECT(ADDRESS(ROW()-1,COLUMN())),NOTA[[#This Row],[FAKTUR]]))</f>
        <v>UNTANA</v>
      </c>
      <c r="AL156" s="38" t="str">
        <f ca="1">IF(NOTA[[#This Row],[ID]]="","",COUNTIF(NOTA[ID_H],NOTA[[#This Row],[ID_H]]))</f>
        <v/>
      </c>
      <c r="AM156" s="38">
        <f ca="1">IF(NOTA[[#This Row],[TGL.NOTA]]="",IF(NOTA[[#This Row],[SUPPLIER_H]]="","",AM155),MONTH(NOTA[[#This Row],[TGL.NOTA]]))</f>
        <v>1</v>
      </c>
      <c r="AN156" s="38" t="str">
        <f>LOWER(SUBSTITUTE(SUBSTITUTE(SUBSTITUTE(SUBSTITUTE(SUBSTITUTE(SUBSTITUTE(SUBSTITUTE(SUBSTITUTE(SUBSTITUTE(NOTA[NAMA BARANG]," ",),".",""),"-",""),"(",""),")",""),",",""),"/",""),"""",""),"+",""))</f>
        <v>gelzhixinrefillg5014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gelzhixinrefillg50142190000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gelzhixinrefillg50142190000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38" t="str">
        <f>IF(NOTA[[#This Row],[CONCAT4]]="","",_xlfn.IFNA(MATCH(NOTA[[#This Row],[CONCAT4]],[2]!RAW[CONCAT_H],0),FALSE))</f>
        <v/>
      </c>
      <c r="AS156" s="38">
        <f>IF(NOTA[[#This Row],[CONCAT1]]="","",MATCH(NOTA[[#This Row],[CONCAT1]],[3]!db[NB NOTA_C],0))</f>
        <v>1236</v>
      </c>
      <c r="AT156" s="38" t="b">
        <f>IF(NOTA[[#This Row],[QTY/ CTN]]="","",TRUE)</f>
        <v>1</v>
      </c>
      <c r="AU156" s="38" t="str">
        <f ca="1">IF(NOTA[[#This Row],[ID_H]]="","",IF(NOTA[[#This Row],[Column3]]=TRUE,NOTA[[#This Row],[QTY/ CTN]],INDEX([3]!db[QTY/ CTN],NOTA[[#This Row],[//DB]])))</f>
        <v>120 LSN</v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gelzhixinrefillg5014120lsnuntana</v>
      </c>
      <c r="AW156" s="38" t="e">
        <f ca="1">IF(NOTA[[#This Row],[ID_H]]="","",MATCH(NOTA[[#This Row],[NB NOTA_C_QTY]],[4]!db[NB NOTA_C_QTY+F],0))</f>
        <v>#REF!</v>
      </c>
      <c r="AX156" s="53">
        <f ca="1">IF(NOTA[[#This Row],[NB NOTA_C_QTY]]="","",ROW()-2)</f>
        <v>154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18</v>
      </c>
      <c r="E157" s="46"/>
      <c r="F157" s="37"/>
      <c r="G157" s="37"/>
      <c r="H157" s="47"/>
      <c r="I157" s="37"/>
      <c r="J157" s="39"/>
      <c r="K157" s="37"/>
      <c r="L157" s="37" t="s">
        <v>282</v>
      </c>
      <c r="M157" s="40">
        <v>1</v>
      </c>
      <c r="N157" s="38">
        <v>120</v>
      </c>
      <c r="O157" s="37" t="s">
        <v>111</v>
      </c>
      <c r="P157" s="41">
        <v>18250</v>
      </c>
      <c r="Q157" s="42"/>
      <c r="R157" s="48" t="s">
        <v>275</v>
      </c>
      <c r="S157" s="49"/>
      <c r="T157" s="44"/>
      <c r="U157" s="44"/>
      <c r="V157" s="50"/>
      <c r="W157" s="45"/>
      <c r="X157" s="50">
        <f>IF(NOTA[[#This Row],[HARGA/ CTN]]="",NOTA[[#This Row],[JUMLAH_H]],NOTA[[#This Row],[HARGA/ CTN]]*IF(NOTA[[#This Row],[C]]="",0,NOTA[[#This Row],[C]]))</f>
        <v>2190000</v>
      </c>
      <c r="Y157" s="50">
        <f>IF(NOTA[[#This Row],[JUMLAH]]="","",NOTA[[#This Row],[JUMLAH]]*NOTA[[#This Row],[DISC 1]])</f>
        <v>0</v>
      </c>
      <c r="Z157" s="50">
        <f>IF(NOTA[[#This Row],[JUMLAH]]="","",(NOTA[[#This Row],[JUMLAH]]-NOTA[[#This Row],[DISC 1-]])*NOTA[[#This Row],[DISC 2]])</f>
        <v>0</v>
      </c>
      <c r="AA157" s="50">
        <f>IF(NOTA[[#This Row],[JUMLAH]]="","",(NOTA[[#This Row],[JUMLAH]]-NOTA[[#This Row],[DISC 1-]]-NOTA[[#This Row],[DISC 2-]])*NOTA[[#This Row],[DISC 3]])</f>
        <v>0</v>
      </c>
      <c r="AB157" s="50">
        <f>IF(NOTA[[#This Row],[JUMLAH]]="","",NOTA[[#This Row],[DISC 1-]]+NOTA[[#This Row],[DISC 2-]]+NOTA[[#This Row],[DISC 3-]])</f>
        <v>0</v>
      </c>
      <c r="AC157" s="50">
        <f>IF(NOTA[[#This Row],[JUMLAH]]="","",NOTA[[#This Row],[JUMLAH]]-NOTA[[#This Row],[DISC]])</f>
        <v>2190000</v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7" s="50">
        <f>IF(OR(NOTA[[#This Row],[QTY]]="",NOTA[[#This Row],[HARGA SATUAN]]="",),"",NOTA[[#This Row],[QTY]]*NOTA[[#This Row],[HARGA SATUAN]])</f>
        <v>2190000</v>
      </c>
      <c r="AI157" s="39">
        <f ca="1">IF(NOTA[ID_H]="","",INDEX(NOTA[TANGGAL],MATCH(,INDIRECT(ADDRESS(ROW(NOTA[TANGGAL]),COLUMN(NOTA[TANGGAL]))&amp;":"&amp;ADDRESS(ROW(),COLUMN(NOTA[TANGGAL]))),-1)))</f>
        <v>45296</v>
      </c>
      <c r="AJ157" s="41" t="str">
        <f ca="1">IF(NOTA[[#This Row],[NAMA BARANG]]="","",INDEX(NOTA[SUPPLIER],MATCH(,INDIRECT(ADDRESS(ROW(NOTA[ID]),COLUMN(NOTA[ID]))&amp;":"&amp;ADDRESS(ROW(),COLUMN(NOTA[ID]))),-1)))</f>
        <v>DB STATIONERY</v>
      </c>
      <c r="AK157" s="41" t="str">
        <f ca="1">IF(NOTA[[#This Row],[ID_H]]="","",IF(NOTA[[#This Row],[FAKTUR]]="",INDIRECT(ADDRESS(ROW()-1,COLUMN())),NOTA[[#This Row],[FAKTUR]]))</f>
        <v>UNTANA</v>
      </c>
      <c r="AL157" s="38" t="str">
        <f ca="1">IF(NOTA[[#This Row],[ID]]="","",COUNTIF(NOTA[ID_H],NOTA[[#This Row],[ID_H]]))</f>
        <v/>
      </c>
      <c r="AM157" s="38">
        <f ca="1">IF(NOTA[[#This Row],[TGL.NOTA]]="",IF(NOTA[[#This Row],[SUPPLIER_H]]="","",AM156),MONTH(NOTA[[#This Row],[TGL.NOTA]]))</f>
        <v>1</v>
      </c>
      <c r="AN157" s="38" t="str">
        <f>LOWER(SUBSTITUTE(SUBSTITUTE(SUBSTITUTE(SUBSTITUTE(SUBSTITUTE(SUBSTITUTE(SUBSTITUTE(SUBSTITUTE(SUBSTITUTE(NOTA[NAMA BARANG]," ",),".",""),"-",""),"(",""),")",""),",",""),"/",""),"""",""),"+",""))</f>
        <v>gelzhixinrefillg5017</v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gelzhixinrefillg50172190000</v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gelzhixinrefillg50172190000</v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>
        <f>IF(NOTA[[#This Row],[CONCAT1]]="","",MATCH(NOTA[[#This Row],[CONCAT1]],[3]!db[NB NOTA_C],0))</f>
        <v>1238</v>
      </c>
      <c r="AT157" s="38" t="b">
        <f>IF(NOTA[[#This Row],[QTY/ CTN]]="","",TRUE)</f>
        <v>1</v>
      </c>
      <c r="AU157" s="38" t="str">
        <f ca="1">IF(NOTA[[#This Row],[ID_H]]="","",IF(NOTA[[#This Row],[Column3]]=TRUE,NOTA[[#This Row],[QTY/ CTN]],INDEX([3]!db[QTY/ CTN],NOTA[[#This Row],[//DB]])))</f>
        <v>120 LSN</v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gelzhixinrefillg5017120lsnuntana</v>
      </c>
      <c r="AW157" s="38" t="e">
        <f ca="1">IF(NOTA[[#This Row],[ID_H]]="","",MATCH(NOTA[[#This Row],[NB NOTA_C_QTY]],[4]!db[NB NOTA_C_QTY+F],0))</f>
        <v>#REF!</v>
      </c>
      <c r="AX157" s="53">
        <f ca="1">IF(NOTA[[#This Row],[NB NOTA_C_QTY]]="","",ROW()-2)</f>
        <v>155</v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18</v>
      </c>
      <c r="E158" s="46"/>
      <c r="F158" s="37"/>
      <c r="G158" s="37"/>
      <c r="H158" s="47"/>
      <c r="I158" s="37"/>
      <c r="J158" s="39"/>
      <c r="K158" s="37"/>
      <c r="L158" s="37" t="s">
        <v>283</v>
      </c>
      <c r="M158" s="40">
        <v>1</v>
      </c>
      <c r="N158" s="38">
        <v>120</v>
      </c>
      <c r="O158" s="37" t="s">
        <v>111</v>
      </c>
      <c r="P158" s="41">
        <v>18250</v>
      </c>
      <c r="Q158" s="42"/>
      <c r="R158" s="48" t="s">
        <v>275</v>
      </c>
      <c r="S158" s="49"/>
      <c r="T158" s="44"/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2190000</v>
      </c>
      <c r="Y158" s="50">
        <f>IF(NOTA[[#This Row],[JUMLAH]]="","",NOTA[[#This Row],[JUMLAH]]*NOTA[[#This Row],[DISC 1]])</f>
        <v>0</v>
      </c>
      <c r="Z158" s="50">
        <f>IF(NOTA[[#This Row],[JUMLAH]]="","",(NOTA[[#This Row],[JUMLAH]]-NOTA[[#This Row],[DISC 1-]])*NOTA[[#This Row],[DISC 2]])</f>
        <v>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0</v>
      </c>
      <c r="AC158" s="50">
        <f>IF(NOTA[[#This Row],[JUMLAH]]="","",NOTA[[#This Row],[JUMLAH]]-NOTA[[#This Row],[DISC]])</f>
        <v>2190000</v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8" s="50">
        <f>IF(OR(NOTA[[#This Row],[QTY]]="",NOTA[[#This Row],[HARGA SATUAN]]="",),"",NOTA[[#This Row],[QTY]]*NOTA[[#This Row],[HARGA SATUAN]])</f>
        <v>2190000</v>
      </c>
      <c r="AI158" s="39">
        <f ca="1">IF(NOTA[ID_H]="","",INDEX(NOTA[TANGGAL],MATCH(,INDIRECT(ADDRESS(ROW(NOTA[TANGGAL]),COLUMN(NOTA[TANGGAL]))&amp;":"&amp;ADDRESS(ROW(),COLUMN(NOTA[TANGGAL]))),-1)))</f>
        <v>45296</v>
      </c>
      <c r="AJ158" s="41" t="str">
        <f ca="1">IF(NOTA[[#This Row],[NAMA BARANG]]="","",INDEX(NOTA[SUPPLIER],MATCH(,INDIRECT(ADDRESS(ROW(NOTA[ID]),COLUMN(NOTA[ID]))&amp;":"&amp;ADDRESS(ROW(),COLUMN(NOTA[ID]))),-1)))</f>
        <v>DB STATIONERY</v>
      </c>
      <c r="AK158" s="41" t="str">
        <f ca="1">IF(NOTA[[#This Row],[ID_H]]="","",IF(NOTA[[#This Row],[FAKTUR]]="",INDIRECT(ADDRESS(ROW()-1,COLUMN())),NOTA[[#This Row],[FAKTUR]]))</f>
        <v>UNTANA</v>
      </c>
      <c r="AL158" s="38" t="str">
        <f ca="1">IF(NOTA[[#This Row],[ID]]="","",COUNTIF(NOTA[ID_H],NOTA[[#This Row],[ID_H]]))</f>
        <v/>
      </c>
      <c r="AM158" s="38">
        <f ca="1">IF(NOTA[[#This Row],[TGL.NOTA]]="",IF(NOTA[[#This Row],[SUPPLIER_H]]="","",AM157),MONTH(NOTA[[#This Row],[TGL.NOTA]]))</f>
        <v>1</v>
      </c>
      <c r="AN158" s="38" t="str">
        <f>LOWER(SUBSTITUTE(SUBSTITUTE(SUBSTITUTE(SUBSTITUTE(SUBSTITUTE(SUBSTITUTE(SUBSTITUTE(SUBSTITUTE(SUBSTITUTE(NOTA[NAMA BARANG]," ",),".",""),"-",""),"(",""),")",""),",",""),"/",""),"""",""),"+",""))</f>
        <v>gelzhixinrefillg5035</v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gelzhixinrefillg50352190000</v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gelzhixinrefillg50352190000</v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8" s="38" t="str">
        <f>IF(NOTA[[#This Row],[CONCAT4]]="","",_xlfn.IFNA(MATCH(NOTA[[#This Row],[CONCAT4]],[2]!RAW[CONCAT_H],0),FALSE))</f>
        <v/>
      </c>
      <c r="AS158" s="38" t="e">
        <f>IF(NOTA[[#This Row],[CONCAT1]]="","",MATCH(NOTA[[#This Row],[CONCAT1]],[3]!db[NB NOTA_C],0))</f>
        <v>#N/A</v>
      </c>
      <c r="AT158" s="38" t="b">
        <f>IF(NOTA[[#This Row],[QTY/ CTN]]="","",TRUE)</f>
        <v>1</v>
      </c>
      <c r="AU158" s="38" t="str">
        <f ca="1">IF(NOTA[[#This Row],[ID_H]]="","",IF(NOTA[[#This Row],[Column3]]=TRUE,NOTA[[#This Row],[QTY/ CTN]],INDEX([3]!db[QTY/ CTN],NOTA[[#This Row],[//DB]])))</f>
        <v>120 LSN</v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gelzhixinrefillg5035120lsnuntana</v>
      </c>
      <c r="AW158" s="38" t="e">
        <f ca="1">IF(NOTA[[#This Row],[ID_H]]="","",MATCH(NOTA[[#This Row],[NB NOTA_C_QTY]],[4]!db[NB NOTA_C_QTY+F],0))</f>
        <v>#REF!</v>
      </c>
      <c r="AX158" s="53">
        <f ca="1">IF(NOTA[[#This Row],[NB NOTA_C_QTY]]="","",ROW()-2)</f>
        <v>156</v>
      </c>
    </row>
    <row r="159" spans="1:50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18</v>
      </c>
      <c r="E159" s="46"/>
      <c r="F159" s="37"/>
      <c r="G159" s="37"/>
      <c r="H159" s="47"/>
      <c r="I159" s="37"/>
      <c r="J159" s="39"/>
      <c r="K159" s="37"/>
      <c r="L159" s="37" t="s">
        <v>284</v>
      </c>
      <c r="M159" s="40">
        <v>1</v>
      </c>
      <c r="N159" s="38">
        <v>120</v>
      </c>
      <c r="O159" s="37" t="s">
        <v>111</v>
      </c>
      <c r="P159" s="41">
        <v>18250</v>
      </c>
      <c r="Q159" s="42"/>
      <c r="R159" s="48" t="s">
        <v>275</v>
      </c>
      <c r="S159" s="49"/>
      <c r="T159" s="44"/>
      <c r="U159" s="44"/>
      <c r="V159" s="50"/>
      <c r="W159" s="45"/>
      <c r="X159" s="50">
        <f>IF(NOTA[[#This Row],[HARGA/ CTN]]="",NOTA[[#This Row],[JUMLAH_H]],NOTA[[#This Row],[HARGA/ CTN]]*IF(NOTA[[#This Row],[C]]="",0,NOTA[[#This Row],[C]]))</f>
        <v>2190000</v>
      </c>
      <c r="Y159" s="50">
        <f>IF(NOTA[[#This Row],[JUMLAH]]="","",NOTA[[#This Row],[JUMLAH]]*NOTA[[#This Row],[DISC 1]])</f>
        <v>0</v>
      </c>
      <c r="Z159" s="50">
        <f>IF(NOTA[[#This Row],[JUMLAH]]="","",(NOTA[[#This Row],[JUMLAH]]-NOTA[[#This Row],[DISC 1-]])*NOTA[[#This Row],[DISC 2]])</f>
        <v>0</v>
      </c>
      <c r="AA159" s="50">
        <f>IF(NOTA[[#This Row],[JUMLAH]]="","",(NOTA[[#This Row],[JUMLAH]]-NOTA[[#This Row],[DISC 1-]]-NOTA[[#This Row],[DISC 2-]])*NOTA[[#This Row],[DISC 3]])</f>
        <v>0</v>
      </c>
      <c r="AB159" s="50">
        <f>IF(NOTA[[#This Row],[JUMLAH]]="","",NOTA[[#This Row],[DISC 1-]]+NOTA[[#This Row],[DISC 2-]]+NOTA[[#This Row],[DISC 3-]])</f>
        <v>0</v>
      </c>
      <c r="AC159" s="50">
        <f>IF(NOTA[[#This Row],[JUMLAH]]="","",NOTA[[#This Row],[JUMLAH]]-NOTA[[#This Row],[DISC]])</f>
        <v>2190000</v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9" s="50">
        <f>IF(OR(NOTA[[#This Row],[QTY]]="",NOTA[[#This Row],[HARGA SATUAN]]="",),"",NOTA[[#This Row],[QTY]]*NOTA[[#This Row],[HARGA SATUAN]])</f>
        <v>2190000</v>
      </c>
      <c r="AI159" s="39">
        <f ca="1">IF(NOTA[ID_H]="","",INDEX(NOTA[TANGGAL],MATCH(,INDIRECT(ADDRESS(ROW(NOTA[TANGGAL]),COLUMN(NOTA[TANGGAL]))&amp;":"&amp;ADDRESS(ROW(),COLUMN(NOTA[TANGGAL]))),-1)))</f>
        <v>45296</v>
      </c>
      <c r="AJ159" s="41" t="str">
        <f ca="1">IF(NOTA[[#This Row],[NAMA BARANG]]="","",INDEX(NOTA[SUPPLIER],MATCH(,INDIRECT(ADDRESS(ROW(NOTA[ID]),COLUMN(NOTA[ID]))&amp;":"&amp;ADDRESS(ROW(),COLUMN(NOTA[ID]))),-1)))</f>
        <v>DB STATIONERY</v>
      </c>
      <c r="AK159" s="41" t="str">
        <f ca="1">IF(NOTA[[#This Row],[ID_H]]="","",IF(NOTA[[#This Row],[FAKTUR]]="",INDIRECT(ADDRESS(ROW()-1,COLUMN())),NOTA[[#This Row],[FAKTUR]]))</f>
        <v>UNTANA</v>
      </c>
      <c r="AL159" s="38" t="str">
        <f ca="1">IF(NOTA[[#This Row],[ID]]="","",COUNTIF(NOTA[ID_H],NOTA[[#This Row],[ID_H]]))</f>
        <v/>
      </c>
      <c r="AM159" s="38">
        <f ca="1">IF(NOTA[[#This Row],[TGL.NOTA]]="",IF(NOTA[[#This Row],[SUPPLIER_H]]="","",AM158),MONTH(NOTA[[#This Row],[TGL.NOTA]]))</f>
        <v>1</v>
      </c>
      <c r="AN159" s="38" t="str">
        <f>LOWER(SUBSTITUTE(SUBSTITUTE(SUBSTITUTE(SUBSTITUTE(SUBSTITUTE(SUBSTITUTE(SUBSTITUTE(SUBSTITUTE(SUBSTITUTE(NOTA[NAMA BARANG]," ",),".",""),"-",""),"(",""),")",""),",",""),"/",""),"""",""),"+",""))</f>
        <v>gelzhixinrefillg5036</v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gelzhixinrefillg50362190000</v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gelzhixinrefillg50362190000</v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Row],[CONCAT4]],[2]!RAW[CONCAT_H],0),FALSE))</f>
        <v/>
      </c>
      <c r="AS159" s="38" t="e">
        <f>IF(NOTA[[#This Row],[CONCAT1]]="","",MATCH(NOTA[[#This Row],[CONCAT1]],[3]!db[NB NOTA_C],0))</f>
        <v>#N/A</v>
      </c>
      <c r="AT159" s="38" t="b">
        <f>IF(NOTA[[#This Row],[QTY/ CTN]]="","",TRUE)</f>
        <v>1</v>
      </c>
      <c r="AU159" s="38" t="str">
        <f ca="1">IF(NOTA[[#This Row],[ID_H]]="","",IF(NOTA[[#This Row],[Column3]]=TRUE,NOTA[[#This Row],[QTY/ CTN]],INDEX([3]!db[QTY/ CTN],NOTA[[#This Row],[//DB]])))</f>
        <v>120 LSN</v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gelzhixinrefillg5036120lsnuntana</v>
      </c>
      <c r="AW159" s="38" t="e">
        <f ca="1">IF(NOTA[[#This Row],[ID_H]]="","",MATCH(NOTA[[#This Row],[NB NOTA_C_QTY]],[4]!db[NB NOTA_C_QTY+F],0))</f>
        <v>#REF!</v>
      </c>
      <c r="AX159" s="53">
        <f ca="1">IF(NOTA[[#This Row],[NB NOTA_C_QTY]]="","",ROW()-2)</f>
        <v>157</v>
      </c>
    </row>
    <row r="160" spans="1:50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18</v>
      </c>
      <c r="E160" s="46"/>
      <c r="F160" s="37"/>
      <c r="G160" s="37"/>
      <c r="H160" s="47"/>
      <c r="I160" s="37"/>
      <c r="J160" s="39"/>
      <c r="K160" s="37"/>
      <c r="L160" s="37" t="s">
        <v>285</v>
      </c>
      <c r="M160" s="40">
        <v>1</v>
      </c>
      <c r="N160" s="38">
        <v>120</v>
      </c>
      <c r="O160" s="37" t="s">
        <v>111</v>
      </c>
      <c r="P160" s="41">
        <v>18250</v>
      </c>
      <c r="Q160" s="42"/>
      <c r="R160" s="48" t="s">
        <v>275</v>
      </c>
      <c r="S160" s="49"/>
      <c r="T160" s="44"/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2190000</v>
      </c>
      <c r="Y160" s="50">
        <f>IF(NOTA[[#This Row],[JUMLAH]]="","",NOTA[[#This Row],[JUMLAH]]*NOTA[[#This Row],[DISC 1]])</f>
        <v>0</v>
      </c>
      <c r="Z160" s="50">
        <f>IF(NOTA[[#This Row],[JUMLAH]]="","",(NOTA[[#This Row],[JUMLAH]]-NOTA[[#This Row],[DISC 1-]])*NOTA[[#This Row],[DISC 2]])</f>
        <v>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0</v>
      </c>
      <c r="AC160" s="50">
        <f>IF(NOTA[[#This Row],[JUMLAH]]="","",NOTA[[#This Row],[JUMLAH]]-NOTA[[#This Row],[DISC]])</f>
        <v>2190000</v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0" s="50">
        <f>IF(OR(NOTA[[#This Row],[QTY]]="",NOTA[[#This Row],[HARGA SATUAN]]="",),"",NOTA[[#This Row],[QTY]]*NOTA[[#This Row],[HARGA SATUAN]])</f>
        <v>2190000</v>
      </c>
      <c r="AI160" s="39">
        <f ca="1">IF(NOTA[ID_H]="","",INDEX(NOTA[TANGGAL],MATCH(,INDIRECT(ADDRESS(ROW(NOTA[TANGGAL]),COLUMN(NOTA[TANGGAL]))&amp;":"&amp;ADDRESS(ROW(),COLUMN(NOTA[TANGGAL]))),-1)))</f>
        <v>45296</v>
      </c>
      <c r="AJ160" s="41" t="str">
        <f ca="1">IF(NOTA[[#This Row],[NAMA BARANG]]="","",INDEX(NOTA[SUPPLIER],MATCH(,INDIRECT(ADDRESS(ROW(NOTA[ID]),COLUMN(NOTA[ID]))&amp;":"&amp;ADDRESS(ROW(),COLUMN(NOTA[ID]))),-1)))</f>
        <v>DB STATIONERY</v>
      </c>
      <c r="AK160" s="41" t="str">
        <f ca="1">IF(NOTA[[#This Row],[ID_H]]="","",IF(NOTA[[#This Row],[FAKTUR]]="",INDIRECT(ADDRESS(ROW()-1,COLUMN())),NOTA[[#This Row],[FAKTUR]]))</f>
        <v>UNTANA</v>
      </c>
      <c r="AL160" s="38" t="str">
        <f ca="1">IF(NOTA[[#This Row],[ID]]="","",COUNTIF(NOTA[ID_H],NOTA[[#This Row],[ID_H]]))</f>
        <v/>
      </c>
      <c r="AM160" s="38">
        <f ca="1">IF(NOTA[[#This Row],[TGL.NOTA]]="",IF(NOTA[[#This Row],[SUPPLIER_H]]="","",AM159),MONTH(NOTA[[#This Row],[TGL.NOTA]]))</f>
        <v>1</v>
      </c>
      <c r="AN160" s="38" t="str">
        <f>LOWER(SUBSTITUTE(SUBSTITUTE(SUBSTITUTE(SUBSTITUTE(SUBSTITUTE(SUBSTITUTE(SUBSTITUTE(SUBSTITUTE(SUBSTITUTE(NOTA[NAMA BARANG]," ",),".",""),"-",""),"(",""),")",""),",",""),"/",""),"""",""),"+",""))</f>
        <v>gelzhixinrefillg5037</v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gelzhixinrefillg50372190000</v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gelzhixinrefillg50372190000</v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0" s="38" t="str">
        <f>IF(NOTA[[#This Row],[CONCAT4]]="","",_xlfn.IFNA(MATCH(NOTA[[#This Row],[CONCAT4]],[2]!RAW[CONCAT_H],0),FALSE))</f>
        <v/>
      </c>
      <c r="AS160" s="38">
        <f>IF(NOTA[[#This Row],[CONCAT1]]="","",MATCH(NOTA[[#This Row],[CONCAT1]],[3]!db[NB NOTA_C],0))</f>
        <v>1241</v>
      </c>
      <c r="AT160" s="38" t="b">
        <f>IF(NOTA[[#This Row],[QTY/ CTN]]="","",TRUE)</f>
        <v>1</v>
      </c>
      <c r="AU160" s="38" t="str">
        <f ca="1">IF(NOTA[[#This Row],[ID_H]]="","",IF(NOTA[[#This Row],[Column3]]=TRUE,NOTA[[#This Row],[QTY/ CTN]],INDEX([3]!db[QTY/ CTN],NOTA[[#This Row],[//DB]])))</f>
        <v>120 LSN</v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gelzhixinrefillg5037120lsnuntana</v>
      </c>
      <c r="AW160" s="38" t="e">
        <f ca="1">IF(NOTA[[#This Row],[ID_H]]="","",MATCH(NOTA[[#This Row],[NB NOTA_C_QTY]],[4]!db[NB NOTA_C_QTY+F],0))</f>
        <v>#REF!</v>
      </c>
      <c r="AX160" s="53">
        <f ca="1">IF(NOTA[[#This Row],[NB NOTA_C_QTY]]="","",ROW()-2)</f>
        <v>158</v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18</v>
      </c>
      <c r="E161" s="46"/>
      <c r="F161" s="37"/>
      <c r="G161" s="37"/>
      <c r="H161" s="47"/>
      <c r="I161" s="37"/>
      <c r="J161" s="39"/>
      <c r="K161" s="37"/>
      <c r="L161" s="37" t="s">
        <v>286</v>
      </c>
      <c r="M161" s="40">
        <v>1</v>
      </c>
      <c r="N161" s="38">
        <v>120</v>
      </c>
      <c r="O161" s="37" t="s">
        <v>111</v>
      </c>
      <c r="P161" s="41">
        <v>18250</v>
      </c>
      <c r="Q161" s="42"/>
      <c r="R161" s="48" t="s">
        <v>275</v>
      </c>
      <c r="S161" s="49"/>
      <c r="T161" s="44"/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2190000</v>
      </c>
      <c r="Y161" s="50">
        <f>IF(NOTA[[#This Row],[JUMLAH]]="","",NOTA[[#This Row],[JUMLAH]]*NOTA[[#This Row],[DISC 1]])</f>
        <v>0</v>
      </c>
      <c r="Z161" s="50">
        <f>IF(NOTA[[#This Row],[JUMLAH]]="","",(NOTA[[#This Row],[JUMLAH]]-NOTA[[#This Row],[DISC 1-]])*NOTA[[#This Row],[DISC 2]])</f>
        <v>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0</v>
      </c>
      <c r="AC161" s="50">
        <f>IF(NOTA[[#This Row],[JUMLAH]]="","",NOTA[[#This Row],[JUMLAH]]-NOTA[[#This Row],[DISC]])</f>
        <v>2190000</v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1" s="50">
        <f>IF(OR(NOTA[[#This Row],[QTY]]="",NOTA[[#This Row],[HARGA SATUAN]]="",),"",NOTA[[#This Row],[QTY]]*NOTA[[#This Row],[HARGA SATUAN]])</f>
        <v>2190000</v>
      </c>
      <c r="AI161" s="39">
        <f ca="1">IF(NOTA[ID_H]="","",INDEX(NOTA[TANGGAL],MATCH(,INDIRECT(ADDRESS(ROW(NOTA[TANGGAL]),COLUMN(NOTA[TANGGAL]))&amp;":"&amp;ADDRESS(ROW(),COLUMN(NOTA[TANGGAL]))),-1)))</f>
        <v>45296</v>
      </c>
      <c r="AJ161" s="41" t="str">
        <f ca="1">IF(NOTA[[#This Row],[NAMA BARANG]]="","",INDEX(NOTA[SUPPLIER],MATCH(,INDIRECT(ADDRESS(ROW(NOTA[ID]),COLUMN(NOTA[ID]))&amp;":"&amp;ADDRESS(ROW(),COLUMN(NOTA[ID]))),-1)))</f>
        <v>DB STATIONERY</v>
      </c>
      <c r="AK161" s="41" t="str">
        <f ca="1">IF(NOTA[[#This Row],[ID_H]]="","",IF(NOTA[[#This Row],[FAKTUR]]="",INDIRECT(ADDRESS(ROW()-1,COLUMN())),NOTA[[#This Row],[FAKTUR]]))</f>
        <v>UNTANA</v>
      </c>
      <c r="AL161" s="38" t="str">
        <f ca="1">IF(NOTA[[#This Row],[ID]]="","",COUNTIF(NOTA[ID_H],NOTA[[#This Row],[ID_H]]))</f>
        <v/>
      </c>
      <c r="AM161" s="38">
        <f ca="1">IF(NOTA[[#This Row],[TGL.NOTA]]="",IF(NOTA[[#This Row],[SUPPLIER_H]]="","",AM160),MONTH(NOTA[[#This Row],[TGL.NOTA]]))</f>
        <v>1</v>
      </c>
      <c r="AN161" s="38" t="str">
        <f>LOWER(SUBSTITUTE(SUBSTITUTE(SUBSTITUTE(SUBSTITUTE(SUBSTITUTE(SUBSTITUTE(SUBSTITUTE(SUBSTITUTE(SUBSTITUTE(NOTA[NAMA BARANG]," ",),".",""),"-",""),"(",""),")",""),",",""),"/",""),"""",""),"+",""))</f>
        <v>gelzhixinrefillg3150</v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gelzhixinrefillg31502190000</v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gelzhixinrefillg31502190000</v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Row],[CONCAT4]],[2]!RAW[CONCAT_H],0),FALSE))</f>
        <v/>
      </c>
      <c r="AS161" s="38">
        <f>IF(NOTA[[#This Row],[CONCAT1]]="","",MATCH(NOTA[[#This Row],[CONCAT1]],[3]!db[NB NOTA_C],0))</f>
        <v>1223</v>
      </c>
      <c r="AT161" s="38" t="b">
        <f>IF(NOTA[[#This Row],[QTY/ CTN]]="","",TRUE)</f>
        <v>1</v>
      </c>
      <c r="AU161" s="38" t="str">
        <f ca="1">IF(NOTA[[#This Row],[ID_H]]="","",IF(NOTA[[#This Row],[Column3]]=TRUE,NOTA[[#This Row],[QTY/ CTN]],INDEX([3]!db[QTY/ CTN],NOTA[[#This Row],[//DB]])))</f>
        <v>120 LSN</v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gelzhixinrefillg3150120lsnuntana</v>
      </c>
      <c r="AW161" s="38" t="e">
        <f ca="1">IF(NOTA[[#This Row],[ID_H]]="","",MATCH(NOTA[[#This Row],[NB NOTA_C_QTY]],[4]!db[NB NOTA_C_QTY+F],0))</f>
        <v>#REF!</v>
      </c>
      <c r="AX161" s="53">
        <f ca="1">IF(NOTA[[#This Row],[NB NOTA_C_QTY]]="","",ROW()-2)</f>
        <v>159</v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>
        <f ca="1">IF(NOTA[[#This Row],[NAMA BARANG]]="","",INDEX(NOTA[ID],MATCH(,INDIRECT(ADDRESS(ROW(NOTA[ID]),COLUMN(NOTA[ID]))&amp;":"&amp;ADDRESS(ROW(),COLUMN(NOTA[ID]))),-1)))</f>
        <v>18</v>
      </c>
      <c r="E162" s="46"/>
      <c r="F162" s="37"/>
      <c r="G162" s="37"/>
      <c r="H162" s="47"/>
      <c r="I162" s="37"/>
      <c r="J162" s="39"/>
      <c r="K162" s="37"/>
      <c r="L162" s="37" t="s">
        <v>287</v>
      </c>
      <c r="M162" s="40">
        <v>1</v>
      </c>
      <c r="N162" s="38">
        <v>120</v>
      </c>
      <c r="O162" s="37" t="s">
        <v>111</v>
      </c>
      <c r="P162" s="41">
        <v>18250</v>
      </c>
      <c r="Q162" s="42"/>
      <c r="R162" s="48" t="s">
        <v>275</v>
      </c>
      <c r="S162" s="49"/>
      <c r="T162" s="44"/>
      <c r="U162" s="44"/>
      <c r="V162" s="50"/>
      <c r="W162" s="45"/>
      <c r="X162" s="50">
        <f>IF(NOTA[[#This Row],[HARGA/ CTN]]="",NOTA[[#This Row],[JUMLAH_H]],NOTA[[#This Row],[HARGA/ CTN]]*IF(NOTA[[#This Row],[C]]="",0,NOTA[[#This Row],[C]]))</f>
        <v>2190000</v>
      </c>
      <c r="Y162" s="50">
        <f>IF(NOTA[[#This Row],[JUMLAH]]="","",NOTA[[#This Row],[JUMLAH]]*NOTA[[#This Row],[DISC 1]])</f>
        <v>0</v>
      </c>
      <c r="Z162" s="50">
        <f>IF(NOTA[[#This Row],[JUMLAH]]="","",(NOTA[[#This Row],[JUMLAH]]-NOTA[[#This Row],[DISC 1-]])*NOTA[[#This Row],[DISC 2]])</f>
        <v>0</v>
      </c>
      <c r="AA162" s="50">
        <f>IF(NOTA[[#This Row],[JUMLAH]]="","",(NOTA[[#This Row],[JUMLAH]]-NOTA[[#This Row],[DISC 1-]]-NOTA[[#This Row],[DISC 2-]])*NOTA[[#This Row],[DISC 3]])</f>
        <v>0</v>
      </c>
      <c r="AB162" s="50">
        <f>IF(NOTA[[#This Row],[JUMLAH]]="","",NOTA[[#This Row],[DISC 1-]]+NOTA[[#This Row],[DISC 2-]]+NOTA[[#This Row],[DISC 3-]])</f>
        <v>0</v>
      </c>
      <c r="AC162" s="50">
        <f>IF(NOTA[[#This Row],[JUMLAH]]="","",NOTA[[#This Row],[JUMLAH]]-NOTA[[#This Row],[DISC]])</f>
        <v>2190000</v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2" s="50">
        <f>IF(OR(NOTA[[#This Row],[QTY]]="",NOTA[[#This Row],[HARGA SATUAN]]="",),"",NOTA[[#This Row],[QTY]]*NOTA[[#This Row],[HARGA SATUAN]])</f>
        <v>2190000</v>
      </c>
      <c r="AI162" s="39">
        <f ca="1">IF(NOTA[ID_H]="","",INDEX(NOTA[TANGGAL],MATCH(,INDIRECT(ADDRESS(ROW(NOTA[TANGGAL]),COLUMN(NOTA[TANGGAL]))&amp;":"&amp;ADDRESS(ROW(),COLUMN(NOTA[TANGGAL]))),-1)))</f>
        <v>45296</v>
      </c>
      <c r="AJ162" s="41" t="str">
        <f ca="1">IF(NOTA[[#This Row],[NAMA BARANG]]="","",INDEX(NOTA[SUPPLIER],MATCH(,INDIRECT(ADDRESS(ROW(NOTA[ID]),COLUMN(NOTA[ID]))&amp;":"&amp;ADDRESS(ROW(),COLUMN(NOTA[ID]))),-1)))</f>
        <v>DB STATIONERY</v>
      </c>
      <c r="AK162" s="41" t="str">
        <f ca="1">IF(NOTA[[#This Row],[ID_H]]="","",IF(NOTA[[#This Row],[FAKTUR]]="",INDIRECT(ADDRESS(ROW()-1,COLUMN())),NOTA[[#This Row],[FAKTUR]]))</f>
        <v>UNTANA</v>
      </c>
      <c r="AL162" s="38" t="str">
        <f ca="1">IF(NOTA[[#This Row],[ID]]="","",COUNTIF(NOTA[ID_H],NOTA[[#This Row],[ID_H]]))</f>
        <v/>
      </c>
      <c r="AM162" s="38">
        <f ca="1">IF(NOTA[[#This Row],[TGL.NOTA]]="",IF(NOTA[[#This Row],[SUPPLIER_H]]="","",AM161),MONTH(NOTA[[#This Row],[TGL.NOTA]]))</f>
        <v>1</v>
      </c>
      <c r="AN162" s="38" t="str">
        <f>LOWER(SUBSTITUTE(SUBSTITUTE(SUBSTITUTE(SUBSTITUTE(SUBSTITUTE(SUBSTITUTE(SUBSTITUTE(SUBSTITUTE(SUBSTITUTE(NOTA[NAMA BARANG]," ",),".",""),"-",""),"(",""),")",""),",",""),"/",""),"""",""),"+",""))</f>
        <v>gelzhixinrefillg3151</v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gelzhixinrefillg31512190000</v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gelzhixinrefillg31512190000</v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>
        <f>IF(NOTA[[#This Row],[CONCAT1]]="","",MATCH(NOTA[[#This Row],[CONCAT1]],[3]!db[NB NOTA_C],0))</f>
        <v>1224</v>
      </c>
      <c r="AT162" s="38" t="b">
        <f>IF(NOTA[[#This Row],[QTY/ CTN]]="","",TRUE)</f>
        <v>1</v>
      </c>
      <c r="AU162" s="38" t="str">
        <f ca="1">IF(NOTA[[#This Row],[ID_H]]="","",IF(NOTA[[#This Row],[Column3]]=TRUE,NOTA[[#This Row],[QTY/ CTN]],INDEX([3]!db[QTY/ CTN],NOTA[[#This Row],[//DB]])))</f>
        <v>120 LSN</v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gelzhixinrefillg3151120lsnuntana</v>
      </c>
      <c r="AW162" s="38" t="e">
        <f ca="1">IF(NOTA[[#This Row],[ID_H]]="","",MATCH(NOTA[[#This Row],[NB NOTA_C_QTY]],[4]!db[NB NOTA_C_QTY+F],0))</f>
        <v>#REF!</v>
      </c>
      <c r="AX162" s="53">
        <f ca="1">IF(NOTA[[#This Row],[NB NOTA_C_QTY]]="","",ROW()-2)</f>
        <v>160</v>
      </c>
    </row>
    <row r="163" spans="1:50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>
        <f ca="1">IF(NOTA[[#This Row],[NAMA BARANG]]="","",INDEX(NOTA[ID],MATCH(,INDIRECT(ADDRESS(ROW(NOTA[ID]),COLUMN(NOTA[ID]))&amp;":"&amp;ADDRESS(ROW(),COLUMN(NOTA[ID]))),-1)))</f>
        <v>18</v>
      </c>
      <c r="E163" s="46"/>
      <c r="F163" s="37"/>
      <c r="G163" s="37"/>
      <c r="H163" s="47"/>
      <c r="I163" s="37"/>
      <c r="J163" s="39"/>
      <c r="K163" s="37"/>
      <c r="L163" s="37" t="s">
        <v>288</v>
      </c>
      <c r="M163" s="40">
        <v>1</v>
      </c>
      <c r="N163" s="38">
        <v>120</v>
      </c>
      <c r="O163" s="37" t="s">
        <v>111</v>
      </c>
      <c r="P163" s="41">
        <v>18250</v>
      </c>
      <c r="Q163" s="42"/>
      <c r="R163" s="48" t="s">
        <v>275</v>
      </c>
      <c r="S163" s="49"/>
      <c r="T163" s="44"/>
      <c r="U163" s="44"/>
      <c r="V163" s="50"/>
      <c r="W163" s="45"/>
      <c r="X163" s="50">
        <f>IF(NOTA[[#This Row],[HARGA/ CTN]]="",NOTA[[#This Row],[JUMLAH_H]],NOTA[[#This Row],[HARGA/ CTN]]*IF(NOTA[[#This Row],[C]]="",0,NOTA[[#This Row],[C]]))</f>
        <v>2190000</v>
      </c>
      <c r="Y163" s="50">
        <f>IF(NOTA[[#This Row],[JUMLAH]]="","",NOTA[[#This Row],[JUMLAH]]*NOTA[[#This Row],[DISC 1]])</f>
        <v>0</v>
      </c>
      <c r="Z163" s="50">
        <f>IF(NOTA[[#This Row],[JUMLAH]]="","",(NOTA[[#This Row],[JUMLAH]]-NOTA[[#This Row],[DISC 1-]])*NOTA[[#This Row],[DISC 2]])</f>
        <v>0</v>
      </c>
      <c r="AA163" s="50">
        <f>IF(NOTA[[#This Row],[JUMLAH]]="","",(NOTA[[#This Row],[JUMLAH]]-NOTA[[#This Row],[DISC 1-]]-NOTA[[#This Row],[DISC 2-]])*NOTA[[#This Row],[DISC 3]])</f>
        <v>0</v>
      </c>
      <c r="AB163" s="50">
        <f>IF(NOTA[[#This Row],[JUMLAH]]="","",NOTA[[#This Row],[DISC 1-]]+NOTA[[#This Row],[DISC 2-]]+NOTA[[#This Row],[DISC 3-]])</f>
        <v>0</v>
      </c>
      <c r="AC163" s="50">
        <f>IF(NOTA[[#This Row],[JUMLAH]]="","",NOTA[[#This Row],[JUMLAH]]-NOTA[[#This Row],[DISC]])</f>
        <v>2190000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3" s="50">
        <f>IF(OR(NOTA[[#This Row],[QTY]]="",NOTA[[#This Row],[HARGA SATUAN]]="",),"",NOTA[[#This Row],[QTY]]*NOTA[[#This Row],[HARGA SATUAN]])</f>
        <v>2190000</v>
      </c>
      <c r="AI163" s="39">
        <f ca="1">IF(NOTA[ID_H]="","",INDEX(NOTA[TANGGAL],MATCH(,INDIRECT(ADDRESS(ROW(NOTA[TANGGAL]),COLUMN(NOTA[TANGGAL]))&amp;":"&amp;ADDRESS(ROW(),COLUMN(NOTA[TANGGAL]))),-1)))</f>
        <v>45296</v>
      </c>
      <c r="AJ163" s="41" t="str">
        <f ca="1">IF(NOTA[[#This Row],[NAMA BARANG]]="","",INDEX(NOTA[SUPPLIER],MATCH(,INDIRECT(ADDRESS(ROW(NOTA[ID]),COLUMN(NOTA[ID]))&amp;":"&amp;ADDRESS(ROW(),COLUMN(NOTA[ID]))),-1)))</f>
        <v>DB STATIONERY</v>
      </c>
      <c r="AK163" s="41" t="str">
        <f ca="1">IF(NOTA[[#This Row],[ID_H]]="","",IF(NOTA[[#This Row],[FAKTUR]]="",INDIRECT(ADDRESS(ROW()-1,COLUMN())),NOTA[[#This Row],[FAKTUR]]))</f>
        <v>UNTANA</v>
      </c>
      <c r="AL163" s="38" t="str">
        <f ca="1">IF(NOTA[[#This Row],[ID]]="","",COUNTIF(NOTA[ID_H],NOTA[[#This Row],[ID_H]]))</f>
        <v/>
      </c>
      <c r="AM163" s="38">
        <f ca="1">IF(NOTA[[#This Row],[TGL.NOTA]]="",IF(NOTA[[#This Row],[SUPPLIER_H]]="","",AM162),MONTH(NOTA[[#This Row],[TGL.NOTA]]))</f>
        <v>1</v>
      </c>
      <c r="AN163" s="38" t="str">
        <f>LOWER(SUBSTITUTE(SUBSTITUTE(SUBSTITUTE(SUBSTITUTE(SUBSTITUTE(SUBSTITUTE(SUBSTITUTE(SUBSTITUTE(SUBSTITUTE(NOTA[NAMA BARANG]," ",),".",""),"-",""),"(",""),")",""),",",""),"/",""),"""",""),"+",""))</f>
        <v>gelzhixinrefillg3154</v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gelzhixinrefillg31542190000</v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gelzhixinrefillg31542190000</v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3" s="38" t="str">
        <f>IF(NOTA[[#This Row],[CONCAT4]]="","",_xlfn.IFNA(MATCH(NOTA[[#This Row],[CONCAT4]],[2]!RAW[CONCAT_H],0),FALSE))</f>
        <v/>
      </c>
      <c r="AS163" s="38">
        <f>IF(NOTA[[#This Row],[CONCAT1]]="","",MATCH(NOTA[[#This Row],[CONCAT1]],[3]!db[NB NOTA_C],0))</f>
        <v>1227</v>
      </c>
      <c r="AT163" s="38" t="b">
        <f>IF(NOTA[[#This Row],[QTY/ CTN]]="","",TRUE)</f>
        <v>1</v>
      </c>
      <c r="AU163" s="38" t="str">
        <f ca="1">IF(NOTA[[#This Row],[ID_H]]="","",IF(NOTA[[#This Row],[Column3]]=TRUE,NOTA[[#This Row],[QTY/ CTN]],INDEX([3]!db[QTY/ CTN],NOTA[[#This Row],[//DB]])))</f>
        <v>120 LSN</v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gelzhixinrefillg3154120lsnuntana</v>
      </c>
      <c r="AW163" s="38" t="e">
        <f ca="1">IF(NOTA[[#This Row],[ID_H]]="","",MATCH(NOTA[[#This Row],[NB NOTA_C_QTY]],[4]!db[NB NOTA_C_QTY+F],0))</f>
        <v>#REF!</v>
      </c>
      <c r="AX163" s="53">
        <f ca="1">IF(NOTA[[#This Row],[NB NOTA_C_QTY]]="","",ROW()-2)</f>
        <v>161</v>
      </c>
    </row>
    <row r="164" spans="1:50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18</v>
      </c>
      <c r="E164" s="46"/>
      <c r="F164" s="37"/>
      <c r="G164" s="37"/>
      <c r="H164" s="47"/>
      <c r="I164" s="37"/>
      <c r="J164" s="39"/>
      <c r="K164" s="37"/>
      <c r="L164" s="37" t="s">
        <v>289</v>
      </c>
      <c r="M164" s="40">
        <v>1</v>
      </c>
      <c r="N164" s="38">
        <v>120</v>
      </c>
      <c r="O164" s="37" t="s">
        <v>111</v>
      </c>
      <c r="P164" s="41">
        <v>18250</v>
      </c>
      <c r="Q164" s="42"/>
      <c r="R164" s="48" t="s">
        <v>275</v>
      </c>
      <c r="S164" s="49"/>
      <c r="T164" s="44"/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2190000</v>
      </c>
      <c r="Y164" s="50">
        <f>IF(NOTA[[#This Row],[JUMLAH]]="","",NOTA[[#This Row],[JUMLAH]]*NOTA[[#This Row],[DISC 1]])</f>
        <v>0</v>
      </c>
      <c r="Z164" s="50">
        <f>IF(NOTA[[#This Row],[JUMLAH]]="","",(NOTA[[#This Row],[JUMLAH]]-NOTA[[#This Row],[DISC 1-]])*NOTA[[#This Row],[DISC 2]])</f>
        <v>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0</v>
      </c>
      <c r="AC164" s="50">
        <f>IF(NOTA[[#This Row],[JUMLAH]]="","",NOTA[[#This Row],[JUMLAH]]-NOTA[[#This Row],[DISC]])</f>
        <v>2190000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4" s="50">
        <f>IF(OR(NOTA[[#This Row],[QTY]]="",NOTA[[#This Row],[HARGA SATUAN]]="",),"",NOTA[[#This Row],[QTY]]*NOTA[[#This Row],[HARGA SATUAN]])</f>
        <v>2190000</v>
      </c>
      <c r="AI164" s="39">
        <f ca="1">IF(NOTA[ID_H]="","",INDEX(NOTA[TANGGAL],MATCH(,INDIRECT(ADDRESS(ROW(NOTA[TANGGAL]),COLUMN(NOTA[TANGGAL]))&amp;":"&amp;ADDRESS(ROW(),COLUMN(NOTA[TANGGAL]))),-1)))</f>
        <v>45296</v>
      </c>
      <c r="AJ164" s="41" t="str">
        <f ca="1">IF(NOTA[[#This Row],[NAMA BARANG]]="","",INDEX(NOTA[SUPPLIER],MATCH(,INDIRECT(ADDRESS(ROW(NOTA[ID]),COLUMN(NOTA[ID]))&amp;":"&amp;ADDRESS(ROW(),COLUMN(NOTA[ID]))),-1)))</f>
        <v>DB STATIONERY</v>
      </c>
      <c r="AK164" s="41" t="str">
        <f ca="1">IF(NOTA[[#This Row],[ID_H]]="","",IF(NOTA[[#This Row],[FAKTUR]]="",INDIRECT(ADDRESS(ROW()-1,COLUMN())),NOTA[[#This Row],[FAKTUR]]))</f>
        <v>UNTANA</v>
      </c>
      <c r="AL164" s="38" t="str">
        <f ca="1">IF(NOTA[[#This Row],[ID]]="","",COUNTIF(NOTA[ID_H],NOTA[[#This Row],[ID_H]]))</f>
        <v/>
      </c>
      <c r="AM164" s="38">
        <f ca="1">IF(NOTA[[#This Row],[TGL.NOTA]]="",IF(NOTA[[#This Row],[SUPPLIER_H]]="","",AM163),MONTH(NOTA[[#This Row],[TGL.NOTA]]))</f>
        <v>1</v>
      </c>
      <c r="AN164" s="38" t="str">
        <f>LOWER(SUBSTITUTE(SUBSTITUTE(SUBSTITUTE(SUBSTITUTE(SUBSTITUTE(SUBSTITUTE(SUBSTITUTE(SUBSTITUTE(SUBSTITUTE(NOTA[NAMA BARANG]," ",),".",""),"-",""),"(",""),")",""),",",""),"/",""),"""",""),"+",""))</f>
        <v>gelzhixinrefillg3155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gelzhixinrefillg31552190000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gelzhixinrefillg31552190000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38" t="str">
        <f>IF(NOTA[[#This Row],[CONCAT4]]="","",_xlfn.IFNA(MATCH(NOTA[[#This Row],[CONCAT4]],[2]!RAW[CONCAT_H],0),FALSE))</f>
        <v/>
      </c>
      <c r="AS164" s="38">
        <f>IF(NOTA[[#This Row],[CONCAT1]]="","",MATCH(NOTA[[#This Row],[CONCAT1]],[3]!db[NB NOTA_C],0))</f>
        <v>1228</v>
      </c>
      <c r="AT164" s="38" t="b">
        <f>IF(NOTA[[#This Row],[QTY/ CTN]]="","",TRUE)</f>
        <v>1</v>
      </c>
      <c r="AU164" s="38" t="str">
        <f ca="1">IF(NOTA[[#This Row],[ID_H]]="","",IF(NOTA[[#This Row],[Column3]]=TRUE,NOTA[[#This Row],[QTY/ CTN]],INDEX([3]!db[QTY/ CTN],NOTA[[#This Row],[//DB]])))</f>
        <v>120 LSN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18</v>
      </c>
      <c r="E165" s="46"/>
      <c r="F165" s="37"/>
      <c r="G165" s="37"/>
      <c r="H165" s="47"/>
      <c r="I165" s="37"/>
      <c r="J165" s="39"/>
      <c r="K165" s="37"/>
      <c r="L165" s="37" t="s">
        <v>290</v>
      </c>
      <c r="M165" s="40">
        <v>1</v>
      </c>
      <c r="N165" s="38">
        <v>120</v>
      </c>
      <c r="O165" s="37" t="s">
        <v>111</v>
      </c>
      <c r="P165" s="41">
        <v>18250</v>
      </c>
      <c r="Q165" s="42"/>
      <c r="R165" s="48" t="s">
        <v>275</v>
      </c>
      <c r="S165" s="49"/>
      <c r="T165" s="44"/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2190000</v>
      </c>
      <c r="Y165" s="50">
        <f>IF(NOTA[[#This Row],[JUMLAH]]="","",NOTA[[#This Row],[JUMLAH]]*NOTA[[#This Row],[DISC 1]])</f>
        <v>0</v>
      </c>
      <c r="Z165" s="50">
        <f>IF(NOTA[[#This Row],[JUMLAH]]="","",(NOTA[[#This Row],[JUMLAH]]-NOTA[[#This Row],[DISC 1-]])*NOTA[[#This Row],[DISC 2]])</f>
        <v>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0</v>
      </c>
      <c r="AC165" s="50">
        <f>IF(NOTA[[#This Row],[JUMLAH]]="","",NOTA[[#This Row],[JUMLAH]]-NOTA[[#This Row],[DISC]])</f>
        <v>2190000</v>
      </c>
      <c r="AD165" s="50"/>
      <c r="AE1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48180000</v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5" s="50">
        <f>IF(OR(NOTA[[#This Row],[QTY]]="",NOTA[[#This Row],[HARGA SATUAN]]="",),"",NOTA[[#This Row],[QTY]]*NOTA[[#This Row],[HARGA SATUAN]])</f>
        <v>2190000</v>
      </c>
      <c r="AI165" s="39">
        <f ca="1">IF(NOTA[ID_H]="","",INDEX(NOTA[TANGGAL],MATCH(,INDIRECT(ADDRESS(ROW(NOTA[TANGGAL]),COLUMN(NOTA[TANGGAL]))&amp;":"&amp;ADDRESS(ROW(),COLUMN(NOTA[TANGGAL]))),-1)))</f>
        <v>45296</v>
      </c>
      <c r="AJ165" s="41" t="str">
        <f ca="1">IF(NOTA[[#This Row],[NAMA BARANG]]="","",INDEX(NOTA[SUPPLIER],MATCH(,INDIRECT(ADDRESS(ROW(NOTA[ID]),COLUMN(NOTA[ID]))&amp;":"&amp;ADDRESS(ROW(),COLUMN(NOTA[ID]))),-1)))</f>
        <v>DB STATIONERY</v>
      </c>
      <c r="AK165" s="41" t="str">
        <f ca="1">IF(NOTA[[#This Row],[ID_H]]="","",IF(NOTA[[#This Row],[FAKTUR]]="",INDIRECT(ADDRESS(ROW()-1,COLUMN())),NOTA[[#This Row],[FAKTUR]]))</f>
        <v>UNTANA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1</v>
      </c>
      <c r="AN165" s="38" t="str">
        <f>LOWER(SUBSTITUTE(SUBSTITUTE(SUBSTITUTE(SUBSTITUTE(SUBSTITUTE(SUBSTITUTE(SUBSTITUTE(SUBSTITUTE(SUBSTITUTE(NOTA[NAMA BARANG]," ",),".",""),"-",""),"(",""),")",""),",",""),"/",""),"""",""),"+",""))</f>
        <v>gelzhixinrefillg3157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gelzhixinrefillg31572190000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gelzhixinrefillg31572190000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>
        <f>IF(NOTA[[#This Row],[CONCAT1]]="","",MATCH(NOTA[[#This Row],[CONCAT1]],[3]!db[NB NOTA_C],0))</f>
        <v>1230</v>
      </c>
      <c r="AT165" s="38" t="b">
        <f>IF(NOTA[[#This Row],[QTY/ CTN]]="","",TRUE)</f>
        <v>1</v>
      </c>
      <c r="AU165" s="38" t="str">
        <f ca="1">IF(NOTA[[#This Row],[ID_H]]="","",IF(NOTA[[#This Row],[Column3]]=TRUE,NOTA[[#This Row],[QTY/ CTN]],INDEX([3]!db[QTY/ CTN],NOTA[[#This Row],[//DB]])))</f>
        <v>120 LSN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gelzhixinrefillg3157120lsnuntana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 t="str">
        <f ca="1">IF(NOTA[[#This Row],[NAMA BARANG]]="","",INDEX(NOTA[ID],MATCH(,INDIRECT(ADDRESS(ROW(NOTA[ID]),COLUMN(NOTA[ID]))&amp;":"&amp;ADDRESS(ROW(),COLUMN(NOTA[ID]))),-1)))</f>
        <v/>
      </c>
      <c r="E166" s="46"/>
      <c r="F166" s="37"/>
      <c r="G166" s="37"/>
      <c r="H166" s="47"/>
      <c r="I166" s="37"/>
      <c r="J166" s="39"/>
      <c r="K166" s="37"/>
      <c r="L166" s="37"/>
      <c r="M166" s="40"/>
      <c r="O166" s="37"/>
      <c r="P166" s="41"/>
      <c r="Q166" s="42"/>
      <c r="R166" s="48"/>
      <c r="S166" s="49"/>
      <c r="T166" s="44"/>
      <c r="U166" s="44"/>
      <c r="V166" s="50"/>
      <c r="W166" s="45"/>
      <c r="X166" s="50" t="str">
        <f>IF(NOTA[[#This Row],[HARGA/ CTN]]="",NOTA[[#This Row],[JUMLAH_H]],NOTA[[#This Row],[HARGA/ CTN]]*IF(NOTA[[#This Row],[C]]="",0,NOTA[[#This Row],[C]]))</f>
        <v/>
      </c>
      <c r="Y166" s="50" t="str">
        <f>IF(NOTA[[#This Row],[JUMLAH]]="","",NOTA[[#This Row],[JUMLAH]]*NOTA[[#This Row],[DISC 1]])</f>
        <v/>
      </c>
      <c r="Z166" s="50" t="str">
        <f>IF(NOTA[[#This Row],[JUMLAH]]="","",(NOTA[[#This Row],[JUMLAH]]-NOTA[[#This Row],[DISC 1-]])*NOTA[[#This Row],[DISC 2]])</f>
        <v/>
      </c>
      <c r="AA166" s="50" t="str">
        <f>IF(NOTA[[#This Row],[JUMLAH]]="","",(NOTA[[#This Row],[JUMLAH]]-NOTA[[#This Row],[DISC 1-]]-NOTA[[#This Row],[DISC 2-]])*NOTA[[#This Row],[DISC 3]])</f>
        <v/>
      </c>
      <c r="AB166" s="50" t="str">
        <f>IF(NOTA[[#This Row],[JUMLAH]]="","",NOTA[[#This Row],[DISC 1-]]+NOTA[[#This Row],[DISC 2-]]+NOTA[[#This Row],[DISC 3-]])</f>
        <v/>
      </c>
      <c r="AC166" s="50" t="str">
        <f>IF(NOTA[[#This Row],[JUMLAH]]="","",NOTA[[#This Row],[JUMLAH]]-NOTA[[#This Row],[DISC]])</f>
        <v/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6" s="50" t="str">
        <f>IF(OR(NOTA[[#This Row],[QTY]]="",NOTA[[#This Row],[HARGA SATUAN]]="",),"",NOTA[[#This Row],[QTY]]*NOTA[[#This Row],[HARGA SATUAN]])</f>
        <v/>
      </c>
      <c r="AI166" s="39" t="str">
        <f ca="1">IF(NOTA[ID_H]="","",INDEX(NOTA[TANGGAL],MATCH(,INDIRECT(ADDRESS(ROW(NOTA[TANGGAL]),COLUMN(NOTA[TANGGAL]))&amp;":"&amp;ADDRESS(ROW(),COLUMN(NOTA[TANGGAL]))),-1)))</f>
        <v/>
      </c>
      <c r="AJ166" s="41" t="str">
        <f ca="1">IF(NOTA[[#This Row],[NAMA BARANG]]="","",INDEX(NOTA[SUPPLIER],MATCH(,INDIRECT(ADDRESS(ROW(NOTA[ID]),COLUMN(NOTA[ID]))&amp;":"&amp;ADDRESS(ROW(),COLUMN(NOTA[ID]))),-1)))</f>
        <v/>
      </c>
      <c r="AK166" s="41" t="str">
        <f ca="1">IF(NOTA[[#This Row],[ID_H]]="","",IF(NOTA[[#This Row],[FAKTUR]]="",INDIRECT(ADDRESS(ROW()-1,COLUMN())),NOTA[[#This Row],[FAKTUR]]))</f>
        <v/>
      </c>
      <c r="AL166" s="38" t="str">
        <f ca="1">IF(NOTA[[#This Row],[ID]]="","",COUNTIF(NOTA[ID_H],NOTA[[#This Row],[ID_H]]))</f>
        <v/>
      </c>
      <c r="AM166" s="38" t="str">
        <f ca="1">IF(NOTA[[#This Row],[TGL.NOTA]]="",IF(NOTA[[#This Row],[SUPPLIER_H]]="","",AM165),MONTH(NOTA[[#This Row],[TGL.NOTA]]))</f>
        <v/>
      </c>
      <c r="AN166" s="38" t="str">
        <f>LOWER(SUBSTITUTE(SUBSTITUTE(SUBSTITUTE(SUBSTITUTE(SUBSTITUTE(SUBSTITUTE(SUBSTITUTE(SUBSTITUTE(SUBSTITUTE(NOTA[NAMA BARANG]," ",),".",""),"-",""),"(",""),")",""),",",""),"/",""),"""",""),"+",""))</f>
        <v/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 t="str">
        <f>IF(NOTA[[#This Row],[CONCAT1]]="","",MATCH(NOTA[[#This Row],[CONCAT1]],[3]!db[NB NOTA_C],0))</f>
        <v/>
      </c>
      <c r="AT166" s="38" t="str">
        <f>IF(NOTA[[#This Row],[QTY/ CTN]]="","",TRUE)</f>
        <v/>
      </c>
      <c r="AU166" s="38" t="str">
        <f ca="1">IF(NOTA[[#This Row],[ID_H]]="","",IF(NOTA[[#This Row],[Column3]]=TRUE,NOTA[[#This Row],[QTY/ CTN]],INDEX([3]!db[QTY/ CTN],NOTA[[#This Row],[//DB]])))</f>
        <v/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6" s="38" t="str">
        <f ca="1">IF(NOTA[[#This Row],[ID_H]]="","",MATCH(NOTA[[#This Row],[NB NOTA_C_QTY]],[4]!db[NB NOTA_C_QTY+F],0))</f>
        <v/>
      </c>
      <c r="AX166" s="53" t="str">
        <f ca="1">IF(NOTA[[#This Row],[NB NOTA_C_QTY]]="","",ROW()-2)</f>
        <v/>
      </c>
    </row>
    <row r="167" spans="1:50" s="38" customFormat="1" ht="20.100000000000001" customHeight="1" x14ac:dyDescent="0.25">
      <c r="A167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1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MSI_0501_004-1</v>
      </c>
      <c r="C167" s="38" t="e">
        <f ca="1">IF(NOTA[[#This Row],[ID_P]]="","",MATCH(NOTA[[#This Row],[ID_P]],[1]!B_MSK[N_ID],0))</f>
        <v>#REF!</v>
      </c>
      <c r="D167" s="38">
        <f ca="1">IF(NOTA[[#This Row],[NAMA BARANG]]="","",INDEX(NOTA[ID],MATCH(,INDIRECT(ADDRESS(ROW(NOTA[ID]),COLUMN(NOTA[ID]))&amp;":"&amp;ADDRESS(ROW(),COLUMN(NOTA[ID]))),-1)))</f>
        <v>19</v>
      </c>
      <c r="E167" s="46">
        <v>45296</v>
      </c>
      <c r="F167" s="37" t="s">
        <v>291</v>
      </c>
      <c r="G167" s="37" t="s">
        <v>110</v>
      </c>
      <c r="H167" s="47" t="s">
        <v>292</v>
      </c>
      <c r="I167" s="37"/>
      <c r="J167" s="39">
        <v>45293</v>
      </c>
      <c r="K167" s="37"/>
      <c r="L167" s="37" t="s">
        <v>293</v>
      </c>
      <c r="M167" s="40">
        <v>30</v>
      </c>
      <c r="N167" s="38">
        <v>5760</v>
      </c>
      <c r="O167" s="37" t="s">
        <v>111</v>
      </c>
      <c r="P167" s="41">
        <v>10000</v>
      </c>
      <c r="Q167" s="42"/>
      <c r="R167" s="48" t="s">
        <v>294</v>
      </c>
      <c r="S167" s="49"/>
      <c r="T167" s="44"/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57600000</v>
      </c>
      <c r="Y167" s="50">
        <f>IF(NOTA[[#This Row],[JUMLAH]]="","",NOTA[[#This Row],[JUMLAH]]*NOTA[[#This Row],[DISC 1]])</f>
        <v>0</v>
      </c>
      <c r="Z167" s="50">
        <f>IF(NOTA[[#This Row],[JUMLAH]]="","",(NOTA[[#This Row],[JUMLAH]]-NOTA[[#This Row],[DISC 1-]])*NOTA[[#This Row],[DISC 2]])</f>
        <v>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0</v>
      </c>
      <c r="AC167" s="50">
        <f>IF(NOTA[[#This Row],[JUMLAH]]="","",NOTA[[#This Row],[JUMLAH]]-NOTA[[#This Row],[DISC]])</f>
        <v>57600000</v>
      </c>
      <c r="AD167" s="50"/>
      <c r="AE1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57600000</v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167" s="50">
        <f>IF(OR(NOTA[[#This Row],[QTY]]="",NOTA[[#This Row],[HARGA SATUAN]]="",),"",NOTA[[#This Row],[QTY]]*NOTA[[#This Row],[HARGA SATUAN]])</f>
        <v>57600000</v>
      </c>
      <c r="AI167" s="39">
        <f ca="1">IF(NOTA[ID_H]="","",INDEX(NOTA[TANGGAL],MATCH(,INDIRECT(ADDRESS(ROW(NOTA[TANGGAL]),COLUMN(NOTA[TANGGAL]))&amp;":"&amp;ADDRESS(ROW(),COLUMN(NOTA[TANGGAL]))),-1)))</f>
        <v>45296</v>
      </c>
      <c r="AJ167" s="41" t="str">
        <f ca="1">IF(NOTA[[#This Row],[NAMA BARANG]]="","",INDEX(NOTA[SUPPLIER],MATCH(,INDIRECT(ADDRESS(ROW(NOTA[ID]),COLUMN(NOTA[ID]))&amp;":"&amp;ADDRESS(ROW(),COLUMN(NOTA[ID]))),-1)))</f>
        <v>MSII</v>
      </c>
      <c r="AK167" s="41" t="str">
        <f ca="1">IF(NOTA[[#This Row],[ID_H]]="","",IF(NOTA[[#This Row],[FAKTUR]]="",INDIRECT(ADDRESS(ROW()-1,COLUMN())),NOTA[[#This Row],[FAKTUR]]))</f>
        <v>UNTANA</v>
      </c>
      <c r="AL167" s="38">
        <f ca="1">IF(NOTA[[#This Row],[ID]]="","",COUNTIF(NOTA[ID_H],NOTA[[#This Row],[ID_H]]))</f>
        <v>1</v>
      </c>
      <c r="AM167" s="38">
        <f>IF(NOTA[[#This Row],[TGL.NOTA]]="",IF(NOTA[[#This Row],[SUPPLIER_H]]="","",AM166),MONTH(NOTA[[#This Row],[TGL.NOTA]]))</f>
        <v>1</v>
      </c>
      <c r="AN167" s="38" t="str">
        <f>LOWER(SUBSTITUTE(SUBSTITUTE(SUBSTITUTE(SUBSTITUTE(SUBSTITUTE(SUBSTITUTE(SUBSTITUTE(SUBSTITUTE(SUBSTITUTE(NOTA[NAMA BARANG]," ",),".",""),"-",""),"(",""),")",""),",",""),"/",""),"""",""),"+",""))</f>
        <v>gelpenzuixuahy1020hitam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gelpenzuixuahy1020hitam1920000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gelpenzuixuahy1020hitam1920000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>MSIIUNTANA24/I/00445293gelpenzuixuahy1020hitam</v>
      </c>
      <c r="AR167" s="38" t="e">
        <f>IF(NOTA[[#This Row],[CONCAT4]]="","",_xlfn.IFNA(MATCH(NOTA[[#This Row],[CONCAT4]],[2]!RAW[CONCAT_H],0),FALSE))</f>
        <v>#REF!</v>
      </c>
      <c r="AS167" s="38" t="e">
        <f>IF(NOTA[[#This Row],[CONCAT1]]="","",MATCH(NOTA[[#This Row],[CONCAT1]],[3]!db[NB NOTA_C],0))</f>
        <v>#N/A</v>
      </c>
      <c r="AT167" s="38" t="b">
        <f>IF(NOTA[[#This Row],[QTY/ CTN]]="","",TRUE)</f>
        <v>1</v>
      </c>
      <c r="AU167" s="38" t="str">
        <f ca="1">IF(NOTA[[#This Row],[ID_H]]="","",IF(NOTA[[#This Row],[Column3]]=TRUE,NOTA[[#This Row],[QTY/ CTN]],INDEX([3]!db[QTY/ CTN],NOTA[[#This Row],[//DB]])))</f>
        <v>192LSN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gelpenzuixuahy1020hitam192lsnuntana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 t="str">
        <f ca="1">IF(NOTA[[#This Row],[NAMA BARANG]]="","",INDEX(NOTA[ID],MATCH(,INDIRECT(ADDRESS(ROW(NOTA[ID]),COLUMN(NOTA[ID]))&amp;":"&amp;ADDRESS(ROW(),COLUMN(NOTA[ID]))),-1)))</f>
        <v/>
      </c>
      <c r="E168" s="46"/>
      <c r="F168" s="37"/>
      <c r="G168" s="37"/>
      <c r="H168" s="47"/>
      <c r="I168" s="37"/>
      <c r="J168" s="39"/>
      <c r="K168" s="37"/>
      <c r="L168" s="37"/>
      <c r="M168" s="40"/>
      <c r="O168" s="37"/>
      <c r="P168" s="41"/>
      <c r="Q168" s="42"/>
      <c r="R168" s="48"/>
      <c r="S168" s="49"/>
      <c r="T168" s="44"/>
      <c r="U168" s="44"/>
      <c r="V168" s="50"/>
      <c r="W168" s="45"/>
      <c r="X168" s="50" t="str">
        <f>IF(NOTA[[#This Row],[HARGA/ CTN]]="",NOTA[[#This Row],[JUMLAH_H]],NOTA[[#This Row],[HARGA/ CTN]]*IF(NOTA[[#This Row],[C]]="",0,NOTA[[#This Row],[C]]))</f>
        <v/>
      </c>
      <c r="Y168" s="50" t="str">
        <f>IF(NOTA[[#This Row],[JUMLAH]]="","",NOTA[[#This Row],[JUMLAH]]*NOTA[[#This Row],[DISC 1]])</f>
        <v/>
      </c>
      <c r="Z168" s="50" t="str">
        <f>IF(NOTA[[#This Row],[JUMLAH]]="","",(NOTA[[#This Row],[JUMLAH]]-NOTA[[#This Row],[DISC 1-]])*NOTA[[#This Row],[DISC 2]])</f>
        <v/>
      </c>
      <c r="AA168" s="50" t="str">
        <f>IF(NOTA[[#This Row],[JUMLAH]]="","",(NOTA[[#This Row],[JUMLAH]]-NOTA[[#This Row],[DISC 1-]]-NOTA[[#This Row],[DISC 2-]])*NOTA[[#This Row],[DISC 3]])</f>
        <v/>
      </c>
      <c r="AB168" s="50" t="str">
        <f>IF(NOTA[[#This Row],[JUMLAH]]="","",NOTA[[#This Row],[DISC 1-]]+NOTA[[#This Row],[DISC 2-]]+NOTA[[#This Row],[DISC 3-]])</f>
        <v/>
      </c>
      <c r="AC168" s="50" t="str">
        <f>IF(NOTA[[#This Row],[JUMLAH]]="","",NOTA[[#This Row],[JUMLAH]]-NOTA[[#This Row],[DISC]])</f>
        <v/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8" s="50" t="str">
        <f>IF(OR(NOTA[[#This Row],[QTY]]="",NOTA[[#This Row],[HARGA SATUAN]]="",),"",NOTA[[#This Row],[QTY]]*NOTA[[#This Row],[HARGA SATUAN]])</f>
        <v/>
      </c>
      <c r="AI168" s="39" t="str">
        <f ca="1">IF(NOTA[ID_H]="","",INDEX(NOTA[TANGGAL],MATCH(,INDIRECT(ADDRESS(ROW(NOTA[TANGGAL]),COLUMN(NOTA[TANGGAL]))&amp;":"&amp;ADDRESS(ROW(),COLUMN(NOTA[TANGGAL]))),-1)))</f>
        <v/>
      </c>
      <c r="AJ168" s="41" t="str">
        <f ca="1">IF(NOTA[[#This Row],[NAMA BARANG]]="","",INDEX(NOTA[SUPPLIER],MATCH(,INDIRECT(ADDRESS(ROW(NOTA[ID]),COLUMN(NOTA[ID]))&amp;":"&amp;ADDRESS(ROW(),COLUMN(NOTA[ID]))),-1)))</f>
        <v/>
      </c>
      <c r="AK168" s="41" t="str">
        <f ca="1">IF(NOTA[[#This Row],[ID_H]]="","",IF(NOTA[[#This Row],[FAKTUR]]="",INDIRECT(ADDRESS(ROW()-1,COLUMN())),NOTA[[#This Row],[FAKTUR]]))</f>
        <v/>
      </c>
      <c r="AL168" s="38" t="str">
        <f ca="1">IF(NOTA[[#This Row],[ID]]="","",COUNTIF(NOTA[ID_H],NOTA[[#This Row],[ID_H]]))</f>
        <v/>
      </c>
      <c r="AM168" s="38" t="str">
        <f ca="1">IF(NOTA[[#This Row],[TGL.NOTA]]="",IF(NOTA[[#This Row],[SUPPLIER_H]]="","",AM167),MONTH(NOTA[[#This Row],[TGL.NOTA]]))</f>
        <v/>
      </c>
      <c r="AN168" s="38" t="str">
        <f>LOWER(SUBSTITUTE(SUBSTITUTE(SUBSTITUTE(SUBSTITUTE(SUBSTITUTE(SUBSTITUTE(SUBSTITUTE(SUBSTITUTE(SUBSTITUTE(NOTA[NAMA BARANG]," ",),".",""),"-",""),"(",""),")",""),",",""),"/",""),"""",""),"+",""))</f>
        <v/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 t="str">
        <f>IF(NOTA[[#This Row],[CONCAT1]]="","",MATCH(NOTA[[#This Row],[CONCAT1]],[3]!db[NB NOTA_C],0))</f>
        <v/>
      </c>
      <c r="AT168" s="38" t="str">
        <f>IF(NOTA[[#This Row],[QTY/ CTN]]="","",TRUE)</f>
        <v/>
      </c>
      <c r="AU168" s="38" t="str">
        <f ca="1">IF(NOTA[[#This Row],[ID_H]]="","",IF(NOTA[[#This Row],[Column3]]=TRUE,NOTA[[#This Row],[QTY/ CTN]],INDEX([3]!db[QTY/ CTN],NOTA[[#This Row],[//DB]])))</f>
        <v/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8" s="38" t="str">
        <f ca="1">IF(NOTA[[#This Row],[ID_H]]="","",MATCH(NOTA[[#This Row],[NB NOTA_C_QTY]],[4]!db[NB NOTA_C_QTY+F],0))</f>
        <v/>
      </c>
      <c r="AX168" s="53" t="str">
        <f ca="1">IF(NOTA[[#This Row],[NB NOTA_C_QTY]]="","",ROW()-2)</f>
        <v/>
      </c>
    </row>
    <row r="169" spans="1:50" s="38" customFormat="1" ht="20.100000000000001" customHeight="1" x14ac:dyDescent="0.25">
      <c r="A169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16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BIN_0601_567-2</v>
      </c>
      <c r="C169" s="38" t="e">
        <f ca="1">IF(NOTA[[#This Row],[ID_P]]="","",MATCH(NOTA[[#This Row],[ID_P]],[1]!B_MSK[N_ID],0))</f>
        <v>#REF!</v>
      </c>
      <c r="D169" s="38">
        <f ca="1">IF(NOTA[[#This Row],[NAMA BARANG]]="","",INDEX(NOTA[ID],MATCH(,INDIRECT(ADDRESS(ROW(NOTA[ID]),COLUMN(NOTA[ID]))&amp;":"&amp;ADDRESS(ROW(),COLUMN(NOTA[ID]))),-1)))</f>
        <v>20</v>
      </c>
      <c r="E169" s="46">
        <v>45297</v>
      </c>
      <c r="F169" s="37" t="s">
        <v>295</v>
      </c>
      <c r="G169" s="37" t="s">
        <v>110</v>
      </c>
      <c r="H169" s="47" t="s">
        <v>296</v>
      </c>
      <c r="I169" s="37"/>
      <c r="J169" s="39">
        <v>45288</v>
      </c>
      <c r="K169" s="37"/>
      <c r="L169" s="37" t="s">
        <v>297</v>
      </c>
      <c r="M169" s="40">
        <v>3</v>
      </c>
      <c r="N169" s="38">
        <v>90</v>
      </c>
      <c r="O169" s="37" t="s">
        <v>111</v>
      </c>
      <c r="P169" s="41">
        <v>43000</v>
      </c>
      <c r="Q169" s="42"/>
      <c r="R169" s="48" t="s">
        <v>113</v>
      </c>
      <c r="S169" s="49"/>
      <c r="T169" s="44"/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3870000</v>
      </c>
      <c r="Y169" s="50">
        <f>IF(NOTA[[#This Row],[JUMLAH]]="","",NOTA[[#This Row],[JUMLAH]]*NOTA[[#This Row],[DISC 1]])</f>
        <v>0</v>
      </c>
      <c r="Z169" s="50">
        <f>IF(NOTA[[#This Row],[JUMLAH]]="","",(NOTA[[#This Row],[JUMLAH]]-NOTA[[#This Row],[DISC 1-]])*NOTA[[#This Row],[DISC 2]])</f>
        <v>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0</v>
      </c>
      <c r="AC169" s="50">
        <f>IF(NOTA[[#This Row],[JUMLAH]]="","",NOTA[[#This Row],[JUMLAH]]-NOTA[[#This Row],[DISC]])</f>
        <v>3870000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169" s="50">
        <f>IF(OR(NOTA[[#This Row],[QTY]]="",NOTA[[#This Row],[HARGA SATUAN]]="",),"",NOTA[[#This Row],[QTY]]*NOTA[[#This Row],[HARGA SATUAN]])</f>
        <v>3870000</v>
      </c>
      <c r="AI169" s="39">
        <f ca="1">IF(NOTA[ID_H]="","",INDEX(NOTA[TANGGAL],MATCH(,INDIRECT(ADDRESS(ROW(NOTA[TANGGAL]),COLUMN(NOTA[TANGGAL]))&amp;":"&amp;ADDRESS(ROW(),COLUMN(NOTA[TANGGAL]))),-1)))</f>
        <v>45297</v>
      </c>
      <c r="AJ169" s="41" t="str">
        <f ca="1">IF(NOTA[[#This Row],[NAMA BARANG]]="","",INDEX(NOTA[SUPPLIER],MATCH(,INDIRECT(ADDRESS(ROW(NOTA[ID]),COLUMN(NOTA[ID]))&amp;":"&amp;ADDRESS(ROW(),COLUMN(NOTA[ID]))),-1)))</f>
        <v>BINTANG SAUDARA</v>
      </c>
      <c r="AK169" s="41" t="str">
        <f ca="1">IF(NOTA[[#This Row],[ID_H]]="","",IF(NOTA[[#This Row],[FAKTUR]]="",INDIRECT(ADDRESS(ROW()-1,COLUMN())),NOTA[[#This Row],[FAKTUR]]))</f>
        <v>UNTANA</v>
      </c>
      <c r="AL169" s="38">
        <f ca="1">IF(NOTA[[#This Row],[ID]]="","",COUNTIF(NOTA[ID_H],NOTA[[#This Row],[ID_H]]))</f>
        <v>2</v>
      </c>
      <c r="AM169" s="38">
        <f>IF(NOTA[[#This Row],[TGL.NOTA]]="",IF(NOTA[[#This Row],[SUPPLIER_H]]="","",AM168),MONTH(NOTA[[#This Row],[TGL.NOTA]]))</f>
        <v>12</v>
      </c>
      <c r="AN169" s="38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SAUDARAUNTANASO202312008356745288minipocketmb120warnakulit</v>
      </c>
      <c r="AR169" s="38" t="e">
        <f>IF(NOTA[[#This Row],[CONCAT4]]="","",_xlfn.IFNA(MATCH(NOTA[[#This Row],[CONCAT4]],[2]!RAW[CONCAT_H],0),FALSE))</f>
        <v>#REF!</v>
      </c>
      <c r="AS169" s="38">
        <f>IF(NOTA[[#This Row],[CONCAT1]]="","",MATCH(NOTA[[#This Row],[CONCAT1]],[3]!db[NB NOTA_C],0))</f>
        <v>2137</v>
      </c>
      <c r="AT169" s="38" t="b">
        <f>IF(NOTA[[#This Row],[QTY/ CTN]]="","",TRUE)</f>
        <v>1</v>
      </c>
      <c r="AU169" s="38" t="str">
        <f ca="1">IF(NOTA[[#This Row],[ID_H]]="","",IF(NOTA[[#This Row],[Column3]]=TRUE,NOTA[[#This Row],[QTY/ CTN]],INDEX([3]!db[QTY/ CTN],NOTA[[#This Row],[//DB]])))</f>
        <v>30 LSN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minipocketmb120warnakulit30lsnuntana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20</v>
      </c>
      <c r="E170" s="46"/>
      <c r="F170" s="37"/>
      <c r="G170" s="37"/>
      <c r="H170" s="47"/>
      <c r="I170" s="37"/>
      <c r="J170" s="39"/>
      <c r="K170" s="37"/>
      <c r="L170" s="37" t="s">
        <v>298</v>
      </c>
      <c r="M170" s="40">
        <v>5</v>
      </c>
      <c r="N170" s="38">
        <v>300</v>
      </c>
      <c r="O170" s="37" t="s">
        <v>111</v>
      </c>
      <c r="P170" s="41">
        <v>29500</v>
      </c>
      <c r="Q170" s="42"/>
      <c r="R170" s="48" t="s">
        <v>153</v>
      </c>
      <c r="S170" s="49"/>
      <c r="T170" s="44"/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8850000</v>
      </c>
      <c r="Y170" s="50">
        <f>IF(NOTA[[#This Row],[JUMLAH]]="","",NOTA[[#This Row],[JUMLAH]]*NOTA[[#This Row],[DISC 1]])</f>
        <v>0</v>
      </c>
      <c r="Z170" s="50">
        <f>IF(NOTA[[#This Row],[JUMLAH]]="","",(NOTA[[#This Row],[JUMLAH]]-NOTA[[#This Row],[DISC 1-]])*NOTA[[#This Row],[DISC 2]])</f>
        <v>0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0</v>
      </c>
      <c r="AC170" s="50">
        <f>IF(NOTA[[#This Row],[JUMLAH]]="","",NOTA[[#This Row],[JUMLAH]]-NOTA[[#This Row],[DISC]])</f>
        <v>8850000</v>
      </c>
      <c r="AD170" s="50"/>
      <c r="AE1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12720000</v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170" s="50">
        <f>IF(OR(NOTA[[#This Row],[QTY]]="",NOTA[[#This Row],[HARGA SATUAN]]="",),"",NOTA[[#This Row],[QTY]]*NOTA[[#This Row],[HARGA SATUAN]])</f>
        <v>8850000</v>
      </c>
      <c r="AI170" s="39">
        <f ca="1">IF(NOTA[ID_H]="","",INDEX(NOTA[TANGGAL],MATCH(,INDIRECT(ADDRESS(ROW(NOTA[TANGGAL]),COLUMN(NOTA[TANGGAL]))&amp;":"&amp;ADDRESS(ROW(),COLUMN(NOTA[TANGGAL]))),-1)))</f>
        <v>45297</v>
      </c>
      <c r="AJ170" s="41" t="str">
        <f ca="1">IF(NOTA[[#This Row],[NAMA BARANG]]="","",INDEX(NOTA[SUPPLIER],MATCH(,INDIRECT(ADDRESS(ROW(NOTA[ID]),COLUMN(NOTA[ID]))&amp;":"&amp;ADDRESS(ROW(),COLUMN(NOTA[ID]))),-1)))</f>
        <v>BINTANG SAUDARA</v>
      </c>
      <c r="AK170" s="41" t="str">
        <f ca="1">IF(NOTA[[#This Row],[ID_H]]="","",IF(NOTA[[#This Row],[FAKTUR]]="",INDIRECT(ADDRESS(ROW()-1,COLUMN())),NOTA[[#This Row],[FAKTUR]]))</f>
        <v>UNTANA</v>
      </c>
      <c r="AL170" s="38" t="str">
        <f ca="1">IF(NOTA[[#This Row],[ID]]="","",COUNTIF(NOTA[ID_H],NOTA[[#This Row],[ID_H]]))</f>
        <v/>
      </c>
      <c r="AM170" s="38">
        <f ca="1">IF(NOTA[[#This Row],[TGL.NOTA]]="",IF(NOTA[[#This Row],[SUPPLIER_H]]="","",AM169),MONTH(NOTA[[#This Row],[TGL.NOTA]]))</f>
        <v>12</v>
      </c>
      <c r="AN170" s="38" t="str">
        <f>LOWER(SUBSTITUTE(SUBSTITUTE(SUBSTITUTE(SUBSTITUTE(SUBSTITUTE(SUBSTITUTE(SUBSTITUTE(SUBSTITUTE(SUBSTITUTE(NOTA[NAMA BARANG]," ",),".",""),"-",""),"(",""),")",""),",",""),"/",""),"""",""),"+",""))</f>
        <v>notes15680addtelp</v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>
        <f>IF(NOTA[[#This Row],[CONCAT1]]="","",MATCH(NOTA[[#This Row],[CONCAT1]],[3]!db[NB NOTA_C],0))</f>
        <v>2162</v>
      </c>
      <c r="AT170" s="38" t="b">
        <f>IF(NOTA[[#This Row],[QTY/ CTN]]="","",TRUE)</f>
        <v>1</v>
      </c>
      <c r="AU170" s="38" t="str">
        <f ca="1">IF(NOTA[[#This Row],[ID_H]]="","",IF(NOTA[[#This Row],[Column3]]=TRUE,NOTA[[#This Row],[QTY/ CTN]],INDEX([3]!db[QTY/ CTN],NOTA[[#This Row],[//DB]])))</f>
        <v>60 LSN</v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W170" s="38" t="e">
        <f ca="1">IF(NOTA[[#This Row],[ID_H]]="","",MATCH(NOTA[[#This Row],[NB NOTA_C_QTY]],[4]!db[NB NOTA_C_QTY+F],0))</f>
        <v>#REF!</v>
      </c>
      <c r="AX170" s="53">
        <f ca="1">IF(NOTA[[#This Row],[NB NOTA_C_QTY]]="","",ROW()-2)</f>
        <v>168</v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 t="str">
        <f ca="1">IF(NOTA[[#This Row],[NAMA BARANG]]="","",INDEX(NOTA[ID],MATCH(,INDIRECT(ADDRESS(ROW(NOTA[ID]),COLUMN(NOTA[ID]))&amp;":"&amp;ADDRESS(ROW(),COLUMN(NOTA[ID]))),-1)))</f>
        <v/>
      </c>
      <c r="E171" s="46"/>
      <c r="F171" s="37"/>
      <c r="G171" s="37"/>
      <c r="H171" s="47"/>
      <c r="I171" s="37"/>
      <c r="J171" s="39"/>
      <c r="K171" s="37"/>
      <c r="L171" s="37"/>
      <c r="M171" s="40"/>
      <c r="O171" s="37"/>
      <c r="P171" s="41"/>
      <c r="Q171" s="42"/>
      <c r="R171" s="48"/>
      <c r="S171" s="49"/>
      <c r="T171" s="44"/>
      <c r="U171" s="44"/>
      <c r="V171" s="50"/>
      <c r="W171" s="45"/>
      <c r="X171" s="50" t="str">
        <f>IF(NOTA[[#This Row],[HARGA/ CTN]]="",NOTA[[#This Row],[JUMLAH_H]],NOTA[[#This Row],[HARGA/ CTN]]*IF(NOTA[[#This Row],[C]]="",0,NOTA[[#This Row],[C]]))</f>
        <v/>
      </c>
      <c r="Y171" s="50" t="str">
        <f>IF(NOTA[[#This Row],[JUMLAH]]="","",NOTA[[#This Row],[JUMLAH]]*NOTA[[#This Row],[DISC 1]])</f>
        <v/>
      </c>
      <c r="Z171" s="50" t="str">
        <f>IF(NOTA[[#This Row],[JUMLAH]]="","",(NOTA[[#This Row],[JUMLAH]]-NOTA[[#This Row],[DISC 1-]])*NOTA[[#This Row],[DISC 2]])</f>
        <v/>
      </c>
      <c r="AA171" s="50" t="str">
        <f>IF(NOTA[[#This Row],[JUMLAH]]="","",(NOTA[[#This Row],[JUMLAH]]-NOTA[[#This Row],[DISC 1-]]-NOTA[[#This Row],[DISC 2-]])*NOTA[[#This Row],[DISC 3]])</f>
        <v/>
      </c>
      <c r="AB171" s="50" t="str">
        <f>IF(NOTA[[#This Row],[JUMLAH]]="","",NOTA[[#This Row],[DISC 1-]]+NOTA[[#This Row],[DISC 2-]]+NOTA[[#This Row],[DISC 3-]])</f>
        <v/>
      </c>
      <c r="AC171" s="50" t="str">
        <f>IF(NOTA[[#This Row],[JUMLAH]]="","",NOTA[[#This Row],[JUMLAH]]-NOTA[[#This Row],[DISC]])</f>
        <v/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1" s="50" t="str">
        <f>IF(OR(NOTA[[#This Row],[QTY]]="",NOTA[[#This Row],[HARGA SATUAN]]="",),"",NOTA[[#This Row],[QTY]]*NOTA[[#This Row],[HARGA SATUAN]])</f>
        <v/>
      </c>
      <c r="AI171" s="39" t="str">
        <f ca="1">IF(NOTA[ID_H]="","",INDEX(NOTA[TANGGAL],MATCH(,INDIRECT(ADDRESS(ROW(NOTA[TANGGAL]),COLUMN(NOTA[TANGGAL]))&amp;":"&amp;ADDRESS(ROW(),COLUMN(NOTA[TANGGAL]))),-1)))</f>
        <v/>
      </c>
      <c r="AJ171" s="41" t="str">
        <f ca="1">IF(NOTA[[#This Row],[NAMA BARANG]]="","",INDEX(NOTA[SUPPLIER],MATCH(,INDIRECT(ADDRESS(ROW(NOTA[ID]),COLUMN(NOTA[ID]))&amp;":"&amp;ADDRESS(ROW(),COLUMN(NOTA[ID]))),-1)))</f>
        <v/>
      </c>
      <c r="AK171" s="41" t="str">
        <f ca="1">IF(NOTA[[#This Row],[ID_H]]="","",IF(NOTA[[#This Row],[FAKTUR]]="",INDIRECT(ADDRESS(ROW()-1,COLUMN())),NOTA[[#This Row],[FAKTUR]]))</f>
        <v/>
      </c>
      <c r="AL171" s="38" t="str">
        <f ca="1">IF(NOTA[[#This Row],[ID]]="","",COUNTIF(NOTA[ID_H],NOTA[[#This Row],[ID_H]]))</f>
        <v/>
      </c>
      <c r="AM171" s="38" t="str">
        <f ca="1">IF(NOTA[[#This Row],[TGL.NOTA]]="",IF(NOTA[[#This Row],[SUPPLIER_H]]="","",AM170),MONTH(NOTA[[#This Row],[TGL.NOTA]]))</f>
        <v/>
      </c>
      <c r="AN171" s="38" t="str">
        <f>LOWER(SUBSTITUTE(SUBSTITUTE(SUBSTITUTE(SUBSTITUTE(SUBSTITUTE(SUBSTITUTE(SUBSTITUTE(SUBSTITUTE(SUBSTITUTE(NOTA[NAMA BARANG]," ",),".",""),"-",""),"(",""),")",""),",",""),"/",""),"""",""),"+",""))</f>
        <v/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 t="str">
        <f>IF(NOTA[[#This Row],[CONCAT1]]="","",MATCH(NOTA[[#This Row],[CONCAT1]],[3]!db[NB NOTA_C],0))</f>
        <v/>
      </c>
      <c r="AT171" s="38" t="str">
        <f>IF(NOTA[[#This Row],[QTY/ CTN]]="","",TRUE)</f>
        <v/>
      </c>
      <c r="AU171" s="38" t="str">
        <f ca="1">IF(NOTA[[#This Row],[ID_H]]="","",IF(NOTA[[#This Row],[Column3]]=TRUE,NOTA[[#This Row],[QTY/ CTN]],INDEX([3]!db[QTY/ CTN],NOTA[[#This Row],[//DB]])))</f>
        <v/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1" s="38" t="str">
        <f ca="1">IF(NOTA[[#This Row],[ID_H]]="","",MATCH(NOTA[[#This Row],[NB NOTA_C_QTY]],[4]!db[NB NOTA_C_QTY+F],0))</f>
        <v/>
      </c>
      <c r="AX171" s="53" t="str">
        <f ca="1">IF(NOTA[[#This Row],[NB NOTA_C_QTY]]="","",ROW()-2)</f>
        <v/>
      </c>
    </row>
    <row r="172" spans="1:50" s="38" customFormat="1" ht="20.100000000000001" customHeight="1" x14ac:dyDescent="0.25">
      <c r="A172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1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GRA_0601_045-4</v>
      </c>
      <c r="C172" s="38" t="e">
        <f ca="1">IF(NOTA[[#This Row],[ID_P]]="","",MATCH(NOTA[[#This Row],[ID_P]],[1]!B_MSK[N_ID],0))</f>
        <v>#REF!</v>
      </c>
      <c r="D172" s="38">
        <f ca="1">IF(NOTA[[#This Row],[NAMA BARANG]]="","",INDEX(NOTA[ID],MATCH(,INDIRECT(ADDRESS(ROW(NOTA[ID]),COLUMN(NOTA[ID]))&amp;":"&amp;ADDRESS(ROW(),COLUMN(NOTA[ID]))),-1)))</f>
        <v>21</v>
      </c>
      <c r="E172" s="46">
        <v>45297</v>
      </c>
      <c r="F172" s="37" t="s">
        <v>237</v>
      </c>
      <c r="G172" s="37" t="s">
        <v>110</v>
      </c>
      <c r="H172" s="47" t="s">
        <v>299</v>
      </c>
      <c r="I172" s="37"/>
      <c r="J172" s="39">
        <v>45295</v>
      </c>
      <c r="K172" s="37"/>
      <c r="L172" s="37" t="s">
        <v>300</v>
      </c>
      <c r="M172" s="40">
        <v>5</v>
      </c>
      <c r="N172" s="38">
        <v>250</v>
      </c>
      <c r="O172" s="37" t="s">
        <v>111</v>
      </c>
      <c r="P172" s="41">
        <v>15250</v>
      </c>
      <c r="Q172" s="42"/>
      <c r="R172" s="48"/>
      <c r="S172" s="49"/>
      <c r="T172" s="44"/>
      <c r="U172" s="44"/>
      <c r="V172" s="50"/>
      <c r="W172" s="45"/>
      <c r="X172" s="50">
        <f>IF(NOTA[[#This Row],[HARGA/ CTN]]="",NOTA[[#This Row],[JUMLAH_H]],NOTA[[#This Row],[HARGA/ CTN]]*IF(NOTA[[#This Row],[C]]="",0,NOTA[[#This Row],[C]]))</f>
        <v>3812500</v>
      </c>
      <c r="Y172" s="50">
        <f>IF(NOTA[[#This Row],[JUMLAH]]="","",NOTA[[#This Row],[JUMLAH]]*NOTA[[#This Row],[DISC 1]])</f>
        <v>0</v>
      </c>
      <c r="Z172" s="50">
        <f>IF(NOTA[[#This Row],[JUMLAH]]="","",(NOTA[[#This Row],[JUMLAH]]-NOTA[[#This Row],[DISC 1-]])*NOTA[[#This Row],[DISC 2]])</f>
        <v>0</v>
      </c>
      <c r="AA172" s="50">
        <f>IF(NOTA[[#This Row],[JUMLAH]]="","",(NOTA[[#This Row],[JUMLAH]]-NOTA[[#This Row],[DISC 1-]]-NOTA[[#This Row],[DISC 2-]])*NOTA[[#This Row],[DISC 3]])</f>
        <v>0</v>
      </c>
      <c r="AB172" s="50">
        <f>IF(NOTA[[#This Row],[JUMLAH]]="","",NOTA[[#This Row],[DISC 1-]]+NOTA[[#This Row],[DISC 2-]]+NOTA[[#This Row],[DISC 3-]])</f>
        <v>0</v>
      </c>
      <c r="AC172" s="50">
        <f>IF(NOTA[[#This Row],[JUMLAH]]="","",NOTA[[#This Row],[JUMLAH]]-NOTA[[#This Row],[DISC]])</f>
        <v>3812500</v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2" s="50">
        <f>IF(OR(NOTA[[#This Row],[QTY]]="",NOTA[[#This Row],[HARGA SATUAN]]="",),"",NOTA[[#This Row],[QTY]]*NOTA[[#This Row],[HARGA SATUAN]])</f>
        <v>3812500</v>
      </c>
      <c r="AI172" s="39">
        <f ca="1">IF(NOTA[ID_H]="","",INDEX(NOTA[TANGGAL],MATCH(,INDIRECT(ADDRESS(ROW(NOTA[TANGGAL]),COLUMN(NOTA[TANGGAL]))&amp;":"&amp;ADDRESS(ROW(),COLUMN(NOTA[TANGGAL]))),-1)))</f>
        <v>45297</v>
      </c>
      <c r="AJ172" s="41" t="str">
        <f ca="1">IF(NOTA[[#This Row],[NAMA BARANG]]="","",INDEX(NOTA[SUPPLIER],MATCH(,INDIRECT(ADDRESS(ROW(NOTA[ID]),COLUMN(NOTA[ID]))&amp;":"&amp;ADDRESS(ROW(),COLUMN(NOTA[ID]))),-1)))</f>
        <v>GRAFINDO</v>
      </c>
      <c r="AK172" s="41" t="str">
        <f ca="1">IF(NOTA[[#This Row],[ID_H]]="","",IF(NOTA[[#This Row],[FAKTUR]]="",INDIRECT(ADDRESS(ROW()-1,COLUMN())),NOTA[[#This Row],[FAKTUR]]))</f>
        <v>UNTANA</v>
      </c>
      <c r="AL172" s="38">
        <f ca="1">IF(NOTA[[#This Row],[ID]]="","",COUNTIF(NOTA[ID_H],NOTA[[#This Row],[ID_H]]))</f>
        <v>4</v>
      </c>
      <c r="AM172" s="38">
        <f>IF(NOTA[[#This Row],[TGL.NOTA]]="",IF(NOTA[[#This Row],[SUPPLIER_H]]="","",AM171),MONTH(NOTA[[#This Row],[TGL.NOTA]]))</f>
        <v>1</v>
      </c>
      <c r="AN172" s="38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mapkancingsikaac05putih762500</v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mapkancingsikaac05putih762500</v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GRAFINDOUNTANAGA-24-01-004545295mapkancingsikaac05putih</v>
      </c>
      <c r="AR172" s="38" t="e">
        <f>IF(NOTA[[#This Row],[CONCAT4]]="","",_xlfn.IFNA(MATCH(NOTA[[#This Row],[CONCAT4]],[2]!RAW[CONCAT_H],0),FALSE))</f>
        <v>#REF!</v>
      </c>
      <c r="AS172" s="38">
        <f>IF(NOTA[[#This Row],[CONCAT1]]="","",MATCH(NOTA[[#This Row],[CONCAT1]],[3]!db[NB NOTA_C],0))</f>
        <v>1999</v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>50 LSN</v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mapkancingsikaac05putih50lsnuntana</v>
      </c>
      <c r="AW172" s="38" t="e">
        <f ca="1">IF(NOTA[[#This Row],[ID_H]]="","",MATCH(NOTA[[#This Row],[NB NOTA_C_QTY]],[4]!db[NB NOTA_C_QTY+F],0))</f>
        <v>#REF!</v>
      </c>
      <c r="AX172" s="53">
        <f ca="1">IF(NOTA[[#This Row],[NB NOTA_C_QTY]]="","",ROW()-2)</f>
        <v>170</v>
      </c>
    </row>
    <row r="173" spans="1:50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>
        <f ca="1">IF(NOTA[[#This Row],[NAMA BARANG]]="","",INDEX(NOTA[ID],MATCH(,INDIRECT(ADDRESS(ROW(NOTA[ID]),COLUMN(NOTA[ID]))&amp;":"&amp;ADDRESS(ROW(),COLUMN(NOTA[ID]))),-1)))</f>
        <v>21</v>
      </c>
      <c r="E173" s="46"/>
      <c r="F173" s="37"/>
      <c r="G173" s="37"/>
      <c r="H173" s="47"/>
      <c r="I173" s="37"/>
      <c r="J173" s="39"/>
      <c r="K173" s="37"/>
      <c r="L173" s="37" t="s">
        <v>301</v>
      </c>
      <c r="M173" s="40">
        <v>5</v>
      </c>
      <c r="N173" s="38">
        <v>250</v>
      </c>
      <c r="O173" s="37" t="s">
        <v>111</v>
      </c>
      <c r="P173" s="41">
        <v>15250</v>
      </c>
      <c r="Q173" s="42"/>
      <c r="R173" s="48"/>
      <c r="S173" s="49"/>
      <c r="T173" s="44"/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3812500</v>
      </c>
      <c r="Y173" s="50">
        <f>IF(NOTA[[#This Row],[JUMLAH]]="","",NOTA[[#This Row],[JUMLAH]]*NOTA[[#This Row],[DISC 1]])</f>
        <v>0</v>
      </c>
      <c r="Z173" s="50">
        <f>IF(NOTA[[#This Row],[JUMLAH]]="","",(NOTA[[#This Row],[JUMLAH]]-NOTA[[#This Row],[DISC 1-]])*NOTA[[#This Row],[DISC 2]])</f>
        <v>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0</v>
      </c>
      <c r="AC173" s="50">
        <f>IF(NOTA[[#This Row],[JUMLAH]]="","",NOTA[[#This Row],[JUMLAH]]-NOTA[[#This Row],[DISC]])</f>
        <v>3812500</v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3" s="50">
        <f>IF(OR(NOTA[[#This Row],[QTY]]="",NOTA[[#This Row],[HARGA SATUAN]]="",),"",NOTA[[#This Row],[QTY]]*NOTA[[#This Row],[HARGA SATUAN]])</f>
        <v>3812500</v>
      </c>
      <c r="AI173" s="39">
        <f ca="1">IF(NOTA[ID_H]="","",INDEX(NOTA[TANGGAL],MATCH(,INDIRECT(ADDRESS(ROW(NOTA[TANGGAL]),COLUMN(NOTA[TANGGAL]))&amp;":"&amp;ADDRESS(ROW(),COLUMN(NOTA[TANGGAL]))),-1)))</f>
        <v>45297</v>
      </c>
      <c r="AJ173" s="41" t="str">
        <f ca="1">IF(NOTA[[#This Row],[NAMA BARANG]]="","",INDEX(NOTA[SUPPLIER],MATCH(,INDIRECT(ADDRESS(ROW(NOTA[ID]),COLUMN(NOTA[ID]))&amp;":"&amp;ADDRESS(ROW(),COLUMN(NOTA[ID]))),-1)))</f>
        <v>GRAFINDO</v>
      </c>
      <c r="AK173" s="41" t="str">
        <f ca="1">IF(NOTA[[#This Row],[ID_H]]="","",IF(NOTA[[#This Row],[FAKTUR]]="",INDIRECT(ADDRESS(ROW()-1,COLUMN())),NOTA[[#This Row],[FAKTUR]]))</f>
        <v>UNTANA</v>
      </c>
      <c r="AL173" s="38" t="str">
        <f ca="1">IF(NOTA[[#This Row],[ID]]="","",COUNTIF(NOTA[ID_H],NOTA[[#This Row],[ID_H]]))</f>
        <v/>
      </c>
      <c r="AM173" s="38">
        <f ca="1">IF(NOTA[[#This Row],[TGL.NOTA]]="",IF(NOTA[[#This Row],[SUPPLIER_H]]="","",AM172),MONTH(NOTA[[#This Row],[TGL.NOTA]]))</f>
        <v>1</v>
      </c>
      <c r="AN173" s="38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mapkancingsikaac05kuning762500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mapkancingsikaac05kuning762500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3" s="38" t="str">
        <f>IF(NOTA[[#This Row],[CONCAT4]]="","",_xlfn.IFNA(MATCH(NOTA[[#This Row],[CONCAT4]],[2]!RAW[CONCAT_H],0),FALSE))</f>
        <v/>
      </c>
      <c r="AS173" s="38">
        <f>IF(NOTA[[#This Row],[CONCAT1]]="","",MATCH(NOTA[[#This Row],[CONCAT1]],[3]!db[NB NOTA_C],0))</f>
        <v>1996</v>
      </c>
      <c r="AT173" s="38" t="str">
        <f>IF(NOTA[[#This Row],[QTY/ CTN]]="","",TRUE)</f>
        <v/>
      </c>
      <c r="AU173" s="38" t="str">
        <f ca="1">IF(NOTA[[#This Row],[ID_H]]="","",IF(NOTA[[#This Row],[Column3]]=TRUE,NOTA[[#This Row],[QTY/ CTN]],INDEX([3]!db[QTY/ CTN],NOTA[[#This Row],[//DB]])))</f>
        <v>50 LSN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W173" s="38" t="e">
        <f ca="1">IF(NOTA[[#This Row],[ID_H]]="","",MATCH(NOTA[[#This Row],[NB NOTA_C_QTY]],[4]!db[NB NOTA_C_QTY+F],0))</f>
        <v>#REF!</v>
      </c>
      <c r="AX173" s="53">
        <f ca="1">IF(NOTA[[#This Row],[NB NOTA_C_QTY]]="","",ROW()-2)</f>
        <v>171</v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21</v>
      </c>
      <c r="E174" s="46"/>
      <c r="F174" s="37"/>
      <c r="G174" s="37"/>
      <c r="H174" s="47"/>
      <c r="I174" s="37"/>
      <c r="J174" s="39"/>
      <c r="K174" s="37"/>
      <c r="L174" s="37" t="s">
        <v>302</v>
      </c>
      <c r="M174" s="40">
        <v>5</v>
      </c>
      <c r="N174" s="38">
        <v>250</v>
      </c>
      <c r="O174" s="37" t="s">
        <v>111</v>
      </c>
      <c r="P174" s="41">
        <v>15250</v>
      </c>
      <c r="Q174" s="42"/>
      <c r="R174" s="48"/>
      <c r="S174" s="49"/>
      <c r="T174" s="44"/>
      <c r="U174" s="44"/>
      <c r="V174" s="50"/>
      <c r="W174" s="45"/>
      <c r="X174" s="50">
        <f>IF(NOTA[[#This Row],[HARGA/ CTN]]="",NOTA[[#This Row],[JUMLAH_H]],NOTA[[#This Row],[HARGA/ CTN]]*IF(NOTA[[#This Row],[C]]="",0,NOTA[[#This Row],[C]]))</f>
        <v>3812500</v>
      </c>
      <c r="Y174" s="50">
        <f>IF(NOTA[[#This Row],[JUMLAH]]="","",NOTA[[#This Row],[JUMLAH]]*NOTA[[#This Row],[DISC 1]])</f>
        <v>0</v>
      </c>
      <c r="Z174" s="50">
        <f>IF(NOTA[[#This Row],[JUMLAH]]="","",(NOTA[[#This Row],[JUMLAH]]-NOTA[[#This Row],[DISC 1-]])*NOTA[[#This Row],[DISC 2]])</f>
        <v>0</v>
      </c>
      <c r="AA174" s="50">
        <f>IF(NOTA[[#This Row],[JUMLAH]]="","",(NOTA[[#This Row],[JUMLAH]]-NOTA[[#This Row],[DISC 1-]]-NOTA[[#This Row],[DISC 2-]])*NOTA[[#This Row],[DISC 3]])</f>
        <v>0</v>
      </c>
      <c r="AB174" s="50">
        <f>IF(NOTA[[#This Row],[JUMLAH]]="","",NOTA[[#This Row],[DISC 1-]]+NOTA[[#This Row],[DISC 2-]]+NOTA[[#This Row],[DISC 3-]])</f>
        <v>0</v>
      </c>
      <c r="AC174" s="50">
        <f>IF(NOTA[[#This Row],[JUMLAH]]="","",NOTA[[#This Row],[JUMLAH]]-NOTA[[#This Row],[DISC]])</f>
        <v>3812500</v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4" s="50">
        <f>IF(OR(NOTA[[#This Row],[QTY]]="",NOTA[[#This Row],[HARGA SATUAN]]="",),"",NOTA[[#This Row],[QTY]]*NOTA[[#This Row],[HARGA SATUAN]])</f>
        <v>3812500</v>
      </c>
      <c r="AI174" s="39">
        <f ca="1">IF(NOTA[ID_H]="","",INDEX(NOTA[TANGGAL],MATCH(,INDIRECT(ADDRESS(ROW(NOTA[TANGGAL]),COLUMN(NOTA[TANGGAL]))&amp;":"&amp;ADDRESS(ROW(),COLUMN(NOTA[TANGGAL]))),-1)))</f>
        <v>45297</v>
      </c>
      <c r="AJ174" s="41" t="str">
        <f ca="1">IF(NOTA[[#This Row],[NAMA BARANG]]="","",INDEX(NOTA[SUPPLIER],MATCH(,INDIRECT(ADDRESS(ROW(NOTA[ID]),COLUMN(NOTA[ID]))&amp;":"&amp;ADDRESS(ROW(),COLUMN(NOTA[ID]))),-1)))</f>
        <v>GRAFINDO</v>
      </c>
      <c r="AK174" s="41" t="str">
        <f ca="1">IF(NOTA[[#This Row],[ID_H]]="","",IF(NOTA[[#This Row],[FAKTUR]]="",INDIRECT(ADDRESS(ROW()-1,COLUMN())),NOTA[[#This Row],[FAKTUR]]))</f>
        <v>UNTANA</v>
      </c>
      <c r="AL174" s="38" t="str">
        <f ca="1">IF(NOTA[[#This Row],[ID]]="","",COUNTIF(NOTA[ID_H],NOTA[[#This Row],[ID_H]]))</f>
        <v/>
      </c>
      <c r="AM174" s="38">
        <f ca="1">IF(NOTA[[#This Row],[TGL.NOTA]]="",IF(NOTA[[#This Row],[SUPPLIER_H]]="","",AM173),MONTH(NOTA[[#This Row],[TGL.NOTA]]))</f>
        <v>1</v>
      </c>
      <c r="AN174" s="38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mapkancingsikaac05biru762500</v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mapkancingsikaac05biru762500</v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>
        <f>IF(NOTA[[#This Row],[CONCAT1]]="","",MATCH(NOTA[[#This Row],[CONCAT1]],[3]!db[NB NOTA_C],0))</f>
        <v>1993</v>
      </c>
      <c r="AT174" s="38" t="str">
        <f>IF(NOTA[[#This Row],[QTY/ CTN]]="","",TRUE)</f>
        <v/>
      </c>
      <c r="AU174" s="38" t="str">
        <f ca="1">IF(NOTA[[#This Row],[ID_H]]="","",IF(NOTA[[#This Row],[Column3]]=TRUE,NOTA[[#This Row],[QTY/ CTN]],INDEX([3]!db[QTY/ CTN],NOTA[[#This Row],[//DB]])))</f>
        <v>50 LSN</v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mapkancingsikaac05biru50lsnuntana</v>
      </c>
      <c r="AW174" s="38" t="e">
        <f ca="1">IF(NOTA[[#This Row],[ID_H]]="","",MATCH(NOTA[[#This Row],[NB NOTA_C_QTY]],[4]!db[NB NOTA_C_QTY+F],0))</f>
        <v>#REF!</v>
      </c>
      <c r="AX174" s="53">
        <f ca="1">IF(NOTA[[#This Row],[NB NOTA_C_QTY]]="","",ROW()-2)</f>
        <v>172</v>
      </c>
    </row>
    <row r="175" spans="1:50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21</v>
      </c>
      <c r="E175" s="46"/>
      <c r="F175" s="37"/>
      <c r="G175" s="37"/>
      <c r="H175" s="47"/>
      <c r="I175" s="37"/>
      <c r="J175" s="39"/>
      <c r="K175" s="37"/>
      <c r="L175" s="37" t="s">
        <v>303</v>
      </c>
      <c r="M175" s="40">
        <v>1</v>
      </c>
      <c r="N175" s="38">
        <v>50</v>
      </c>
      <c r="O175" s="37" t="s">
        <v>111</v>
      </c>
      <c r="P175" s="41">
        <v>15250</v>
      </c>
      <c r="Q175" s="42"/>
      <c r="R175" s="48"/>
      <c r="S175" s="49"/>
      <c r="T175" s="44"/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762500</v>
      </c>
      <c r="Y175" s="50">
        <f>IF(NOTA[[#This Row],[JUMLAH]]="","",NOTA[[#This Row],[JUMLAH]]*NOTA[[#This Row],[DISC 1]])</f>
        <v>0</v>
      </c>
      <c r="Z175" s="50">
        <f>IF(NOTA[[#This Row],[JUMLAH]]="","",(NOTA[[#This Row],[JUMLAH]]-NOTA[[#This Row],[DISC 1-]])*NOTA[[#This Row],[DISC 2]])</f>
        <v>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0</v>
      </c>
      <c r="AC175" s="50">
        <f>IF(NOTA[[#This Row],[JUMLAH]]="","",NOTA[[#This Row],[JUMLAH]]-NOTA[[#This Row],[DISC]])</f>
        <v>762500</v>
      </c>
      <c r="AD175" s="50"/>
      <c r="AE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12200000</v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5" s="50">
        <f>IF(OR(NOTA[[#This Row],[QTY]]="",NOTA[[#This Row],[HARGA SATUAN]]="",),"",NOTA[[#This Row],[QTY]]*NOTA[[#This Row],[HARGA SATUAN]])</f>
        <v>762500</v>
      </c>
      <c r="AI175" s="39">
        <f ca="1">IF(NOTA[ID_H]="","",INDEX(NOTA[TANGGAL],MATCH(,INDIRECT(ADDRESS(ROW(NOTA[TANGGAL]),COLUMN(NOTA[TANGGAL]))&amp;":"&amp;ADDRESS(ROW(),COLUMN(NOTA[TANGGAL]))),-1)))</f>
        <v>45297</v>
      </c>
      <c r="AJ175" s="41" t="str">
        <f ca="1">IF(NOTA[[#This Row],[NAMA BARANG]]="","",INDEX(NOTA[SUPPLIER],MATCH(,INDIRECT(ADDRESS(ROW(NOTA[ID]),COLUMN(NOTA[ID]))&amp;":"&amp;ADDRESS(ROW(),COLUMN(NOTA[ID]))),-1)))</f>
        <v>GRAFINDO</v>
      </c>
      <c r="AK175" s="41" t="str">
        <f ca="1">IF(NOTA[[#This Row],[ID_H]]="","",IF(NOTA[[#This Row],[FAKTUR]]="",INDIRECT(ADDRESS(ROW()-1,COLUMN())),NOTA[[#This Row],[FAKTUR]]))</f>
        <v>UNTANA</v>
      </c>
      <c r="AL175" s="38" t="str">
        <f ca="1">IF(NOTA[[#This Row],[ID]]="","",COUNTIF(NOTA[ID_H],NOTA[[#This Row],[ID_H]]))</f>
        <v/>
      </c>
      <c r="AM175" s="38">
        <f ca="1">IF(NOTA[[#This Row],[TGL.NOTA]]="",IF(NOTA[[#This Row],[SUPPLIER_H]]="","",AM174),MONTH(NOTA[[#This Row],[TGL.NOTA]]))</f>
        <v>1</v>
      </c>
      <c r="AN175" s="38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maptalisikaac06biru762500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maptalisikaac06biru762500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5" s="38" t="str">
        <f>IF(NOTA[[#This Row],[CONCAT4]]="","",_xlfn.IFNA(MATCH(NOTA[[#This Row],[CONCAT4]],[2]!RAW[CONCAT_H],0),FALSE))</f>
        <v/>
      </c>
      <c r="AS175" s="38">
        <f>IF(NOTA[[#This Row],[CONCAT1]]="","",MATCH(NOTA[[#This Row],[CONCAT1]],[3]!db[NB NOTA_C],0))</f>
        <v>2023</v>
      </c>
      <c r="AT175" s="38" t="str">
        <f>IF(NOTA[[#This Row],[QTY/ CTN]]="","",TRUE)</f>
        <v/>
      </c>
      <c r="AU175" s="38" t="str">
        <f ca="1">IF(NOTA[[#This Row],[ID_H]]="","",IF(NOTA[[#This Row],[Column3]]=TRUE,NOTA[[#This Row],[QTY/ CTN]],INDEX([3]!db[QTY/ CTN],NOTA[[#This Row],[//DB]])))</f>
        <v>50 LSN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maptalisikaac06biru50lsnuntana</v>
      </c>
      <c r="AW175" s="38" t="e">
        <f ca="1">IF(NOTA[[#This Row],[ID_H]]="","",MATCH(NOTA[[#This Row],[NB NOTA_C_QTY]],[4]!db[NB NOTA_C_QTY+F],0))</f>
        <v>#REF!</v>
      </c>
      <c r="AX175" s="53">
        <f ca="1">IF(NOTA[[#This Row],[NB NOTA_C_QTY]]="","",ROW()-2)</f>
        <v>173</v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 t="str">
        <f ca="1">IF(NOTA[[#This Row],[NAMA BARANG]]="","",INDEX(NOTA[ID],MATCH(,INDIRECT(ADDRESS(ROW(NOTA[ID]),COLUMN(NOTA[ID]))&amp;":"&amp;ADDRESS(ROW(),COLUMN(NOTA[ID]))),-1)))</f>
        <v/>
      </c>
      <c r="E176" s="46"/>
      <c r="F176" s="37"/>
      <c r="G176" s="37"/>
      <c r="H176" s="47"/>
      <c r="I176" s="37"/>
      <c r="J176" s="39"/>
      <c r="K176" s="37"/>
      <c r="L176" s="37"/>
      <c r="M176" s="40"/>
      <c r="O176" s="37"/>
      <c r="P176" s="41"/>
      <c r="Q176" s="42"/>
      <c r="R176" s="48"/>
      <c r="S176" s="49"/>
      <c r="T176" s="44"/>
      <c r="U176" s="44"/>
      <c r="V176" s="50"/>
      <c r="W176" s="45"/>
      <c r="X176" s="50" t="str">
        <f>IF(NOTA[[#This Row],[HARGA/ CTN]]="",NOTA[[#This Row],[JUMLAH_H]],NOTA[[#This Row],[HARGA/ CTN]]*IF(NOTA[[#This Row],[C]]="",0,NOTA[[#This Row],[C]]))</f>
        <v/>
      </c>
      <c r="Y176" s="50" t="str">
        <f>IF(NOTA[[#This Row],[JUMLAH]]="","",NOTA[[#This Row],[JUMLAH]]*NOTA[[#This Row],[DISC 1]])</f>
        <v/>
      </c>
      <c r="Z176" s="50" t="str">
        <f>IF(NOTA[[#This Row],[JUMLAH]]="","",(NOTA[[#This Row],[JUMLAH]]-NOTA[[#This Row],[DISC 1-]])*NOTA[[#This Row],[DISC 2]])</f>
        <v/>
      </c>
      <c r="AA176" s="50" t="str">
        <f>IF(NOTA[[#This Row],[JUMLAH]]="","",(NOTA[[#This Row],[JUMLAH]]-NOTA[[#This Row],[DISC 1-]]-NOTA[[#This Row],[DISC 2-]])*NOTA[[#This Row],[DISC 3]])</f>
        <v/>
      </c>
      <c r="AB176" s="50" t="str">
        <f>IF(NOTA[[#This Row],[JUMLAH]]="","",NOTA[[#This Row],[DISC 1-]]+NOTA[[#This Row],[DISC 2-]]+NOTA[[#This Row],[DISC 3-]])</f>
        <v/>
      </c>
      <c r="AC176" s="50" t="str">
        <f>IF(NOTA[[#This Row],[JUMLAH]]="","",NOTA[[#This Row],[JUMLAH]]-NOTA[[#This Row],[DISC]])</f>
        <v/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6" s="50" t="str">
        <f>IF(OR(NOTA[[#This Row],[QTY]]="",NOTA[[#This Row],[HARGA SATUAN]]="",),"",NOTA[[#This Row],[QTY]]*NOTA[[#This Row],[HARGA SATUAN]])</f>
        <v/>
      </c>
      <c r="AI176" s="39" t="str">
        <f ca="1">IF(NOTA[ID_H]="","",INDEX(NOTA[TANGGAL],MATCH(,INDIRECT(ADDRESS(ROW(NOTA[TANGGAL]),COLUMN(NOTA[TANGGAL]))&amp;":"&amp;ADDRESS(ROW(),COLUMN(NOTA[TANGGAL]))),-1)))</f>
        <v/>
      </c>
      <c r="AJ176" s="41" t="str">
        <f ca="1">IF(NOTA[[#This Row],[NAMA BARANG]]="","",INDEX(NOTA[SUPPLIER],MATCH(,INDIRECT(ADDRESS(ROW(NOTA[ID]),COLUMN(NOTA[ID]))&amp;":"&amp;ADDRESS(ROW(),COLUMN(NOTA[ID]))),-1)))</f>
        <v/>
      </c>
      <c r="AK176" s="41" t="str">
        <f ca="1">IF(NOTA[[#This Row],[ID_H]]="","",IF(NOTA[[#This Row],[FAKTUR]]="",INDIRECT(ADDRESS(ROW()-1,COLUMN())),NOTA[[#This Row],[FAKTUR]]))</f>
        <v/>
      </c>
      <c r="AL176" s="38" t="str">
        <f ca="1">IF(NOTA[[#This Row],[ID]]="","",COUNTIF(NOTA[ID_H],NOTA[[#This Row],[ID_H]]))</f>
        <v/>
      </c>
      <c r="AM176" s="38" t="str">
        <f ca="1">IF(NOTA[[#This Row],[TGL.NOTA]]="",IF(NOTA[[#This Row],[SUPPLIER_H]]="","",AM175),MONTH(NOTA[[#This Row],[TGL.NOTA]]))</f>
        <v/>
      </c>
      <c r="AN176" s="38" t="str">
        <f>LOWER(SUBSTITUTE(SUBSTITUTE(SUBSTITUTE(SUBSTITUTE(SUBSTITUTE(SUBSTITUTE(SUBSTITUTE(SUBSTITUTE(SUBSTITUTE(NOTA[NAMA BARANG]," ",),".",""),"-",""),"(",""),")",""),",",""),"/",""),"""",""),"+",""))</f>
        <v/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 t="str">
        <f>IF(NOTA[[#This Row],[CONCAT1]]="","",MATCH(NOTA[[#This Row],[CONCAT1]],[3]!db[NB NOTA_C],0))</f>
        <v/>
      </c>
      <c r="AT176" s="38" t="str">
        <f>IF(NOTA[[#This Row],[QTY/ CTN]]="","",TRUE)</f>
        <v/>
      </c>
      <c r="AU176" s="38" t="str">
        <f ca="1">IF(NOTA[[#This Row],[ID_H]]="","",IF(NOTA[[#This Row],[Column3]]=TRUE,NOTA[[#This Row],[QTY/ CTN]],INDEX([3]!db[QTY/ CTN],NOTA[[#This Row],[//DB]])))</f>
        <v/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6" s="38" t="str">
        <f ca="1">IF(NOTA[[#This Row],[ID_H]]="","",MATCH(NOTA[[#This Row],[NB NOTA_C_QTY]],[4]!db[NB NOTA_C_QTY+F],0))</f>
        <v/>
      </c>
      <c r="AX176" s="53" t="str">
        <f ca="1">IF(NOTA[[#This Row],[NB NOTA_C_QTY]]="","",ROW()-2)</f>
        <v/>
      </c>
    </row>
    <row r="177" spans="1:50" s="38" customFormat="1" ht="20.100000000000001" customHeight="1" x14ac:dyDescent="0.25">
      <c r="A177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GLO_0201_ 36-1</v>
      </c>
      <c r="C177" s="38" t="e">
        <f ca="1">IF(NOTA[[#This Row],[ID_P]]="","",MATCH(NOTA[[#This Row],[ID_P]],[1]!B_MSK[N_ID],0))</f>
        <v>#REF!</v>
      </c>
      <c r="D177" s="38">
        <f ca="1">IF(NOTA[[#This Row],[NAMA BARANG]]="","",INDEX(NOTA[ID],MATCH(,INDIRECT(ADDRESS(ROW(NOTA[ID]),COLUMN(NOTA[ID]))&amp;":"&amp;ADDRESS(ROW(),COLUMN(NOTA[ID]))),-1)))</f>
        <v>22</v>
      </c>
      <c r="E177" s="46">
        <v>45293</v>
      </c>
      <c r="F177" s="37" t="s">
        <v>304</v>
      </c>
      <c r="G177" s="37" t="s">
        <v>110</v>
      </c>
      <c r="H177" s="47" t="s">
        <v>305</v>
      </c>
      <c r="I177" s="37"/>
      <c r="J177" s="39">
        <v>45293</v>
      </c>
      <c r="K177" s="37"/>
      <c r="L177" s="37" t="s">
        <v>306</v>
      </c>
      <c r="M177" s="40"/>
      <c r="N177" s="38">
        <v>7</v>
      </c>
      <c r="O177" s="37" t="s">
        <v>111</v>
      </c>
      <c r="P177" s="41">
        <v>161000</v>
      </c>
      <c r="Q177" s="42"/>
      <c r="R177" s="48"/>
      <c r="S177" s="49"/>
      <c r="T177" s="44"/>
      <c r="U177" s="44"/>
      <c r="V177" s="50">
        <v>56500</v>
      </c>
      <c r="W177" s="45"/>
      <c r="X177" s="50">
        <f>IF(NOTA[[#This Row],[HARGA/ CTN]]="",NOTA[[#This Row],[JUMLAH_H]],NOTA[[#This Row],[HARGA/ CTN]]*IF(NOTA[[#This Row],[C]]="",0,NOTA[[#This Row],[C]]))</f>
        <v>1127000</v>
      </c>
      <c r="Y177" s="50">
        <f>IF(NOTA[[#This Row],[JUMLAH]]="","",NOTA[[#This Row],[JUMLAH]]*NOTA[[#This Row],[DISC 1]])</f>
        <v>0</v>
      </c>
      <c r="Z177" s="50">
        <f>IF(NOTA[[#This Row],[JUMLAH]]="","",(NOTA[[#This Row],[JUMLAH]]-NOTA[[#This Row],[DISC 1-]])*NOTA[[#This Row],[DISC 2]])</f>
        <v>0</v>
      </c>
      <c r="AA177" s="50">
        <f>IF(NOTA[[#This Row],[JUMLAH]]="","",(NOTA[[#This Row],[JUMLAH]]-NOTA[[#This Row],[DISC 1-]]-NOTA[[#This Row],[DISC 2-]])*NOTA[[#This Row],[DISC 3]])</f>
        <v>0</v>
      </c>
      <c r="AB177" s="50">
        <f>IF(NOTA[[#This Row],[JUMLAH]]="","",NOTA[[#This Row],[DISC 1-]]+NOTA[[#This Row],[DISC 2-]]+NOTA[[#This Row],[DISC 3-]])</f>
        <v>0</v>
      </c>
      <c r="AC177" s="50">
        <f>IF(NOTA[[#This Row],[JUMLAH]]="","",NOTA[[#This Row],[JUMLAH]]-NOTA[[#This Row],[DISC]])</f>
        <v>1127000</v>
      </c>
      <c r="AD177" s="50"/>
      <c r="AE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F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G177" s="41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177" s="50">
        <f>IF(OR(NOTA[[#This Row],[QTY]]="",NOTA[[#This Row],[HARGA SATUAN]]="",),"",NOTA[[#This Row],[QTY]]*NOTA[[#This Row],[HARGA SATUAN]])</f>
        <v>1127000</v>
      </c>
      <c r="AI177" s="39">
        <f ca="1">IF(NOTA[ID_H]="","",INDEX(NOTA[TANGGAL],MATCH(,INDIRECT(ADDRESS(ROW(NOTA[TANGGAL]),COLUMN(NOTA[TANGGAL]))&amp;":"&amp;ADDRESS(ROW(),COLUMN(NOTA[TANGGAL]))),-1)))</f>
        <v>45293</v>
      </c>
      <c r="AJ177" s="41" t="str">
        <f ca="1">IF(NOTA[[#This Row],[NAMA BARANG]]="","",INDEX(NOTA[SUPPLIER],MATCH(,INDIRECT(ADDRESS(ROW(NOTA[ID]),COLUMN(NOTA[ID]))&amp;":"&amp;ADDRESS(ROW(),COLUMN(NOTA[ID]))),-1)))</f>
        <v>GLORY</v>
      </c>
      <c r="AK177" s="41" t="str">
        <f ca="1">IF(NOTA[[#This Row],[ID_H]]="","",IF(NOTA[[#This Row],[FAKTUR]]="",INDIRECT(ADDRESS(ROW()-1,COLUMN())),NOTA[[#This Row],[FAKTUR]]))</f>
        <v>UNTANA</v>
      </c>
      <c r="AL177" s="38">
        <f ca="1">IF(NOTA[[#This Row],[ID]]="","",COUNTIF(NOTA[ID_H],NOTA[[#This Row],[ID_H]]))</f>
        <v>1</v>
      </c>
      <c r="AM177" s="38">
        <f>IF(NOTA[[#This Row],[TGL.NOTA]]="",IF(NOTA[[#This Row],[SUPPLIER_H]]="","",AM176),MONTH(NOTA[[#This Row],[TGL.NOTA]]))</f>
        <v>1</v>
      </c>
      <c r="AN177" s="38" t="str">
        <f>LOWER(SUBSTITUTE(SUBSTITUTE(SUBSTITUTE(SUBSTITUTE(SUBSTITUTE(SUBSTITUTE(SUBSTITUTE(SUBSTITUTE(SUBSTITUTE(NOTA[NAMA BARANG]," ",),".",""),"-",""),"(",""),")",""),",",""),"/",""),"""",""),"+",""))</f>
        <v>btbatik</v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GLORYUNTANAK 3645293btbatik</v>
      </c>
      <c r="AR177" s="38" t="e">
        <f>IF(NOTA[[#This Row],[CONCAT4]]="","",_xlfn.IFNA(MATCH(NOTA[[#This Row],[CONCAT4]],[2]!RAW[CONCAT_H],0),FALSE))</f>
        <v>#REF!</v>
      </c>
      <c r="AS177" s="38">
        <f>IF(NOTA[[#This Row],[CONCAT1]]="","",MATCH(NOTA[[#This Row],[CONCAT1]],[3]!db[NB NOTA_C],0))</f>
        <v>503</v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>7 LSN</v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W177" s="38" t="e">
        <f ca="1">IF(NOTA[[#This Row],[ID_H]]="","",MATCH(NOTA[[#This Row],[NB NOTA_C_QTY]],[4]!db[NB NOTA_C_QTY+F],0))</f>
        <v>#REF!</v>
      </c>
      <c r="AX177" s="53">
        <f ca="1">IF(NOTA[[#This Row],[NB NOTA_C_QTY]]="","",ROW()-2)</f>
        <v>175</v>
      </c>
    </row>
    <row r="178" spans="1:50" s="38" customFormat="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F178" s="37"/>
      <c r="G178" s="37"/>
      <c r="H178" s="47"/>
      <c r="I178" s="37"/>
      <c r="J178" s="39"/>
      <c r="K178" s="37"/>
      <c r="L178" s="37"/>
      <c r="M178" s="40"/>
      <c r="O178" s="37"/>
      <c r="P178" s="41"/>
      <c r="Q178" s="42"/>
      <c r="R178" s="48"/>
      <c r="S178" s="49"/>
      <c r="T178" s="44"/>
      <c r="U178" s="44"/>
      <c r="V178" s="50"/>
      <c r="W178" s="45"/>
      <c r="X178" s="50" t="str">
        <f>IF(NOTA[[#This Row],[HARGA/ CTN]]="",NOTA[[#This Row],[JUMLAH_H]],NOTA[[#This Row],[HARGA/ CTN]]*IF(NOTA[[#This Row],[C]]="",0,NOTA[[#This Row],[C]]))</f>
        <v/>
      </c>
      <c r="Y178" s="50" t="str">
        <f>IF(NOTA[[#This Row],[JUMLAH]]="","",NOTA[[#This Row],[JUMLAH]]*NOTA[[#This Row],[DISC 1]])</f>
        <v/>
      </c>
      <c r="Z178" s="50" t="str">
        <f>IF(NOTA[[#This Row],[JUMLAH]]="","",(NOTA[[#This Row],[JUMLAH]]-NOTA[[#This Row],[DISC 1-]])*NOTA[[#This Row],[DISC 2]])</f>
        <v/>
      </c>
      <c r="AA178" s="50" t="str">
        <f>IF(NOTA[[#This Row],[JUMLAH]]="","",(NOTA[[#This Row],[JUMLAH]]-NOTA[[#This Row],[DISC 1-]]-NOTA[[#This Row],[DISC 2-]])*NOTA[[#This Row],[DISC 3]])</f>
        <v/>
      </c>
      <c r="AB178" s="50" t="str">
        <f>IF(NOTA[[#This Row],[JUMLAH]]="","",NOTA[[#This Row],[DISC 1-]]+NOTA[[#This Row],[DISC 2-]]+NOTA[[#This Row],[DISC 3-]])</f>
        <v/>
      </c>
      <c r="AC178" s="50" t="str">
        <f>IF(NOTA[[#This Row],[JUMLAH]]="","",NOTA[[#This Row],[JUMLAH]]-NOTA[[#This Row],[DISC]])</f>
        <v/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8" s="50" t="str">
        <f>IF(OR(NOTA[[#This Row],[QTY]]="",NOTA[[#This Row],[HARGA SATUAN]]="",),"",NOTA[[#This Row],[QTY]]*NOTA[[#This Row],[HARGA SATUAN]])</f>
        <v/>
      </c>
      <c r="AI178" s="39" t="str">
        <f ca="1">IF(NOTA[ID_H]="","",INDEX(NOTA[TANGGAL],MATCH(,INDIRECT(ADDRESS(ROW(NOTA[TANGGAL]),COLUMN(NOTA[TANGGAL]))&amp;":"&amp;ADDRESS(ROW(),COLUMN(NOTA[TANGGAL]))),-1)))</f>
        <v/>
      </c>
      <c r="AJ178" s="41" t="str">
        <f ca="1">IF(NOTA[[#This Row],[NAMA BARANG]]="","",INDEX(NOTA[SUPPLIER],MATCH(,INDIRECT(ADDRESS(ROW(NOTA[ID]),COLUMN(NOTA[ID]))&amp;":"&amp;ADDRESS(ROW(),COLUMN(NOTA[ID]))),-1)))</f>
        <v/>
      </c>
      <c r="AK178" s="41" t="str">
        <f ca="1">IF(NOTA[[#This Row],[ID_H]]="","",IF(NOTA[[#This Row],[FAKTUR]]="",INDIRECT(ADDRESS(ROW()-1,COLUMN())),NOTA[[#This Row],[FAKTUR]]))</f>
        <v/>
      </c>
      <c r="AL178" s="38" t="str">
        <f ca="1">IF(NOTA[[#This Row],[ID]]="","",COUNTIF(NOTA[ID_H],NOTA[[#This Row],[ID_H]]))</f>
        <v/>
      </c>
      <c r="AM178" s="38" t="str">
        <f ca="1">IF(NOTA[[#This Row],[TGL.NOTA]]="",IF(NOTA[[#This Row],[SUPPLIER_H]]="","",AM177),MONTH(NOTA[[#This Row],[TGL.NOTA]]))</f>
        <v/>
      </c>
      <c r="AN178" s="38" t="str">
        <f>LOWER(SUBSTITUTE(SUBSTITUTE(SUBSTITUTE(SUBSTITUTE(SUBSTITUTE(SUBSTITUTE(SUBSTITUTE(SUBSTITUTE(SUBSTITUTE(NOTA[NAMA BARANG]," ",),".",""),"-",""),"(",""),")",""),",",""),"/",""),"""",""),"+",""))</f>
        <v/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8" s="38" t="str">
        <f>IF(NOTA[[#This Row],[CONCAT4]]="","",_xlfn.IFNA(MATCH(NOTA[[#This Row],[CONCAT4]],[2]!RAW[CONCAT_H],0),FALSE))</f>
        <v/>
      </c>
      <c r="AS178" s="38" t="str">
        <f>IF(NOTA[[#This Row],[CONCAT1]]="","",MATCH(NOTA[[#This Row],[CONCAT1]],[3]!db[NB NOTA_C],0))</f>
        <v/>
      </c>
      <c r="AT178" s="38" t="str">
        <f>IF(NOTA[[#This Row],[QTY/ CTN]]="","",TRUE)</f>
        <v/>
      </c>
      <c r="AU178" s="38" t="str">
        <f ca="1">IF(NOTA[[#This Row],[ID_H]]="","",IF(NOTA[[#This Row],[Column3]]=TRUE,NOTA[[#This Row],[QTY/ CTN]],INDEX([3]!db[QTY/ CTN],NOTA[[#This Row],[//DB]])))</f>
        <v/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8" s="38" t="str">
        <f ca="1">IF(NOTA[[#This Row],[ID_H]]="","",MATCH(NOTA[[#This Row],[NB NOTA_C_QTY]],[4]!db[NB NOTA_C_QTY+F],0))</f>
        <v/>
      </c>
      <c r="AX178" s="53" t="str">
        <f ca="1">IF(NOTA[[#This Row],[NB NOTA_C_QTY]]="","",ROW()-2)</f>
        <v/>
      </c>
    </row>
    <row r="179" spans="1:50" s="38" customFormat="1" ht="20.100000000000001" customHeight="1" x14ac:dyDescent="0.25">
      <c r="A179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MSI_0801_047-2</v>
      </c>
      <c r="C179" s="38" t="e">
        <f ca="1">IF(NOTA[[#This Row],[ID_P]]="","",MATCH(NOTA[[#This Row],[ID_P]],[1]!B_MSK[N_ID],0))</f>
        <v>#REF!</v>
      </c>
      <c r="D179" s="38">
        <f ca="1">IF(NOTA[[#This Row],[NAMA BARANG]]="","",INDEX(NOTA[ID],MATCH(,INDIRECT(ADDRESS(ROW(NOTA[ID]),COLUMN(NOTA[ID]))&amp;":"&amp;ADDRESS(ROW(),COLUMN(NOTA[ID]))),-1)))</f>
        <v>23</v>
      </c>
      <c r="E179" s="46">
        <v>45299</v>
      </c>
      <c r="F179" s="37" t="s">
        <v>291</v>
      </c>
      <c r="G179" s="37" t="s">
        <v>110</v>
      </c>
      <c r="H179" s="47" t="s">
        <v>307</v>
      </c>
      <c r="I179" s="37"/>
      <c r="J179" s="39">
        <v>45294</v>
      </c>
      <c r="K179" s="37"/>
      <c r="L179" s="37" t="s">
        <v>308</v>
      </c>
      <c r="M179" s="40">
        <v>15</v>
      </c>
      <c r="N179" s="38">
        <v>2160</v>
      </c>
      <c r="O179" s="37" t="s">
        <v>115</v>
      </c>
      <c r="P179" s="41">
        <v>12000</v>
      </c>
      <c r="Q179" s="42"/>
      <c r="R179" s="48"/>
      <c r="S179" s="49"/>
      <c r="T179" s="44"/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25920000</v>
      </c>
      <c r="Y179" s="50">
        <f>IF(NOTA[[#This Row],[JUMLAH]]="","",NOTA[[#This Row],[JUMLAH]]*NOTA[[#This Row],[DISC 1]])</f>
        <v>0</v>
      </c>
      <c r="Z179" s="50">
        <f>IF(NOTA[[#This Row],[JUMLAH]]="","",(NOTA[[#This Row],[JUMLAH]]-NOTA[[#This Row],[DISC 1-]])*NOTA[[#This Row],[DISC 2]])</f>
        <v>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0</v>
      </c>
      <c r="AC179" s="50">
        <f>IF(NOTA[[#This Row],[JUMLAH]]="","",NOTA[[#This Row],[JUMLAH]]-NOTA[[#This Row],[DISC]])</f>
        <v>25920000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79" s="50">
        <f>IF(OR(NOTA[[#This Row],[QTY]]="",NOTA[[#This Row],[HARGA SATUAN]]="",),"",NOTA[[#This Row],[QTY]]*NOTA[[#This Row],[HARGA SATUAN]])</f>
        <v>25920000</v>
      </c>
      <c r="AI179" s="39">
        <f ca="1">IF(NOTA[ID_H]="","",INDEX(NOTA[TANGGAL],MATCH(,INDIRECT(ADDRESS(ROW(NOTA[TANGGAL]),COLUMN(NOTA[TANGGAL]))&amp;":"&amp;ADDRESS(ROW(),COLUMN(NOTA[TANGGAL]))),-1)))</f>
        <v>45299</v>
      </c>
      <c r="AJ179" s="41" t="str">
        <f ca="1">IF(NOTA[[#This Row],[NAMA BARANG]]="","",INDEX(NOTA[SUPPLIER],MATCH(,INDIRECT(ADDRESS(ROW(NOTA[ID]),COLUMN(NOTA[ID]))&amp;":"&amp;ADDRESS(ROW(),COLUMN(NOTA[ID]))),-1)))</f>
        <v>MSII</v>
      </c>
      <c r="AK179" s="41" t="str">
        <f ca="1">IF(NOTA[[#This Row],[ID_H]]="","",IF(NOTA[[#This Row],[FAKTUR]]="",INDIRECT(ADDRESS(ROW()-1,COLUMN())),NOTA[[#This Row],[FAKTUR]]))</f>
        <v>UNTANA</v>
      </c>
      <c r="AL179" s="38">
        <f ca="1">IF(NOTA[[#This Row],[ID]]="","",COUNTIF(NOTA[ID_H],NOTA[[#This Row],[ID_H]]))</f>
        <v>2</v>
      </c>
      <c r="AM179" s="38">
        <f>IF(NOTA[[#This Row],[TGL.NOTA]]="",IF(NOTA[[#This Row],[SUPPLIER_H]]="","",AM178),MONTH(NOTA[[#This Row],[TGL.NOTA]]))</f>
        <v>1</v>
      </c>
      <c r="AN179" s="38" t="str">
        <f>LOWER(SUBSTITUTE(SUBSTITUTE(SUBSTITUTE(SUBSTITUTE(SUBSTITUTE(SUBSTITUTE(SUBSTITUTE(SUBSTITUTE(SUBSTITUTE(NOTA[NAMA BARANG]," ",),".",""),"-",""),"(",""),")",""),",",""),"/",""),"""",""),"+",""))</f>
        <v>crayonputarfancypanjang</v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crayonputarfancypanjang1728000</v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crayonputarfancypanjang1728000</v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>MSIIUNTANA24/I/04745294crayonputarfancypanjang</v>
      </c>
      <c r="AR179" s="38" t="e">
        <f>IF(NOTA[[#This Row],[CONCAT4]]="","",_xlfn.IFNA(MATCH(NOTA[[#This Row],[CONCAT4]],[2]!RAW[CONCAT_H],0),FALSE))</f>
        <v>#REF!</v>
      </c>
      <c r="AS179" s="38">
        <f>IF(NOTA[[#This Row],[CONCAT1]]="","",MATCH(NOTA[[#This Row],[CONCAT1]],[3]!db[NB NOTA_C],0))</f>
        <v>761</v>
      </c>
      <c r="AT179" s="38" t="str">
        <f>IF(NOTA[[#This Row],[QTY/ CTN]]="","",TRUE)</f>
        <v/>
      </c>
      <c r="AU179" s="38" t="str">
        <f ca="1">IF(NOTA[[#This Row],[ID_H]]="","",IF(NOTA[[#This Row],[Column3]]=TRUE,NOTA[[#This Row],[QTY/ CTN]],INDEX([3]!db[QTY/ CTN],NOTA[[#This Row],[//DB]])))</f>
        <v>144 PCS</v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crayonputarfancypanjang144pcsuntana</v>
      </c>
      <c r="AW179" s="38" t="e">
        <f ca="1">IF(NOTA[[#This Row],[ID_H]]="","",MATCH(NOTA[[#This Row],[NB NOTA_C_QTY]],[4]!db[NB NOTA_C_QTY+F],0))</f>
        <v>#REF!</v>
      </c>
      <c r="AX179" s="53">
        <f ca="1">IF(NOTA[[#This Row],[NB NOTA_C_QTY]]="","",ROW()-2)</f>
        <v>177</v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23</v>
      </c>
      <c r="E180" s="46"/>
      <c r="F180" s="37"/>
      <c r="G180" s="37"/>
      <c r="H180" s="47"/>
      <c r="I180" s="37"/>
      <c r="J180" s="39"/>
      <c r="K180" s="37"/>
      <c r="L180" s="37" t="s">
        <v>309</v>
      </c>
      <c r="M180" s="40">
        <v>25</v>
      </c>
      <c r="N180" s="38">
        <v>4800</v>
      </c>
      <c r="O180" s="37" t="s">
        <v>115</v>
      </c>
      <c r="P180" s="41">
        <v>9750</v>
      </c>
      <c r="Q180" s="42"/>
      <c r="R180" s="48"/>
      <c r="S180" s="49"/>
      <c r="T180" s="44"/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46800000</v>
      </c>
      <c r="Y180" s="50">
        <f>IF(NOTA[[#This Row],[JUMLAH]]="","",NOTA[[#This Row],[JUMLAH]]*NOTA[[#This Row],[DISC 1]])</f>
        <v>0</v>
      </c>
      <c r="Z180" s="50">
        <f>IF(NOTA[[#This Row],[JUMLAH]]="","",(NOTA[[#This Row],[JUMLAH]]-NOTA[[#This Row],[DISC 1-]])*NOTA[[#This Row],[DISC 2]])</f>
        <v>0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0</v>
      </c>
      <c r="AC180" s="50">
        <f>IF(NOTA[[#This Row],[JUMLAH]]="","",NOTA[[#This Row],[JUMLAH]]-NOTA[[#This Row],[DISC]])</f>
        <v>46800000</v>
      </c>
      <c r="AD180" s="50"/>
      <c r="AE1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72720000</v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180" s="50">
        <f>IF(OR(NOTA[[#This Row],[QTY]]="",NOTA[[#This Row],[HARGA SATUAN]]="",),"",NOTA[[#This Row],[QTY]]*NOTA[[#This Row],[HARGA SATUAN]])</f>
        <v>46800000</v>
      </c>
      <c r="AI180" s="39">
        <f ca="1">IF(NOTA[ID_H]="","",INDEX(NOTA[TANGGAL],MATCH(,INDIRECT(ADDRESS(ROW(NOTA[TANGGAL]),COLUMN(NOTA[TANGGAL]))&amp;":"&amp;ADDRESS(ROW(),COLUMN(NOTA[TANGGAL]))),-1)))</f>
        <v>45299</v>
      </c>
      <c r="AJ180" s="41" t="str">
        <f ca="1">IF(NOTA[[#This Row],[NAMA BARANG]]="","",INDEX(NOTA[SUPPLIER],MATCH(,INDIRECT(ADDRESS(ROW(NOTA[ID]),COLUMN(NOTA[ID]))&amp;":"&amp;ADDRESS(ROW(),COLUMN(NOTA[ID]))),-1)))</f>
        <v>MSII</v>
      </c>
      <c r="AK180" s="41" t="str">
        <f ca="1">IF(NOTA[[#This Row],[ID_H]]="","",IF(NOTA[[#This Row],[FAKTUR]]="",INDIRECT(ADDRESS(ROW()-1,COLUMN())),NOTA[[#This Row],[FAKTUR]]))</f>
        <v>UNTANA</v>
      </c>
      <c r="AL180" s="38" t="str">
        <f ca="1">IF(NOTA[[#This Row],[ID]]="","",COUNTIF(NOTA[ID_H],NOTA[[#This Row],[ID_H]]))</f>
        <v/>
      </c>
      <c r="AM180" s="38">
        <f ca="1">IF(NOTA[[#This Row],[TGL.NOTA]]="",IF(NOTA[[#This Row],[SUPPLIER_H]]="","",AM179),MONTH(NOTA[[#This Row],[TGL.NOTA]]))</f>
        <v>1</v>
      </c>
      <c r="AN180" s="38" t="str">
        <f>LOWER(SUBSTITUTE(SUBSTITUTE(SUBSTITUTE(SUBSTITUTE(SUBSTITUTE(SUBSTITUTE(SUBSTITUTE(SUBSTITUTE(SUBSTITUTE(NOTA[NAMA BARANG]," ",),".",""),"-",""),"(",""),")",""),",",""),"/",""),"""",""),"+",""))</f>
        <v>crayonputarfancypendek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crayonputarfancypendek1872000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crayonputarfancypendek1872000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 t="e">
        <f>IF(NOTA[[#This Row],[CONCAT1]]="","",MATCH(NOTA[[#This Row],[CONCAT1]],[3]!db[NB NOTA_C],0))</f>
        <v>#N/A</v>
      </c>
      <c r="AT180" s="38" t="str">
        <f>IF(NOTA[[#This Row],[QTY/ CTN]]="","",TRUE)</f>
        <v/>
      </c>
      <c r="AU180" s="38" t="e">
        <f ca="1">IF(NOTA[[#This Row],[ID_H]]="","",IF(NOTA[[#This Row],[Column3]]=TRUE,NOTA[[#This Row],[QTY/ CTN]],INDEX([3]!db[QTY/ CTN],NOTA[[#This Row],[//DB]])))</f>
        <v>#N/A</v>
      </c>
      <c r="AV18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80" s="38" t="e">
        <f ca="1">IF(NOTA[[#This Row],[ID_H]]="","",MATCH(NOTA[[#This Row],[NB NOTA_C_QTY]],[4]!db[NB NOTA_C_QTY+F],0))</f>
        <v>#N/A</v>
      </c>
      <c r="AX180" s="53" t="e">
        <f ca="1">IF(NOTA[[#This Row],[NB NOTA_C_QTY]]="","",ROW()-2)</f>
        <v>#N/A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 t="str">
        <f ca="1">IF(NOTA[[#This Row],[NAMA BARANG]]="","",INDEX(NOTA[ID],MATCH(,INDIRECT(ADDRESS(ROW(NOTA[ID]),COLUMN(NOTA[ID]))&amp;":"&amp;ADDRESS(ROW(),COLUMN(NOTA[ID]))),-1)))</f>
        <v/>
      </c>
      <c r="E181" s="46"/>
      <c r="F181" s="37"/>
      <c r="G181" s="37"/>
      <c r="H181" s="47"/>
      <c r="I181" s="37"/>
      <c r="J181" s="39"/>
      <c r="K181" s="37"/>
      <c r="L181" s="37"/>
      <c r="M181" s="40"/>
      <c r="O181" s="37"/>
      <c r="P181" s="41"/>
      <c r="Q181" s="42"/>
      <c r="R181" s="48"/>
      <c r="S181" s="49"/>
      <c r="T181" s="44"/>
      <c r="U181" s="44"/>
      <c r="V181" s="50"/>
      <c r="W181" s="45"/>
      <c r="X181" s="50" t="str">
        <f>IF(NOTA[[#This Row],[HARGA/ CTN]]="",NOTA[[#This Row],[JUMLAH_H]],NOTA[[#This Row],[HARGA/ CTN]]*IF(NOTA[[#This Row],[C]]="",0,NOTA[[#This Row],[C]]))</f>
        <v/>
      </c>
      <c r="Y181" s="50" t="str">
        <f>IF(NOTA[[#This Row],[JUMLAH]]="","",NOTA[[#This Row],[JUMLAH]]*NOTA[[#This Row],[DISC 1]])</f>
        <v/>
      </c>
      <c r="Z181" s="50" t="str">
        <f>IF(NOTA[[#This Row],[JUMLAH]]="","",(NOTA[[#This Row],[JUMLAH]]-NOTA[[#This Row],[DISC 1-]])*NOTA[[#This Row],[DISC 2]])</f>
        <v/>
      </c>
      <c r="AA181" s="50" t="str">
        <f>IF(NOTA[[#This Row],[JUMLAH]]="","",(NOTA[[#This Row],[JUMLAH]]-NOTA[[#This Row],[DISC 1-]]-NOTA[[#This Row],[DISC 2-]])*NOTA[[#This Row],[DISC 3]])</f>
        <v/>
      </c>
      <c r="AB181" s="50" t="str">
        <f>IF(NOTA[[#This Row],[JUMLAH]]="","",NOTA[[#This Row],[DISC 1-]]+NOTA[[#This Row],[DISC 2-]]+NOTA[[#This Row],[DISC 3-]])</f>
        <v/>
      </c>
      <c r="AC181" s="50" t="str">
        <f>IF(NOTA[[#This Row],[JUMLAH]]="","",NOTA[[#This Row],[JUMLAH]]-NOTA[[#This Row],[DISC]])</f>
        <v/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1" s="50" t="str">
        <f>IF(OR(NOTA[[#This Row],[QTY]]="",NOTA[[#This Row],[HARGA SATUAN]]="",),"",NOTA[[#This Row],[QTY]]*NOTA[[#This Row],[HARGA SATUAN]])</f>
        <v/>
      </c>
      <c r="AI181" s="39" t="str">
        <f ca="1">IF(NOTA[ID_H]="","",INDEX(NOTA[TANGGAL],MATCH(,INDIRECT(ADDRESS(ROW(NOTA[TANGGAL]),COLUMN(NOTA[TANGGAL]))&amp;":"&amp;ADDRESS(ROW(),COLUMN(NOTA[TANGGAL]))),-1)))</f>
        <v/>
      </c>
      <c r="AJ181" s="41" t="str">
        <f ca="1">IF(NOTA[[#This Row],[NAMA BARANG]]="","",INDEX(NOTA[SUPPLIER],MATCH(,INDIRECT(ADDRESS(ROW(NOTA[ID]),COLUMN(NOTA[ID]))&amp;":"&amp;ADDRESS(ROW(),COLUMN(NOTA[ID]))),-1)))</f>
        <v/>
      </c>
      <c r="AK181" s="41" t="str">
        <f ca="1">IF(NOTA[[#This Row],[ID_H]]="","",IF(NOTA[[#This Row],[FAKTUR]]="",INDIRECT(ADDRESS(ROW()-1,COLUMN())),NOTA[[#This Row],[FAKTUR]]))</f>
        <v/>
      </c>
      <c r="AL181" s="38" t="str">
        <f ca="1">IF(NOTA[[#This Row],[ID]]="","",COUNTIF(NOTA[ID_H],NOTA[[#This Row],[ID_H]]))</f>
        <v/>
      </c>
      <c r="AM181" s="38" t="str">
        <f ca="1">IF(NOTA[[#This Row],[TGL.NOTA]]="",IF(NOTA[[#This Row],[SUPPLIER_H]]="","",AM180),MONTH(NOTA[[#This Row],[TGL.NOTA]]))</f>
        <v/>
      </c>
      <c r="AN181" s="38" t="str">
        <f>LOWER(SUBSTITUTE(SUBSTITUTE(SUBSTITUTE(SUBSTITUTE(SUBSTITUTE(SUBSTITUTE(SUBSTITUTE(SUBSTITUTE(SUBSTITUTE(NOTA[NAMA BARANG]," ",),".",""),"-",""),"(",""),")",""),",",""),"/",""),"""",""),"+",""))</f>
        <v/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 t="str">
        <f>IF(NOTA[[#This Row],[CONCAT1]]="","",MATCH(NOTA[[#This Row],[CONCAT1]],[3]!db[NB NOTA_C],0))</f>
        <v/>
      </c>
      <c r="AT181" s="38" t="str">
        <f>IF(NOTA[[#This Row],[QTY/ CTN]]="","",TRUE)</f>
        <v/>
      </c>
      <c r="AU181" s="38" t="str">
        <f ca="1">IF(NOTA[[#This Row],[ID_H]]="","",IF(NOTA[[#This Row],[Column3]]=TRUE,NOTA[[#This Row],[QTY/ CTN]],INDEX([3]!db[QTY/ CTN],NOTA[[#This Row],[//DB]])))</f>
        <v/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1" s="38" t="str">
        <f ca="1">IF(NOTA[[#This Row],[ID_H]]="","",MATCH(NOTA[[#This Row],[NB NOTA_C_QTY]],[4]!db[NB NOTA_C_QTY+F],0))</f>
        <v/>
      </c>
      <c r="AX181" s="53" t="str">
        <f ca="1">IF(NOTA[[#This Row],[NB NOTA_C_QTY]]="","",ROW()-2)</f>
        <v/>
      </c>
    </row>
    <row r="182" spans="1:50" s="38" customFormat="1" ht="20.100000000000001" customHeight="1" x14ac:dyDescent="0.25">
      <c r="A182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8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SAP_0801_SOS-1</v>
      </c>
      <c r="C182" s="38" t="e">
        <f ca="1">IF(NOTA[[#This Row],[ID_P]]="","",MATCH(NOTA[[#This Row],[ID_P]],[1]!B_MSK[N_ID],0))</f>
        <v>#REF!</v>
      </c>
      <c r="D182" s="38">
        <f ca="1">IF(NOTA[[#This Row],[NAMA BARANG]]="","",INDEX(NOTA[ID],MATCH(,INDIRECT(ADDRESS(ROW(NOTA[ID]),COLUMN(NOTA[ID]))&amp;":"&amp;ADDRESS(ROW(),COLUMN(NOTA[ID]))),-1)))</f>
        <v>24</v>
      </c>
      <c r="E182" s="46">
        <v>45299</v>
      </c>
      <c r="F182" s="37" t="s">
        <v>310</v>
      </c>
      <c r="G182" s="37" t="s">
        <v>110</v>
      </c>
      <c r="H182" s="47" t="s">
        <v>311</v>
      </c>
      <c r="I182" s="37"/>
      <c r="J182" s="39">
        <v>45296</v>
      </c>
      <c r="K182" s="37"/>
      <c r="L182" s="37" t="s">
        <v>312</v>
      </c>
      <c r="M182" s="40">
        <v>8</v>
      </c>
      <c r="N182" s="38">
        <v>840</v>
      </c>
      <c r="O182" s="37" t="s">
        <v>115</v>
      </c>
      <c r="P182" s="41">
        <v>41000</v>
      </c>
      <c r="Q182" s="42"/>
      <c r="R182" s="48" t="s">
        <v>313</v>
      </c>
      <c r="S182" s="49"/>
      <c r="T182" s="44"/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34440000</v>
      </c>
      <c r="Y182" s="50">
        <f>IF(NOTA[[#This Row],[JUMLAH]]="","",NOTA[[#This Row],[JUMLAH]]*NOTA[[#This Row],[DISC 1]])</f>
        <v>0</v>
      </c>
      <c r="Z182" s="50">
        <f>IF(NOTA[[#This Row],[JUMLAH]]="","",(NOTA[[#This Row],[JUMLAH]]-NOTA[[#This Row],[DISC 1-]])*NOTA[[#This Row],[DISC 2]])</f>
        <v>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0</v>
      </c>
      <c r="AC182" s="50">
        <f>IF(NOTA[[#This Row],[JUMLAH]]="","",NOTA[[#This Row],[JUMLAH]]-NOTA[[#This Row],[DISC]])</f>
        <v>34440000</v>
      </c>
      <c r="AD182" s="50"/>
      <c r="AE1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34440000</v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4305000</v>
      </c>
      <c r="AH182" s="50">
        <f>IF(OR(NOTA[[#This Row],[QTY]]="",NOTA[[#This Row],[HARGA SATUAN]]="",),"",NOTA[[#This Row],[QTY]]*NOTA[[#This Row],[HARGA SATUAN]])</f>
        <v>34440000</v>
      </c>
      <c r="AI182" s="39">
        <f ca="1">IF(NOTA[ID_H]="","",INDEX(NOTA[TANGGAL],MATCH(,INDIRECT(ADDRESS(ROW(NOTA[TANGGAL]),COLUMN(NOTA[TANGGAL]))&amp;":"&amp;ADDRESS(ROW(),COLUMN(NOTA[TANGGAL]))),-1)))</f>
        <v>45299</v>
      </c>
      <c r="AJ182" s="41" t="str">
        <f ca="1">IF(NOTA[[#This Row],[NAMA BARANG]]="","",INDEX(NOTA[SUPPLIER],MATCH(,INDIRECT(ADDRESS(ROW(NOTA[ID]),COLUMN(NOTA[ID]))&amp;":"&amp;ADDRESS(ROW(),COLUMN(NOTA[ID]))),-1)))</f>
        <v>SAPUTRO OFFICE</v>
      </c>
      <c r="AK182" s="41" t="str">
        <f ca="1">IF(NOTA[[#This Row],[ID_H]]="","",IF(NOTA[[#This Row],[FAKTUR]]="",INDIRECT(ADDRESS(ROW()-1,COLUMN())),NOTA[[#This Row],[FAKTUR]]))</f>
        <v>UNTANA</v>
      </c>
      <c r="AL182" s="38">
        <f ca="1">IF(NOTA[[#This Row],[ID]]="","",COUNTIF(NOTA[ID_H],NOTA[[#This Row],[ID_H]]))</f>
        <v>1</v>
      </c>
      <c r="AM182" s="38">
        <f>IF(NOTA[[#This Row],[TGL.NOTA]]="",IF(NOTA[[#This Row],[SUPPLIER_H]]="","",AM181),MONTH(NOTA[[#This Row],[TGL.NOTA]]))</f>
        <v>1</v>
      </c>
      <c r="AN182" s="38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mejaipadimportjumbokarakter4305000</v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mejaipadimportjumbokarakter4305000</v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OFFICEUNTANAH-0020.INV.SOS45296mejaipadimportjumbokarakter</v>
      </c>
      <c r="AR182" s="38" t="e">
        <f>IF(NOTA[[#This Row],[CONCAT4]]="","",_xlfn.IFNA(MATCH(NOTA[[#This Row],[CONCAT4]],[2]!RAW[CONCAT_H],0),FALSE))</f>
        <v>#REF!</v>
      </c>
      <c r="AS182" s="38">
        <f>IF(NOTA[[#This Row],[CONCAT1]]="","",MATCH(NOTA[[#This Row],[CONCAT1]],[3]!db[NB NOTA_C],0))</f>
        <v>2071</v>
      </c>
      <c r="AT182" s="38" t="b">
        <f>IF(NOTA[[#This Row],[QTY/ CTN]]="","",TRUE)</f>
        <v>1</v>
      </c>
      <c r="AU182" s="38" t="str">
        <f ca="1">IF(NOTA[[#This Row],[ID_H]]="","",IF(NOTA[[#This Row],[Column3]]=TRUE,NOTA[[#This Row],[QTY/ CTN]],INDEX([3]!db[QTY/ CTN],NOTA[[#This Row],[//DB]])))</f>
        <v>10 PCS</v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mejaipadimportjumbokarakter10pcsuntana</v>
      </c>
      <c r="AW182" s="38" t="e">
        <f ca="1">IF(NOTA[[#This Row],[ID_H]]="","",MATCH(NOTA[[#This Row],[NB NOTA_C_QTY]],[4]!db[NB NOTA_C_QTY+F],0))</f>
        <v>#REF!</v>
      </c>
      <c r="AX182" s="53">
        <f ca="1">IF(NOTA[[#This Row],[NB NOTA_C_QTY]]="","",ROW()-2)</f>
        <v>180</v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 t="str">
        <f ca="1">IF(NOTA[[#This Row],[NAMA BARANG]]="","",INDEX(NOTA[ID],MATCH(,INDIRECT(ADDRESS(ROW(NOTA[ID]),COLUMN(NOTA[ID]))&amp;":"&amp;ADDRESS(ROW(),COLUMN(NOTA[ID]))),-1)))</f>
        <v/>
      </c>
      <c r="E183" s="46"/>
      <c r="F183" s="37"/>
      <c r="G183" s="37"/>
      <c r="H183" s="47"/>
      <c r="I183" s="37"/>
      <c r="J183" s="39"/>
      <c r="K183" s="37"/>
      <c r="L183" s="37"/>
      <c r="M183" s="40"/>
      <c r="O183" s="37"/>
      <c r="P183" s="41"/>
      <c r="Q183" s="42"/>
      <c r="R183" s="48"/>
      <c r="S183" s="49"/>
      <c r="T183" s="44"/>
      <c r="U183" s="44"/>
      <c r="V183" s="50"/>
      <c r="W183" s="45"/>
      <c r="X183" s="50" t="str">
        <f>IF(NOTA[[#This Row],[HARGA/ CTN]]="",NOTA[[#This Row],[JUMLAH_H]],NOTA[[#This Row],[HARGA/ CTN]]*IF(NOTA[[#This Row],[C]]="",0,NOTA[[#This Row],[C]]))</f>
        <v/>
      </c>
      <c r="Y183" s="50" t="str">
        <f>IF(NOTA[[#This Row],[JUMLAH]]="","",NOTA[[#This Row],[JUMLAH]]*NOTA[[#This Row],[DISC 1]])</f>
        <v/>
      </c>
      <c r="Z183" s="50" t="str">
        <f>IF(NOTA[[#This Row],[JUMLAH]]="","",(NOTA[[#This Row],[JUMLAH]]-NOTA[[#This Row],[DISC 1-]])*NOTA[[#This Row],[DISC 2]])</f>
        <v/>
      </c>
      <c r="AA183" s="50" t="str">
        <f>IF(NOTA[[#This Row],[JUMLAH]]="","",(NOTA[[#This Row],[JUMLAH]]-NOTA[[#This Row],[DISC 1-]]-NOTA[[#This Row],[DISC 2-]])*NOTA[[#This Row],[DISC 3]])</f>
        <v/>
      </c>
      <c r="AB183" s="50" t="str">
        <f>IF(NOTA[[#This Row],[JUMLAH]]="","",NOTA[[#This Row],[DISC 1-]]+NOTA[[#This Row],[DISC 2-]]+NOTA[[#This Row],[DISC 3-]])</f>
        <v/>
      </c>
      <c r="AC183" s="50" t="str">
        <f>IF(NOTA[[#This Row],[JUMLAH]]="","",NOTA[[#This Row],[JUMLAH]]-NOTA[[#This Row],[DISC]])</f>
        <v/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3" s="50" t="str">
        <f>IF(OR(NOTA[[#This Row],[QTY]]="",NOTA[[#This Row],[HARGA SATUAN]]="",),"",NOTA[[#This Row],[QTY]]*NOTA[[#This Row],[HARGA SATUAN]])</f>
        <v/>
      </c>
      <c r="AI183" s="39" t="str">
        <f ca="1">IF(NOTA[ID_H]="","",INDEX(NOTA[TANGGAL],MATCH(,INDIRECT(ADDRESS(ROW(NOTA[TANGGAL]),COLUMN(NOTA[TANGGAL]))&amp;":"&amp;ADDRESS(ROW(),COLUMN(NOTA[TANGGAL]))),-1)))</f>
        <v/>
      </c>
      <c r="AJ183" s="41" t="str">
        <f ca="1">IF(NOTA[[#This Row],[NAMA BARANG]]="","",INDEX(NOTA[SUPPLIER],MATCH(,INDIRECT(ADDRESS(ROW(NOTA[ID]),COLUMN(NOTA[ID]))&amp;":"&amp;ADDRESS(ROW(),COLUMN(NOTA[ID]))),-1)))</f>
        <v/>
      </c>
      <c r="AK183" s="41" t="str">
        <f ca="1">IF(NOTA[[#This Row],[ID_H]]="","",IF(NOTA[[#This Row],[FAKTUR]]="",INDIRECT(ADDRESS(ROW()-1,COLUMN())),NOTA[[#This Row],[FAKTUR]]))</f>
        <v/>
      </c>
      <c r="AL183" s="38" t="str">
        <f ca="1">IF(NOTA[[#This Row],[ID]]="","",COUNTIF(NOTA[ID_H],NOTA[[#This Row],[ID_H]]))</f>
        <v/>
      </c>
      <c r="AM183" s="38" t="str">
        <f ca="1">IF(NOTA[[#This Row],[TGL.NOTA]]="",IF(NOTA[[#This Row],[SUPPLIER_H]]="","",AM182),MONTH(NOTA[[#This Row],[TGL.NOTA]]))</f>
        <v/>
      </c>
      <c r="AN183" s="38" t="str">
        <f>LOWER(SUBSTITUTE(SUBSTITUTE(SUBSTITUTE(SUBSTITUTE(SUBSTITUTE(SUBSTITUTE(SUBSTITUTE(SUBSTITUTE(SUBSTITUTE(NOTA[NAMA BARANG]," ",),".",""),"-",""),"(",""),")",""),",",""),"/",""),"""",""),"+",""))</f>
        <v/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 t="str">
        <f>IF(NOTA[[#This Row],[CONCAT1]]="","",MATCH(NOTA[[#This Row],[CONCAT1]],[3]!db[NB NOTA_C],0))</f>
        <v/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/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3" s="38" t="str">
        <f ca="1">IF(NOTA[[#This Row],[ID_H]]="","",MATCH(NOTA[[#This Row],[NB NOTA_C_QTY]],[4]!db[NB NOTA_C_QTY+F],0))</f>
        <v/>
      </c>
      <c r="AX183" s="53" t="str">
        <f ca="1">IF(NOTA[[#This Row],[NB NOTA_C_QTY]]="","",ROW()-2)</f>
        <v/>
      </c>
    </row>
    <row r="184" spans="1:50" s="38" customFormat="1" ht="20.100000000000001" customHeight="1" x14ac:dyDescent="0.25">
      <c r="A184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GRA_0801_196-4</v>
      </c>
      <c r="C184" s="38" t="e">
        <f ca="1">IF(NOTA[[#This Row],[ID_P]]="","",MATCH(NOTA[[#This Row],[ID_P]],[1]!B_MSK[N_ID],0))</f>
        <v>#REF!</v>
      </c>
      <c r="D184" s="38">
        <f ca="1">IF(NOTA[[#This Row],[NAMA BARANG]]="","",INDEX(NOTA[ID],MATCH(,INDIRECT(ADDRESS(ROW(NOTA[ID]),COLUMN(NOTA[ID]))&amp;":"&amp;ADDRESS(ROW(),COLUMN(NOTA[ID]))),-1)))</f>
        <v>25</v>
      </c>
      <c r="E184" s="46"/>
      <c r="F184" s="37" t="s">
        <v>237</v>
      </c>
      <c r="G184" s="37" t="s">
        <v>110</v>
      </c>
      <c r="H184" s="47" t="s">
        <v>314</v>
      </c>
      <c r="I184" s="37"/>
      <c r="J184" s="39">
        <v>45295</v>
      </c>
      <c r="K184" s="37"/>
      <c r="L184" s="37" t="s">
        <v>301</v>
      </c>
      <c r="M184" s="40">
        <v>3</v>
      </c>
      <c r="N184" s="38">
        <v>150</v>
      </c>
      <c r="O184" s="37" t="s">
        <v>111</v>
      </c>
      <c r="P184" s="41">
        <v>15250</v>
      </c>
      <c r="Q184" s="42"/>
      <c r="R184" s="48"/>
      <c r="S184" s="49"/>
      <c r="T184" s="44"/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2287500</v>
      </c>
      <c r="Y184" s="50">
        <f>IF(NOTA[[#This Row],[JUMLAH]]="","",NOTA[[#This Row],[JUMLAH]]*NOTA[[#This Row],[DISC 1]])</f>
        <v>0</v>
      </c>
      <c r="Z184" s="50">
        <f>IF(NOTA[[#This Row],[JUMLAH]]="","",(NOTA[[#This Row],[JUMLAH]]-NOTA[[#This Row],[DISC 1-]])*NOTA[[#This Row],[DISC 2]])</f>
        <v>0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0</v>
      </c>
      <c r="AC184" s="50">
        <f>IF(NOTA[[#This Row],[JUMLAH]]="","",NOTA[[#This Row],[JUMLAH]]-NOTA[[#This Row],[DISC]])</f>
        <v>2287500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4" s="50">
        <f>IF(OR(NOTA[[#This Row],[QTY]]="",NOTA[[#This Row],[HARGA SATUAN]]="",),"",NOTA[[#This Row],[QTY]]*NOTA[[#This Row],[HARGA SATUAN]])</f>
        <v>2287500</v>
      </c>
      <c r="AI184" s="39">
        <f ca="1">IF(NOTA[ID_H]="","",INDEX(NOTA[TANGGAL],MATCH(,INDIRECT(ADDRESS(ROW(NOTA[TANGGAL]),COLUMN(NOTA[TANGGAL]))&amp;":"&amp;ADDRESS(ROW(),COLUMN(NOTA[TANGGAL]))),-1)))</f>
        <v>45299</v>
      </c>
      <c r="AJ184" s="41" t="str">
        <f ca="1">IF(NOTA[[#This Row],[NAMA BARANG]]="","",INDEX(NOTA[SUPPLIER],MATCH(,INDIRECT(ADDRESS(ROW(NOTA[ID]),COLUMN(NOTA[ID]))&amp;":"&amp;ADDRESS(ROW(),COLUMN(NOTA[ID]))),-1)))</f>
        <v>GRAFINDO</v>
      </c>
      <c r="AK184" s="41" t="str">
        <f ca="1">IF(NOTA[[#This Row],[ID_H]]="","",IF(NOTA[[#This Row],[FAKTUR]]="",INDIRECT(ADDRESS(ROW()-1,COLUMN())),NOTA[[#This Row],[FAKTUR]]))</f>
        <v>UNTANA</v>
      </c>
      <c r="AL184" s="38">
        <f ca="1">IF(NOTA[[#This Row],[ID]]="","",COUNTIF(NOTA[ID_H],NOTA[[#This Row],[ID_H]]))</f>
        <v>4</v>
      </c>
      <c r="AM184" s="38">
        <f>IF(NOTA[[#This Row],[TGL.NOTA]]="",IF(NOTA[[#This Row],[SUPPLIER_H]]="","",AM183),MONTH(NOTA[[#This Row],[TGL.NOTA]]))</f>
        <v>1</v>
      </c>
      <c r="AN184" s="38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mapkancingsikaac05kuning762500</v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mapkancingsikaac05kuning762500</v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GRAFINDOUNTANAGA-24-01-019645295mapkancingsikaac05kuning</v>
      </c>
      <c r="AR184" s="38" t="e">
        <f>IF(NOTA[[#This Row],[CONCAT4]]="","",_xlfn.IFNA(MATCH(NOTA[[#This Row],[CONCAT4]],[2]!RAW[CONCAT_H],0),FALSE))</f>
        <v>#REF!</v>
      </c>
      <c r="AS184" s="38">
        <f>IF(NOTA[[#This Row],[CONCAT1]]="","",MATCH(NOTA[[#This Row],[CONCAT1]],[3]!db[NB NOTA_C],0))</f>
        <v>1996</v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>50 LSN</v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W184" s="38" t="e">
        <f ca="1">IF(NOTA[[#This Row],[ID_H]]="","",MATCH(NOTA[[#This Row],[NB NOTA_C_QTY]],[4]!db[NB NOTA_C_QTY+F],0))</f>
        <v>#REF!</v>
      </c>
      <c r="AX184" s="53">
        <f ca="1">IF(NOTA[[#This Row],[NB NOTA_C_QTY]]="","",ROW()-2)</f>
        <v>182</v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25</v>
      </c>
      <c r="E185" s="46"/>
      <c r="F185" s="37"/>
      <c r="G185" s="37"/>
      <c r="H185" s="47"/>
      <c r="I185" s="37"/>
      <c r="J185" s="39"/>
      <c r="K185" s="37"/>
      <c r="L185" s="37" t="s">
        <v>315</v>
      </c>
      <c r="M185" s="40">
        <v>15</v>
      </c>
      <c r="N185" s="38">
        <v>750</v>
      </c>
      <c r="O185" s="37" t="s">
        <v>111</v>
      </c>
      <c r="P185" s="41">
        <v>15250</v>
      </c>
      <c r="Q185" s="42"/>
      <c r="R185" s="48"/>
      <c r="S185" s="49"/>
      <c r="T185" s="44"/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11437500</v>
      </c>
      <c r="Y185" s="50">
        <f>IF(NOTA[[#This Row],[JUMLAH]]="","",NOTA[[#This Row],[JUMLAH]]*NOTA[[#This Row],[DISC 1]])</f>
        <v>0</v>
      </c>
      <c r="Z185" s="50">
        <f>IF(NOTA[[#This Row],[JUMLAH]]="","",(NOTA[[#This Row],[JUMLAH]]-NOTA[[#This Row],[DISC 1-]])*NOTA[[#This Row],[DISC 2]])</f>
        <v>0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0</v>
      </c>
      <c r="AC185" s="50">
        <f>IF(NOTA[[#This Row],[JUMLAH]]="","",NOTA[[#This Row],[JUMLAH]]-NOTA[[#This Row],[DISC]])</f>
        <v>11437500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5" s="50">
        <f>IF(OR(NOTA[[#This Row],[QTY]]="",NOTA[[#This Row],[HARGA SATUAN]]="",),"",NOTA[[#This Row],[QTY]]*NOTA[[#This Row],[HARGA SATUAN]])</f>
        <v>11437500</v>
      </c>
      <c r="AI185" s="39">
        <f ca="1">IF(NOTA[ID_H]="","",INDEX(NOTA[TANGGAL],MATCH(,INDIRECT(ADDRESS(ROW(NOTA[TANGGAL]),COLUMN(NOTA[TANGGAL]))&amp;":"&amp;ADDRESS(ROW(),COLUMN(NOTA[TANGGAL]))),-1)))</f>
        <v>45299</v>
      </c>
      <c r="AJ185" s="41" t="str">
        <f ca="1">IF(NOTA[[#This Row],[NAMA BARANG]]="","",INDEX(NOTA[SUPPLIER],MATCH(,INDIRECT(ADDRESS(ROW(NOTA[ID]),COLUMN(NOTA[ID]))&amp;":"&amp;ADDRESS(ROW(),COLUMN(NOTA[ID]))),-1)))</f>
        <v>GRAFINDO</v>
      </c>
      <c r="AK185" s="41" t="str">
        <f ca="1">IF(NOTA[[#This Row],[ID_H]]="","",IF(NOTA[[#This Row],[FAKTUR]]="",INDIRECT(ADDRESS(ROW()-1,COLUMN())),NOTA[[#This Row],[FAKTUR]]))</f>
        <v>UNTANA</v>
      </c>
      <c r="AL185" s="38" t="str">
        <f ca="1">IF(NOTA[[#This Row],[ID]]="","",COUNTIF(NOTA[ID_H],NOTA[[#This Row],[ID_H]]))</f>
        <v/>
      </c>
      <c r="AM185" s="38">
        <f ca="1">IF(NOTA[[#This Row],[TGL.NOTA]]="",IF(NOTA[[#This Row],[SUPPLIER_H]]="","",AM184),MONTH(NOTA[[#This Row],[TGL.NOTA]]))</f>
        <v>1</v>
      </c>
      <c r="AN185" s="38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mapkancingsikaac05hijau762500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mapkancingsikaac05hijau762500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>
        <f>IF(NOTA[[#This Row],[CONCAT1]]="","",MATCH(NOTA[[#This Row],[CONCAT1]],[3]!db[NB NOTA_C],0))</f>
        <v>1995</v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>50 LSN</v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mapkancingsikaac05hijau50lsnuntana</v>
      </c>
      <c r="AW185" s="38" t="e">
        <f ca="1">IF(NOTA[[#This Row],[ID_H]]="","",MATCH(NOTA[[#This Row],[NB NOTA_C_QTY]],[4]!db[NB NOTA_C_QTY+F],0))</f>
        <v>#REF!</v>
      </c>
      <c r="AX185" s="53">
        <f ca="1">IF(NOTA[[#This Row],[NB NOTA_C_QTY]]="","",ROW()-2)</f>
        <v>183</v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25</v>
      </c>
      <c r="E186" s="46"/>
      <c r="F186" s="37"/>
      <c r="G186" s="37"/>
      <c r="H186" s="47"/>
      <c r="I186" s="37"/>
      <c r="J186" s="39"/>
      <c r="K186" s="37"/>
      <c r="L186" s="37" t="s">
        <v>302</v>
      </c>
      <c r="M186" s="40">
        <v>15</v>
      </c>
      <c r="N186" s="38">
        <v>750</v>
      </c>
      <c r="O186" s="37" t="s">
        <v>111</v>
      </c>
      <c r="P186" s="41">
        <v>15250</v>
      </c>
      <c r="Q186" s="42"/>
      <c r="R186" s="48"/>
      <c r="S186" s="49"/>
      <c r="T186" s="44"/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11437500</v>
      </c>
      <c r="Y186" s="50">
        <f>IF(NOTA[[#This Row],[JUMLAH]]="","",NOTA[[#This Row],[JUMLAH]]*NOTA[[#This Row],[DISC 1]])</f>
        <v>0</v>
      </c>
      <c r="Z186" s="50">
        <f>IF(NOTA[[#This Row],[JUMLAH]]="","",(NOTA[[#This Row],[JUMLAH]]-NOTA[[#This Row],[DISC 1-]])*NOTA[[#This Row],[DISC 2]])</f>
        <v>0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0</v>
      </c>
      <c r="AC186" s="50">
        <f>IF(NOTA[[#This Row],[JUMLAH]]="","",NOTA[[#This Row],[JUMLAH]]-NOTA[[#This Row],[DISC]])</f>
        <v>11437500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6" s="50">
        <f>IF(OR(NOTA[[#This Row],[QTY]]="",NOTA[[#This Row],[HARGA SATUAN]]="",),"",NOTA[[#This Row],[QTY]]*NOTA[[#This Row],[HARGA SATUAN]])</f>
        <v>11437500</v>
      </c>
      <c r="AI186" s="39">
        <f ca="1">IF(NOTA[ID_H]="","",INDEX(NOTA[TANGGAL],MATCH(,INDIRECT(ADDRESS(ROW(NOTA[TANGGAL]),COLUMN(NOTA[TANGGAL]))&amp;":"&amp;ADDRESS(ROW(),COLUMN(NOTA[TANGGAL]))),-1)))</f>
        <v>45299</v>
      </c>
      <c r="AJ186" s="41" t="str">
        <f ca="1">IF(NOTA[[#This Row],[NAMA BARANG]]="","",INDEX(NOTA[SUPPLIER],MATCH(,INDIRECT(ADDRESS(ROW(NOTA[ID]),COLUMN(NOTA[ID]))&amp;":"&amp;ADDRESS(ROW(),COLUMN(NOTA[ID]))),-1)))</f>
        <v>GRAFINDO</v>
      </c>
      <c r="AK186" s="41" t="str">
        <f ca="1">IF(NOTA[[#This Row],[ID_H]]="","",IF(NOTA[[#This Row],[FAKTUR]]="",INDIRECT(ADDRESS(ROW()-1,COLUMN())),NOTA[[#This Row],[FAKTUR]]))</f>
        <v>UNTANA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1</v>
      </c>
      <c r="AN186" s="38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mapkancingsikaac05biru762500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mapkancingsikaac05biru762500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>
        <f>IF(NOTA[[#This Row],[CONCAT1]]="","",MATCH(NOTA[[#This Row],[CONCAT1]],[3]!db[NB NOTA_C],0))</f>
        <v>1993</v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>50 LSN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mapkancingsikaac05biru50lsnuntana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25</v>
      </c>
      <c r="E187" s="46"/>
      <c r="F187" s="37"/>
      <c r="G187" s="37"/>
      <c r="H187" s="47"/>
      <c r="I187" s="37"/>
      <c r="J187" s="39"/>
      <c r="K187" s="37"/>
      <c r="L187" s="37" t="s">
        <v>316</v>
      </c>
      <c r="M187" s="40">
        <v>15</v>
      </c>
      <c r="N187" s="38">
        <v>750</v>
      </c>
      <c r="O187" s="37" t="s">
        <v>111</v>
      </c>
      <c r="P187" s="41">
        <v>15250</v>
      </c>
      <c r="Q187" s="42"/>
      <c r="R187" s="48"/>
      <c r="S187" s="49"/>
      <c r="T187" s="44"/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11437500</v>
      </c>
      <c r="Y187" s="50">
        <f>IF(NOTA[[#This Row],[JUMLAH]]="","",NOTA[[#This Row],[JUMLAH]]*NOTA[[#This Row],[DISC 1]])</f>
        <v>0</v>
      </c>
      <c r="Z187" s="50">
        <f>IF(NOTA[[#This Row],[JUMLAH]]="","",(NOTA[[#This Row],[JUMLAH]]-NOTA[[#This Row],[DISC 1-]])*NOTA[[#This Row],[DISC 2]])</f>
        <v>0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0</v>
      </c>
      <c r="AC187" s="50">
        <f>IF(NOTA[[#This Row],[JUMLAH]]="","",NOTA[[#This Row],[JUMLAH]]-NOTA[[#This Row],[DISC]])</f>
        <v>11437500</v>
      </c>
      <c r="AD187" s="50"/>
      <c r="AE1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36600000</v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7" s="50">
        <f>IF(OR(NOTA[[#This Row],[QTY]]="",NOTA[[#This Row],[HARGA SATUAN]]="",),"",NOTA[[#This Row],[QTY]]*NOTA[[#This Row],[HARGA SATUAN]])</f>
        <v>11437500</v>
      </c>
      <c r="AI187" s="39">
        <f ca="1">IF(NOTA[ID_H]="","",INDEX(NOTA[TANGGAL],MATCH(,INDIRECT(ADDRESS(ROW(NOTA[TANGGAL]),COLUMN(NOTA[TANGGAL]))&amp;":"&amp;ADDRESS(ROW(),COLUMN(NOTA[TANGGAL]))),-1)))</f>
        <v>45299</v>
      </c>
      <c r="AJ187" s="41" t="str">
        <f ca="1">IF(NOTA[[#This Row],[NAMA BARANG]]="","",INDEX(NOTA[SUPPLIER],MATCH(,INDIRECT(ADDRESS(ROW(NOTA[ID]),COLUMN(NOTA[ID]))&amp;":"&amp;ADDRESS(ROW(),COLUMN(NOTA[ID]))),-1)))</f>
        <v>GRAFINDO</v>
      </c>
      <c r="AK187" s="41" t="str">
        <f ca="1">IF(NOTA[[#This Row],[ID_H]]="","",IF(NOTA[[#This Row],[FAKTUR]]="",INDIRECT(ADDRESS(ROW()-1,COLUMN())),NOTA[[#This Row],[FAKTUR]]))</f>
        <v>UNTANA</v>
      </c>
      <c r="AL187" s="38" t="str">
        <f ca="1">IF(NOTA[[#This Row],[ID]]="","",COUNTIF(NOTA[ID_H],NOTA[[#This Row],[ID_H]]))</f>
        <v/>
      </c>
      <c r="AM187" s="38">
        <f ca="1">IF(NOTA[[#This Row],[TGL.NOTA]]="",IF(NOTA[[#This Row],[SUPPLIER_H]]="","",AM186),MONTH(NOTA[[#This Row],[TGL.NOTA]]))</f>
        <v>1</v>
      </c>
      <c r="AN187" s="38" t="str">
        <f>LOWER(SUBSTITUTE(SUBSTITUTE(SUBSTITUTE(SUBSTITUTE(SUBSTITUTE(SUBSTITUTE(SUBSTITUTE(SUBSTITUTE(SUBSTITUTE(NOTA[NAMA BARANG]," ",),".",""),"-",""),"(",""),")",""),",",""),"/",""),"""",""),"+",""))</f>
        <v>mapkancingsikaac05merah</v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mapkancingsikaac05merah762500</v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mapkancingsikaac05merah762500</v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>
        <f>IF(NOTA[[#This Row],[CONCAT1]]="","",MATCH(NOTA[[#This Row],[CONCAT1]],[3]!db[NB NOTA_C],0))</f>
        <v>1998</v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>50 LSN</v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mapkancingsikaac05merah50lsnuntana</v>
      </c>
      <c r="AW187" s="38" t="e">
        <f ca="1">IF(NOTA[[#This Row],[ID_H]]="","",MATCH(NOTA[[#This Row],[NB NOTA_C_QTY]],[4]!db[NB NOTA_C_QTY+F],0))</f>
        <v>#REF!</v>
      </c>
      <c r="AX187" s="53">
        <f ca="1">IF(NOTA[[#This Row],[NB NOTA_C_QTY]]="","",ROW()-2)</f>
        <v>185</v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 t="str">
        <f ca="1">IF(NOTA[[#This Row],[NAMA BARANG]]="","",INDEX(NOTA[ID],MATCH(,INDIRECT(ADDRESS(ROW(NOTA[ID]),COLUMN(NOTA[ID]))&amp;":"&amp;ADDRESS(ROW(),COLUMN(NOTA[ID]))),-1)))</f>
        <v/>
      </c>
      <c r="E188" s="46"/>
      <c r="F188" s="37"/>
      <c r="G188" s="37"/>
      <c r="H188" s="47"/>
      <c r="I188" s="37"/>
      <c r="J188" s="39"/>
      <c r="K188" s="37"/>
      <c r="L188" s="37"/>
      <c r="M188" s="40"/>
      <c r="O188" s="37"/>
      <c r="P188" s="41"/>
      <c r="Q188" s="42"/>
      <c r="R188" s="48"/>
      <c r="S188" s="49"/>
      <c r="T188" s="44"/>
      <c r="U188" s="44"/>
      <c r="V188" s="50"/>
      <c r="W188" s="45"/>
      <c r="X188" s="50" t="str">
        <f>IF(NOTA[[#This Row],[HARGA/ CTN]]="",NOTA[[#This Row],[JUMLAH_H]],NOTA[[#This Row],[HARGA/ CTN]]*IF(NOTA[[#This Row],[C]]="",0,NOTA[[#This Row],[C]]))</f>
        <v/>
      </c>
      <c r="Y188" s="50" t="str">
        <f>IF(NOTA[[#This Row],[JUMLAH]]="","",NOTA[[#This Row],[JUMLAH]]*NOTA[[#This Row],[DISC 1]])</f>
        <v/>
      </c>
      <c r="Z188" s="50" t="str">
        <f>IF(NOTA[[#This Row],[JUMLAH]]="","",(NOTA[[#This Row],[JUMLAH]]-NOTA[[#This Row],[DISC 1-]])*NOTA[[#This Row],[DISC 2]])</f>
        <v/>
      </c>
      <c r="AA188" s="50" t="str">
        <f>IF(NOTA[[#This Row],[JUMLAH]]="","",(NOTA[[#This Row],[JUMLAH]]-NOTA[[#This Row],[DISC 1-]]-NOTA[[#This Row],[DISC 2-]])*NOTA[[#This Row],[DISC 3]])</f>
        <v/>
      </c>
      <c r="AB188" s="50" t="str">
        <f>IF(NOTA[[#This Row],[JUMLAH]]="","",NOTA[[#This Row],[DISC 1-]]+NOTA[[#This Row],[DISC 2-]]+NOTA[[#This Row],[DISC 3-]])</f>
        <v/>
      </c>
      <c r="AC188" s="50" t="str">
        <f>IF(NOTA[[#This Row],[JUMLAH]]="","",NOTA[[#This Row],[JUMLAH]]-NOTA[[#This Row],[DISC]])</f>
        <v/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8" s="50" t="str">
        <f>IF(OR(NOTA[[#This Row],[QTY]]="",NOTA[[#This Row],[HARGA SATUAN]]="",),"",NOTA[[#This Row],[QTY]]*NOTA[[#This Row],[HARGA SATUAN]])</f>
        <v/>
      </c>
      <c r="AI188" s="39" t="str">
        <f ca="1">IF(NOTA[ID_H]="","",INDEX(NOTA[TANGGAL],MATCH(,INDIRECT(ADDRESS(ROW(NOTA[TANGGAL]),COLUMN(NOTA[TANGGAL]))&amp;":"&amp;ADDRESS(ROW(),COLUMN(NOTA[TANGGAL]))),-1)))</f>
        <v/>
      </c>
      <c r="AJ188" s="41" t="str">
        <f ca="1">IF(NOTA[[#This Row],[NAMA BARANG]]="","",INDEX(NOTA[SUPPLIER],MATCH(,INDIRECT(ADDRESS(ROW(NOTA[ID]),COLUMN(NOTA[ID]))&amp;":"&amp;ADDRESS(ROW(),COLUMN(NOTA[ID]))),-1)))</f>
        <v/>
      </c>
      <c r="AK188" s="41" t="str">
        <f ca="1">IF(NOTA[[#This Row],[ID_H]]="","",IF(NOTA[[#This Row],[FAKTUR]]="",INDIRECT(ADDRESS(ROW()-1,COLUMN())),NOTA[[#This Row],[FAKTUR]]))</f>
        <v/>
      </c>
      <c r="AL188" s="38" t="str">
        <f ca="1">IF(NOTA[[#This Row],[ID]]="","",COUNTIF(NOTA[ID_H],NOTA[[#This Row],[ID_H]]))</f>
        <v/>
      </c>
      <c r="AM188" s="38" t="str">
        <f ca="1">IF(NOTA[[#This Row],[TGL.NOTA]]="",IF(NOTA[[#This Row],[SUPPLIER_H]]="","",AM187),MONTH(NOTA[[#This Row],[TGL.NOTA]]))</f>
        <v/>
      </c>
      <c r="AN188" s="38" t="str">
        <f>LOWER(SUBSTITUTE(SUBSTITUTE(SUBSTITUTE(SUBSTITUTE(SUBSTITUTE(SUBSTITUTE(SUBSTITUTE(SUBSTITUTE(SUBSTITUTE(NOTA[NAMA BARANG]," ",),".",""),"-",""),"(",""),")",""),",",""),"/",""),"""",""),"+",""))</f>
        <v/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 t="str">
        <f>IF(NOTA[[#This Row],[CONCAT1]]="","",MATCH(NOTA[[#This Row],[CONCAT1]],[3]!db[NB NOTA_C],0))</f>
        <v/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/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8" s="38" t="str">
        <f ca="1">IF(NOTA[[#This Row],[ID_H]]="","",MATCH(NOTA[[#This Row],[NB NOTA_C_QTY]],[4]!db[NB NOTA_C_QTY+F],0))</f>
        <v/>
      </c>
      <c r="AX188" s="53" t="str">
        <f ca="1">IF(NOTA[[#This Row],[NB NOTA_C_QTY]]="","",ROW()-2)</f>
        <v/>
      </c>
    </row>
    <row r="189" spans="1:50" s="38" customFormat="1" ht="20.100000000000001" customHeight="1" x14ac:dyDescent="0.25">
      <c r="A189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SAP_0801_SOS-1</v>
      </c>
      <c r="C189" s="38" t="e">
        <f ca="1">IF(NOTA[[#This Row],[ID_P]]="","",MATCH(NOTA[[#This Row],[ID_P]],[1]!B_MSK[N_ID],0))</f>
        <v>#REF!</v>
      </c>
      <c r="D189" s="38">
        <f ca="1">IF(NOTA[[#This Row],[NAMA BARANG]]="","",INDEX(NOTA[ID],MATCH(,INDIRECT(ADDRESS(ROW(NOTA[ID]),COLUMN(NOTA[ID]))&amp;":"&amp;ADDRESS(ROW(),COLUMN(NOTA[ID]))),-1)))</f>
        <v>26</v>
      </c>
      <c r="E189" s="46">
        <v>45299</v>
      </c>
      <c r="F189" s="37" t="s">
        <v>310</v>
      </c>
      <c r="G189" s="37" t="s">
        <v>110</v>
      </c>
      <c r="H189" s="47" t="s">
        <v>317</v>
      </c>
      <c r="I189" s="37"/>
      <c r="J189" s="39">
        <v>45296</v>
      </c>
      <c r="K189" s="37"/>
      <c r="L189" s="37" t="s">
        <v>318</v>
      </c>
      <c r="M189" s="40">
        <v>64</v>
      </c>
      <c r="N189" s="38">
        <v>640</v>
      </c>
      <c r="O189" s="37" t="s">
        <v>115</v>
      </c>
      <c r="P189" s="41">
        <v>41000</v>
      </c>
      <c r="Q189" s="42"/>
      <c r="R189" s="48" t="s">
        <v>313</v>
      </c>
      <c r="S189" s="49"/>
      <c r="T189" s="44"/>
      <c r="U189" s="44"/>
      <c r="V189" s="50"/>
      <c r="W189" s="45"/>
      <c r="X189" s="50">
        <f>IF(NOTA[[#This Row],[HARGA/ CTN]]="",NOTA[[#This Row],[JUMLAH_H]],NOTA[[#This Row],[HARGA/ CTN]]*IF(NOTA[[#This Row],[C]]="",0,NOTA[[#This Row],[C]]))</f>
        <v>26240000</v>
      </c>
      <c r="Y189" s="50">
        <f>IF(NOTA[[#This Row],[JUMLAH]]="","",NOTA[[#This Row],[JUMLAH]]*NOTA[[#This Row],[DISC 1]])</f>
        <v>0</v>
      </c>
      <c r="Z189" s="50">
        <f>IF(NOTA[[#This Row],[JUMLAH]]="","",(NOTA[[#This Row],[JUMLAH]]-NOTA[[#This Row],[DISC 1-]])*NOTA[[#This Row],[DISC 2]])</f>
        <v>0</v>
      </c>
      <c r="AA189" s="50">
        <f>IF(NOTA[[#This Row],[JUMLAH]]="","",(NOTA[[#This Row],[JUMLAH]]-NOTA[[#This Row],[DISC 1-]]-NOTA[[#This Row],[DISC 2-]])*NOTA[[#This Row],[DISC 3]])</f>
        <v>0</v>
      </c>
      <c r="AB189" s="50">
        <f>IF(NOTA[[#This Row],[JUMLAH]]="","",NOTA[[#This Row],[DISC 1-]]+NOTA[[#This Row],[DISC 2-]]+NOTA[[#This Row],[DISC 3-]])</f>
        <v>0</v>
      </c>
      <c r="AC189" s="50">
        <f>IF(NOTA[[#This Row],[JUMLAH]]="","",NOTA[[#This Row],[JUMLAH]]-NOTA[[#This Row],[DISC]])</f>
        <v>26240000</v>
      </c>
      <c r="AD189" s="50"/>
      <c r="AE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26240000</v>
      </c>
      <c r="AG189" s="41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H189" s="50">
        <f>IF(OR(NOTA[[#This Row],[QTY]]="",NOTA[[#This Row],[HARGA SATUAN]]="",),"",NOTA[[#This Row],[QTY]]*NOTA[[#This Row],[HARGA SATUAN]])</f>
        <v>26240000</v>
      </c>
      <c r="AI189" s="39">
        <f ca="1">IF(NOTA[ID_H]="","",INDEX(NOTA[TANGGAL],MATCH(,INDIRECT(ADDRESS(ROW(NOTA[TANGGAL]),COLUMN(NOTA[TANGGAL]))&amp;":"&amp;ADDRESS(ROW(),COLUMN(NOTA[TANGGAL]))),-1)))</f>
        <v>45299</v>
      </c>
      <c r="AJ189" s="41" t="str">
        <f ca="1">IF(NOTA[[#This Row],[NAMA BARANG]]="","",INDEX(NOTA[SUPPLIER],MATCH(,INDIRECT(ADDRESS(ROW(NOTA[ID]),COLUMN(NOTA[ID]))&amp;":"&amp;ADDRESS(ROW(),COLUMN(NOTA[ID]))),-1)))</f>
        <v>SAPUTRO OFFICE</v>
      </c>
      <c r="AK189" s="41" t="str">
        <f ca="1">IF(NOTA[[#This Row],[ID_H]]="","",IF(NOTA[[#This Row],[FAKTUR]]="",INDIRECT(ADDRESS(ROW()-1,COLUMN())),NOTA[[#This Row],[FAKTUR]]))</f>
        <v>UNTANA</v>
      </c>
      <c r="AL189" s="38">
        <f ca="1">IF(NOTA[[#This Row],[ID]]="","",COUNTIF(NOTA[ID_H],NOTA[[#This Row],[ID_H]]))</f>
        <v>1</v>
      </c>
      <c r="AM189" s="38">
        <f>IF(NOTA[[#This Row],[TGL.NOTA]]="",IF(NOTA[[#This Row],[SUPPLIER_H]]="","",AM188),MONTH(NOTA[[#This Row],[TGL.NOTA]]))</f>
        <v>1</v>
      </c>
      <c r="AN189" s="38" t="str">
        <f>LOWER(SUBSTITUTE(SUBSTITUTE(SUBSTITUTE(SUBSTITUTE(SUBSTITUTE(SUBSTITUTE(SUBSTITUTE(SUBSTITUTE(SUBSTITUTE(NOTA[NAMA BARANG]," ",),".",""),"-",""),"(",""),")",""),",",""),"/",""),"""",""),"+",""))</f>
        <v>mejaipadimportjumbopolos</v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mejaipadimportjumbopolos410000</v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mejaipadimportjumbopolos410000</v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OFFICEUNTANAH-0021.INV.SOS45296mejaipadimportjumbopolos</v>
      </c>
      <c r="AR189" s="38" t="e">
        <f>IF(NOTA[[#This Row],[CONCAT4]]="","",_xlfn.IFNA(MATCH(NOTA[[#This Row],[CONCAT4]],[2]!RAW[CONCAT_H],0),FALSE))</f>
        <v>#REF!</v>
      </c>
      <c r="AS189" s="38" t="e">
        <f>IF(NOTA[[#This Row],[CONCAT1]]="","",MATCH(NOTA[[#This Row],[CONCAT1]],[3]!db[NB NOTA_C],0))</f>
        <v>#N/A</v>
      </c>
      <c r="AT189" s="38" t="b">
        <f>IF(NOTA[[#This Row],[QTY/ CTN]]="","",TRUE)</f>
        <v>1</v>
      </c>
      <c r="AU189" s="38" t="str">
        <f ca="1">IF(NOTA[[#This Row],[ID_H]]="","",IF(NOTA[[#This Row],[Column3]]=TRUE,NOTA[[#This Row],[QTY/ CTN]],INDEX([3]!db[QTY/ CTN],NOTA[[#This Row],[//DB]])))</f>
        <v>10 PCS</v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mejaipadimportjumbopolos10pcsuntana</v>
      </c>
      <c r="AW189" s="38" t="e">
        <f ca="1">IF(NOTA[[#This Row],[ID_H]]="","",MATCH(NOTA[[#This Row],[NB NOTA_C_QTY]],[4]!db[NB NOTA_C_QTY+F],0))</f>
        <v>#REF!</v>
      </c>
      <c r="AX189" s="53">
        <f ca="1">IF(NOTA[[#This Row],[NB NOTA_C_QTY]]="","",ROW()-2)</f>
        <v>187</v>
      </c>
    </row>
    <row r="190" spans="1:50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F190" s="37"/>
      <c r="G190" s="37"/>
      <c r="H190" s="47"/>
      <c r="I190" s="37"/>
      <c r="J190" s="39"/>
      <c r="K190" s="37"/>
      <c r="L190" s="37"/>
      <c r="M190" s="40"/>
      <c r="O190" s="37"/>
      <c r="P190" s="41"/>
      <c r="Q190" s="42"/>
      <c r="R190" s="48"/>
      <c r="S190" s="49"/>
      <c r="T190" s="44"/>
      <c r="U190" s="44"/>
      <c r="V190" s="50"/>
      <c r="W190" s="45"/>
      <c r="X190" s="50" t="str">
        <f>IF(NOTA[[#This Row],[HARGA/ CTN]]="",NOTA[[#This Row],[JUMLAH_H]],NOTA[[#This Row],[HARGA/ CTN]]*IF(NOTA[[#This Row],[C]]="",0,NOTA[[#This Row],[C]]))</f>
        <v/>
      </c>
      <c r="Y190" s="50" t="str">
        <f>IF(NOTA[[#This Row],[JUMLAH]]="","",NOTA[[#This Row],[JUMLAH]]*NOTA[[#This Row],[DISC 1]])</f>
        <v/>
      </c>
      <c r="Z190" s="50" t="str">
        <f>IF(NOTA[[#This Row],[JUMLAH]]="","",(NOTA[[#This Row],[JUMLAH]]-NOTA[[#This Row],[DISC 1-]])*NOTA[[#This Row],[DISC 2]])</f>
        <v/>
      </c>
      <c r="AA190" s="50" t="str">
        <f>IF(NOTA[[#This Row],[JUMLAH]]="","",(NOTA[[#This Row],[JUMLAH]]-NOTA[[#This Row],[DISC 1-]]-NOTA[[#This Row],[DISC 2-]])*NOTA[[#This Row],[DISC 3]])</f>
        <v/>
      </c>
      <c r="AB190" s="50" t="str">
        <f>IF(NOTA[[#This Row],[JUMLAH]]="","",NOTA[[#This Row],[DISC 1-]]+NOTA[[#This Row],[DISC 2-]]+NOTA[[#This Row],[DISC 3-]])</f>
        <v/>
      </c>
      <c r="AC190" s="50" t="str">
        <f>IF(NOTA[[#This Row],[JUMLAH]]="","",NOTA[[#This Row],[JUMLAH]]-NOTA[[#This Row],[DISC]])</f>
        <v/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0" s="50" t="str">
        <f>IF(OR(NOTA[[#This Row],[QTY]]="",NOTA[[#This Row],[HARGA SATUAN]]="",),"",NOTA[[#This Row],[QTY]]*NOTA[[#This Row],[HARGA SATUAN]])</f>
        <v/>
      </c>
      <c r="AI190" s="39" t="str">
        <f ca="1">IF(NOTA[ID_H]="","",INDEX(NOTA[TANGGAL],MATCH(,INDIRECT(ADDRESS(ROW(NOTA[TANGGAL]),COLUMN(NOTA[TANGGAL]))&amp;":"&amp;ADDRESS(ROW(),COLUMN(NOTA[TANGGAL]))),-1)))</f>
        <v/>
      </c>
      <c r="AJ190" s="41" t="str">
        <f ca="1">IF(NOTA[[#This Row],[NAMA BARANG]]="","",INDEX(NOTA[SUPPLIER],MATCH(,INDIRECT(ADDRESS(ROW(NOTA[ID]),COLUMN(NOTA[ID]))&amp;":"&amp;ADDRESS(ROW(),COLUMN(NOTA[ID]))),-1)))</f>
        <v/>
      </c>
      <c r="AK190" s="41" t="str">
        <f ca="1">IF(NOTA[[#This Row],[ID_H]]="","",IF(NOTA[[#This Row],[FAKTUR]]="",INDIRECT(ADDRESS(ROW()-1,COLUMN())),NOTA[[#This Row],[FAKTUR]]))</f>
        <v/>
      </c>
      <c r="AL190" s="38" t="str">
        <f ca="1">IF(NOTA[[#This Row],[ID]]="","",COUNTIF(NOTA[ID_H],NOTA[[#This Row],[ID_H]]))</f>
        <v/>
      </c>
      <c r="AM190" s="38" t="str">
        <f ca="1">IF(NOTA[[#This Row],[TGL.NOTA]]="",IF(NOTA[[#This Row],[SUPPLIER_H]]="","",AM189),MONTH(NOTA[[#This Row],[TGL.NOTA]]))</f>
        <v/>
      </c>
      <c r="AN190" s="38" t="str">
        <f>LOWER(SUBSTITUTE(SUBSTITUTE(SUBSTITUTE(SUBSTITUTE(SUBSTITUTE(SUBSTITUTE(SUBSTITUTE(SUBSTITUTE(SUBSTITUTE(NOTA[NAMA BARANG]," ",),".",""),"-",""),"(",""),")",""),",",""),"/",""),"""",""),"+",""))</f>
        <v/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0" s="38" t="str">
        <f>IF(NOTA[[#This Row],[CONCAT4]]="","",_xlfn.IFNA(MATCH(NOTA[[#This Row],[CONCAT4]],[2]!RAW[CONCAT_H],0),FALSE))</f>
        <v/>
      </c>
      <c r="AS190" s="38" t="str">
        <f>IF(NOTA[[#This Row],[CONCAT1]]="","",MATCH(NOTA[[#This Row],[CONCAT1]],[3]!db[NB NOTA_C],0))</f>
        <v/>
      </c>
      <c r="AT190" s="38" t="str">
        <f>IF(NOTA[[#This Row],[QTY/ CTN]]="","",TRUE)</f>
        <v/>
      </c>
      <c r="AU190" s="38" t="str">
        <f ca="1">IF(NOTA[[#This Row],[ID_H]]="","",IF(NOTA[[#This Row],[Column3]]=TRUE,NOTA[[#This Row],[QTY/ CTN]],INDEX([3]!db[QTY/ CTN],NOTA[[#This Row],[//DB]])))</f>
        <v/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0" s="38" t="str">
        <f ca="1">IF(NOTA[[#This Row],[ID_H]]="","",MATCH(NOTA[[#This Row],[NB NOTA_C_QTY]],[4]!db[NB NOTA_C_QTY+F],0))</f>
        <v/>
      </c>
      <c r="AX190" s="53" t="str">
        <f ca="1">IF(NOTA[[#This Row],[NB NOTA_C_QTY]]="","",ROW()-2)</f>
        <v/>
      </c>
    </row>
    <row r="191" spans="1:50" s="38" customFormat="1" ht="20.100000000000001" customHeight="1" x14ac:dyDescent="0.25">
      <c r="A191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SB_0801_LAN-3</v>
      </c>
      <c r="C191" s="38" t="e">
        <f ca="1">IF(NOTA[[#This Row],[ID_P]]="","",MATCH(NOTA[[#This Row],[ID_P]],[1]!B_MSK[N_ID],0))</f>
        <v>#REF!</v>
      </c>
      <c r="D191" s="38">
        <f ca="1">IF(NOTA[[#This Row],[NAMA BARANG]]="","",INDEX(NOTA[ID],MATCH(,INDIRECT(ADDRESS(ROW(NOTA[ID]),COLUMN(NOTA[ID]))&amp;":"&amp;ADDRESS(ROW(),COLUMN(NOTA[ID]))),-1)))</f>
        <v>27</v>
      </c>
      <c r="E191" s="46">
        <v>45299</v>
      </c>
      <c r="F191" s="37" t="s">
        <v>319</v>
      </c>
      <c r="G191" s="37" t="s">
        <v>110</v>
      </c>
      <c r="H191" s="47" t="s">
        <v>143</v>
      </c>
      <c r="I191" s="37" t="s">
        <v>320</v>
      </c>
      <c r="J191" s="39">
        <v>45293</v>
      </c>
      <c r="K191" s="37"/>
      <c r="L191" s="37" t="s">
        <v>321</v>
      </c>
      <c r="M191" s="40">
        <v>3</v>
      </c>
      <c r="O191" s="37"/>
      <c r="P191" s="41"/>
      <c r="Q191" s="42"/>
      <c r="R191" s="48"/>
      <c r="S191" s="49"/>
      <c r="T191" s="44"/>
      <c r="U191" s="44"/>
      <c r="V191" s="50"/>
      <c r="W191" s="45"/>
      <c r="X191" s="50" t="str">
        <f>IF(NOTA[[#This Row],[HARGA/ CTN]]="",NOTA[[#This Row],[JUMLAH_H]],NOTA[[#This Row],[HARGA/ CTN]]*IF(NOTA[[#This Row],[C]]="",0,NOTA[[#This Row],[C]]))</f>
        <v/>
      </c>
      <c r="Y191" s="50" t="str">
        <f>IF(NOTA[[#This Row],[JUMLAH]]="","",NOTA[[#This Row],[JUMLAH]]*NOTA[[#This Row],[DISC 1]])</f>
        <v/>
      </c>
      <c r="Z191" s="50" t="str">
        <f>IF(NOTA[[#This Row],[JUMLAH]]="","",(NOTA[[#This Row],[JUMLAH]]-NOTA[[#This Row],[DISC 1-]])*NOTA[[#This Row],[DISC 2]])</f>
        <v/>
      </c>
      <c r="AA191" s="50" t="str">
        <f>IF(NOTA[[#This Row],[JUMLAH]]="","",(NOTA[[#This Row],[JUMLAH]]-NOTA[[#This Row],[DISC 1-]]-NOTA[[#This Row],[DISC 2-]])*NOTA[[#This Row],[DISC 3]])</f>
        <v/>
      </c>
      <c r="AB191" s="50" t="str">
        <f>IF(NOTA[[#This Row],[JUMLAH]]="","",NOTA[[#This Row],[DISC 1-]]+NOTA[[#This Row],[DISC 2-]]+NOTA[[#This Row],[DISC 3-]])</f>
        <v/>
      </c>
      <c r="AC191" s="50" t="str">
        <f>IF(NOTA[[#This Row],[JUMLAH]]="","",NOTA[[#This Row],[JUMLAH]]-NOTA[[#This Row],[DISC]])</f>
        <v/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91" s="50" t="str">
        <f>IF(OR(NOTA[[#This Row],[QTY]]="",NOTA[[#This Row],[HARGA SATUAN]]="",),"",NOTA[[#This Row],[QTY]]*NOTA[[#This Row],[HARGA SATUAN]])</f>
        <v/>
      </c>
      <c r="AI191" s="39">
        <f ca="1">IF(NOTA[ID_H]="","",INDEX(NOTA[TANGGAL],MATCH(,INDIRECT(ADDRESS(ROW(NOTA[TANGGAL]),COLUMN(NOTA[TANGGAL]))&amp;":"&amp;ADDRESS(ROW(),COLUMN(NOTA[TANGGAL]))),-1)))</f>
        <v>45299</v>
      </c>
      <c r="AJ191" s="41" t="str">
        <f ca="1">IF(NOTA[[#This Row],[NAMA BARANG]]="","",INDEX(NOTA[SUPPLIER],MATCH(,INDIRECT(ADDRESS(ROW(NOTA[ID]),COLUMN(NOTA[ID]))&amp;":"&amp;ADDRESS(ROW(),COLUMN(NOTA[ID]))),-1)))</f>
        <v>SB</v>
      </c>
      <c r="AK191" s="41" t="str">
        <f ca="1">IF(NOTA[[#This Row],[ID_H]]="","",IF(NOTA[[#This Row],[FAKTUR]]="",INDIRECT(ADDRESS(ROW()-1,COLUMN())),NOTA[[#This Row],[FAKTUR]]))</f>
        <v>UNTANA</v>
      </c>
      <c r="AL191" s="38">
        <f ca="1">IF(NOTA[[#This Row],[ID]]="","",COUNTIF(NOTA[ID_H],NOTA[[#This Row],[ID_H]]))</f>
        <v>3</v>
      </c>
      <c r="AM191" s="38">
        <f>IF(NOTA[[#This Row],[TGL.NOTA]]="",IF(NOTA[[#This Row],[SUPPLIER_H]]="","",AM190),MONTH(NOTA[[#This Row],[TGL.NOTA]]))</f>
        <v>1</v>
      </c>
      <c r="AN191" s="38" t="str">
        <f>LOWER(SUBSTITUTE(SUBSTITUTE(SUBSTITUTE(SUBSTITUTE(SUBSTITUTE(SUBSTITUTE(SUBSTITUTE(SUBSTITUTE(SUBSTITUTE(NOTA[NAMA BARANG]," ",),".",""),"-",""),"(",""),")",""),",",""),"/",""),"""",""),"+",""))</f>
        <v>elevatedtray602hitam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elevatedtray602hitam0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elevatedtray602hitam0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>SBUNTANASURAT JALANTHC19/01/202445293elevatedtray602hitam</v>
      </c>
      <c r="AR191" s="38" t="e">
        <f>IF(NOTA[[#This Row],[CONCAT4]]="","",_xlfn.IFNA(MATCH(NOTA[[#This Row],[CONCAT4]],[2]!RAW[CONCAT_H],0),FALSE))</f>
        <v>#REF!</v>
      </c>
      <c r="AS191" s="38" t="e">
        <f>IF(NOTA[[#This Row],[CONCAT1]]="","",MATCH(NOTA[[#This Row],[CONCAT1]],[3]!db[NB NOTA_C],0))</f>
        <v>#N/A</v>
      </c>
      <c r="AT191" s="38" t="str">
        <f>IF(NOTA[[#This Row],[QTY/ CTN]]="","",TRUE)</f>
        <v/>
      </c>
      <c r="AU191" s="38" t="e">
        <f ca="1">IF(NOTA[[#This Row],[ID_H]]="","",IF(NOTA[[#This Row],[Column3]]=TRUE,NOTA[[#This Row],[QTY/ CTN]],INDEX([3]!db[QTY/ CTN],NOTA[[#This Row],[//DB]])))</f>
        <v>#N/A</v>
      </c>
      <c r="AV19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1" s="38" t="e">
        <f ca="1">IF(NOTA[[#This Row],[ID_H]]="","",MATCH(NOTA[[#This Row],[NB NOTA_C_QTY]],[4]!db[NB NOTA_C_QTY+F],0))</f>
        <v>#N/A</v>
      </c>
      <c r="AX191" s="53" t="e">
        <f ca="1">IF(NOTA[[#This Row],[NB NOTA_C_QTY]]="","",ROW()-2)</f>
        <v>#N/A</v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27</v>
      </c>
      <c r="E192" s="46"/>
      <c r="F192" s="37"/>
      <c r="G192" s="37"/>
      <c r="H192" s="47"/>
      <c r="I192" s="37"/>
      <c r="J192" s="39"/>
      <c r="K192" s="37"/>
      <c r="L192" s="37" t="s">
        <v>322</v>
      </c>
      <c r="M192" s="40">
        <v>5</v>
      </c>
      <c r="O192" s="37"/>
      <c r="P192" s="41"/>
      <c r="Q192" s="42"/>
      <c r="R192" s="48"/>
      <c r="S192" s="49"/>
      <c r="T192" s="44"/>
      <c r="U192" s="44"/>
      <c r="V192" s="50"/>
      <c r="W192" s="45"/>
      <c r="X192" s="50" t="str">
        <f>IF(NOTA[[#This Row],[HARGA/ CTN]]="",NOTA[[#This Row],[JUMLAH_H]],NOTA[[#This Row],[HARGA/ CTN]]*IF(NOTA[[#This Row],[C]]="",0,NOTA[[#This Row],[C]]))</f>
        <v/>
      </c>
      <c r="Y192" s="50" t="str">
        <f>IF(NOTA[[#This Row],[JUMLAH]]="","",NOTA[[#This Row],[JUMLAH]]*NOTA[[#This Row],[DISC 1]])</f>
        <v/>
      </c>
      <c r="Z192" s="50" t="str">
        <f>IF(NOTA[[#This Row],[JUMLAH]]="","",(NOTA[[#This Row],[JUMLAH]]-NOTA[[#This Row],[DISC 1-]])*NOTA[[#This Row],[DISC 2]])</f>
        <v/>
      </c>
      <c r="AA192" s="50" t="str">
        <f>IF(NOTA[[#This Row],[JUMLAH]]="","",(NOTA[[#This Row],[JUMLAH]]-NOTA[[#This Row],[DISC 1-]]-NOTA[[#This Row],[DISC 2-]])*NOTA[[#This Row],[DISC 3]])</f>
        <v/>
      </c>
      <c r="AB192" s="50" t="str">
        <f>IF(NOTA[[#This Row],[JUMLAH]]="","",NOTA[[#This Row],[DISC 1-]]+NOTA[[#This Row],[DISC 2-]]+NOTA[[#This Row],[DISC 3-]])</f>
        <v/>
      </c>
      <c r="AC192" s="50" t="str">
        <f>IF(NOTA[[#This Row],[JUMLAH]]="","",NOTA[[#This Row],[JUMLAH]]-NOTA[[#This Row],[DISC]])</f>
        <v/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92" s="50" t="str">
        <f>IF(OR(NOTA[[#This Row],[QTY]]="",NOTA[[#This Row],[HARGA SATUAN]]="",),"",NOTA[[#This Row],[QTY]]*NOTA[[#This Row],[HARGA SATUAN]])</f>
        <v/>
      </c>
      <c r="AI192" s="39">
        <f ca="1">IF(NOTA[ID_H]="","",INDEX(NOTA[TANGGAL],MATCH(,INDIRECT(ADDRESS(ROW(NOTA[TANGGAL]),COLUMN(NOTA[TANGGAL]))&amp;":"&amp;ADDRESS(ROW(),COLUMN(NOTA[TANGGAL]))),-1)))</f>
        <v>45299</v>
      </c>
      <c r="AJ192" s="41" t="str">
        <f ca="1">IF(NOTA[[#This Row],[NAMA BARANG]]="","",INDEX(NOTA[SUPPLIER],MATCH(,INDIRECT(ADDRESS(ROW(NOTA[ID]),COLUMN(NOTA[ID]))&amp;":"&amp;ADDRESS(ROW(),COLUMN(NOTA[ID]))),-1)))</f>
        <v>SB</v>
      </c>
      <c r="AK192" s="41" t="str">
        <f ca="1">IF(NOTA[[#This Row],[ID_H]]="","",IF(NOTA[[#This Row],[FAKTUR]]="",INDIRECT(ADDRESS(ROW()-1,COLUMN())),NOTA[[#This Row],[FAKTUR]]))</f>
        <v>UNTANA</v>
      </c>
      <c r="AL192" s="38" t="str">
        <f ca="1">IF(NOTA[[#This Row],[ID]]="","",COUNTIF(NOTA[ID_H],NOTA[[#This Row],[ID_H]]))</f>
        <v/>
      </c>
      <c r="AM192" s="38">
        <f ca="1">IF(NOTA[[#This Row],[TGL.NOTA]]="",IF(NOTA[[#This Row],[SUPPLIER_H]]="","",AM191),MONTH(NOTA[[#This Row],[TGL.NOTA]]))</f>
        <v>1</v>
      </c>
      <c r="AN192" s="38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 t="e">
        <f>IF(NOTA[[#This Row],[CONCAT1]]="","",MATCH(NOTA[[#This Row],[CONCAT1]],[3]!db[NB NOTA_C],0))</f>
        <v>#N/A</v>
      </c>
      <c r="AT192" s="38" t="str">
        <f>IF(NOTA[[#This Row],[QTY/ CTN]]="","",TRUE)</f>
        <v/>
      </c>
      <c r="AU192" s="38" t="e">
        <f ca="1">IF(NOTA[[#This Row],[ID_H]]="","",IF(NOTA[[#This Row],[Column3]]=TRUE,NOTA[[#This Row],[QTY/ CTN]],INDEX([3]!db[QTY/ CTN],NOTA[[#This Row],[//DB]])))</f>
        <v>#N/A</v>
      </c>
      <c r="AV19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2" s="38" t="e">
        <f ca="1">IF(NOTA[[#This Row],[ID_H]]="","",MATCH(NOTA[[#This Row],[NB NOTA_C_QTY]],[4]!db[NB NOTA_C_QTY+F],0))</f>
        <v>#N/A</v>
      </c>
      <c r="AX192" s="53" t="e">
        <f ca="1">IF(NOTA[[#This Row],[NB NOTA_C_QTY]]="","",ROW()-2)</f>
        <v>#N/A</v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27</v>
      </c>
      <c r="E193" s="46"/>
      <c r="F193" s="37"/>
      <c r="G193" s="37"/>
      <c r="H193" s="47"/>
      <c r="I193" s="37"/>
      <c r="J193" s="39"/>
      <c r="K193" s="37"/>
      <c r="L193" s="37" t="s">
        <v>323</v>
      </c>
      <c r="M193" s="40">
        <v>3</v>
      </c>
      <c r="O193" s="37"/>
      <c r="P193" s="41"/>
      <c r="Q193" s="42"/>
      <c r="R193" s="48"/>
      <c r="S193" s="49"/>
      <c r="T193" s="44"/>
      <c r="U193" s="44"/>
      <c r="V193" s="50"/>
      <c r="W193" s="45"/>
      <c r="X193" s="50" t="str">
        <f>IF(NOTA[[#This Row],[HARGA/ CTN]]="",NOTA[[#This Row],[JUMLAH_H]],NOTA[[#This Row],[HARGA/ CTN]]*IF(NOTA[[#This Row],[C]]="",0,NOTA[[#This Row],[C]]))</f>
        <v/>
      </c>
      <c r="Y193" s="50" t="str">
        <f>IF(NOTA[[#This Row],[JUMLAH]]="","",NOTA[[#This Row],[JUMLAH]]*NOTA[[#This Row],[DISC 1]])</f>
        <v/>
      </c>
      <c r="Z193" s="50" t="str">
        <f>IF(NOTA[[#This Row],[JUMLAH]]="","",(NOTA[[#This Row],[JUMLAH]]-NOTA[[#This Row],[DISC 1-]])*NOTA[[#This Row],[DISC 2]])</f>
        <v/>
      </c>
      <c r="AA193" s="50" t="str">
        <f>IF(NOTA[[#This Row],[JUMLAH]]="","",(NOTA[[#This Row],[JUMLAH]]-NOTA[[#This Row],[DISC 1-]]-NOTA[[#This Row],[DISC 2-]])*NOTA[[#This Row],[DISC 3]])</f>
        <v/>
      </c>
      <c r="AB193" s="50" t="str">
        <f>IF(NOTA[[#This Row],[JUMLAH]]="","",NOTA[[#This Row],[DISC 1-]]+NOTA[[#This Row],[DISC 2-]]+NOTA[[#This Row],[DISC 3-]])</f>
        <v/>
      </c>
      <c r="AC193" s="50" t="str">
        <f>IF(NOTA[[#This Row],[JUMLAH]]="","",NOTA[[#This Row],[JUMLAH]]-NOTA[[#This Row],[DISC]])</f>
        <v/>
      </c>
      <c r="AD193" s="50"/>
      <c r="AE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93" s="50" t="str">
        <f>IF(OR(NOTA[[#This Row],[QTY]]="",NOTA[[#This Row],[HARGA SATUAN]]="",),"",NOTA[[#This Row],[QTY]]*NOTA[[#This Row],[HARGA SATUAN]])</f>
        <v/>
      </c>
      <c r="AI193" s="39">
        <f ca="1">IF(NOTA[ID_H]="","",INDEX(NOTA[TANGGAL],MATCH(,INDIRECT(ADDRESS(ROW(NOTA[TANGGAL]),COLUMN(NOTA[TANGGAL]))&amp;":"&amp;ADDRESS(ROW(),COLUMN(NOTA[TANGGAL]))),-1)))</f>
        <v>45299</v>
      </c>
      <c r="AJ193" s="41" t="str">
        <f ca="1">IF(NOTA[[#This Row],[NAMA BARANG]]="","",INDEX(NOTA[SUPPLIER],MATCH(,INDIRECT(ADDRESS(ROW(NOTA[ID]),COLUMN(NOTA[ID]))&amp;":"&amp;ADDRESS(ROW(),COLUMN(NOTA[ID]))),-1)))</f>
        <v>SB</v>
      </c>
      <c r="AK193" s="41" t="str">
        <f ca="1">IF(NOTA[[#This Row],[ID_H]]="","",IF(NOTA[[#This Row],[FAKTUR]]="",INDIRECT(ADDRESS(ROW()-1,COLUMN())),NOTA[[#This Row],[FAKTUR]]))</f>
        <v>UNTANA</v>
      </c>
      <c r="AL193" s="38" t="str">
        <f ca="1">IF(NOTA[[#This Row],[ID]]="","",COUNTIF(NOTA[ID_H],NOTA[[#This Row],[ID_H]]))</f>
        <v/>
      </c>
      <c r="AM193" s="38">
        <f ca="1">IF(NOTA[[#This Row],[TGL.NOTA]]="",IF(NOTA[[#This Row],[SUPPLIER_H]]="","",AM192),MONTH(NOTA[[#This Row],[TGL.NOTA]]))</f>
        <v>1</v>
      </c>
      <c r="AN193" s="38" t="str">
        <f>LOWER(SUBSTITUTE(SUBSTITUTE(SUBSTITUTE(SUBSTITUTE(SUBSTITUTE(SUBSTITUTE(SUBSTITUTE(SUBSTITUTE(SUBSTITUTE(NOTA[NAMA BARANG]," ",),".",""),"-",""),"(",""),")",""),",",""),"/",""),"""",""),"+",""))</f>
        <v>elevatedtray604hitam</v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elevatedtray604hitam0</v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elevatedtray604hitam0</v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 t="e">
        <f>IF(NOTA[[#This Row],[CONCAT1]]="","",MATCH(NOTA[[#This Row],[CONCAT1]],[3]!db[NB NOTA_C],0))</f>
        <v>#N/A</v>
      </c>
      <c r="AT193" s="38" t="str">
        <f>IF(NOTA[[#This Row],[QTY/ CTN]]="","",TRUE)</f>
        <v/>
      </c>
      <c r="AU193" s="38" t="e">
        <f ca="1">IF(NOTA[[#This Row],[ID_H]]="","",IF(NOTA[[#This Row],[Column3]]=TRUE,NOTA[[#This Row],[QTY/ CTN]],INDEX([3]!db[QTY/ CTN],NOTA[[#This Row],[//DB]])))</f>
        <v>#N/A</v>
      </c>
      <c r="AV19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3" s="38" t="e">
        <f ca="1">IF(NOTA[[#This Row],[ID_H]]="","",MATCH(NOTA[[#This Row],[NB NOTA_C_QTY]],[4]!db[NB NOTA_C_QTY+F],0))</f>
        <v>#N/A</v>
      </c>
      <c r="AX193" s="53" t="e">
        <f ca="1">IF(NOTA[[#This Row],[NB NOTA_C_QTY]]="","",ROW()-2)</f>
        <v>#N/A</v>
      </c>
    </row>
    <row r="194" spans="1:50" s="85" customFormat="1" ht="20.100000000000001" customHeight="1" x14ac:dyDescent="0.25">
      <c r="A19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85" t="str">
        <f>IF(NOTA[[#This Row],[ID_P]]="","",MATCH(NOTA[[#This Row],[ID_P]],[1]!B_MSK[N_ID],0))</f>
        <v/>
      </c>
      <c r="D194" s="85" t="str">
        <f ca="1">IF(NOTA[[#This Row],[NAMA BARANG]]="","",INDEX(NOTA[ID],MATCH(,INDIRECT(ADDRESS(ROW(NOTA[ID]),COLUMN(NOTA[ID]))&amp;":"&amp;ADDRESS(ROW(),COLUMN(NOTA[ID]))),-1)))</f>
        <v/>
      </c>
      <c r="E194" s="86"/>
      <c r="F194" s="87"/>
      <c r="G194" s="87"/>
      <c r="H194" s="88"/>
      <c r="I194" s="87"/>
      <c r="J194" s="89"/>
      <c r="K194" s="87"/>
      <c r="L194" s="87"/>
      <c r="M194" s="90"/>
      <c r="O194" s="87"/>
      <c r="P194" s="84"/>
      <c r="Q194" s="91"/>
      <c r="R194" s="92"/>
      <c r="S194" s="93"/>
      <c r="T194" s="94"/>
      <c r="U194" s="94"/>
      <c r="V194" s="95"/>
      <c r="W194" s="96"/>
      <c r="X194" s="95" t="str">
        <f>IF(NOTA[[#This Row],[HARGA/ CTN]]="",NOTA[[#This Row],[JUMLAH_H]],NOTA[[#This Row],[HARGA/ CTN]]*IF(NOTA[[#This Row],[C]]="",0,NOTA[[#This Row],[C]]))</f>
        <v/>
      </c>
      <c r="Y194" s="95" t="str">
        <f>IF(NOTA[[#This Row],[JUMLAH]]="","",NOTA[[#This Row],[JUMLAH]]*NOTA[[#This Row],[DISC 1]])</f>
        <v/>
      </c>
      <c r="Z194" s="95" t="str">
        <f>IF(NOTA[[#This Row],[JUMLAH]]="","",(NOTA[[#This Row],[JUMLAH]]-NOTA[[#This Row],[DISC 1-]])*NOTA[[#This Row],[DISC 2]])</f>
        <v/>
      </c>
      <c r="AA194" s="95" t="str">
        <f>IF(NOTA[[#This Row],[JUMLAH]]="","",(NOTA[[#This Row],[JUMLAH]]-NOTA[[#This Row],[DISC 1-]]-NOTA[[#This Row],[DISC 2-]])*NOTA[[#This Row],[DISC 3]])</f>
        <v/>
      </c>
      <c r="AB194" s="95" t="str">
        <f>IF(NOTA[[#This Row],[JUMLAH]]="","",NOTA[[#This Row],[DISC 1-]]+NOTA[[#This Row],[DISC 2-]]+NOTA[[#This Row],[DISC 3-]])</f>
        <v/>
      </c>
      <c r="AC194" s="95" t="str">
        <f>IF(NOTA[[#This Row],[JUMLAH]]="","",NOTA[[#This Row],[JUMLAH]]-NOTA[[#This Row],[DISC]])</f>
        <v/>
      </c>
      <c r="AD194" s="95"/>
      <c r="AE194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4" s="95" t="str">
        <f>IF(OR(NOTA[[#This Row],[QTY]]="",NOTA[[#This Row],[HARGA SATUAN]]="",),"",NOTA[[#This Row],[QTY]]*NOTA[[#This Row],[HARGA SATUAN]])</f>
        <v/>
      </c>
      <c r="AI194" s="89" t="str">
        <f ca="1">IF(NOTA[ID_H]="","",INDEX(NOTA[TANGGAL],MATCH(,INDIRECT(ADDRESS(ROW(NOTA[TANGGAL]),COLUMN(NOTA[TANGGAL]))&amp;":"&amp;ADDRESS(ROW(),COLUMN(NOTA[TANGGAL]))),-1)))</f>
        <v/>
      </c>
      <c r="AJ194" s="84" t="str">
        <f ca="1">IF(NOTA[[#This Row],[NAMA BARANG]]="","",INDEX(NOTA[SUPPLIER],MATCH(,INDIRECT(ADDRESS(ROW(NOTA[ID]),COLUMN(NOTA[ID]))&amp;":"&amp;ADDRESS(ROW(),COLUMN(NOTA[ID]))),-1)))</f>
        <v/>
      </c>
      <c r="AK194" s="84" t="str">
        <f ca="1">IF(NOTA[[#This Row],[ID_H]]="","",IF(NOTA[[#This Row],[FAKTUR]]="",INDIRECT(ADDRESS(ROW()-1,COLUMN())),NOTA[[#This Row],[FAKTUR]]))</f>
        <v/>
      </c>
      <c r="AL194" s="85" t="str">
        <f ca="1">IF(NOTA[[#This Row],[ID]]="","",COUNTIF(NOTA[ID_H],NOTA[[#This Row],[ID_H]]))</f>
        <v/>
      </c>
      <c r="AM194" s="85" t="str">
        <f ca="1">IF(NOTA[[#This Row],[TGL.NOTA]]="",IF(NOTA[[#This Row],[SUPPLIER_H]]="","",AM193),MONTH(NOTA[[#This Row],[TGL.NOTA]]))</f>
        <v/>
      </c>
      <c r="AN194" s="85" t="str">
        <f>LOWER(SUBSTITUTE(SUBSTITUTE(SUBSTITUTE(SUBSTITUTE(SUBSTITUTE(SUBSTITUTE(SUBSTITUTE(SUBSTITUTE(SUBSTITUTE(NOTA[NAMA BARANG]," ",),".",""),"-",""),"(",""),")",""),",",""),"/",""),"""",""),"+",""))</f>
        <v/>
      </c>
      <c r="AO194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4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4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4" s="85" t="str">
        <f>IF(NOTA[[#This Row],[CONCAT4]]="","",_xlfn.IFNA(MATCH(NOTA[[#This Row],[CONCAT4]],[2]!RAW[CONCAT_H],0),FALSE))</f>
        <v/>
      </c>
      <c r="AS194" s="85" t="str">
        <f>IF(NOTA[[#This Row],[CONCAT1]]="","",MATCH(NOTA[[#This Row],[CONCAT1]],[3]!db[NB NOTA_C],0))</f>
        <v/>
      </c>
      <c r="AT194" s="85" t="str">
        <f>IF(NOTA[[#This Row],[QTY/ CTN]]="","",TRUE)</f>
        <v/>
      </c>
      <c r="AU194" s="85" t="str">
        <f ca="1">IF(NOTA[[#This Row],[ID_H]]="","",IF(NOTA[[#This Row],[Column3]]=TRUE,NOTA[[#This Row],[QTY/ CTN]],INDEX([3]!db[QTY/ CTN],NOTA[[#This Row],[//DB]])))</f>
        <v/>
      </c>
      <c r="AV194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4" s="85" t="str">
        <f ca="1">IF(NOTA[[#This Row],[ID_H]]="","",MATCH(NOTA[[#This Row],[NB NOTA_C_QTY]],[4]!db[NB NOTA_C_QTY+F],0))</f>
        <v/>
      </c>
      <c r="AX194" s="97" t="str">
        <f ca="1">IF(NOTA[[#This Row],[NB NOTA_C_QTY]]="","",ROW()-2)</f>
        <v/>
      </c>
    </row>
    <row r="195" spans="1:50" s="38" customFormat="1" ht="20.100000000000001" customHeight="1" x14ac:dyDescent="0.25">
      <c r="A195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LAY_1101_079-2</v>
      </c>
      <c r="C195" s="38" t="e">
        <f ca="1">IF(NOTA[[#This Row],[ID_P]]="","",MATCH(NOTA[[#This Row],[ID_P]],[1]!B_MSK[N_ID],0))</f>
        <v>#REF!</v>
      </c>
      <c r="D195" s="38">
        <f ca="1">IF(NOTA[[#This Row],[NAMA BARANG]]="","",INDEX(NOTA[ID],MATCH(,INDIRECT(ADDRESS(ROW(NOTA[ID]),COLUMN(NOTA[ID]))&amp;":"&amp;ADDRESS(ROW(),COLUMN(NOTA[ID]))),-1)))</f>
        <v>28</v>
      </c>
      <c r="E195" s="46">
        <v>45302</v>
      </c>
      <c r="F195" s="37" t="s">
        <v>27</v>
      </c>
      <c r="G195" s="37" t="s">
        <v>23</v>
      </c>
      <c r="H195" s="47" t="s">
        <v>324</v>
      </c>
      <c r="I195" s="37"/>
      <c r="J195" s="39">
        <v>45300</v>
      </c>
      <c r="K195" s="37"/>
      <c r="L195" s="37" t="s">
        <v>325</v>
      </c>
      <c r="M195" s="40">
        <v>20</v>
      </c>
      <c r="N195" s="38">
        <v>2000</v>
      </c>
      <c r="O195" s="37" t="s">
        <v>135</v>
      </c>
      <c r="P195" s="41">
        <v>14000</v>
      </c>
      <c r="Q195" s="42"/>
      <c r="R195" s="48" t="s">
        <v>326</v>
      </c>
      <c r="S195" s="49">
        <v>0.1</v>
      </c>
      <c r="T195" s="44"/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28000000</v>
      </c>
      <c r="Y195" s="50">
        <f>IF(NOTA[[#This Row],[JUMLAH]]="","",NOTA[[#This Row],[JUMLAH]]*NOTA[[#This Row],[DISC 1]])</f>
        <v>2800000</v>
      </c>
      <c r="Z195" s="50">
        <f>IF(NOTA[[#This Row],[JUMLAH]]="","",(NOTA[[#This Row],[JUMLAH]]-NOTA[[#This Row],[DISC 1-]])*NOTA[[#This Row],[DISC 2]])</f>
        <v>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2800000</v>
      </c>
      <c r="AC195" s="50">
        <f>IF(NOTA[[#This Row],[JUMLAH]]="","",NOTA[[#This Row],[JUMLAH]]-NOTA[[#This Row],[DISC]])</f>
        <v>25200000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195" s="50">
        <f>IF(OR(NOTA[[#This Row],[QTY]]="",NOTA[[#This Row],[HARGA SATUAN]]="",),"",NOTA[[#This Row],[QTY]]*NOTA[[#This Row],[HARGA SATUAN]])</f>
        <v>28000000</v>
      </c>
      <c r="AI195" s="39">
        <f ca="1">IF(NOTA[ID_H]="","",INDEX(NOTA[TANGGAL],MATCH(,INDIRECT(ADDRESS(ROW(NOTA[TANGGAL]),COLUMN(NOTA[TANGGAL]))&amp;":"&amp;ADDRESS(ROW(),COLUMN(NOTA[TANGGAL]))),-1)))</f>
        <v>45302</v>
      </c>
      <c r="AJ195" s="41" t="str">
        <f ca="1">IF(NOTA[[#This Row],[NAMA BARANG]]="","",INDEX(NOTA[SUPPLIER],MATCH(,INDIRECT(ADDRESS(ROW(NOTA[ID]),COLUMN(NOTA[ID]))&amp;":"&amp;ADDRESS(ROW(),COLUMN(NOTA[ID]))),-1)))</f>
        <v>LAYS</v>
      </c>
      <c r="AK195" s="41" t="str">
        <f ca="1">IF(NOTA[[#This Row],[ID_H]]="","",IF(NOTA[[#This Row],[FAKTUR]]="",INDIRECT(ADDRESS(ROW()-1,COLUMN())),NOTA[[#This Row],[FAKTUR]]))</f>
        <v>ARTO MORO</v>
      </c>
      <c r="AL195" s="38">
        <f ca="1">IF(NOTA[[#This Row],[ID]]="","",COUNTIF(NOTA[ID_H],NOTA[[#This Row],[ID_H]]))</f>
        <v>2</v>
      </c>
      <c r="AM195" s="38">
        <f>IF(NOTA[[#This Row],[TGL.NOTA]]="",IF(NOTA[[#This Row],[SUPPLIER_H]]="","",AM194),MONTH(NOTA[[#This Row],[TGL.NOTA]]))</f>
        <v>1</v>
      </c>
      <c r="AN195" s="38" t="str">
        <f>LOWER(SUBSTITUTE(SUBSTITUTE(SUBSTITUTE(SUBSTITUTE(SUBSTITUTE(SUBSTITUTE(SUBSTITUTE(SUBSTITUTE(SUBSTITUTE(NOTA[NAMA BARANG]," ",),".",""),"-",""),"(",""),")",""),",",""),"/",""),"""",""),"+",""))</f>
        <v>isigwno10</v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MOROL:10107945300isigwno10</v>
      </c>
      <c r="AR195" s="38" t="e">
        <f>IF(NOTA[[#This Row],[CONCAT4]]="","",_xlfn.IFNA(MATCH(NOTA[[#This Row],[CONCAT4]],[2]!RAW[CONCAT_H],0),FALSE))</f>
        <v>#REF!</v>
      </c>
      <c r="AS195" s="38">
        <f>IF(NOTA[[#This Row],[CONCAT1]]="","",MATCH(NOTA[[#This Row],[CONCAT1]],[3]!db[NB NOTA_C],0))</f>
        <v>1431</v>
      </c>
      <c r="AT195" s="38" t="b">
        <f>IF(NOTA[[#This Row],[QTY/ CTN]]="","",TRUE)</f>
        <v>1</v>
      </c>
      <c r="AU195" s="38" t="str">
        <f ca="1">IF(NOTA[[#This Row],[ID_H]]="","",IF(NOTA[[#This Row],[Column3]]=TRUE,NOTA[[#This Row],[QTY/ CTN]],INDEX([3]!db[QTY/ CTN],NOTA[[#This Row],[//DB]])))</f>
        <v>100 PAK</v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195" s="38" t="e">
        <f ca="1">IF(NOTA[[#This Row],[ID_H]]="","",MATCH(NOTA[[#This Row],[NB NOTA_C_QTY]],[4]!db[NB NOTA_C_QTY+F],0))</f>
        <v>#REF!</v>
      </c>
      <c r="AX195" s="53">
        <f ca="1">IF(NOTA[[#This Row],[NB NOTA_C_QTY]]="","",ROW()-2)</f>
        <v>193</v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28</v>
      </c>
      <c r="E196" s="46"/>
      <c r="F196" s="37"/>
      <c r="G196" s="37"/>
      <c r="H196" s="47"/>
      <c r="I196" s="37"/>
      <c r="J196" s="39"/>
      <c r="K196" s="37"/>
      <c r="L196" s="37" t="s">
        <v>327</v>
      </c>
      <c r="M196" s="40">
        <v>5</v>
      </c>
      <c r="N196" s="38">
        <v>50</v>
      </c>
      <c r="O196" s="37" t="s">
        <v>135</v>
      </c>
      <c r="P196" s="41">
        <v>24000</v>
      </c>
      <c r="Q196" s="42"/>
      <c r="R196" s="48" t="s">
        <v>328</v>
      </c>
      <c r="S196" s="49"/>
      <c r="T196" s="44"/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1200000</v>
      </c>
      <c r="Y196" s="50">
        <f>IF(NOTA[[#This Row],[JUMLAH]]="","",NOTA[[#This Row],[JUMLAH]]*NOTA[[#This Row],[DISC 1]])</f>
        <v>0</v>
      </c>
      <c r="Z196" s="50">
        <f>IF(NOTA[[#This Row],[JUMLAH]]="","",(NOTA[[#This Row],[JUMLAH]]-NOTA[[#This Row],[DISC 1-]])*NOTA[[#This Row],[DISC 2]])</f>
        <v>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0</v>
      </c>
      <c r="AC196" s="50">
        <f>IF(NOTA[[#This Row],[JUMLAH]]="","",NOTA[[#This Row],[JUMLAH]]-NOTA[[#This Row],[DISC]])</f>
        <v>1200000</v>
      </c>
      <c r="AD196" s="50"/>
      <c r="AE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26400000</v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240000</v>
      </c>
      <c r="AH196" s="50">
        <f>IF(OR(NOTA[[#This Row],[QTY]]="",NOTA[[#This Row],[HARGA SATUAN]]="",),"",NOTA[[#This Row],[QTY]]*NOTA[[#This Row],[HARGA SATUAN]])</f>
        <v>1200000</v>
      </c>
      <c r="AI196" s="39">
        <f ca="1">IF(NOTA[ID_H]="","",INDEX(NOTA[TANGGAL],MATCH(,INDIRECT(ADDRESS(ROW(NOTA[TANGGAL]),COLUMN(NOTA[TANGGAL]))&amp;":"&amp;ADDRESS(ROW(),COLUMN(NOTA[TANGGAL]))),-1)))</f>
        <v>45302</v>
      </c>
      <c r="AJ196" s="41" t="str">
        <f ca="1">IF(NOTA[[#This Row],[NAMA BARANG]]="","",INDEX(NOTA[SUPPLIER],MATCH(,INDIRECT(ADDRESS(ROW(NOTA[ID]),COLUMN(NOTA[ID]))&amp;":"&amp;ADDRESS(ROW(),COLUMN(NOTA[ID]))),-1)))</f>
        <v>LAYS</v>
      </c>
      <c r="AK196" s="41" t="str">
        <f ca="1">IF(NOTA[[#This Row],[ID_H]]="","",IF(NOTA[[#This Row],[FAKTUR]]="",INDIRECT(ADDRESS(ROW()-1,COLUMN())),NOTA[[#This Row],[FAKTUR]]))</f>
        <v>ARTO MORO</v>
      </c>
      <c r="AL196" s="38" t="str">
        <f ca="1">IF(NOTA[[#This Row],[ID]]="","",COUNTIF(NOTA[ID_H],NOTA[[#This Row],[ID_H]]))</f>
        <v/>
      </c>
      <c r="AM196" s="38">
        <f ca="1">IF(NOTA[[#This Row],[TGL.NOTA]]="",IF(NOTA[[#This Row],[SUPPLIER_H]]="","",AM195),MONTH(NOTA[[#This Row],[TGL.NOTA]]))</f>
        <v>1</v>
      </c>
      <c r="AN196" s="38" t="str">
        <f>LOWER(SUBSTITUTE(SUBSTITUTE(SUBSTITUTE(SUBSTITUTE(SUBSTITUTE(SUBSTITUTE(SUBSTITUTE(SUBSTITUTE(SUBSTITUTE(NOTA[NAMA BARANG]," ",),".",""),"-",""),"(",""),")",""),",",""),"/",""),"""",""),"+",""))</f>
        <v>isigwno369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isigwno369240000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isigwno369240000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>
        <f>IF(NOTA[[#This Row],[CONCAT1]]="","",MATCH(NOTA[[#This Row],[CONCAT1]],[3]!db[NB NOTA_C],0))</f>
        <v>1432</v>
      </c>
      <c r="AT196" s="38" t="b">
        <f>IF(NOTA[[#This Row],[QTY/ CTN]]="","",TRUE)</f>
        <v>1</v>
      </c>
      <c r="AU196" s="38" t="str">
        <f ca="1">IF(NOTA[[#This Row],[ID_H]]="","",IF(NOTA[[#This Row],[Column3]]=TRUE,NOTA[[#This Row],[QTY/ CTN]],INDEX([3]!db[QTY/ CTN],NOTA[[#This Row],[//DB]])))</f>
        <v>50 PAK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 t="str">
        <f ca="1">IF(NOTA[[#This Row],[NAMA BARANG]]="","",INDEX(NOTA[ID],MATCH(,INDIRECT(ADDRESS(ROW(NOTA[ID]),COLUMN(NOTA[ID]))&amp;":"&amp;ADDRESS(ROW(),COLUMN(NOTA[ID]))),-1)))</f>
        <v/>
      </c>
      <c r="E197" s="46"/>
      <c r="F197" s="37"/>
      <c r="G197" s="37"/>
      <c r="H197" s="47"/>
      <c r="I197" s="37"/>
      <c r="J197" s="39"/>
      <c r="K197" s="37"/>
      <c r="L197" s="37"/>
      <c r="M197" s="40"/>
      <c r="O197" s="37"/>
      <c r="P197" s="41"/>
      <c r="Q197" s="42"/>
      <c r="R197" s="48"/>
      <c r="S197" s="49"/>
      <c r="T197" s="44"/>
      <c r="U197" s="44"/>
      <c r="V197" s="50"/>
      <c r="W197" s="45"/>
      <c r="X197" s="50" t="str">
        <f>IF(NOTA[[#This Row],[HARGA/ CTN]]="",NOTA[[#This Row],[JUMLAH_H]],NOTA[[#This Row],[HARGA/ CTN]]*IF(NOTA[[#This Row],[C]]="",0,NOTA[[#This Row],[C]]))</f>
        <v/>
      </c>
      <c r="Y197" s="50" t="str">
        <f>IF(NOTA[[#This Row],[JUMLAH]]="","",NOTA[[#This Row],[JUMLAH]]*NOTA[[#This Row],[DISC 1]])</f>
        <v/>
      </c>
      <c r="Z197" s="50" t="str">
        <f>IF(NOTA[[#This Row],[JUMLAH]]="","",(NOTA[[#This Row],[JUMLAH]]-NOTA[[#This Row],[DISC 1-]])*NOTA[[#This Row],[DISC 2]])</f>
        <v/>
      </c>
      <c r="AA197" s="50" t="str">
        <f>IF(NOTA[[#This Row],[JUMLAH]]="","",(NOTA[[#This Row],[JUMLAH]]-NOTA[[#This Row],[DISC 1-]]-NOTA[[#This Row],[DISC 2-]])*NOTA[[#This Row],[DISC 3]])</f>
        <v/>
      </c>
      <c r="AB197" s="50" t="str">
        <f>IF(NOTA[[#This Row],[JUMLAH]]="","",NOTA[[#This Row],[DISC 1-]]+NOTA[[#This Row],[DISC 2-]]+NOTA[[#This Row],[DISC 3-]])</f>
        <v/>
      </c>
      <c r="AC197" s="50" t="str">
        <f>IF(NOTA[[#This Row],[JUMLAH]]="","",NOTA[[#This Row],[JUMLAH]]-NOTA[[#This Row],[DISC]])</f>
        <v/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7" s="50" t="str">
        <f>IF(OR(NOTA[[#This Row],[QTY]]="",NOTA[[#This Row],[HARGA SATUAN]]="",),"",NOTA[[#This Row],[QTY]]*NOTA[[#This Row],[HARGA SATUAN]])</f>
        <v/>
      </c>
      <c r="AI197" s="39" t="str">
        <f ca="1">IF(NOTA[ID_H]="","",INDEX(NOTA[TANGGAL],MATCH(,INDIRECT(ADDRESS(ROW(NOTA[TANGGAL]),COLUMN(NOTA[TANGGAL]))&amp;":"&amp;ADDRESS(ROW(),COLUMN(NOTA[TANGGAL]))),-1)))</f>
        <v/>
      </c>
      <c r="AJ197" s="41" t="str">
        <f ca="1">IF(NOTA[[#This Row],[NAMA BARANG]]="","",INDEX(NOTA[SUPPLIER],MATCH(,INDIRECT(ADDRESS(ROW(NOTA[ID]),COLUMN(NOTA[ID]))&amp;":"&amp;ADDRESS(ROW(),COLUMN(NOTA[ID]))),-1)))</f>
        <v/>
      </c>
      <c r="AK197" s="41" t="str">
        <f ca="1">IF(NOTA[[#This Row],[ID_H]]="","",IF(NOTA[[#This Row],[FAKTUR]]="",INDIRECT(ADDRESS(ROW()-1,COLUMN())),NOTA[[#This Row],[FAKTUR]]))</f>
        <v/>
      </c>
      <c r="AL197" s="38" t="str">
        <f ca="1">IF(NOTA[[#This Row],[ID]]="","",COUNTIF(NOTA[ID_H],NOTA[[#This Row],[ID_H]]))</f>
        <v/>
      </c>
      <c r="AM197" s="38" t="str">
        <f ca="1">IF(NOTA[[#This Row],[TGL.NOTA]]="",IF(NOTA[[#This Row],[SUPPLIER_H]]="","",AM196),MONTH(NOTA[[#This Row],[TGL.NOTA]]))</f>
        <v/>
      </c>
      <c r="AN197" s="38" t="str">
        <f>LOWER(SUBSTITUTE(SUBSTITUTE(SUBSTITUTE(SUBSTITUTE(SUBSTITUTE(SUBSTITUTE(SUBSTITUTE(SUBSTITUTE(SUBSTITUTE(NOTA[NAMA BARANG]," ",),".",""),"-",""),"(",""),")",""),",",""),"/",""),"""",""),"+",""))</f>
        <v/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 t="str">
        <f>IF(NOTA[[#This Row],[CONCAT1]]="","",MATCH(NOTA[[#This Row],[CONCAT1]],[3]!db[NB NOTA_C],0))</f>
        <v/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/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7" s="38" t="str">
        <f ca="1">IF(NOTA[[#This Row],[ID_H]]="","",MATCH(NOTA[[#This Row],[NB NOTA_C_QTY]],[4]!db[NB NOTA_C_QTY+F],0))</f>
        <v/>
      </c>
      <c r="AX197" s="53" t="str">
        <f ca="1">IF(NOTA[[#This Row],[NB NOTA_C_QTY]]="","",ROW()-2)</f>
        <v/>
      </c>
    </row>
    <row r="198" spans="1:50" s="38" customFormat="1" ht="20.100000000000001" customHeight="1" x14ac:dyDescent="0.25">
      <c r="A198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KEN_0901_285-6</v>
      </c>
      <c r="C198" s="38" t="e">
        <f ca="1">IF(NOTA[[#This Row],[ID_P]]="","",MATCH(NOTA[[#This Row],[ID_P]],[1]!B_MSK[N_ID],0))</f>
        <v>#REF!</v>
      </c>
      <c r="D198" s="38">
        <f ca="1">IF(NOTA[[#This Row],[NAMA BARANG]]="","",INDEX(NOTA[ID],MATCH(,INDIRECT(ADDRESS(ROW(NOTA[ID]),COLUMN(NOTA[ID]))&amp;":"&amp;ADDRESS(ROW(),COLUMN(NOTA[ID]))),-1)))</f>
        <v>29</v>
      </c>
      <c r="E198" s="46">
        <v>45300</v>
      </c>
      <c r="F198" s="37" t="s">
        <v>22</v>
      </c>
      <c r="G198" s="37" t="s">
        <v>23</v>
      </c>
      <c r="H198" s="47" t="s">
        <v>329</v>
      </c>
      <c r="I198" s="37"/>
      <c r="J198" s="39">
        <v>45299</v>
      </c>
      <c r="K198" s="36" t="str">
        <f>"-1-1 B"</f>
        <v>-1-1 B</v>
      </c>
      <c r="L198" s="37" t="s">
        <v>330</v>
      </c>
      <c r="M198" s="40">
        <v>5</v>
      </c>
      <c r="O198" s="37"/>
      <c r="P198" s="41"/>
      <c r="Q198" s="42">
        <v>396000</v>
      </c>
      <c r="R198" s="48"/>
      <c r="S198" s="49">
        <v>0.17</v>
      </c>
      <c r="T198" s="44"/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1980000</v>
      </c>
      <c r="Y198" s="50">
        <f>IF(NOTA[[#This Row],[JUMLAH]]="","",NOTA[[#This Row],[JUMLAH]]*NOTA[[#This Row],[DISC 1]])</f>
        <v>336600</v>
      </c>
      <c r="Z198" s="50">
        <f>IF(NOTA[[#This Row],[JUMLAH]]="","",(NOTA[[#This Row],[JUMLAH]]-NOTA[[#This Row],[DISC 1-]])*NOTA[[#This Row],[DISC 2]])</f>
        <v>0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336600</v>
      </c>
      <c r="AC198" s="50">
        <f>IF(NOTA[[#This Row],[JUMLAH]]="","",NOTA[[#This Row],[JUMLAH]]-NOTA[[#This Row],[DISC]])</f>
        <v>1643400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198" s="50" t="str">
        <f>IF(OR(NOTA[[#This Row],[QTY]]="",NOTA[[#This Row],[HARGA SATUAN]]="",),"",NOTA[[#This Row],[QTY]]*NOTA[[#This Row],[HARGA SATUAN]])</f>
        <v/>
      </c>
      <c r="AI198" s="39">
        <f ca="1">IF(NOTA[ID_H]="","",INDEX(NOTA[TANGGAL],MATCH(,INDIRECT(ADDRESS(ROW(NOTA[TANGGAL]),COLUMN(NOTA[TANGGAL]))&amp;":"&amp;ADDRESS(ROW(),COLUMN(NOTA[TANGGAL]))),-1)))</f>
        <v>45300</v>
      </c>
      <c r="AJ198" s="41" t="str">
        <f ca="1">IF(NOTA[[#This Row],[NAMA BARANG]]="","",INDEX(NOTA[SUPPLIER],MATCH(,INDIRECT(ADDRESS(ROW(NOTA[ID]),COLUMN(NOTA[ID]))&amp;":"&amp;ADDRESS(ROW(),COLUMN(NOTA[ID]))),-1)))</f>
        <v>KENKO SINAR INDONESIA</v>
      </c>
      <c r="AK198" s="41" t="str">
        <f ca="1">IF(NOTA[[#This Row],[ID_H]]="","",IF(NOTA[[#This Row],[FAKTUR]]="",INDIRECT(ADDRESS(ROW()-1,COLUMN())),NOTA[[#This Row],[FAKTUR]]))</f>
        <v>ARTO MORO</v>
      </c>
      <c r="AL198" s="38">
        <f ca="1">IF(NOTA[[#This Row],[ID]]="","",COUNTIF(NOTA[ID_H],NOTA[[#This Row],[ID_H]]))</f>
        <v>6</v>
      </c>
      <c r="AM198" s="38">
        <f>IF(NOTA[[#This Row],[TGL.NOTA]]="",IF(NOTA[[#This Row],[SUPPLIER_H]]="","",AM197),MONTH(NOTA[[#This Row],[TGL.NOTA]]))</f>
        <v>1</v>
      </c>
      <c r="AN198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MORO2401028545299kenkoliquidgluelg3535ml</v>
      </c>
      <c r="AR198" s="38" t="e">
        <f>IF(NOTA[[#This Row],[CONCAT4]]="","",_xlfn.IFNA(MATCH(NOTA[[#This Row],[CONCAT4]],[2]!RAW[CONCAT_H],0),FALSE))</f>
        <v>#REF!</v>
      </c>
      <c r="AS198" s="38">
        <f>IF(NOTA[[#This Row],[CONCAT1]]="","",MATCH(NOTA[[#This Row],[CONCAT1]],[3]!db[NB NOTA_C],0))</f>
        <v>1688</v>
      </c>
      <c r="AT198" s="38" t="str">
        <f>IF(NOTA[[#This Row],[QTY/ CTN]]="","",TRUE)</f>
        <v/>
      </c>
      <c r="AU198" s="38" t="str">
        <f ca="1">IF(NOTA[[#This Row],[ID_H]]="","",IF(NOTA[[#This Row],[Column3]]=TRUE,NOTA[[#This Row],[QTY/ CTN]],INDEX([3]!db[QTY/ CTN],NOTA[[#This Row],[//DB]])))</f>
        <v>20 LSN</v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198" s="38" t="e">
        <f ca="1">IF(NOTA[[#This Row],[ID_H]]="","",MATCH(NOTA[[#This Row],[NB NOTA_C_QTY]],[4]!db[NB NOTA_C_QTY+F],0))</f>
        <v>#REF!</v>
      </c>
      <c r="AX198" s="53">
        <f ca="1">IF(NOTA[[#This Row],[NB NOTA_C_QTY]]="","",ROW()-2)</f>
        <v>196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29</v>
      </c>
      <c r="E199" s="46"/>
      <c r="F199" s="37"/>
      <c r="G199" s="37"/>
      <c r="H199" s="47"/>
      <c r="I199" s="37"/>
      <c r="J199" s="39"/>
      <c r="K199" s="37">
        <v>1</v>
      </c>
      <c r="L199" s="37" t="s">
        <v>331</v>
      </c>
      <c r="M199" s="40">
        <v>5</v>
      </c>
      <c r="O199" s="37"/>
      <c r="P199" s="41"/>
      <c r="Q199" s="42">
        <v>504000</v>
      </c>
      <c r="R199" s="48"/>
      <c r="S199" s="49">
        <v>0.17</v>
      </c>
      <c r="T199" s="44"/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2520000</v>
      </c>
      <c r="Y199" s="50">
        <f>IF(NOTA[[#This Row],[JUMLAH]]="","",NOTA[[#This Row],[JUMLAH]]*NOTA[[#This Row],[DISC 1]])</f>
        <v>428400.00000000006</v>
      </c>
      <c r="Z199" s="50">
        <f>IF(NOTA[[#This Row],[JUMLAH]]="","",(NOTA[[#This Row],[JUMLAH]]-NOTA[[#This Row],[DISC 1-]])*NOTA[[#This Row],[DISC 2]])</f>
        <v>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428400.00000000006</v>
      </c>
      <c r="AC199" s="50">
        <f>IF(NOTA[[#This Row],[JUMLAH]]="","",NOTA[[#This Row],[JUMLAH]]-NOTA[[#This Row],[DISC]])</f>
        <v>2091600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199" s="50" t="str">
        <f>IF(OR(NOTA[[#This Row],[QTY]]="",NOTA[[#This Row],[HARGA SATUAN]]="",),"",NOTA[[#This Row],[QTY]]*NOTA[[#This Row],[HARGA SATUAN]])</f>
        <v/>
      </c>
      <c r="AI199" s="39">
        <f ca="1">IF(NOTA[ID_H]="","",INDEX(NOTA[TANGGAL],MATCH(,INDIRECT(ADDRESS(ROW(NOTA[TANGGAL]),COLUMN(NOTA[TANGGAL]))&amp;":"&amp;ADDRESS(ROW(),COLUMN(NOTA[TANGGAL]))),-1)))</f>
        <v>45300</v>
      </c>
      <c r="AJ199" s="41" t="str">
        <f ca="1">IF(NOTA[[#This Row],[NAMA BARANG]]="","",INDEX(NOTA[SUPPLIER],MATCH(,INDIRECT(ADDRESS(ROW(NOTA[ID]),COLUMN(NOTA[ID]))&amp;":"&amp;ADDRESS(ROW(),COLUMN(NOTA[ID]))),-1)))</f>
        <v>KENKO SINAR INDONESIA</v>
      </c>
      <c r="AK199" s="41" t="str">
        <f ca="1">IF(NOTA[[#This Row],[ID_H]]="","",IF(NOTA[[#This Row],[FAKTUR]]="",INDIRECT(ADDRESS(ROW()-1,COLUMN())),NOTA[[#This Row],[FAKTUR]]))</f>
        <v>ARTO MORO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1</v>
      </c>
      <c r="AN199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>
        <f>IF(NOTA[[#This Row],[CONCAT1]]="","",MATCH(NOTA[[#This Row],[CONCAT1]],[3]!db[NB NOTA_C],0))</f>
        <v>1689</v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>20 LSN</v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199" s="38" t="e">
        <f ca="1">IF(NOTA[[#This Row],[ID_H]]="","",MATCH(NOTA[[#This Row],[NB NOTA_C_QTY]],[4]!db[NB NOTA_C_QTY+F],0))</f>
        <v>#REF!</v>
      </c>
      <c r="AX199" s="53">
        <f ca="1">IF(NOTA[[#This Row],[NB NOTA_C_QTY]]="","",ROW()-2)</f>
        <v>197</v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29</v>
      </c>
      <c r="E200" s="46"/>
      <c r="F200" s="37"/>
      <c r="G200" s="37"/>
      <c r="H200" s="47"/>
      <c r="I200" s="37"/>
      <c r="J200" s="39"/>
      <c r="K200" s="37">
        <v>1</v>
      </c>
      <c r="L200" s="37" t="s">
        <v>129</v>
      </c>
      <c r="M200" s="40">
        <v>5</v>
      </c>
      <c r="O200" s="37"/>
      <c r="P200" s="41"/>
      <c r="Q200" s="42">
        <v>2376000</v>
      </c>
      <c r="R200" s="48"/>
      <c r="S200" s="49">
        <v>0.17</v>
      </c>
      <c r="T200" s="44"/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11880000</v>
      </c>
      <c r="Y200" s="50">
        <f>IF(NOTA[[#This Row],[JUMLAH]]="","",NOTA[[#This Row],[JUMLAH]]*NOTA[[#This Row],[DISC 1]])</f>
        <v>2019600.0000000002</v>
      </c>
      <c r="Z200" s="50">
        <f>IF(NOTA[[#This Row],[JUMLAH]]="","",(NOTA[[#This Row],[JUMLAH]]-NOTA[[#This Row],[DISC 1-]])*NOTA[[#This Row],[DISC 2]])</f>
        <v>0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2019600.0000000002</v>
      </c>
      <c r="AC200" s="50">
        <f>IF(NOTA[[#This Row],[JUMLAH]]="","",NOTA[[#This Row],[JUMLAH]]-NOTA[[#This Row],[DISC]])</f>
        <v>9860400</v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00" s="50" t="str">
        <f>IF(OR(NOTA[[#This Row],[QTY]]="",NOTA[[#This Row],[HARGA SATUAN]]="",),"",NOTA[[#This Row],[QTY]]*NOTA[[#This Row],[HARGA SATUAN]])</f>
        <v/>
      </c>
      <c r="AI200" s="39">
        <f ca="1">IF(NOTA[ID_H]="","",INDEX(NOTA[TANGGAL],MATCH(,INDIRECT(ADDRESS(ROW(NOTA[TANGGAL]),COLUMN(NOTA[TANGGAL]))&amp;":"&amp;ADDRESS(ROW(),COLUMN(NOTA[TANGGAL]))),-1)))</f>
        <v>45300</v>
      </c>
      <c r="AJ200" s="41" t="str">
        <f ca="1">IF(NOTA[[#This Row],[NAMA BARANG]]="","",INDEX(NOTA[SUPPLIER],MATCH(,INDIRECT(ADDRESS(ROW(NOTA[ID]),COLUMN(NOTA[ID]))&amp;":"&amp;ADDRESS(ROW(),COLUMN(NOTA[ID]))),-1)))</f>
        <v>KENKO SINAR INDONESIA</v>
      </c>
      <c r="AK200" s="41" t="str">
        <f ca="1">IF(NOTA[[#This Row],[ID_H]]="","",IF(NOTA[[#This Row],[FAKTUR]]="",INDIRECT(ADDRESS(ROW()-1,COLUMN())),NOTA[[#This Row],[FAKTUR]]))</f>
        <v>ARTO MORO</v>
      </c>
      <c r="AL200" s="38" t="str">
        <f ca="1">IF(NOTA[[#This Row],[ID]]="","",COUNTIF(NOTA[ID_H],NOTA[[#This Row],[ID_H]]))</f>
        <v/>
      </c>
      <c r="AM200" s="38">
        <f ca="1">IF(NOTA[[#This Row],[TGL.NOTA]]="",IF(NOTA[[#This Row],[SUPPLIER_H]]="","",AM199),MONTH(NOTA[[#This Row],[TGL.NOTA]]))</f>
        <v>1</v>
      </c>
      <c r="AN200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>
        <f>IF(NOTA[[#This Row],[CONCAT1]]="","",MATCH(NOTA[[#This Row],[CONCAT1]],[3]!db[NB NOTA_C],0))</f>
        <v>1662</v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CTN]],INDEX([3]!db[QTY/ CTN],NOTA[[#This Row],[//DB]])))</f>
        <v>36 BOX (30 PCS)</v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200" s="38" t="e">
        <f ca="1">IF(NOTA[[#This Row],[ID_H]]="","",MATCH(NOTA[[#This Row],[NB NOTA_C_QTY]],[4]!db[NB NOTA_C_QTY+F],0))</f>
        <v>#REF!</v>
      </c>
      <c r="AX200" s="53">
        <f ca="1">IF(NOTA[[#This Row],[NB NOTA_C_QTY]]="","",ROW()-2)</f>
        <v>198</v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>
        <f ca="1">IF(NOTA[[#This Row],[NAMA BARANG]]="","",INDEX(NOTA[ID],MATCH(,INDIRECT(ADDRESS(ROW(NOTA[ID]),COLUMN(NOTA[ID]))&amp;":"&amp;ADDRESS(ROW(),COLUMN(NOTA[ID]))),-1)))</f>
        <v>29</v>
      </c>
      <c r="E201" s="46"/>
      <c r="F201" s="37"/>
      <c r="G201" s="37"/>
      <c r="H201" s="47"/>
      <c r="I201" s="37"/>
      <c r="J201" s="39"/>
      <c r="K201" s="37" t="s">
        <v>101</v>
      </c>
      <c r="L201" s="37" t="s">
        <v>332</v>
      </c>
      <c r="M201" s="40">
        <v>3</v>
      </c>
      <c r="O201" s="37"/>
      <c r="P201" s="41"/>
      <c r="Q201" s="42">
        <v>2592000</v>
      </c>
      <c r="R201" s="48"/>
      <c r="S201" s="49">
        <v>0.17</v>
      </c>
      <c r="T201" s="44"/>
      <c r="U201" s="44"/>
      <c r="V201" s="50"/>
      <c r="W201" s="45"/>
      <c r="X201" s="50">
        <f>IF(NOTA[[#This Row],[HARGA/ CTN]]="",NOTA[[#This Row],[JUMLAH_H]],NOTA[[#This Row],[HARGA/ CTN]]*IF(NOTA[[#This Row],[C]]="",0,NOTA[[#This Row],[C]]))</f>
        <v>7776000</v>
      </c>
      <c r="Y201" s="50">
        <f>IF(NOTA[[#This Row],[JUMLAH]]="","",NOTA[[#This Row],[JUMLAH]]*NOTA[[#This Row],[DISC 1]])</f>
        <v>1321920</v>
      </c>
      <c r="Z201" s="50">
        <f>IF(NOTA[[#This Row],[JUMLAH]]="","",(NOTA[[#This Row],[JUMLAH]]-NOTA[[#This Row],[DISC 1-]])*NOTA[[#This Row],[DISC 2]])</f>
        <v>0</v>
      </c>
      <c r="AA201" s="50">
        <f>IF(NOTA[[#This Row],[JUMLAH]]="","",(NOTA[[#This Row],[JUMLAH]]-NOTA[[#This Row],[DISC 1-]]-NOTA[[#This Row],[DISC 2-]])*NOTA[[#This Row],[DISC 3]])</f>
        <v>0</v>
      </c>
      <c r="AB201" s="50">
        <f>IF(NOTA[[#This Row],[JUMLAH]]="","",NOTA[[#This Row],[DISC 1-]]+NOTA[[#This Row],[DISC 2-]]+NOTA[[#This Row],[DISC 3-]])</f>
        <v>1321920</v>
      </c>
      <c r="AC201" s="50">
        <f>IF(NOTA[[#This Row],[JUMLAH]]="","",NOTA[[#This Row],[JUMLAH]]-NOTA[[#This Row],[DISC]])</f>
        <v>6454080</v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01" s="50" t="str">
        <f>IF(OR(NOTA[[#This Row],[QTY]]="",NOTA[[#This Row],[HARGA SATUAN]]="",),"",NOTA[[#This Row],[QTY]]*NOTA[[#This Row],[HARGA SATUAN]])</f>
        <v/>
      </c>
      <c r="AI201" s="39">
        <f ca="1">IF(NOTA[ID_H]="","",INDEX(NOTA[TANGGAL],MATCH(,INDIRECT(ADDRESS(ROW(NOTA[TANGGAL]),COLUMN(NOTA[TANGGAL]))&amp;":"&amp;ADDRESS(ROW(),COLUMN(NOTA[TANGGAL]))),-1)))</f>
        <v>45300</v>
      </c>
      <c r="AJ201" s="41" t="str">
        <f ca="1">IF(NOTA[[#This Row],[NAMA BARANG]]="","",INDEX(NOTA[SUPPLIER],MATCH(,INDIRECT(ADDRESS(ROW(NOTA[ID]),COLUMN(NOTA[ID]))&amp;":"&amp;ADDRESS(ROW(),COLUMN(NOTA[ID]))),-1)))</f>
        <v>KENKO SINAR INDONESIA</v>
      </c>
      <c r="AK201" s="41" t="str">
        <f ca="1">IF(NOTA[[#This Row],[ID_H]]="","",IF(NOTA[[#This Row],[FAKTUR]]="",INDIRECT(ADDRESS(ROW()-1,COLUMN())),NOTA[[#This Row],[FAKTUR]]))</f>
        <v>ARTO MORO</v>
      </c>
      <c r="AL201" s="38" t="str">
        <f ca="1">IF(NOTA[[#This Row],[ID]]="","",COUNTIF(NOTA[ID_H],NOTA[[#This Row],[ID_H]]))</f>
        <v/>
      </c>
      <c r="AM201" s="38">
        <f ca="1">IF(NOTA[[#This Row],[TGL.NOTA]]="",IF(NOTA[[#This Row],[SUPPLIER_H]]="","",AM200),MONTH(NOTA[[#This Row],[TGL.NOTA]]))</f>
        <v>1</v>
      </c>
      <c r="AN201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>
        <f>IF(NOTA[[#This Row],[CONCAT1]]="","",MATCH(NOTA[[#This Row],[CONCAT1]],[3]!db[NB NOTA_C],0))</f>
        <v>1660</v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>36 BOX (20 PCS)</v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201" s="38" t="e">
        <f ca="1">IF(NOTA[[#This Row],[ID_H]]="","",MATCH(NOTA[[#This Row],[NB NOTA_C_QTY]],[4]!db[NB NOTA_C_QTY+F],0))</f>
        <v>#REF!</v>
      </c>
      <c r="AX201" s="53">
        <f ca="1">IF(NOTA[[#This Row],[NB NOTA_C_QTY]]="","",ROW()-2)</f>
        <v>199</v>
      </c>
    </row>
    <row r="202" spans="1:50" s="38" customFormat="1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>
        <f ca="1">IF(NOTA[[#This Row],[NAMA BARANG]]="","",INDEX(NOTA[ID],MATCH(,INDIRECT(ADDRESS(ROW(NOTA[ID]),COLUMN(NOTA[ID]))&amp;":"&amp;ADDRESS(ROW(),COLUMN(NOTA[ID]))),-1)))</f>
        <v>29</v>
      </c>
      <c r="E202" s="46"/>
      <c r="F202" s="37"/>
      <c r="G202" s="37"/>
      <c r="H202" s="47"/>
      <c r="I202" s="37"/>
      <c r="J202" s="39"/>
      <c r="K202" s="37">
        <v>1</v>
      </c>
      <c r="L202" s="37" t="s">
        <v>333</v>
      </c>
      <c r="M202" s="40">
        <v>4</v>
      </c>
      <c r="O202" s="37"/>
      <c r="P202" s="41"/>
      <c r="Q202" s="42">
        <v>2160000</v>
      </c>
      <c r="R202" s="48"/>
      <c r="S202" s="49">
        <v>0.17</v>
      </c>
      <c r="T202" s="44"/>
      <c r="U202" s="44"/>
      <c r="V202" s="50"/>
      <c r="W202" s="45"/>
      <c r="X202" s="50">
        <f>IF(NOTA[[#This Row],[HARGA/ CTN]]="",NOTA[[#This Row],[JUMLAH_H]],NOTA[[#This Row],[HARGA/ CTN]]*IF(NOTA[[#This Row],[C]]="",0,NOTA[[#This Row],[C]]))</f>
        <v>8640000</v>
      </c>
      <c r="Y202" s="50">
        <f>IF(NOTA[[#This Row],[JUMLAH]]="","",NOTA[[#This Row],[JUMLAH]]*NOTA[[#This Row],[DISC 1]])</f>
        <v>1468800</v>
      </c>
      <c r="Z202" s="50">
        <f>IF(NOTA[[#This Row],[JUMLAH]]="","",(NOTA[[#This Row],[JUMLAH]]-NOTA[[#This Row],[DISC 1-]])*NOTA[[#This Row],[DISC 2]])</f>
        <v>0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1468800</v>
      </c>
      <c r="AC202" s="50">
        <f>IF(NOTA[[#This Row],[JUMLAH]]="","",NOTA[[#This Row],[JUMLAH]]-NOTA[[#This Row],[DISC]])</f>
        <v>7171200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02" s="50" t="str">
        <f>IF(OR(NOTA[[#This Row],[QTY]]="",NOTA[[#This Row],[HARGA SATUAN]]="",),"",NOTA[[#This Row],[QTY]]*NOTA[[#This Row],[HARGA SATUAN]])</f>
        <v/>
      </c>
      <c r="AI202" s="39">
        <f ca="1">IF(NOTA[ID_H]="","",INDEX(NOTA[TANGGAL],MATCH(,INDIRECT(ADDRESS(ROW(NOTA[TANGGAL]),COLUMN(NOTA[TANGGAL]))&amp;":"&amp;ADDRESS(ROW(),COLUMN(NOTA[TANGGAL]))),-1)))</f>
        <v>45300</v>
      </c>
      <c r="AJ202" s="41" t="str">
        <f ca="1">IF(NOTA[[#This Row],[NAMA BARANG]]="","",INDEX(NOTA[SUPPLIER],MATCH(,INDIRECT(ADDRESS(ROW(NOTA[ID]),COLUMN(NOTA[ID]))&amp;":"&amp;ADDRESS(ROW(),COLUMN(NOTA[ID]))),-1)))</f>
        <v>KENKO SINAR INDONESIA</v>
      </c>
      <c r="AK202" s="41" t="str">
        <f ca="1">IF(NOTA[[#This Row],[ID_H]]="","",IF(NOTA[[#This Row],[FAKTUR]]="",INDIRECT(ADDRESS(ROW()-1,COLUMN())),NOTA[[#This Row],[FAKTUR]]))</f>
        <v>ARTO MORO</v>
      </c>
      <c r="AL202" s="38" t="str">
        <f ca="1">IF(NOTA[[#This Row],[ID]]="","",COUNTIF(NOTA[ID_H],NOTA[[#This Row],[ID_H]]))</f>
        <v/>
      </c>
      <c r="AM202" s="38">
        <f ca="1">IF(NOTA[[#This Row],[TGL.NOTA]]="",IF(NOTA[[#This Row],[SUPPLIER_H]]="","",AM201),MONTH(NOTA[[#This Row],[TGL.NOTA]]))</f>
        <v>1</v>
      </c>
      <c r="AN202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38" t="str">
        <f>IF(NOTA[[#This Row],[CONCAT4]]="","",_xlfn.IFNA(MATCH(NOTA[[#This Row],[CONCAT4]],[2]!RAW[CONCAT_H],0),FALSE))</f>
        <v/>
      </c>
      <c r="AS202" s="38">
        <f>IF(NOTA[[#This Row],[CONCAT1]]="","",MATCH(NOTA[[#This Row],[CONCAT1]],[3]!db[NB NOTA_C],0))</f>
        <v>1661</v>
      </c>
      <c r="AT202" s="38" t="str">
        <f>IF(NOTA[[#This Row],[QTY/ CTN]]="","",TRUE)</f>
        <v/>
      </c>
      <c r="AU202" s="38" t="str">
        <f ca="1">IF(NOTA[[#This Row],[ID_H]]="","",IF(NOTA[[#This Row],[Column3]]=TRUE,NOTA[[#This Row],[QTY/ CTN]],INDEX([3]!db[QTY/ CTN],NOTA[[#This Row],[//DB]])))</f>
        <v>36 LSN</v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202" s="38" t="e">
        <f ca="1">IF(NOTA[[#This Row],[ID_H]]="","",MATCH(NOTA[[#This Row],[NB NOTA_C_QTY]],[4]!db[NB NOTA_C_QTY+F],0))</f>
        <v>#REF!</v>
      </c>
      <c r="AX202" s="53">
        <f ca="1">IF(NOTA[[#This Row],[NB NOTA_C_QTY]]="","",ROW()-2)</f>
        <v>200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29</v>
      </c>
      <c r="E203" s="46"/>
      <c r="F203" s="37"/>
      <c r="G203" s="37"/>
      <c r="H203" s="47"/>
      <c r="I203" s="37"/>
      <c r="J203" s="39"/>
      <c r="K203" s="37">
        <v>0</v>
      </c>
      <c r="L203" s="37" t="s">
        <v>334</v>
      </c>
      <c r="M203" s="40">
        <v>1</v>
      </c>
      <c r="O203" s="37"/>
      <c r="P203" s="41"/>
      <c r="Q203" s="42">
        <v>1954800</v>
      </c>
      <c r="R203" s="48"/>
      <c r="S203" s="49">
        <v>0.17</v>
      </c>
      <c r="T203" s="44"/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1954800</v>
      </c>
      <c r="Y203" s="50">
        <f>IF(NOTA[[#This Row],[JUMLAH]]="","",NOTA[[#This Row],[JUMLAH]]*NOTA[[#This Row],[DISC 1]])</f>
        <v>332316</v>
      </c>
      <c r="Z203" s="50">
        <f>IF(NOTA[[#This Row],[JUMLAH]]="","",(NOTA[[#This Row],[JUMLAH]]-NOTA[[#This Row],[DISC 1-]])*NOTA[[#This Row],[DISC 2]])</f>
        <v>0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332316</v>
      </c>
      <c r="AC203" s="50">
        <f>IF(NOTA[[#This Row],[JUMLAH]]="","",NOTA[[#This Row],[JUMLAH]]-NOTA[[#This Row],[DISC]])</f>
        <v>1622484</v>
      </c>
      <c r="AD203" s="50"/>
      <c r="AE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5907636</v>
      </c>
      <c r="AF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28843164</v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03" s="50" t="str">
        <f>IF(OR(NOTA[[#This Row],[QTY]]="",NOTA[[#This Row],[HARGA SATUAN]]="",),"",NOTA[[#This Row],[QTY]]*NOTA[[#This Row],[HARGA SATUAN]])</f>
        <v/>
      </c>
      <c r="AI203" s="39">
        <f ca="1">IF(NOTA[ID_H]="","",INDEX(NOTA[TANGGAL],MATCH(,INDIRECT(ADDRESS(ROW(NOTA[TANGGAL]),COLUMN(NOTA[TANGGAL]))&amp;":"&amp;ADDRESS(ROW(),COLUMN(NOTA[TANGGAL]))),-1)))</f>
        <v>45300</v>
      </c>
      <c r="AJ203" s="41" t="str">
        <f ca="1">IF(NOTA[[#This Row],[NAMA BARANG]]="","",INDEX(NOTA[SUPPLIER],MATCH(,INDIRECT(ADDRESS(ROW(NOTA[ID]),COLUMN(NOTA[ID]))&amp;":"&amp;ADDRESS(ROW(),COLUMN(NOTA[ID]))),-1)))</f>
        <v>KENKO SINAR INDONESIA</v>
      </c>
      <c r="AK203" s="41" t="str">
        <f ca="1">IF(NOTA[[#This Row],[ID_H]]="","",IF(NOTA[[#This Row],[FAKTUR]]="",INDIRECT(ADDRESS(ROW()-1,COLUMN())),NOTA[[#This Row],[FAKTUR]]))</f>
        <v>ARTO MORO</v>
      </c>
      <c r="AL203" s="38" t="str">
        <f ca="1">IF(NOTA[[#This Row],[ID]]="","",COUNTIF(NOTA[ID_H],NOTA[[#This Row],[ID_H]]))</f>
        <v/>
      </c>
      <c r="AM203" s="38">
        <f ca="1">IF(NOTA[[#This Row],[TGL.NOTA]]="",IF(NOTA[[#This Row],[SUPPLIER_H]]="","",AM202),MONTH(NOTA[[#This Row],[TGL.NOTA]]))</f>
        <v>1</v>
      </c>
      <c r="AN20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>
        <f>IF(NOTA[[#This Row],[CONCAT1]]="","",MATCH(NOTA[[#This Row],[CONCAT1]],[3]!db[NB NOTA_C],0))</f>
        <v>1558</v>
      </c>
      <c r="AT203" s="38" t="str">
        <f>IF(NOTA[[#This Row],[QTY/ CTN]]="","",TRUE)</f>
        <v/>
      </c>
      <c r="AU203" s="38" t="str">
        <f ca="1">IF(NOTA[[#This Row],[ID_H]]="","",IF(NOTA[[#This Row],[Column3]]=TRUE,NOTA[[#This Row],[QTY/ CTN]],INDEX([3]!db[QTY/ CTN],NOTA[[#This Row],[//DB]])))</f>
        <v>36 LSN</v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03" s="38" t="e">
        <f ca="1">IF(NOTA[[#This Row],[ID_H]]="","",MATCH(NOTA[[#This Row],[NB NOTA_C_QTY]],[4]!db[NB NOTA_C_QTY+F],0))</f>
        <v>#REF!</v>
      </c>
      <c r="AX203" s="53">
        <f ca="1">IF(NOTA[[#This Row],[NB NOTA_C_QTY]]="","",ROW()-2)</f>
        <v>201</v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50" t="str">
        <f>IF(OR(NOTA[[#This Row],[QTY]]="",NOTA[[#This Row],[HARGA SATUAN]]="",),"",NOTA[[#This Row],[QTY]]*NOTA[[#This Row],[HARGA SATUAN]])</f>
        <v/>
      </c>
      <c r="AI204" s="39" t="str">
        <f ca="1">IF(NOTA[ID_H]="","",INDEX(NOTA[TANGGAL],MATCH(,INDIRECT(ADDRESS(ROW(NOTA[TANGGAL]),COLUMN(NOTA[TANGGAL]))&amp;":"&amp;ADDRESS(ROW(),COLUMN(NOTA[TANGGAL]))),-1)))</f>
        <v/>
      </c>
      <c r="AJ204" s="41" t="str">
        <f ca="1">IF(NOTA[[#This Row],[NAMA BARANG]]="","",INDEX(NOTA[SUPPLIER],MATCH(,INDIRECT(ADDRESS(ROW(NOTA[ID]),COLUMN(NOTA[ID]))&amp;":"&amp;ADDRESS(ROW(),COLUMN(NOTA[ID]))),-1)))</f>
        <v/>
      </c>
      <c r="AK204" s="41" t="str">
        <f ca="1">IF(NOTA[[#This Row],[ID_H]]="","",IF(NOTA[[#This Row],[FAKTUR]]="",INDIRECT(ADDRESS(ROW()-1,COLUMN())),NOTA[[#This Row],[FAKTUR]]))</f>
        <v/>
      </c>
      <c r="AL204" s="38" t="str">
        <f ca="1">IF(NOTA[[#This Row],[ID]]="","",COUNTIF(NOTA[ID_H],NOTA[[#This Row],[ID_H]]))</f>
        <v/>
      </c>
      <c r="AM204" s="38" t="str">
        <f ca="1">IF(NOTA[[#This Row],[TGL.NOTA]]="",IF(NOTA[[#This Row],[SUPPLIER_H]]="","",AM203),MONTH(NOTA[[#This Row],[TGL.NOTA]]))</f>
        <v/>
      </c>
      <c r="AN204" s="38" t="str">
        <f>LOWER(SUBSTITUTE(SUBSTITUTE(SUBSTITUTE(SUBSTITUTE(SUBSTITUTE(SUBSTITUTE(SUBSTITUTE(SUBSTITUTE(SUBSTITUTE(NOTA[NAMA BARANG]," ",),".",""),"-",""),"(",""),")",""),",",""),"/",""),"""",""),"+",""))</f>
        <v/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str">
        <f>IF(NOTA[[#This Row],[CONCAT1]]="","",MATCH(NOTA[[#This Row],[CONCAT1]],[3]!db[NB NOTA_C],0))</f>
        <v/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/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4" s="38" t="str">
        <f ca="1">IF(NOTA[[#This Row],[ID_H]]="","",MATCH(NOTA[[#This Row],[NB NOTA_C_QTY]],[4]!db[NB NOTA_C_QTY+F],0))</f>
        <v/>
      </c>
      <c r="AX204" s="53" t="str">
        <f ca="1">IF(NOTA[[#This Row],[NB NOTA_C_QTY]]="","",ROW()-2)</f>
        <v/>
      </c>
    </row>
    <row r="205" spans="1:50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ATA_0901_363-5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30</v>
      </c>
      <c r="E205" s="46">
        <v>45300</v>
      </c>
      <c r="F205" s="37" t="s">
        <v>24</v>
      </c>
      <c r="G205" s="37" t="s">
        <v>23</v>
      </c>
      <c r="H205" s="47" t="s">
        <v>335</v>
      </c>
      <c r="I205" s="37"/>
      <c r="J205" s="39">
        <v>45297</v>
      </c>
      <c r="K205" s="37">
        <v>0</v>
      </c>
      <c r="L205" s="37" t="s">
        <v>336</v>
      </c>
      <c r="M205" s="40">
        <v>1</v>
      </c>
      <c r="N205" s="38">
        <v>216</v>
      </c>
      <c r="O205" s="37" t="s">
        <v>115</v>
      </c>
      <c r="P205" s="41">
        <v>5800</v>
      </c>
      <c r="Q205" s="42"/>
      <c r="R205" s="48"/>
      <c r="S205" s="49">
        <v>0.125</v>
      </c>
      <c r="T205" s="44">
        <v>0.05</v>
      </c>
      <c r="U205" s="44"/>
      <c r="V205" s="50"/>
      <c r="W205" s="45"/>
      <c r="X205" s="50">
        <f>IF(NOTA[[#This Row],[HARGA/ CTN]]="",NOTA[[#This Row],[JUMLAH_H]],NOTA[[#This Row],[HARGA/ CTN]]*IF(NOTA[[#This Row],[C]]="",0,NOTA[[#This Row],[C]]))</f>
        <v>1252800</v>
      </c>
      <c r="Y205" s="50">
        <f>IF(NOTA[[#This Row],[JUMLAH]]="","",NOTA[[#This Row],[JUMLAH]]*NOTA[[#This Row],[DISC 1]])</f>
        <v>156600</v>
      </c>
      <c r="Z205" s="50">
        <f>IF(NOTA[[#This Row],[JUMLAH]]="","",(NOTA[[#This Row],[JUMLAH]]-NOTA[[#This Row],[DISC 1-]])*NOTA[[#This Row],[DISC 2]])</f>
        <v>54810</v>
      </c>
      <c r="AA205" s="50">
        <f>IF(NOTA[[#This Row],[JUMLAH]]="","",(NOTA[[#This Row],[JUMLAH]]-NOTA[[#This Row],[DISC 1-]]-NOTA[[#This Row],[DISC 2-]])*NOTA[[#This Row],[DISC 3]])</f>
        <v>0</v>
      </c>
      <c r="AB205" s="50">
        <f>IF(NOTA[[#This Row],[JUMLAH]]="","",NOTA[[#This Row],[DISC 1-]]+NOTA[[#This Row],[DISC 2-]]+NOTA[[#This Row],[DISC 3-]])</f>
        <v>211410</v>
      </c>
      <c r="AC205" s="50">
        <f>IF(NOTA[[#This Row],[JUMLAH]]="","",NOTA[[#This Row],[JUMLAH]]-NOTA[[#This Row],[DISC]])</f>
        <v>1041390</v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H205" s="50">
        <f>IF(OR(NOTA[[#This Row],[QTY]]="",NOTA[[#This Row],[HARGA SATUAN]]="",),"",NOTA[[#This Row],[QTY]]*NOTA[[#This Row],[HARGA SATUAN]])</f>
        <v>1252800</v>
      </c>
      <c r="AI205" s="39">
        <f ca="1">IF(NOTA[ID_H]="","",INDEX(NOTA[TANGGAL],MATCH(,INDIRECT(ADDRESS(ROW(NOTA[TANGGAL]),COLUMN(NOTA[TANGGAL]))&amp;":"&amp;ADDRESS(ROW(),COLUMN(NOTA[TANGGAL]))),-1)))</f>
        <v>45300</v>
      </c>
      <c r="AJ205" s="41" t="str">
        <f ca="1">IF(NOTA[[#This Row],[NAMA BARANG]]="","",INDEX(NOTA[SUPPLIER],MATCH(,INDIRECT(ADDRESS(ROW(NOTA[ID]),COLUMN(NOTA[ID]))&amp;":"&amp;ADDRESS(ROW(),COLUMN(NOTA[ID]))),-1)))</f>
        <v>ATALI MAKMUR</v>
      </c>
      <c r="AK205" s="41" t="str">
        <f ca="1">IF(NOTA[[#This Row],[ID_H]]="","",IF(NOTA[[#This Row],[FAKTUR]]="",INDIRECT(ADDRESS(ROW()-1,COLUMN())),NOTA[[#This Row],[FAKTUR]]))</f>
        <v>ARTO MORO</v>
      </c>
      <c r="AL205" s="38">
        <f ca="1">IF(NOTA[[#This Row],[ID]]="","",COUNTIF(NOTA[ID_H],NOTA[[#This Row],[ID_H]]))</f>
        <v>5</v>
      </c>
      <c r="AM205" s="38">
        <f>IF(NOTA[[#This Row],[TGL.NOTA]]="",IF(NOTA[[#This Row],[SUPPLIER_H]]="","",AM204),MONTH(NOTA[[#This Row],[TGL.NOTA]]))</f>
        <v>1</v>
      </c>
      <c r="AN205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stamppadno1jk12528000.1250.05</v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stamppadno1jk12528000.1250.05</v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MOROSA24010036345297stamppadno1jk</v>
      </c>
      <c r="AR205" s="38" t="e">
        <f>IF(NOTA[[#This Row],[CONCAT4]]="","",_xlfn.IFNA(MATCH(NOTA[[#This Row],[CONCAT4]],[2]!RAW[CONCAT_H],0),FALSE))</f>
        <v>#REF!</v>
      </c>
      <c r="AS205" s="38">
        <f>IF(NOTA[[#This Row],[CONCAT1]]="","",MATCH(NOTA[[#This Row],[CONCAT1]],[3]!db[NB NOTA_C],0))</f>
        <v>2842</v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>18 LSN</v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stamppadno1jk18lsnartomoro</v>
      </c>
      <c r="AW205" s="38" t="e">
        <f ca="1">IF(NOTA[[#This Row],[ID_H]]="","",MATCH(NOTA[[#This Row],[NB NOTA_C_QTY]],[4]!db[NB NOTA_C_QTY+F],0))</f>
        <v>#REF!</v>
      </c>
      <c r="AX205" s="53">
        <f ca="1">IF(NOTA[[#This Row],[NB NOTA_C_QTY]]="","",ROW()-2)</f>
        <v>203</v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>
        <f ca="1">IF(NOTA[[#This Row],[NAMA BARANG]]="","",INDEX(NOTA[ID],MATCH(,INDIRECT(ADDRESS(ROW(NOTA[ID]),COLUMN(NOTA[ID]))&amp;":"&amp;ADDRESS(ROW(),COLUMN(NOTA[ID]))),-1)))</f>
        <v>30</v>
      </c>
      <c r="E206" s="46"/>
      <c r="F206" s="37"/>
      <c r="G206" s="37"/>
      <c r="H206" s="47"/>
      <c r="I206" s="37"/>
      <c r="J206" s="39"/>
      <c r="K206" s="37">
        <v>0</v>
      </c>
      <c r="L206" s="37" t="s">
        <v>138</v>
      </c>
      <c r="M206" s="40">
        <v>1</v>
      </c>
      <c r="N206" s="38">
        <v>1000</v>
      </c>
      <c r="O206" s="37" t="s">
        <v>117</v>
      </c>
      <c r="P206" s="41">
        <v>2050</v>
      </c>
      <c r="Q206" s="42"/>
      <c r="R206" s="48"/>
      <c r="S206" s="49">
        <v>0.125</v>
      </c>
      <c r="T206" s="44">
        <v>0.05</v>
      </c>
      <c r="U206" s="44"/>
      <c r="V206" s="50"/>
      <c r="W206" s="45"/>
      <c r="X206" s="50">
        <f>IF(NOTA[[#This Row],[HARGA/ CTN]]="",NOTA[[#This Row],[JUMLAH_H]],NOTA[[#This Row],[HARGA/ CTN]]*IF(NOTA[[#This Row],[C]]="",0,NOTA[[#This Row],[C]]))</f>
        <v>2050000</v>
      </c>
      <c r="Y206" s="50">
        <f>IF(NOTA[[#This Row],[JUMLAH]]="","",NOTA[[#This Row],[JUMLAH]]*NOTA[[#This Row],[DISC 1]])</f>
        <v>256250</v>
      </c>
      <c r="Z206" s="50">
        <f>IF(NOTA[[#This Row],[JUMLAH]]="","",(NOTA[[#This Row],[JUMLAH]]-NOTA[[#This Row],[DISC 1-]])*NOTA[[#This Row],[DISC 2]])</f>
        <v>89687.5</v>
      </c>
      <c r="AA206" s="50">
        <f>IF(NOTA[[#This Row],[JUMLAH]]="","",(NOTA[[#This Row],[JUMLAH]]-NOTA[[#This Row],[DISC 1-]]-NOTA[[#This Row],[DISC 2-]])*NOTA[[#This Row],[DISC 3]])</f>
        <v>0</v>
      </c>
      <c r="AB206" s="50">
        <f>IF(NOTA[[#This Row],[JUMLAH]]="","",NOTA[[#This Row],[DISC 1-]]+NOTA[[#This Row],[DISC 2-]]+NOTA[[#This Row],[DISC 3-]])</f>
        <v>345937.5</v>
      </c>
      <c r="AC206" s="50">
        <f>IF(NOTA[[#This Row],[JUMLAH]]="","",NOTA[[#This Row],[JUMLAH]]-NOTA[[#This Row],[DISC]])</f>
        <v>1704062.5</v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06" s="50">
        <f>IF(OR(NOTA[[#This Row],[QTY]]="",NOTA[[#This Row],[HARGA SATUAN]]="",),"",NOTA[[#This Row],[QTY]]*NOTA[[#This Row],[HARGA SATUAN]])</f>
        <v>2050000</v>
      </c>
      <c r="AI206" s="39">
        <f ca="1">IF(NOTA[ID_H]="","",INDEX(NOTA[TANGGAL],MATCH(,INDIRECT(ADDRESS(ROW(NOTA[TANGGAL]),COLUMN(NOTA[TANGGAL]))&amp;":"&amp;ADDRESS(ROW(),COLUMN(NOTA[TANGGAL]))),-1)))</f>
        <v>45300</v>
      </c>
      <c r="AJ206" s="41" t="str">
        <f ca="1">IF(NOTA[[#This Row],[NAMA BARANG]]="","",INDEX(NOTA[SUPPLIER],MATCH(,INDIRECT(ADDRESS(ROW(NOTA[ID]),COLUMN(NOTA[ID]))&amp;":"&amp;ADDRESS(ROW(),COLUMN(NOTA[ID]))),-1)))</f>
        <v>ATALI MAKMUR</v>
      </c>
      <c r="AK206" s="41" t="str">
        <f ca="1">IF(NOTA[[#This Row],[ID_H]]="","",IF(NOTA[[#This Row],[FAKTUR]]="",INDIRECT(ADDRESS(ROW()-1,COLUMN())),NOTA[[#This Row],[FAKTUR]]))</f>
        <v>ARTO MORO</v>
      </c>
      <c r="AL206" s="38" t="str">
        <f ca="1">IF(NOTA[[#This Row],[ID]]="","",COUNTIF(NOTA[ID_H],NOTA[[#This Row],[ID_H]]))</f>
        <v/>
      </c>
      <c r="AM206" s="38">
        <f ca="1">IF(NOTA[[#This Row],[TGL.NOTA]]="",IF(NOTA[[#This Row],[SUPPLIER_H]]="","",AM205),MONTH(NOTA[[#This Row],[TGL.NOTA]]))</f>
        <v>1</v>
      </c>
      <c r="AN206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>
        <f>IF(NOTA[[#This Row],[CONCAT1]]="","",MATCH(NOTA[[#This Row],[CONCAT1]],[3]!db[NB NOTA_C],0))</f>
        <v>1854</v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>100 PAK (10 ROL)</v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06" s="38" t="e">
        <f ca="1">IF(NOTA[[#This Row],[ID_H]]="","",MATCH(NOTA[[#This Row],[NB NOTA_C_QTY]],[4]!db[NB NOTA_C_QTY+F],0))</f>
        <v>#REF!</v>
      </c>
      <c r="AX206" s="53">
        <f ca="1">IF(NOTA[[#This Row],[NB NOTA_C_QTY]]="","",ROW()-2)</f>
        <v>204</v>
      </c>
    </row>
    <row r="207" spans="1:50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30</v>
      </c>
      <c r="E207" s="46"/>
      <c r="F207" s="37"/>
      <c r="G207" s="37"/>
      <c r="H207" s="47"/>
      <c r="I207" s="37"/>
      <c r="J207" s="39"/>
      <c r="K207" s="37">
        <v>0</v>
      </c>
      <c r="L207" s="37" t="s">
        <v>337</v>
      </c>
      <c r="M207" s="40">
        <v>1</v>
      </c>
      <c r="N207" s="38">
        <v>72</v>
      </c>
      <c r="O207" s="37" t="s">
        <v>115</v>
      </c>
      <c r="P207" s="41">
        <v>34500</v>
      </c>
      <c r="Q207" s="42"/>
      <c r="R207" s="48"/>
      <c r="S207" s="49">
        <v>0.125</v>
      </c>
      <c r="T207" s="44">
        <v>0.05</v>
      </c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2484000</v>
      </c>
      <c r="Y207" s="50">
        <f>IF(NOTA[[#This Row],[JUMLAH]]="","",NOTA[[#This Row],[JUMLAH]]*NOTA[[#This Row],[DISC 1]])</f>
        <v>310500</v>
      </c>
      <c r="Z207" s="50">
        <f>IF(NOTA[[#This Row],[JUMLAH]]="","",(NOTA[[#This Row],[JUMLAH]]-NOTA[[#This Row],[DISC 1-]])*NOTA[[#This Row],[DISC 2]])</f>
        <v>108675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419175</v>
      </c>
      <c r="AC207" s="50">
        <f>IF(NOTA[[#This Row],[JUMLAH]]="","",NOTA[[#This Row],[JUMLAH]]-NOTA[[#This Row],[DISC]])</f>
        <v>2064825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H207" s="50">
        <f>IF(OR(NOTA[[#This Row],[QTY]]="",NOTA[[#This Row],[HARGA SATUAN]]="",),"",NOTA[[#This Row],[QTY]]*NOTA[[#This Row],[HARGA SATUAN]])</f>
        <v>2484000</v>
      </c>
      <c r="AI207" s="39">
        <f ca="1">IF(NOTA[ID_H]="","",INDEX(NOTA[TANGGAL],MATCH(,INDIRECT(ADDRESS(ROW(NOTA[TANGGAL]),COLUMN(NOTA[TANGGAL]))&amp;":"&amp;ADDRESS(ROW(),COLUMN(NOTA[TANGGAL]))),-1)))</f>
        <v>45300</v>
      </c>
      <c r="AJ207" s="41" t="str">
        <f ca="1">IF(NOTA[[#This Row],[NAMA BARANG]]="","",INDEX(NOTA[SUPPLIER],MATCH(,INDIRECT(ADDRESS(ROW(NOTA[ID]),COLUMN(NOTA[ID]))&amp;":"&amp;ADDRESS(ROW(),COLUMN(NOTA[ID]))),-1)))</f>
        <v>ATALI MAKMUR</v>
      </c>
      <c r="AK207" s="41" t="str">
        <f ca="1">IF(NOTA[[#This Row],[ID_H]]="","",IF(NOTA[[#This Row],[FAKTUR]]="",INDIRECT(ADDRESS(ROW()-1,COLUMN())),NOTA[[#This Row],[FAKTUR]]))</f>
        <v>ARTO MORO</v>
      </c>
      <c r="AL207" s="38" t="str">
        <f ca="1">IF(NOTA[[#This Row],[ID]]="","",COUNTIF(NOTA[ID_H],NOTA[[#This Row],[ID_H]]))</f>
        <v/>
      </c>
      <c r="AM207" s="38">
        <f ca="1">IF(NOTA[[#This Row],[TGL.NOTA]]="",IF(NOTA[[#This Row],[SUPPLIER_H]]="","",AM206),MONTH(NOTA[[#This Row],[TGL.NOTA]]))</f>
        <v>1</v>
      </c>
      <c r="AN207" s="38" t="str">
        <f>LOWER(SUBSTITUTE(SUBSTITUTE(SUBSTITUTE(SUBSTITUTE(SUBSTITUTE(SUBSTITUTE(SUBSTITUTE(SUBSTITUTE(SUBSTITUTE(NOTA[NAMA BARANG]," ",),".",""),"-",""),"(",""),")",""),",",""),"/",""),"""",""),"+",""))</f>
        <v>guntackergt700jk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guntackergt700jk24840000.1250.05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guntackergt700jk24840000.1250.05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7" s="38" t="str">
        <f>IF(NOTA[[#This Row],[CONCAT4]]="","",_xlfn.IFNA(MATCH(NOTA[[#This Row],[CONCAT4]],[2]!RAW[CONCAT_H],0),FALSE))</f>
        <v/>
      </c>
      <c r="AS207" s="38">
        <f>IF(NOTA[[#This Row],[CONCAT1]]="","",MATCH(NOTA[[#This Row],[CONCAT1]],[3]!db[NB NOTA_C],0))</f>
        <v>1354</v>
      </c>
      <c r="AT207" s="38" t="str">
        <f>IF(NOTA[[#This Row],[QTY/ CTN]]="","",TRUE)</f>
        <v/>
      </c>
      <c r="AU207" s="38" t="str">
        <f ca="1">IF(NOTA[[#This Row],[ID_H]]="","",IF(NOTA[[#This Row],[Column3]]=TRUE,NOTA[[#This Row],[QTY/ CTN]],INDEX([3]!db[QTY/ CTN],NOTA[[#This Row],[//DB]])))</f>
        <v>6 LSN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guntackergt700jk6lsnartomoro</v>
      </c>
      <c r="AW207" s="38" t="e">
        <f ca="1">IF(NOTA[[#This Row],[ID_H]]="","",MATCH(NOTA[[#This Row],[NB NOTA_C_QTY]],[4]!db[NB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30</v>
      </c>
      <c r="E208" s="46"/>
      <c r="F208" s="37"/>
      <c r="G208" s="37"/>
      <c r="H208" s="47"/>
      <c r="I208" s="37"/>
      <c r="J208" s="39"/>
      <c r="K208" s="37">
        <v>0</v>
      </c>
      <c r="L208" s="37" t="s">
        <v>338</v>
      </c>
      <c r="M208" s="40">
        <v>1</v>
      </c>
      <c r="N208" s="38">
        <v>24</v>
      </c>
      <c r="O208" s="37" t="s">
        <v>115</v>
      </c>
      <c r="P208" s="41">
        <v>97000</v>
      </c>
      <c r="Q208" s="42"/>
      <c r="R208" s="48"/>
      <c r="S208" s="49">
        <v>0.125</v>
      </c>
      <c r="T208" s="44">
        <v>0.05</v>
      </c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2328000</v>
      </c>
      <c r="Y208" s="50">
        <f>IF(NOTA[[#This Row],[JUMLAH]]="","",NOTA[[#This Row],[JUMLAH]]*NOTA[[#This Row],[DISC 1]])</f>
        <v>291000</v>
      </c>
      <c r="Z208" s="50">
        <f>IF(NOTA[[#This Row],[JUMLAH]]="","",(NOTA[[#This Row],[JUMLAH]]-NOTA[[#This Row],[DISC 1-]])*NOTA[[#This Row],[DISC 2]])</f>
        <v>101850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392850</v>
      </c>
      <c r="AC208" s="50">
        <f>IF(NOTA[[#This Row],[JUMLAH]]="","",NOTA[[#This Row],[JUMLAH]]-NOTA[[#This Row],[DISC]])</f>
        <v>1935150</v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H208" s="50">
        <f>IF(OR(NOTA[[#This Row],[QTY]]="",NOTA[[#This Row],[HARGA SATUAN]]="",),"",NOTA[[#This Row],[QTY]]*NOTA[[#This Row],[HARGA SATUAN]])</f>
        <v>2328000</v>
      </c>
      <c r="AI208" s="39">
        <f ca="1">IF(NOTA[ID_H]="","",INDEX(NOTA[TANGGAL],MATCH(,INDIRECT(ADDRESS(ROW(NOTA[TANGGAL]),COLUMN(NOTA[TANGGAL]))&amp;":"&amp;ADDRESS(ROW(),COLUMN(NOTA[TANGGAL]))),-1)))</f>
        <v>45300</v>
      </c>
      <c r="AJ208" s="41" t="str">
        <f ca="1">IF(NOTA[[#This Row],[NAMA BARANG]]="","",INDEX(NOTA[SUPPLIER],MATCH(,INDIRECT(ADDRESS(ROW(NOTA[ID]),COLUMN(NOTA[ID]))&amp;":"&amp;ADDRESS(ROW(),COLUMN(NOTA[ID]))),-1)))</f>
        <v>ATALI MAKMUR</v>
      </c>
      <c r="AK208" s="41" t="str">
        <f ca="1">IF(NOTA[[#This Row],[ID_H]]="","",IF(NOTA[[#This Row],[FAKTUR]]="",INDIRECT(ADDRESS(ROW()-1,COLUMN())),NOTA[[#This Row],[FAKTUR]]))</f>
        <v>ARTO MORO</v>
      </c>
      <c r="AL208" s="38" t="str">
        <f ca="1">IF(NOTA[[#This Row],[ID]]="","",COUNTIF(NOTA[ID_H],NOTA[[#This Row],[ID_H]]))</f>
        <v/>
      </c>
      <c r="AM208" s="38">
        <f ca="1">IF(NOTA[[#This Row],[TGL.NOTA]]="",IF(NOTA[[#This Row],[SUPPLIER_H]]="","",AM207),MONTH(NOTA[[#This Row],[TGL.NOTA]]))</f>
        <v>1</v>
      </c>
      <c r="AN208" s="38" t="str">
        <f>LOWER(SUBSTITUTE(SUBSTITUTE(SUBSTITUTE(SUBSTITUTE(SUBSTITUTE(SUBSTITUTE(SUBSTITUTE(SUBSTITUTE(SUBSTITUTE(NOTA[NAMA BARANG]," ",),".",""),"-",""),"(",""),")",""),",",""),"/",""),"""",""),"+",""))</f>
        <v>guntackergt701jk</v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>
        <f>IF(NOTA[[#This Row],[CONCAT1]]="","",MATCH(NOTA[[#This Row],[CONCAT1]],[3]!db[NB NOTA_C],0))</f>
        <v>1355</v>
      </c>
      <c r="AT208" s="38" t="str">
        <f>IF(NOTA[[#This Row],[QTY/ CTN]]="","",TRUE)</f>
        <v/>
      </c>
      <c r="AU208" s="38" t="str">
        <f ca="1">IF(NOTA[[#This Row],[ID_H]]="","",IF(NOTA[[#This Row],[Column3]]=TRUE,NOTA[[#This Row],[QTY/ CTN]],INDEX([3]!db[QTY/ CTN],NOTA[[#This Row],[//DB]])))</f>
        <v>24 PCS</v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guntackergt701jk24pcsartomoro</v>
      </c>
      <c r="AW208" s="38" t="e">
        <f ca="1">IF(NOTA[[#This Row],[ID_H]]="","",MATCH(NOTA[[#This Row],[NB NOTA_C_QTY]],[4]!db[NB NOTA_C_QTY+F],0))</f>
        <v>#REF!</v>
      </c>
      <c r="AX208" s="53">
        <f ca="1">IF(NOTA[[#This Row],[NB NOTA_C_QTY]]="","",ROW()-2)</f>
        <v>206</v>
      </c>
    </row>
    <row r="209" spans="1:50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>
        <f ca="1">IF(NOTA[[#This Row],[NAMA BARANG]]="","",INDEX(NOTA[ID],MATCH(,INDIRECT(ADDRESS(ROW(NOTA[ID]),COLUMN(NOTA[ID]))&amp;":"&amp;ADDRESS(ROW(),COLUMN(NOTA[ID]))),-1)))</f>
        <v>30</v>
      </c>
      <c r="E209" s="46"/>
      <c r="F209" s="37"/>
      <c r="G209" s="37"/>
      <c r="H209" s="47"/>
      <c r="I209" s="37"/>
      <c r="J209" s="39"/>
      <c r="K209" s="37">
        <v>0</v>
      </c>
      <c r="L209" s="37" t="s">
        <v>339</v>
      </c>
      <c r="M209" s="40">
        <v>4</v>
      </c>
      <c r="N209" s="38">
        <v>2880</v>
      </c>
      <c r="O209" s="37" t="s">
        <v>115</v>
      </c>
      <c r="P209" s="41">
        <v>4300</v>
      </c>
      <c r="Q209" s="42"/>
      <c r="R209" s="48"/>
      <c r="S209" s="49">
        <v>0.125</v>
      </c>
      <c r="T209" s="44">
        <v>0.05</v>
      </c>
      <c r="U209" s="44"/>
      <c r="V209" s="50">
        <v>3093842</v>
      </c>
      <c r="W209" s="45"/>
      <c r="X209" s="50">
        <f>IF(NOTA[[#This Row],[HARGA/ CTN]]="",NOTA[[#This Row],[JUMLAH_H]],NOTA[[#This Row],[HARGA/ CTN]]*IF(NOTA[[#This Row],[C]]="",0,NOTA[[#This Row],[C]]))</f>
        <v>12384000</v>
      </c>
      <c r="Y209" s="50">
        <f>IF(NOTA[[#This Row],[JUMLAH]]="","",NOTA[[#This Row],[JUMLAH]]*NOTA[[#This Row],[DISC 1]])</f>
        <v>1548000</v>
      </c>
      <c r="Z209" s="50">
        <f>IF(NOTA[[#This Row],[JUMLAH]]="","",(NOTA[[#This Row],[JUMLAH]]-NOTA[[#This Row],[DISC 1-]])*NOTA[[#This Row],[DISC 2]])</f>
        <v>541800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2089800</v>
      </c>
      <c r="AC209" s="50">
        <f>IF(NOTA[[#This Row],[JUMLAH]]="","",NOTA[[#This Row],[JUMLAH]]-NOTA[[#This Row],[DISC]])</f>
        <v>10294200</v>
      </c>
      <c r="AD209" s="50"/>
      <c r="AE2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6553014.5</v>
      </c>
      <c r="AF2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13945785.5</v>
      </c>
      <c r="AG209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09" s="50">
        <f>IF(OR(NOTA[[#This Row],[QTY]]="",NOTA[[#This Row],[HARGA SATUAN]]="",),"",NOTA[[#This Row],[QTY]]*NOTA[[#This Row],[HARGA SATUAN]])</f>
        <v>12384000</v>
      </c>
      <c r="AI209" s="39">
        <f ca="1">IF(NOTA[ID_H]="","",INDEX(NOTA[TANGGAL],MATCH(,INDIRECT(ADDRESS(ROW(NOTA[TANGGAL]),COLUMN(NOTA[TANGGAL]))&amp;":"&amp;ADDRESS(ROW(),COLUMN(NOTA[TANGGAL]))),-1)))</f>
        <v>45300</v>
      </c>
      <c r="AJ209" s="41" t="str">
        <f ca="1">IF(NOTA[[#This Row],[NAMA BARANG]]="","",INDEX(NOTA[SUPPLIER],MATCH(,INDIRECT(ADDRESS(ROW(NOTA[ID]),COLUMN(NOTA[ID]))&amp;":"&amp;ADDRESS(ROW(),COLUMN(NOTA[ID]))),-1)))</f>
        <v>ATALI MAKMUR</v>
      </c>
      <c r="AK209" s="41" t="str">
        <f ca="1">IF(NOTA[[#This Row],[ID_H]]="","",IF(NOTA[[#This Row],[FAKTUR]]="",INDIRECT(ADDRESS(ROW()-1,COLUMN())),NOTA[[#This Row],[FAKTUR]]))</f>
        <v>ARTO MORO</v>
      </c>
      <c r="AL209" s="38" t="str">
        <f ca="1">IF(NOTA[[#This Row],[ID]]="","",COUNTIF(NOTA[ID_H],NOTA[[#This Row],[ID_H]]))</f>
        <v/>
      </c>
      <c r="AM209" s="38">
        <f ca="1">IF(NOTA[[#This Row],[TGL.NOTA]]="",IF(NOTA[[#This Row],[SUPPLIER_H]]="","",AM208),MONTH(NOTA[[#This Row],[TGL.NOTA]]))</f>
        <v>1</v>
      </c>
      <c r="AN209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38" t="str">
        <f>IF(NOTA[[#This Row],[CONCAT4]]="","",_xlfn.IFNA(MATCH(NOTA[[#This Row],[CONCAT4]],[2]!RAW[CONCAT_H],0),FALSE))</f>
        <v/>
      </c>
      <c r="AS209" s="38">
        <f>IF(NOTA[[#This Row],[CONCAT1]]="","",MATCH(NOTA[[#This Row],[CONCAT1]],[3]!db[NB NOTA_C],0))</f>
        <v>725</v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>60 LSN</v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209" s="38" t="e">
        <f ca="1">IF(NOTA[[#This Row],[ID_H]]="","",MATCH(NOTA[[#This Row],[NB NOTA_C_QTY]],[4]!db[NB NOTA_C_QTY+F],0))</f>
        <v>#REF!</v>
      </c>
      <c r="AX209" s="53">
        <f ca="1">IF(NOTA[[#This Row],[NB NOTA_C_QTY]]="","",ROW()-2)</f>
        <v>207</v>
      </c>
    </row>
    <row r="210" spans="1:50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 t="str">
        <f ca="1">IF(NOTA[[#This Row],[NAMA BARANG]]="","",INDEX(NOTA[ID],MATCH(,INDIRECT(ADDRESS(ROW(NOTA[ID]),COLUMN(NOTA[ID]))&amp;":"&amp;ADDRESS(ROW(),COLUMN(NOTA[ID]))),-1)))</f>
        <v/>
      </c>
      <c r="E210" s="46"/>
      <c r="F210" s="37"/>
      <c r="G210" s="37"/>
      <c r="H210" s="47"/>
      <c r="I210" s="37"/>
      <c r="J210" s="39"/>
      <c r="K210" s="37"/>
      <c r="L210" s="37"/>
      <c r="M210" s="40"/>
      <c r="O210" s="37"/>
      <c r="P210" s="41"/>
      <c r="Q210" s="42"/>
      <c r="R210" s="48"/>
      <c r="S210" s="49"/>
      <c r="T210" s="44"/>
      <c r="U210" s="44"/>
      <c r="V210" s="50"/>
      <c r="W210" s="45"/>
      <c r="X210" s="50" t="str">
        <f>IF(NOTA[[#This Row],[HARGA/ CTN]]="",NOTA[[#This Row],[JUMLAH_H]],NOTA[[#This Row],[HARGA/ CTN]]*IF(NOTA[[#This Row],[C]]="",0,NOTA[[#This Row],[C]]))</f>
        <v/>
      </c>
      <c r="Y210" s="50" t="str">
        <f>IF(NOTA[[#This Row],[JUMLAH]]="","",NOTA[[#This Row],[JUMLAH]]*NOTA[[#This Row],[DISC 1]])</f>
        <v/>
      </c>
      <c r="Z210" s="50" t="str">
        <f>IF(NOTA[[#This Row],[JUMLAH]]="","",(NOTA[[#This Row],[JUMLAH]]-NOTA[[#This Row],[DISC 1-]])*NOTA[[#This Row],[DISC 2]])</f>
        <v/>
      </c>
      <c r="AA210" s="50" t="str">
        <f>IF(NOTA[[#This Row],[JUMLAH]]="","",(NOTA[[#This Row],[JUMLAH]]-NOTA[[#This Row],[DISC 1-]]-NOTA[[#This Row],[DISC 2-]])*NOTA[[#This Row],[DISC 3]])</f>
        <v/>
      </c>
      <c r="AB210" s="50" t="str">
        <f>IF(NOTA[[#This Row],[JUMLAH]]="","",NOTA[[#This Row],[DISC 1-]]+NOTA[[#This Row],[DISC 2-]]+NOTA[[#This Row],[DISC 3-]])</f>
        <v/>
      </c>
      <c r="AC210" s="50" t="str">
        <f>IF(NOTA[[#This Row],[JUMLAH]]="","",NOTA[[#This Row],[JUMLAH]]-NOTA[[#This Row],[DISC]])</f>
        <v/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0" s="50" t="str">
        <f>IF(OR(NOTA[[#This Row],[QTY]]="",NOTA[[#This Row],[HARGA SATUAN]]="",),"",NOTA[[#This Row],[QTY]]*NOTA[[#This Row],[HARGA SATUAN]])</f>
        <v/>
      </c>
      <c r="AI210" s="39" t="str">
        <f ca="1">IF(NOTA[ID_H]="","",INDEX(NOTA[TANGGAL],MATCH(,INDIRECT(ADDRESS(ROW(NOTA[TANGGAL]),COLUMN(NOTA[TANGGAL]))&amp;":"&amp;ADDRESS(ROW(),COLUMN(NOTA[TANGGAL]))),-1)))</f>
        <v/>
      </c>
      <c r="AJ210" s="41" t="str">
        <f ca="1">IF(NOTA[[#This Row],[NAMA BARANG]]="","",INDEX(NOTA[SUPPLIER],MATCH(,INDIRECT(ADDRESS(ROW(NOTA[ID]),COLUMN(NOTA[ID]))&amp;":"&amp;ADDRESS(ROW(),COLUMN(NOTA[ID]))),-1)))</f>
        <v/>
      </c>
      <c r="AK210" s="41" t="str">
        <f ca="1">IF(NOTA[[#This Row],[ID_H]]="","",IF(NOTA[[#This Row],[FAKTUR]]="",INDIRECT(ADDRESS(ROW()-1,COLUMN())),NOTA[[#This Row],[FAKTUR]]))</f>
        <v/>
      </c>
      <c r="AL210" s="38" t="str">
        <f ca="1">IF(NOTA[[#This Row],[ID]]="","",COUNTIF(NOTA[ID_H],NOTA[[#This Row],[ID_H]]))</f>
        <v/>
      </c>
      <c r="AM210" s="38" t="str">
        <f ca="1">IF(NOTA[[#This Row],[TGL.NOTA]]="",IF(NOTA[[#This Row],[SUPPLIER_H]]="","",AM209),MONTH(NOTA[[#This Row],[TGL.NOTA]]))</f>
        <v/>
      </c>
      <c r="AN210" s="38" t="str">
        <f>LOWER(SUBSTITUTE(SUBSTITUTE(SUBSTITUTE(SUBSTITUTE(SUBSTITUTE(SUBSTITUTE(SUBSTITUTE(SUBSTITUTE(SUBSTITUTE(NOTA[NAMA BARANG]," ",),".",""),"-",""),"(",""),")",""),",",""),"/",""),"""",""),"+",""))</f>
        <v/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Row],[CONCAT4]],[2]!RAW[CONCAT_H],0),FALSE))</f>
        <v/>
      </c>
      <c r="AS210" s="38" t="str">
        <f>IF(NOTA[[#This Row],[CONCAT1]]="","",MATCH(NOTA[[#This Row],[CONCAT1]],[3]!db[NB NOTA_C],0))</f>
        <v/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/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0" s="38" t="str">
        <f ca="1">IF(NOTA[[#This Row],[ID_H]]="","",MATCH(NOTA[[#This Row],[NB NOTA_C_QTY]],[4]!db[NB NOTA_C_QTY+F],0))</f>
        <v/>
      </c>
      <c r="AX210" s="53" t="str">
        <f ca="1">IF(NOTA[[#This Row],[NB NOTA_C_QTY]]="","",ROW()-2)</f>
        <v/>
      </c>
    </row>
    <row r="211" spans="1:50" s="38" customFormat="1" ht="20.100000000000001" customHeight="1" x14ac:dyDescent="0.25">
      <c r="A211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2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ATA_0901_277-6</v>
      </c>
      <c r="C211" s="38" t="e">
        <f ca="1">IF(NOTA[[#This Row],[ID_P]]="","",MATCH(NOTA[[#This Row],[ID_P]],[1]!B_MSK[N_ID],0))</f>
        <v>#REF!</v>
      </c>
      <c r="D211" s="38">
        <f ca="1">IF(NOTA[[#This Row],[NAMA BARANG]]="","",INDEX(NOTA[ID],MATCH(,INDIRECT(ADDRESS(ROW(NOTA[ID]),COLUMN(NOTA[ID]))&amp;":"&amp;ADDRESS(ROW(),COLUMN(NOTA[ID]))),-1)))</f>
        <v>31</v>
      </c>
      <c r="E211" s="46">
        <v>45300</v>
      </c>
      <c r="F211" s="37" t="s">
        <v>24</v>
      </c>
      <c r="G211" s="37" t="s">
        <v>23</v>
      </c>
      <c r="H211" s="47" t="s">
        <v>340</v>
      </c>
      <c r="I211" s="37"/>
      <c r="J211" s="39">
        <v>45296</v>
      </c>
      <c r="K211" s="37">
        <v>0</v>
      </c>
      <c r="L211" s="37" t="s">
        <v>341</v>
      </c>
      <c r="M211" s="40">
        <v>1</v>
      </c>
      <c r="N211" s="38">
        <v>50</v>
      </c>
      <c r="O211" s="37" t="s">
        <v>120</v>
      </c>
      <c r="P211" s="41">
        <v>31200</v>
      </c>
      <c r="Q211" s="42"/>
      <c r="R211" s="48"/>
      <c r="S211" s="49">
        <v>0.125</v>
      </c>
      <c r="T211" s="44">
        <v>0.05</v>
      </c>
      <c r="U211" s="44"/>
      <c r="V211" s="50"/>
      <c r="W211" s="45"/>
      <c r="X211" s="50">
        <f>IF(NOTA[[#This Row],[HARGA/ CTN]]="",NOTA[[#This Row],[JUMLAH_H]],NOTA[[#This Row],[HARGA/ CTN]]*IF(NOTA[[#This Row],[C]]="",0,NOTA[[#This Row],[C]]))</f>
        <v>1560000</v>
      </c>
      <c r="Y211" s="50">
        <f>IF(NOTA[[#This Row],[JUMLAH]]="","",NOTA[[#This Row],[JUMLAH]]*NOTA[[#This Row],[DISC 1]])</f>
        <v>195000</v>
      </c>
      <c r="Z211" s="50">
        <f>IF(NOTA[[#This Row],[JUMLAH]]="","",(NOTA[[#This Row],[JUMLAH]]-NOTA[[#This Row],[DISC 1-]])*NOTA[[#This Row],[DISC 2]])</f>
        <v>68250</v>
      </c>
      <c r="AA211" s="50">
        <f>IF(NOTA[[#This Row],[JUMLAH]]="","",(NOTA[[#This Row],[JUMLAH]]-NOTA[[#This Row],[DISC 1-]]-NOTA[[#This Row],[DISC 2-]])*NOTA[[#This Row],[DISC 3]])</f>
        <v>0</v>
      </c>
      <c r="AB211" s="50">
        <f>IF(NOTA[[#This Row],[JUMLAH]]="","",NOTA[[#This Row],[DISC 1-]]+NOTA[[#This Row],[DISC 2-]]+NOTA[[#This Row],[DISC 3-]])</f>
        <v>263250</v>
      </c>
      <c r="AC211" s="50">
        <f>IF(NOTA[[#This Row],[JUMLAH]]="","",NOTA[[#This Row],[JUMLAH]]-NOTA[[#This Row],[DISC]])</f>
        <v>1296750</v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11" s="50">
        <f>IF(OR(NOTA[[#This Row],[QTY]]="",NOTA[[#This Row],[HARGA SATUAN]]="",),"",NOTA[[#This Row],[QTY]]*NOTA[[#This Row],[HARGA SATUAN]])</f>
        <v>1560000</v>
      </c>
      <c r="AI211" s="39">
        <f ca="1">IF(NOTA[ID_H]="","",INDEX(NOTA[TANGGAL],MATCH(,INDIRECT(ADDRESS(ROW(NOTA[TANGGAL]),COLUMN(NOTA[TANGGAL]))&amp;":"&amp;ADDRESS(ROW(),COLUMN(NOTA[TANGGAL]))),-1)))</f>
        <v>45300</v>
      </c>
      <c r="AJ211" s="41" t="str">
        <f ca="1">IF(NOTA[[#This Row],[NAMA BARANG]]="","",INDEX(NOTA[SUPPLIER],MATCH(,INDIRECT(ADDRESS(ROW(NOTA[ID]),COLUMN(NOTA[ID]))&amp;":"&amp;ADDRESS(ROW(),COLUMN(NOTA[ID]))),-1)))</f>
        <v>ATALI MAKMUR</v>
      </c>
      <c r="AK211" s="41" t="str">
        <f ca="1">IF(NOTA[[#This Row],[ID_H]]="","",IF(NOTA[[#This Row],[FAKTUR]]="",INDIRECT(ADDRESS(ROW()-1,COLUMN())),NOTA[[#This Row],[FAKTUR]]))</f>
        <v>ARTO MORO</v>
      </c>
      <c r="AL211" s="38">
        <f ca="1">IF(NOTA[[#This Row],[ID]]="","",COUNTIF(NOTA[ID_H],NOTA[[#This Row],[ID_H]]))</f>
        <v>6</v>
      </c>
      <c r="AM211" s="38">
        <f>IF(NOTA[[#This Row],[TGL.NOTA]]="",IF(NOTA[[#This Row],[SUPPLIER_H]]="","",AM210),MONTH(NOTA[[#This Row],[TGL.NOTA]]))</f>
        <v>1</v>
      </c>
      <c r="AN211" s="38" t="str">
        <f>LOWER(SUBSTITUTE(SUBSTITUTE(SUBSTITUTE(SUBSTITUTE(SUBSTITUTE(SUBSTITUTE(SUBSTITUTE(SUBSTITUTE(SUBSTITUTE(NOTA[NAMA BARANG]," ",),".",""),"-",""),"(",""),")",""),",",""),"/",""),"""",""),"+",""))</f>
        <v>binderclip107jk</v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binderclip107jk15600000.1250.05</v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binderclip107jk15600000.1250.05</v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MOROSA24010027745296binderclip107jk</v>
      </c>
      <c r="AR211" s="38" t="e">
        <f>IF(NOTA[[#This Row],[CONCAT4]]="","",_xlfn.IFNA(MATCH(NOTA[[#This Row],[CONCAT4]],[2]!RAW[CONCAT_H],0),FALSE))</f>
        <v>#REF!</v>
      </c>
      <c r="AS211" s="38">
        <f>IF(NOTA[[#This Row],[CONCAT1]]="","",MATCH(NOTA[[#This Row],[CONCAT1]],[3]!db[NB NOTA_C],0))</f>
        <v>292</v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>50 GRS</v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binderclip107jk50grsartomoro</v>
      </c>
      <c r="AW211" s="38" t="e">
        <f ca="1">IF(NOTA[[#This Row],[ID_H]]="","",MATCH(NOTA[[#This Row],[NB NOTA_C_QTY]],[4]!db[NB NOTA_C_QTY+F],0))</f>
        <v>#REF!</v>
      </c>
      <c r="AX211" s="53">
        <f ca="1">IF(NOTA[[#This Row],[NB NOTA_C_QTY]]="","",ROW()-2)</f>
        <v>209</v>
      </c>
    </row>
    <row r="212" spans="1:50" s="38" customFormat="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31</v>
      </c>
      <c r="E212" s="46"/>
      <c r="F212" s="37"/>
      <c r="G212" s="37"/>
      <c r="H212" s="47"/>
      <c r="I212" s="37"/>
      <c r="J212" s="39"/>
      <c r="K212" s="37">
        <v>0</v>
      </c>
      <c r="L212" s="37" t="s">
        <v>342</v>
      </c>
      <c r="M212" s="40">
        <v>1</v>
      </c>
      <c r="N212" s="38">
        <v>30</v>
      </c>
      <c r="O212" s="37" t="s">
        <v>120</v>
      </c>
      <c r="P212" s="41">
        <v>48600</v>
      </c>
      <c r="Q212" s="42"/>
      <c r="R212" s="48"/>
      <c r="S212" s="49">
        <v>0.125</v>
      </c>
      <c r="T212" s="44">
        <v>0.05</v>
      </c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1458000</v>
      </c>
      <c r="Y212" s="50">
        <f>IF(NOTA[[#This Row],[JUMLAH]]="","",NOTA[[#This Row],[JUMLAH]]*NOTA[[#This Row],[DISC 1]])</f>
        <v>182250</v>
      </c>
      <c r="Z212" s="50">
        <f>IF(NOTA[[#This Row],[JUMLAH]]="","",(NOTA[[#This Row],[JUMLAH]]-NOTA[[#This Row],[DISC 1-]])*NOTA[[#This Row],[DISC 2]])</f>
        <v>63787.5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246037.5</v>
      </c>
      <c r="AC212" s="50">
        <f>IF(NOTA[[#This Row],[JUMLAH]]="","",NOTA[[#This Row],[JUMLAH]]-NOTA[[#This Row],[DISC]])</f>
        <v>1211962.5</v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H212" s="50">
        <f>IF(OR(NOTA[[#This Row],[QTY]]="",NOTA[[#This Row],[HARGA SATUAN]]="",),"",NOTA[[#This Row],[QTY]]*NOTA[[#This Row],[HARGA SATUAN]])</f>
        <v>1458000</v>
      </c>
      <c r="AI212" s="39">
        <f ca="1">IF(NOTA[ID_H]="","",INDEX(NOTA[TANGGAL],MATCH(,INDIRECT(ADDRESS(ROW(NOTA[TANGGAL]),COLUMN(NOTA[TANGGAL]))&amp;":"&amp;ADDRESS(ROW(),COLUMN(NOTA[TANGGAL]))),-1)))</f>
        <v>45300</v>
      </c>
      <c r="AJ212" s="41" t="str">
        <f ca="1">IF(NOTA[[#This Row],[NAMA BARANG]]="","",INDEX(NOTA[SUPPLIER],MATCH(,INDIRECT(ADDRESS(ROW(NOTA[ID]),COLUMN(NOTA[ID]))&amp;":"&amp;ADDRESS(ROW(),COLUMN(NOTA[ID]))),-1)))</f>
        <v>ATALI MAKMUR</v>
      </c>
      <c r="AK212" s="41" t="str">
        <f ca="1">IF(NOTA[[#This Row],[ID_H]]="","",IF(NOTA[[#This Row],[FAKTUR]]="",INDIRECT(ADDRESS(ROW()-1,COLUMN())),NOTA[[#This Row],[FAKTUR]]))</f>
        <v>ARTO MORO</v>
      </c>
      <c r="AL212" s="38" t="str">
        <f ca="1">IF(NOTA[[#This Row],[ID]]="","",COUNTIF(NOTA[ID_H],NOTA[[#This Row],[ID_H]]))</f>
        <v/>
      </c>
      <c r="AM212" s="38">
        <f ca="1">IF(NOTA[[#This Row],[TGL.NOTA]]="",IF(NOTA[[#This Row],[SUPPLIER_H]]="","",AM211),MONTH(NOTA[[#This Row],[TGL.NOTA]]))</f>
        <v>1</v>
      </c>
      <c r="AN212" s="38" t="str">
        <f>LOWER(SUBSTITUTE(SUBSTITUTE(SUBSTITUTE(SUBSTITUTE(SUBSTITUTE(SUBSTITUTE(SUBSTITUTE(SUBSTITUTE(SUBSTITUTE(NOTA[NAMA BARANG]," ",),".",""),"-",""),"(",""),")",""),",",""),"/",""),"""",""),"+",""))</f>
        <v>binderclip111jk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2" s="38" t="str">
        <f>IF(NOTA[[#This Row],[CONCAT4]]="","",_xlfn.IFNA(MATCH(NOTA[[#This Row],[CONCAT4]],[2]!RAW[CONCAT_H],0),FALSE))</f>
        <v/>
      </c>
      <c r="AS212" s="38">
        <f>IF(NOTA[[#This Row],[CONCAT1]]="","",MATCH(NOTA[[#This Row],[CONCAT1]],[3]!db[NB NOTA_C],0))</f>
        <v>295</v>
      </c>
      <c r="AT212" s="38" t="str">
        <f>IF(NOTA[[#This Row],[QTY/ CTN]]="","",TRUE)</f>
        <v/>
      </c>
      <c r="AU212" s="38" t="str">
        <f ca="1">IF(NOTA[[#This Row],[ID_H]]="","",IF(NOTA[[#This Row],[Column3]]=TRUE,NOTA[[#This Row],[QTY/ CTN]],INDEX([3]!db[QTY/ CTN],NOTA[[#This Row],[//DB]])))</f>
        <v>30 GRS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binderclip111jk30grsartomoro</v>
      </c>
      <c r="AW212" s="38" t="e">
        <f ca="1">IF(NOTA[[#This Row],[ID_H]]="","",MATCH(NOTA[[#This Row],[NB NOTA_C_QTY]],[4]!db[NB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31</v>
      </c>
      <c r="E213" s="46"/>
      <c r="F213" s="37"/>
      <c r="G213" s="37"/>
      <c r="H213" s="47"/>
      <c r="I213" s="37"/>
      <c r="J213" s="39"/>
      <c r="K213" s="37">
        <v>0</v>
      </c>
      <c r="L213" s="37" t="s">
        <v>343</v>
      </c>
      <c r="M213" s="40">
        <v>1</v>
      </c>
      <c r="N213" s="38">
        <v>20</v>
      </c>
      <c r="O213" s="37" t="s">
        <v>120</v>
      </c>
      <c r="P213" s="41">
        <v>67800</v>
      </c>
      <c r="Q213" s="42"/>
      <c r="R213" s="48"/>
      <c r="S213" s="49">
        <v>0.125</v>
      </c>
      <c r="T213" s="44">
        <v>0.05</v>
      </c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1356000</v>
      </c>
      <c r="Y213" s="50">
        <f>IF(NOTA[[#This Row],[JUMLAH]]="","",NOTA[[#This Row],[JUMLAH]]*NOTA[[#This Row],[DISC 1]])</f>
        <v>169500</v>
      </c>
      <c r="Z213" s="50">
        <f>IF(NOTA[[#This Row],[JUMLAH]]="","",(NOTA[[#This Row],[JUMLAH]]-NOTA[[#This Row],[DISC 1-]])*NOTA[[#This Row],[DISC 2]])</f>
        <v>59325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228825</v>
      </c>
      <c r="AC213" s="50">
        <f>IF(NOTA[[#This Row],[JUMLAH]]="","",NOTA[[#This Row],[JUMLAH]]-NOTA[[#This Row],[DISC]])</f>
        <v>1127175</v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213" s="50">
        <f>IF(OR(NOTA[[#This Row],[QTY]]="",NOTA[[#This Row],[HARGA SATUAN]]="",),"",NOTA[[#This Row],[QTY]]*NOTA[[#This Row],[HARGA SATUAN]])</f>
        <v>1356000</v>
      </c>
      <c r="AI213" s="39">
        <f ca="1">IF(NOTA[ID_H]="","",INDEX(NOTA[TANGGAL],MATCH(,INDIRECT(ADDRESS(ROW(NOTA[TANGGAL]),COLUMN(NOTA[TANGGAL]))&amp;":"&amp;ADDRESS(ROW(),COLUMN(NOTA[TANGGAL]))),-1)))</f>
        <v>45300</v>
      </c>
      <c r="AJ213" s="41" t="str">
        <f ca="1">IF(NOTA[[#This Row],[NAMA BARANG]]="","",INDEX(NOTA[SUPPLIER],MATCH(,INDIRECT(ADDRESS(ROW(NOTA[ID]),COLUMN(NOTA[ID]))&amp;":"&amp;ADDRESS(ROW(),COLUMN(NOTA[ID]))),-1)))</f>
        <v>ATALI MAKMUR</v>
      </c>
      <c r="AK213" s="41" t="str">
        <f ca="1">IF(NOTA[[#This Row],[ID_H]]="","",IF(NOTA[[#This Row],[FAKTUR]]="",INDIRECT(ADDRESS(ROW()-1,COLUMN())),NOTA[[#This Row],[FAKTUR]]))</f>
        <v>ARTO MORO</v>
      </c>
      <c r="AL213" s="38" t="str">
        <f ca="1">IF(NOTA[[#This Row],[ID]]="","",COUNTIF(NOTA[ID_H],NOTA[[#This Row],[ID_H]]))</f>
        <v/>
      </c>
      <c r="AM213" s="38">
        <f ca="1">IF(NOTA[[#This Row],[TGL.NOTA]]="",IF(NOTA[[#This Row],[SUPPLIER_H]]="","",AM212),MONTH(NOTA[[#This Row],[TGL.NOTA]]))</f>
        <v>1</v>
      </c>
      <c r="AN213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>
        <f>IF(NOTA[[#This Row],[CONCAT1]]="","",MATCH(NOTA[[#This Row],[CONCAT1]],[3]!db[NB NOTA_C],0))</f>
        <v>296</v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CTN]],INDEX([3]!db[QTY/ CTN],NOTA[[#This Row],[//DB]])))</f>
        <v>20 GRS</v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213" s="38" t="e">
        <f ca="1">IF(NOTA[[#This Row],[ID_H]]="","",MATCH(NOTA[[#This Row],[NB NOTA_C_QTY]],[4]!db[NB NOTA_C_QTY+F],0))</f>
        <v>#REF!</v>
      </c>
      <c r="AX213" s="53">
        <f ca="1">IF(NOTA[[#This Row],[NB NOTA_C_QTY]]="","",ROW()-2)</f>
        <v>211</v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31</v>
      </c>
      <c r="E214" s="46"/>
      <c r="F214" s="37"/>
      <c r="G214" s="37"/>
      <c r="H214" s="47"/>
      <c r="I214" s="37"/>
      <c r="J214" s="39"/>
      <c r="K214" s="37">
        <v>1</v>
      </c>
      <c r="L214" s="37" t="s">
        <v>344</v>
      </c>
      <c r="M214" s="40">
        <v>2</v>
      </c>
      <c r="N214" s="38">
        <v>240</v>
      </c>
      <c r="O214" s="37" t="s">
        <v>111</v>
      </c>
      <c r="P214" s="41">
        <v>9650</v>
      </c>
      <c r="Q214" s="42"/>
      <c r="R214" s="48"/>
      <c r="S214" s="49">
        <v>0.125</v>
      </c>
      <c r="T214" s="44">
        <v>0.05</v>
      </c>
      <c r="U214" s="44"/>
      <c r="V214" s="50"/>
      <c r="W214" s="45"/>
      <c r="X214" s="50">
        <f>IF(NOTA[[#This Row],[HARGA/ CTN]]="",NOTA[[#This Row],[JUMLAH_H]],NOTA[[#This Row],[HARGA/ CTN]]*IF(NOTA[[#This Row],[C]]="",0,NOTA[[#This Row],[C]]))</f>
        <v>2316000</v>
      </c>
      <c r="Y214" s="50">
        <f>IF(NOTA[[#This Row],[JUMLAH]]="","",NOTA[[#This Row],[JUMLAH]]*NOTA[[#This Row],[DISC 1]])</f>
        <v>289500</v>
      </c>
      <c r="Z214" s="50">
        <f>IF(NOTA[[#This Row],[JUMLAH]]="","",(NOTA[[#This Row],[JUMLAH]]-NOTA[[#This Row],[DISC 1-]])*NOTA[[#This Row],[DISC 2]])</f>
        <v>101325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390825</v>
      </c>
      <c r="AC214" s="50">
        <f>IF(NOTA[[#This Row],[JUMLAH]]="","",NOTA[[#This Row],[JUMLAH]]-NOTA[[#This Row],[DISC]])</f>
        <v>1925175</v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214" s="50">
        <f>IF(OR(NOTA[[#This Row],[QTY]]="",NOTA[[#This Row],[HARGA SATUAN]]="",),"",NOTA[[#This Row],[QTY]]*NOTA[[#This Row],[HARGA SATUAN]])</f>
        <v>2316000</v>
      </c>
      <c r="AI214" s="39">
        <f ca="1">IF(NOTA[ID_H]="","",INDEX(NOTA[TANGGAL],MATCH(,INDIRECT(ADDRESS(ROW(NOTA[TANGGAL]),COLUMN(NOTA[TANGGAL]))&amp;":"&amp;ADDRESS(ROW(),COLUMN(NOTA[TANGGAL]))),-1)))</f>
        <v>45300</v>
      </c>
      <c r="AJ214" s="41" t="str">
        <f ca="1">IF(NOTA[[#This Row],[NAMA BARANG]]="","",INDEX(NOTA[SUPPLIER],MATCH(,INDIRECT(ADDRESS(ROW(NOTA[ID]),COLUMN(NOTA[ID]))&amp;":"&amp;ADDRESS(ROW(),COLUMN(NOTA[ID]))),-1)))</f>
        <v>ATALI MAKMUR</v>
      </c>
      <c r="AK214" s="41" t="str">
        <f ca="1">IF(NOTA[[#This Row],[ID_H]]="","",IF(NOTA[[#This Row],[FAKTUR]]="",INDIRECT(ADDRESS(ROW()-1,COLUMN())),NOTA[[#This Row],[FAKTUR]]))</f>
        <v>ARTO MORO</v>
      </c>
      <c r="AL214" s="38" t="str">
        <f ca="1">IF(NOTA[[#This Row],[ID]]="","",COUNTIF(NOTA[ID_H],NOTA[[#This Row],[ID_H]]))</f>
        <v/>
      </c>
      <c r="AM214" s="38">
        <f ca="1">IF(NOTA[[#This Row],[TGL.NOTA]]="",IF(NOTA[[#This Row],[SUPPLIER_H]]="","",AM213),MONTH(NOTA[[#This Row],[TGL.NOTA]]))</f>
        <v>1</v>
      </c>
      <c r="AN214" s="38" t="str">
        <f>LOWER(SUBSTITUTE(SUBSTITUTE(SUBSTITUTE(SUBSTITUTE(SUBSTITUTE(SUBSTITUTE(SUBSTITUTE(SUBSTITUTE(SUBSTITUTE(NOTA[NAMA BARANG]," ",),".",""),"-",""),"(",""),")",""),",",""),"/",""),"""",""),"+",""))</f>
        <v>binderclip200jk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>
        <f>IF(NOTA[[#This Row],[CONCAT1]]="","",MATCH(NOTA[[#This Row],[CONCAT1]],[3]!db[NB NOTA_C],0))</f>
        <v>298</v>
      </c>
      <c r="AT214" s="38" t="str">
        <f>IF(NOTA[[#This Row],[QTY/ CTN]]="","",TRUE)</f>
        <v/>
      </c>
      <c r="AU214" s="38" t="str">
        <f ca="1">IF(NOTA[[#This Row],[ID_H]]="","",IF(NOTA[[#This Row],[Column3]]=TRUE,NOTA[[#This Row],[QTY/ CTN]],INDEX([3]!db[QTY/ CTN],NOTA[[#This Row],[//DB]])))</f>
        <v>10 GRS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214" s="38" t="e">
        <f ca="1">IF(NOTA[[#This Row],[ID_H]]="","",MATCH(NOTA[[#This Row],[NB NOTA_C_QTY]],[4]!db[NB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31</v>
      </c>
      <c r="E215" s="46"/>
      <c r="F215" s="37"/>
      <c r="G215" s="37"/>
      <c r="H215" s="47"/>
      <c r="I215" s="37"/>
      <c r="J215" s="39"/>
      <c r="K215" s="37">
        <v>0</v>
      </c>
      <c r="L215" s="37" t="s">
        <v>345</v>
      </c>
      <c r="M215" s="40">
        <v>3</v>
      </c>
      <c r="N215" s="38">
        <v>180</v>
      </c>
      <c r="O215" s="37" t="s">
        <v>111</v>
      </c>
      <c r="P215" s="41">
        <v>14750</v>
      </c>
      <c r="Q215" s="42"/>
      <c r="R215" s="48"/>
      <c r="S215" s="49">
        <v>0.125</v>
      </c>
      <c r="T215" s="44">
        <v>0.05</v>
      </c>
      <c r="U215" s="44"/>
      <c r="V215" s="50"/>
      <c r="W215" s="45"/>
      <c r="X215" s="50">
        <f>IF(NOTA[[#This Row],[HARGA/ CTN]]="",NOTA[[#This Row],[JUMLAH_H]],NOTA[[#This Row],[HARGA/ CTN]]*IF(NOTA[[#This Row],[C]]="",0,NOTA[[#This Row],[C]]))</f>
        <v>2655000</v>
      </c>
      <c r="Y215" s="50">
        <f>IF(NOTA[[#This Row],[JUMLAH]]="","",NOTA[[#This Row],[JUMLAH]]*NOTA[[#This Row],[DISC 1]])</f>
        <v>331875</v>
      </c>
      <c r="Z215" s="50">
        <f>IF(NOTA[[#This Row],[JUMLAH]]="","",(NOTA[[#This Row],[JUMLAH]]-NOTA[[#This Row],[DISC 1-]])*NOTA[[#This Row],[DISC 2]])</f>
        <v>116156.25</v>
      </c>
      <c r="AA215" s="50">
        <f>IF(NOTA[[#This Row],[JUMLAH]]="","",(NOTA[[#This Row],[JUMLAH]]-NOTA[[#This Row],[DISC 1-]]-NOTA[[#This Row],[DISC 2-]])*NOTA[[#This Row],[DISC 3]])</f>
        <v>0</v>
      </c>
      <c r="AB215" s="50">
        <f>IF(NOTA[[#This Row],[JUMLAH]]="","",NOTA[[#This Row],[DISC 1-]]+NOTA[[#This Row],[DISC 2-]]+NOTA[[#This Row],[DISC 3-]])</f>
        <v>448031.25</v>
      </c>
      <c r="AC215" s="50">
        <f>IF(NOTA[[#This Row],[JUMLAH]]="","",NOTA[[#This Row],[JUMLAH]]-NOTA[[#This Row],[DISC]])</f>
        <v>2206968.75</v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215" s="50">
        <f>IF(OR(NOTA[[#This Row],[QTY]]="",NOTA[[#This Row],[HARGA SATUAN]]="",),"",NOTA[[#This Row],[QTY]]*NOTA[[#This Row],[HARGA SATUAN]])</f>
        <v>2655000</v>
      </c>
      <c r="AI215" s="39">
        <f ca="1">IF(NOTA[ID_H]="","",INDEX(NOTA[TANGGAL],MATCH(,INDIRECT(ADDRESS(ROW(NOTA[TANGGAL]),COLUMN(NOTA[TANGGAL]))&amp;":"&amp;ADDRESS(ROW(),COLUMN(NOTA[TANGGAL]))),-1)))</f>
        <v>45300</v>
      </c>
      <c r="AJ215" s="41" t="str">
        <f ca="1">IF(NOTA[[#This Row],[NAMA BARANG]]="","",INDEX(NOTA[SUPPLIER],MATCH(,INDIRECT(ADDRESS(ROW(NOTA[ID]),COLUMN(NOTA[ID]))&amp;":"&amp;ADDRESS(ROW(),COLUMN(NOTA[ID]))),-1)))</f>
        <v>ATALI MAKMUR</v>
      </c>
      <c r="AK215" s="41" t="str">
        <f ca="1">IF(NOTA[[#This Row],[ID_H]]="","",IF(NOTA[[#This Row],[FAKTUR]]="",INDIRECT(ADDRESS(ROW()-1,COLUMN())),NOTA[[#This Row],[FAKTUR]]))</f>
        <v>ARTO MORO</v>
      </c>
      <c r="AL215" s="38" t="str">
        <f ca="1">IF(NOTA[[#This Row],[ID]]="","",COUNTIF(NOTA[ID_H],NOTA[[#This Row],[ID_H]]))</f>
        <v/>
      </c>
      <c r="AM215" s="38">
        <f ca="1">IF(NOTA[[#This Row],[TGL.NOTA]]="",IF(NOTA[[#This Row],[SUPPLIER_H]]="","",AM214),MONTH(NOTA[[#This Row],[TGL.NOTA]]))</f>
        <v>1</v>
      </c>
      <c r="AN215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>
        <f>IF(NOTA[[#This Row],[CONCAT1]]="","",MATCH(NOTA[[#This Row],[CONCAT1]],[3]!db[NB NOTA_C],0))</f>
        <v>300</v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>5 GRS</v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215" s="38" t="e">
        <f ca="1">IF(NOTA[[#This Row],[ID_H]]="","",MATCH(NOTA[[#This Row],[NB NOTA_C_QTY]],[4]!db[NB NOTA_C_QTY+F],0))</f>
        <v>#REF!</v>
      </c>
      <c r="AX215" s="53">
        <f ca="1">IF(NOTA[[#This Row],[NB NOTA_C_QTY]]="","",ROW()-2)</f>
        <v>213</v>
      </c>
    </row>
    <row r="216" spans="1:50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>
        <f ca="1">IF(NOTA[[#This Row],[NAMA BARANG]]="","",INDEX(NOTA[ID],MATCH(,INDIRECT(ADDRESS(ROW(NOTA[ID]),COLUMN(NOTA[ID]))&amp;":"&amp;ADDRESS(ROW(),COLUMN(NOTA[ID]))),-1)))</f>
        <v>31</v>
      </c>
      <c r="E216" s="46"/>
      <c r="F216" s="37"/>
      <c r="G216" s="37"/>
      <c r="H216" s="47"/>
      <c r="I216" s="37"/>
      <c r="J216" s="39"/>
      <c r="K216" s="37"/>
      <c r="L216" s="37" t="s">
        <v>346</v>
      </c>
      <c r="M216" s="40"/>
      <c r="N216" s="38">
        <v>48</v>
      </c>
      <c r="O216" s="37" t="s">
        <v>111</v>
      </c>
      <c r="P216" s="41">
        <v>13200</v>
      </c>
      <c r="Q216" s="42"/>
      <c r="R216" s="48"/>
      <c r="S216" s="49">
        <v>0.125</v>
      </c>
      <c r="T216" s="44">
        <v>0.05</v>
      </c>
      <c r="U216" s="44"/>
      <c r="V216" s="50">
        <v>526680</v>
      </c>
      <c r="W216" s="45"/>
      <c r="X216" s="50">
        <f>IF(NOTA[[#This Row],[HARGA/ CTN]]="",NOTA[[#This Row],[JUMLAH_H]],NOTA[[#This Row],[HARGA/ CTN]]*IF(NOTA[[#This Row],[C]]="",0,NOTA[[#This Row],[C]]))</f>
        <v>633600</v>
      </c>
      <c r="Y216" s="50">
        <f>IF(NOTA[[#This Row],[JUMLAH]]="","",NOTA[[#This Row],[JUMLAH]]*NOTA[[#This Row],[DISC 1]])</f>
        <v>79200</v>
      </c>
      <c r="Z216" s="50">
        <f>IF(NOTA[[#This Row],[JUMLAH]]="","",(NOTA[[#This Row],[JUMLAH]]-NOTA[[#This Row],[DISC 1-]])*NOTA[[#This Row],[DISC 2]])</f>
        <v>27720</v>
      </c>
      <c r="AA216" s="50">
        <f>IF(NOTA[[#This Row],[JUMLAH]]="","",(NOTA[[#This Row],[JUMLAH]]-NOTA[[#This Row],[DISC 1-]]-NOTA[[#This Row],[DISC 2-]])*NOTA[[#This Row],[DISC 3]])</f>
        <v>0</v>
      </c>
      <c r="AB216" s="50">
        <f>IF(NOTA[[#This Row],[JUMLAH]]="","",NOTA[[#This Row],[DISC 1-]]+NOTA[[#This Row],[DISC 2-]]+NOTA[[#This Row],[DISC 3-]])</f>
        <v>106920</v>
      </c>
      <c r="AC216" s="50">
        <f>IF(NOTA[[#This Row],[JUMLAH]]="","",NOTA[[#This Row],[JUMLAH]]-NOTA[[#This Row],[DISC]])</f>
        <v>526680</v>
      </c>
      <c r="AD216" s="50"/>
      <c r="AE2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2210568.75</v>
      </c>
      <c r="AF2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7768031.25</v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633600</v>
      </c>
      <c r="AH216" s="50">
        <f>IF(OR(NOTA[[#This Row],[QTY]]="",NOTA[[#This Row],[HARGA SATUAN]]="",),"",NOTA[[#This Row],[QTY]]*NOTA[[#This Row],[HARGA SATUAN]])</f>
        <v>633600</v>
      </c>
      <c r="AI216" s="39">
        <f ca="1">IF(NOTA[ID_H]="","",INDEX(NOTA[TANGGAL],MATCH(,INDIRECT(ADDRESS(ROW(NOTA[TANGGAL]),COLUMN(NOTA[TANGGAL]))&amp;":"&amp;ADDRESS(ROW(),COLUMN(NOTA[TANGGAL]))),-1)))</f>
        <v>45300</v>
      </c>
      <c r="AJ216" s="41" t="str">
        <f ca="1">IF(NOTA[[#This Row],[NAMA BARANG]]="","",INDEX(NOTA[SUPPLIER],MATCH(,INDIRECT(ADDRESS(ROW(NOTA[ID]),COLUMN(NOTA[ID]))&amp;":"&amp;ADDRESS(ROW(),COLUMN(NOTA[ID]))),-1)))</f>
        <v>ATALI MAKMUR</v>
      </c>
      <c r="AK216" s="41" t="str">
        <f ca="1">IF(NOTA[[#This Row],[ID_H]]="","",IF(NOTA[[#This Row],[FAKTUR]]="",INDIRECT(ADDRESS(ROW()-1,COLUMN())),NOTA[[#This Row],[FAKTUR]]))</f>
        <v>ARTO MORO</v>
      </c>
      <c r="AL216" s="38" t="str">
        <f ca="1">IF(NOTA[[#This Row],[ID]]="","",COUNTIF(NOTA[ID_H],NOTA[[#This Row],[ID_H]]))</f>
        <v/>
      </c>
      <c r="AM216" s="38">
        <f ca="1">IF(NOTA[[#This Row],[TGL.NOTA]]="",IF(NOTA[[#This Row],[SUPPLIER_H]]="","",AM215),MONTH(NOTA[[#This Row],[TGL.NOTA]]))</f>
        <v>1</v>
      </c>
      <c r="AN216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ballpenbp34912vokustransblackjkbonus6336000.1250.05</v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6" s="38" t="str">
        <f>IF(NOTA[[#This Row],[CONCAT4]]="","",_xlfn.IFNA(MATCH(NOTA[[#This Row],[CONCAT4]],[2]!RAW[CONCAT_H],0),FALSE))</f>
        <v/>
      </c>
      <c r="AS216" s="38">
        <f>IF(NOTA[[#This Row],[CONCAT1]]="","",MATCH(NOTA[[#This Row],[CONCAT1]],[3]!db[NB NOTA_C],0))</f>
        <v>131</v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>144 LSN</v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16" s="38" t="e">
        <f ca="1">IF(NOTA[[#This Row],[ID_H]]="","",MATCH(NOTA[[#This Row],[NB NOTA_C_QTY]],[4]!db[NB NOTA_C_QTY+F],0))</f>
        <v>#REF!</v>
      </c>
      <c r="AX216" s="53">
        <f ca="1">IF(NOTA[[#This Row],[NB NOTA_C_QTY]]="","",ROW()-2)</f>
        <v>214</v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 t="str">
        <f ca="1">IF(NOTA[[#This Row],[NAMA BARANG]]="","",INDEX(NOTA[ID],MATCH(,INDIRECT(ADDRESS(ROW(NOTA[ID]),COLUMN(NOTA[ID]))&amp;":"&amp;ADDRESS(ROW(),COLUMN(NOTA[ID]))),-1)))</f>
        <v/>
      </c>
      <c r="E217" s="46"/>
      <c r="F217" s="37"/>
      <c r="G217" s="37"/>
      <c r="H217" s="47"/>
      <c r="I217" s="37"/>
      <c r="J217" s="39"/>
      <c r="K217" s="37"/>
      <c r="L217" s="37"/>
      <c r="M217" s="40"/>
      <c r="O217" s="37"/>
      <c r="P217" s="41"/>
      <c r="Q217" s="42"/>
      <c r="R217" s="48"/>
      <c r="S217" s="49"/>
      <c r="T217" s="44"/>
      <c r="U217" s="44"/>
      <c r="V217" s="50"/>
      <c r="W217" s="45"/>
      <c r="X217" s="50" t="str">
        <f>IF(NOTA[[#This Row],[HARGA/ CTN]]="",NOTA[[#This Row],[JUMLAH_H]],NOTA[[#This Row],[HARGA/ CTN]]*IF(NOTA[[#This Row],[C]]="",0,NOTA[[#This Row],[C]]))</f>
        <v/>
      </c>
      <c r="Y217" s="50" t="str">
        <f>IF(NOTA[[#This Row],[JUMLAH]]="","",NOTA[[#This Row],[JUMLAH]]*NOTA[[#This Row],[DISC 1]])</f>
        <v/>
      </c>
      <c r="Z217" s="50" t="str">
        <f>IF(NOTA[[#This Row],[JUMLAH]]="","",(NOTA[[#This Row],[JUMLAH]]-NOTA[[#This Row],[DISC 1-]])*NOTA[[#This Row],[DISC 2]])</f>
        <v/>
      </c>
      <c r="AA217" s="50" t="str">
        <f>IF(NOTA[[#This Row],[JUMLAH]]="","",(NOTA[[#This Row],[JUMLAH]]-NOTA[[#This Row],[DISC 1-]]-NOTA[[#This Row],[DISC 2-]])*NOTA[[#This Row],[DISC 3]])</f>
        <v/>
      </c>
      <c r="AB217" s="50" t="str">
        <f>IF(NOTA[[#This Row],[JUMLAH]]="","",NOTA[[#This Row],[DISC 1-]]+NOTA[[#This Row],[DISC 2-]]+NOTA[[#This Row],[DISC 3-]])</f>
        <v/>
      </c>
      <c r="AC217" s="50" t="str">
        <f>IF(NOTA[[#This Row],[JUMLAH]]="","",NOTA[[#This Row],[JUMLAH]]-NOTA[[#This Row],[DISC]])</f>
        <v/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7" s="50" t="str">
        <f>IF(OR(NOTA[[#This Row],[QTY]]="",NOTA[[#This Row],[HARGA SATUAN]]="",),"",NOTA[[#This Row],[QTY]]*NOTA[[#This Row],[HARGA SATUAN]])</f>
        <v/>
      </c>
      <c r="AI217" s="39" t="str">
        <f ca="1">IF(NOTA[ID_H]="","",INDEX(NOTA[TANGGAL],MATCH(,INDIRECT(ADDRESS(ROW(NOTA[TANGGAL]),COLUMN(NOTA[TANGGAL]))&amp;":"&amp;ADDRESS(ROW(),COLUMN(NOTA[TANGGAL]))),-1)))</f>
        <v/>
      </c>
      <c r="AJ217" s="41" t="str">
        <f ca="1">IF(NOTA[[#This Row],[NAMA BARANG]]="","",INDEX(NOTA[SUPPLIER],MATCH(,INDIRECT(ADDRESS(ROW(NOTA[ID]),COLUMN(NOTA[ID]))&amp;":"&amp;ADDRESS(ROW(),COLUMN(NOTA[ID]))),-1)))</f>
        <v/>
      </c>
      <c r="AK217" s="41" t="str">
        <f ca="1">IF(NOTA[[#This Row],[ID_H]]="","",IF(NOTA[[#This Row],[FAKTUR]]="",INDIRECT(ADDRESS(ROW()-1,COLUMN())),NOTA[[#This Row],[FAKTUR]]))</f>
        <v/>
      </c>
      <c r="AL217" s="38" t="str">
        <f ca="1">IF(NOTA[[#This Row],[ID]]="","",COUNTIF(NOTA[ID_H],NOTA[[#This Row],[ID_H]]))</f>
        <v/>
      </c>
      <c r="AM217" s="38" t="str">
        <f ca="1">IF(NOTA[[#This Row],[TGL.NOTA]]="",IF(NOTA[[#This Row],[SUPPLIER_H]]="","",AM216),MONTH(NOTA[[#This Row],[TGL.NOTA]]))</f>
        <v/>
      </c>
      <c r="AN217" s="38" t="str">
        <f>LOWER(SUBSTITUTE(SUBSTITUTE(SUBSTITUTE(SUBSTITUTE(SUBSTITUTE(SUBSTITUTE(SUBSTITUTE(SUBSTITUTE(SUBSTITUTE(NOTA[NAMA BARANG]," ",),".",""),"-",""),"(",""),")",""),",",""),"/",""),"""",""),"+",""))</f>
        <v/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 t="str">
        <f>IF(NOTA[[#This Row],[CONCAT1]]="","",MATCH(NOTA[[#This Row],[CONCAT1]],[3]!db[NB NOTA_C],0))</f>
        <v/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CTN]],INDEX([3]!db[QTY/ CTN],NOTA[[#This Row],[//DB]])))</f>
        <v/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7" s="38" t="str">
        <f ca="1">IF(NOTA[[#This Row],[ID_H]]="","",MATCH(NOTA[[#This Row],[NB NOTA_C_QTY]],[4]!db[NB NOTA_C_QTY+F],0))</f>
        <v/>
      </c>
      <c r="AX217" s="53" t="str">
        <f ca="1">IF(NOTA[[#This Row],[NB NOTA_C_QTY]]="","",ROW()-2)</f>
        <v/>
      </c>
    </row>
    <row r="218" spans="1:50" s="38" customFormat="1" ht="20.100000000000001" customHeight="1" x14ac:dyDescent="0.25">
      <c r="A218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2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ATA_0901_284-5</v>
      </c>
      <c r="C218" s="38" t="e">
        <f ca="1">IF(NOTA[[#This Row],[ID_P]]="","",MATCH(NOTA[[#This Row],[ID_P]],[1]!B_MSK[N_ID],0))</f>
        <v>#REF!</v>
      </c>
      <c r="D218" s="38">
        <f ca="1">IF(NOTA[[#This Row],[NAMA BARANG]]="","",INDEX(NOTA[ID],MATCH(,INDIRECT(ADDRESS(ROW(NOTA[ID]),COLUMN(NOTA[ID]))&amp;":"&amp;ADDRESS(ROW(),COLUMN(NOTA[ID]))),-1)))</f>
        <v>32</v>
      </c>
      <c r="E218" s="46"/>
      <c r="F218" s="37" t="s">
        <v>24</v>
      </c>
      <c r="G218" s="37" t="s">
        <v>23</v>
      </c>
      <c r="H218" s="47" t="s">
        <v>347</v>
      </c>
      <c r="I218" s="37"/>
      <c r="J218" s="39">
        <v>45296</v>
      </c>
      <c r="K218" s="37">
        <v>0</v>
      </c>
      <c r="L218" s="37" t="s">
        <v>348</v>
      </c>
      <c r="M218" s="40">
        <v>1</v>
      </c>
      <c r="N218" s="38">
        <v>576</v>
      </c>
      <c r="O218" s="37" t="s">
        <v>115</v>
      </c>
      <c r="P218" s="41">
        <v>1550</v>
      </c>
      <c r="Q218" s="42"/>
      <c r="R218" s="48"/>
      <c r="S218" s="49">
        <v>0.125</v>
      </c>
      <c r="T218" s="44">
        <v>0.05</v>
      </c>
      <c r="U218" s="44"/>
      <c r="V218" s="50"/>
      <c r="W218" s="45"/>
      <c r="X218" s="50">
        <f>IF(NOTA[[#This Row],[HARGA/ CTN]]="",NOTA[[#This Row],[JUMLAH_H]],NOTA[[#This Row],[HARGA/ CTN]]*IF(NOTA[[#This Row],[C]]="",0,NOTA[[#This Row],[C]]))</f>
        <v>892800</v>
      </c>
      <c r="Y218" s="50">
        <f>IF(NOTA[[#This Row],[JUMLAH]]="","",NOTA[[#This Row],[JUMLAH]]*NOTA[[#This Row],[DISC 1]])</f>
        <v>111600</v>
      </c>
      <c r="Z218" s="50">
        <f>IF(NOTA[[#This Row],[JUMLAH]]="","",(NOTA[[#This Row],[JUMLAH]]-NOTA[[#This Row],[DISC 1-]])*NOTA[[#This Row],[DISC 2]])</f>
        <v>39060</v>
      </c>
      <c r="AA218" s="50">
        <f>IF(NOTA[[#This Row],[JUMLAH]]="","",(NOTA[[#This Row],[JUMLAH]]-NOTA[[#This Row],[DISC 1-]]-NOTA[[#This Row],[DISC 2-]])*NOTA[[#This Row],[DISC 3]])</f>
        <v>0</v>
      </c>
      <c r="AB218" s="50">
        <f>IF(NOTA[[#This Row],[JUMLAH]]="","",NOTA[[#This Row],[DISC 1-]]+NOTA[[#This Row],[DISC 2-]]+NOTA[[#This Row],[DISC 3-]])</f>
        <v>150660</v>
      </c>
      <c r="AC218" s="50">
        <f>IF(NOTA[[#This Row],[JUMLAH]]="","",NOTA[[#This Row],[JUMLAH]]-NOTA[[#This Row],[DISC]])</f>
        <v>742140</v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218" s="50">
        <f>IF(OR(NOTA[[#This Row],[QTY]]="",NOTA[[#This Row],[HARGA SATUAN]]="",),"",NOTA[[#This Row],[QTY]]*NOTA[[#This Row],[HARGA SATUAN]])</f>
        <v>892800</v>
      </c>
      <c r="AI218" s="39">
        <f ca="1">IF(NOTA[ID_H]="","",INDEX(NOTA[TANGGAL],MATCH(,INDIRECT(ADDRESS(ROW(NOTA[TANGGAL]),COLUMN(NOTA[TANGGAL]))&amp;":"&amp;ADDRESS(ROW(),COLUMN(NOTA[TANGGAL]))),-1)))</f>
        <v>45300</v>
      </c>
      <c r="AJ218" s="41" t="str">
        <f ca="1">IF(NOTA[[#This Row],[NAMA BARANG]]="","",INDEX(NOTA[SUPPLIER],MATCH(,INDIRECT(ADDRESS(ROW(NOTA[ID]),COLUMN(NOTA[ID]))&amp;":"&amp;ADDRESS(ROW(),COLUMN(NOTA[ID]))),-1)))</f>
        <v>ATALI MAKMUR</v>
      </c>
      <c r="AK218" s="41" t="str">
        <f ca="1">IF(NOTA[[#This Row],[ID_H]]="","",IF(NOTA[[#This Row],[FAKTUR]]="",INDIRECT(ADDRESS(ROW()-1,COLUMN())),NOTA[[#This Row],[FAKTUR]]))</f>
        <v>ARTO MORO</v>
      </c>
      <c r="AL218" s="38">
        <f ca="1">IF(NOTA[[#This Row],[ID]]="","",COUNTIF(NOTA[ID_H],NOTA[[#This Row],[ID_H]]))</f>
        <v>5</v>
      </c>
      <c r="AM218" s="38">
        <f>IF(NOTA[[#This Row],[TGL.NOTA]]="",IF(NOTA[[#This Row],[SUPPLIER_H]]="","",AM217),MONTH(NOTA[[#This Row],[TGL.NOTA]]))</f>
        <v>1</v>
      </c>
      <c r="AN218" s="38" t="str">
        <f>LOWER(SUBSTITUTE(SUBSTITUTE(SUBSTITUTE(SUBSTITUTE(SUBSTITUTE(SUBSTITUTE(SUBSTITUTE(SUBSTITUTE(SUBSTITUTE(NOTA[NAMA BARANG]," ",),".",""),"-",""),"(",""),")",""),",",""),"/",""),"""",""),"+",""))</f>
        <v>glueglr35jk</v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MOROSA24010028445296glueglr35jk</v>
      </c>
      <c r="AR218" s="38" t="e">
        <f>IF(NOTA[[#This Row],[CONCAT4]]="","",_xlfn.IFNA(MATCH(NOTA[[#This Row],[CONCAT4]],[2]!RAW[CONCAT_H],0),FALSE))</f>
        <v>#REF!</v>
      </c>
      <c r="AS218" s="38">
        <f>IF(NOTA[[#This Row],[CONCAT1]]="","",MATCH(NOTA[[#This Row],[CONCAT1]],[3]!db[NB NOTA_C],0))</f>
        <v>1318</v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>48 LSN</v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W218" s="38" t="e">
        <f ca="1">IF(NOTA[[#This Row],[ID_H]]="","",MATCH(NOTA[[#This Row],[NB NOTA_C_QTY]],[4]!db[NB NOTA_C_QTY+F],0))</f>
        <v>#REF!</v>
      </c>
      <c r="AX218" s="53">
        <f ca="1">IF(NOTA[[#This Row],[NB NOTA_C_QTY]]="","",ROW()-2)</f>
        <v>216</v>
      </c>
    </row>
    <row r="219" spans="1:50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32</v>
      </c>
      <c r="E219" s="46"/>
      <c r="F219" s="37"/>
      <c r="G219" s="37"/>
      <c r="H219" s="47"/>
      <c r="I219" s="37"/>
      <c r="J219" s="39"/>
      <c r="K219" s="37">
        <v>0</v>
      </c>
      <c r="L219" s="37" t="s">
        <v>349</v>
      </c>
      <c r="M219" s="40">
        <v>1</v>
      </c>
      <c r="N219" s="38">
        <v>1000</v>
      </c>
      <c r="O219" s="37" t="s">
        <v>117</v>
      </c>
      <c r="P219" s="41">
        <v>3000</v>
      </c>
      <c r="Q219" s="42"/>
      <c r="R219" s="48"/>
      <c r="S219" s="49">
        <v>0.125</v>
      </c>
      <c r="T219" s="44">
        <v>0.05</v>
      </c>
      <c r="U219" s="44"/>
      <c r="V219" s="50"/>
      <c r="W219" s="45"/>
      <c r="X219" s="50">
        <f>IF(NOTA[[#This Row],[HARGA/ CTN]]="",NOTA[[#This Row],[JUMLAH_H]],NOTA[[#This Row],[HARGA/ CTN]]*IF(NOTA[[#This Row],[C]]="",0,NOTA[[#This Row],[C]]))</f>
        <v>3000000</v>
      </c>
      <c r="Y219" s="50">
        <f>IF(NOTA[[#This Row],[JUMLAH]]="","",NOTA[[#This Row],[JUMLAH]]*NOTA[[#This Row],[DISC 1]])</f>
        <v>375000</v>
      </c>
      <c r="Z219" s="50">
        <f>IF(NOTA[[#This Row],[JUMLAH]]="","",(NOTA[[#This Row],[JUMLAH]]-NOTA[[#This Row],[DISC 1-]])*NOTA[[#This Row],[DISC 2]])</f>
        <v>131250</v>
      </c>
      <c r="AA219" s="50">
        <f>IF(NOTA[[#This Row],[JUMLAH]]="","",(NOTA[[#This Row],[JUMLAH]]-NOTA[[#This Row],[DISC 1-]]-NOTA[[#This Row],[DISC 2-]])*NOTA[[#This Row],[DISC 3]])</f>
        <v>0</v>
      </c>
      <c r="AB219" s="50">
        <f>IF(NOTA[[#This Row],[JUMLAH]]="","",NOTA[[#This Row],[DISC 1-]]+NOTA[[#This Row],[DISC 2-]]+NOTA[[#This Row],[DISC 3-]])</f>
        <v>506250</v>
      </c>
      <c r="AC219" s="50">
        <f>IF(NOTA[[#This Row],[JUMLAH]]="","",NOTA[[#This Row],[JUMLAH]]-NOTA[[#This Row],[DISC]])</f>
        <v>2493750</v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19" s="50">
        <f>IF(OR(NOTA[[#This Row],[QTY]]="",NOTA[[#This Row],[HARGA SATUAN]]="",),"",NOTA[[#This Row],[QTY]]*NOTA[[#This Row],[HARGA SATUAN]])</f>
        <v>3000000</v>
      </c>
      <c r="AI219" s="39">
        <f ca="1">IF(NOTA[ID_H]="","",INDEX(NOTA[TANGGAL],MATCH(,INDIRECT(ADDRESS(ROW(NOTA[TANGGAL]),COLUMN(NOTA[TANGGAL]))&amp;":"&amp;ADDRESS(ROW(),COLUMN(NOTA[TANGGAL]))),-1)))</f>
        <v>45300</v>
      </c>
      <c r="AJ219" s="41" t="str">
        <f ca="1">IF(NOTA[[#This Row],[NAMA BARANG]]="","",INDEX(NOTA[SUPPLIER],MATCH(,INDIRECT(ADDRESS(ROW(NOTA[ID]),COLUMN(NOTA[ID]))&amp;":"&amp;ADDRESS(ROW(),COLUMN(NOTA[ID]))),-1)))</f>
        <v>ATALI MAKMUR</v>
      </c>
      <c r="AK219" s="41" t="str">
        <f ca="1">IF(NOTA[[#This Row],[ID_H]]="","",IF(NOTA[[#This Row],[FAKTUR]]="",INDIRECT(ADDRESS(ROW()-1,COLUMN())),NOTA[[#This Row],[FAKTUR]]))</f>
        <v>ARTO MORO</v>
      </c>
      <c r="AL219" s="38" t="str">
        <f ca="1">IF(NOTA[[#This Row],[ID]]="","",COUNTIF(NOTA[ID_H],NOTA[[#This Row],[ID_H]]))</f>
        <v/>
      </c>
      <c r="AM219" s="38">
        <f ca="1">IF(NOTA[[#This Row],[TGL.NOTA]]="",IF(NOTA[[#This Row],[SUPPLIER_H]]="","",AM218),MONTH(NOTA[[#This Row],[TGL.NOTA]]))</f>
        <v>1</v>
      </c>
      <c r="AN219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38" t="str">
        <f>IF(NOTA[[#This Row],[CONCAT4]]="","",_xlfn.IFNA(MATCH(NOTA[[#This Row],[CONCAT4]],[2]!RAW[CONCAT_H],0),FALSE))</f>
        <v/>
      </c>
      <c r="AS219" s="38">
        <f>IF(NOTA[[#This Row],[CONCAT1]]="","",MATCH(NOTA[[#This Row],[CONCAT1]],[3]!db[NB NOTA_C],0))</f>
        <v>1853</v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>100 PAK (10 ROL)</v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219" s="38" t="e">
        <f ca="1">IF(NOTA[[#This Row],[ID_H]]="","",MATCH(NOTA[[#This Row],[NB NOTA_C_QTY]],[4]!db[NB NOTA_C_QTY+F],0))</f>
        <v>#REF!</v>
      </c>
      <c r="AX219" s="53">
        <f ca="1">IF(NOTA[[#This Row],[NB NOTA_C_QTY]]="","",ROW()-2)</f>
        <v>217</v>
      </c>
    </row>
    <row r="220" spans="1:50" s="38" customFormat="1" ht="19.5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32</v>
      </c>
      <c r="E220" s="46"/>
      <c r="F220" s="37"/>
      <c r="G220" s="37"/>
      <c r="H220" s="47"/>
      <c r="I220" s="37"/>
      <c r="J220" s="39"/>
      <c r="K220" s="37">
        <v>0</v>
      </c>
      <c r="L220" s="37" t="s">
        <v>138</v>
      </c>
      <c r="M220" s="40">
        <v>1</v>
      </c>
      <c r="N220" s="38">
        <v>1000</v>
      </c>
      <c r="O220" s="37" t="s">
        <v>117</v>
      </c>
      <c r="P220" s="41">
        <v>2050</v>
      </c>
      <c r="Q220" s="42"/>
      <c r="R220" s="48"/>
      <c r="S220" s="49">
        <v>0.125</v>
      </c>
      <c r="T220" s="44">
        <v>0.05</v>
      </c>
      <c r="U220" s="44"/>
      <c r="V220" s="50"/>
      <c r="W220" s="45"/>
      <c r="X220" s="50">
        <f>IF(NOTA[[#This Row],[HARGA/ CTN]]="",NOTA[[#This Row],[JUMLAH_H]],NOTA[[#This Row],[HARGA/ CTN]]*IF(NOTA[[#This Row],[C]]="",0,NOTA[[#This Row],[C]]))</f>
        <v>2050000</v>
      </c>
      <c r="Y220" s="50">
        <f>IF(NOTA[[#This Row],[JUMLAH]]="","",NOTA[[#This Row],[JUMLAH]]*NOTA[[#This Row],[DISC 1]])</f>
        <v>256250</v>
      </c>
      <c r="Z220" s="50">
        <f>IF(NOTA[[#This Row],[JUMLAH]]="","",(NOTA[[#This Row],[JUMLAH]]-NOTA[[#This Row],[DISC 1-]])*NOTA[[#This Row],[DISC 2]])</f>
        <v>89687.5</v>
      </c>
      <c r="AA220" s="50">
        <f>IF(NOTA[[#This Row],[JUMLAH]]="","",(NOTA[[#This Row],[JUMLAH]]-NOTA[[#This Row],[DISC 1-]]-NOTA[[#This Row],[DISC 2-]])*NOTA[[#This Row],[DISC 3]])</f>
        <v>0</v>
      </c>
      <c r="AB220" s="50">
        <f>IF(NOTA[[#This Row],[JUMLAH]]="","",NOTA[[#This Row],[DISC 1-]]+NOTA[[#This Row],[DISC 2-]]+NOTA[[#This Row],[DISC 3-]])</f>
        <v>345937.5</v>
      </c>
      <c r="AC220" s="50">
        <f>IF(NOTA[[#This Row],[JUMLAH]]="","",NOTA[[#This Row],[JUMLAH]]-NOTA[[#This Row],[DISC]])</f>
        <v>1704062.5</v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20" s="50">
        <f>IF(OR(NOTA[[#This Row],[QTY]]="",NOTA[[#This Row],[HARGA SATUAN]]="",),"",NOTA[[#This Row],[QTY]]*NOTA[[#This Row],[HARGA SATUAN]])</f>
        <v>2050000</v>
      </c>
      <c r="AI220" s="39">
        <f ca="1">IF(NOTA[ID_H]="","",INDEX(NOTA[TANGGAL],MATCH(,INDIRECT(ADDRESS(ROW(NOTA[TANGGAL]),COLUMN(NOTA[TANGGAL]))&amp;":"&amp;ADDRESS(ROW(),COLUMN(NOTA[TANGGAL]))),-1)))</f>
        <v>45300</v>
      </c>
      <c r="AJ220" s="41" t="str">
        <f ca="1">IF(NOTA[[#This Row],[NAMA BARANG]]="","",INDEX(NOTA[SUPPLIER],MATCH(,INDIRECT(ADDRESS(ROW(NOTA[ID]),COLUMN(NOTA[ID]))&amp;":"&amp;ADDRESS(ROW(),COLUMN(NOTA[ID]))),-1)))</f>
        <v>ATALI MAKMUR</v>
      </c>
      <c r="AK220" s="41" t="str">
        <f ca="1">IF(NOTA[[#This Row],[ID_H]]="","",IF(NOTA[[#This Row],[FAKTUR]]="",INDIRECT(ADDRESS(ROW()-1,COLUMN())),NOTA[[#This Row],[FAKTUR]]))</f>
        <v>ARTO MORO</v>
      </c>
      <c r="AL220" s="38" t="str">
        <f ca="1">IF(NOTA[[#This Row],[ID]]="","",COUNTIF(NOTA[ID_H],NOTA[[#This Row],[ID_H]]))</f>
        <v/>
      </c>
      <c r="AM220" s="38">
        <f ca="1">IF(NOTA[[#This Row],[TGL.NOTA]]="",IF(NOTA[[#This Row],[SUPPLIER_H]]="","",AM219),MONTH(NOTA[[#This Row],[TGL.NOTA]]))</f>
        <v>1</v>
      </c>
      <c r="AN22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>
        <f>IF(NOTA[[#This Row],[CONCAT1]]="","",MATCH(NOTA[[#This Row],[CONCAT1]],[3]!db[NB NOTA_C],0))</f>
        <v>1854</v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>100 PAK (10 ROL)</v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20" s="38" t="e">
        <f ca="1">IF(NOTA[[#This Row],[ID_H]]="","",MATCH(NOTA[[#This Row],[NB NOTA_C_QTY]],[4]!db[NB NOTA_C_QTY+F],0))</f>
        <v>#REF!</v>
      </c>
      <c r="AX220" s="53">
        <f ca="1">IF(NOTA[[#This Row],[NB NOTA_C_QTY]]="","",ROW()-2)</f>
        <v>218</v>
      </c>
    </row>
    <row r="221" spans="1:50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32</v>
      </c>
      <c r="E221" s="46"/>
      <c r="F221" s="37"/>
      <c r="G221" s="37"/>
      <c r="H221" s="47"/>
      <c r="I221" s="37"/>
      <c r="J221" s="39"/>
      <c r="K221" s="37"/>
      <c r="L221" s="37" t="s">
        <v>124</v>
      </c>
      <c r="M221" s="40">
        <v>1</v>
      </c>
      <c r="N221" s="38">
        <v>50</v>
      </c>
      <c r="O221" s="37" t="s">
        <v>118</v>
      </c>
      <c r="P221" s="41">
        <v>28300</v>
      </c>
      <c r="Q221" s="42"/>
      <c r="R221" s="48"/>
      <c r="S221" s="49">
        <v>0.125</v>
      </c>
      <c r="T221" s="44">
        <v>0.05</v>
      </c>
      <c r="U221" s="44"/>
      <c r="V221" s="50"/>
      <c r="W221" s="45"/>
      <c r="X221" s="50">
        <f>IF(NOTA[[#This Row],[HARGA/ CTN]]="",NOTA[[#This Row],[JUMLAH_H]],NOTA[[#This Row],[HARGA/ CTN]]*IF(NOTA[[#This Row],[C]]="",0,NOTA[[#This Row],[C]]))</f>
        <v>1415000</v>
      </c>
      <c r="Y221" s="50">
        <f>IF(NOTA[[#This Row],[JUMLAH]]="","",NOTA[[#This Row],[JUMLAH]]*NOTA[[#This Row],[DISC 1]])</f>
        <v>176875</v>
      </c>
      <c r="Z221" s="50">
        <f>IF(NOTA[[#This Row],[JUMLAH]]="","",(NOTA[[#This Row],[JUMLAH]]-NOTA[[#This Row],[DISC 1-]])*NOTA[[#This Row],[DISC 2]])</f>
        <v>61906.25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238781.25</v>
      </c>
      <c r="AC221" s="50">
        <f>IF(NOTA[[#This Row],[JUMLAH]]="","",NOTA[[#This Row],[JUMLAH]]-NOTA[[#This Row],[DISC]])</f>
        <v>1176218.75</v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21" s="50">
        <f>IF(OR(NOTA[[#This Row],[QTY]]="",NOTA[[#This Row],[HARGA SATUAN]]="",),"",NOTA[[#This Row],[QTY]]*NOTA[[#This Row],[HARGA SATUAN]])</f>
        <v>1415000</v>
      </c>
      <c r="AI221" s="39">
        <f ca="1">IF(NOTA[ID_H]="","",INDEX(NOTA[TANGGAL],MATCH(,INDIRECT(ADDRESS(ROW(NOTA[TANGGAL]),COLUMN(NOTA[TANGGAL]))&amp;":"&amp;ADDRESS(ROW(),COLUMN(NOTA[TANGGAL]))),-1)))</f>
        <v>45300</v>
      </c>
      <c r="AJ221" s="41" t="str">
        <f ca="1">IF(NOTA[[#This Row],[NAMA BARANG]]="","",INDEX(NOTA[SUPPLIER],MATCH(,INDIRECT(ADDRESS(ROW(NOTA[ID]),COLUMN(NOTA[ID]))&amp;":"&amp;ADDRESS(ROW(),COLUMN(NOTA[ID]))),-1)))</f>
        <v>ATALI MAKMUR</v>
      </c>
      <c r="AK221" s="41" t="str">
        <f ca="1">IF(NOTA[[#This Row],[ID_H]]="","",IF(NOTA[[#This Row],[FAKTUR]]="",INDIRECT(ADDRESS(ROW()-1,COLUMN())),NOTA[[#This Row],[FAKTUR]]))</f>
        <v>ARTO MORO</v>
      </c>
      <c r="AL221" s="38" t="str">
        <f ca="1">IF(NOTA[[#This Row],[ID]]="","",COUNTIF(NOTA[ID_H],NOTA[[#This Row],[ID_H]]))</f>
        <v/>
      </c>
      <c r="AM221" s="38">
        <f ca="1">IF(NOTA[[#This Row],[TGL.NOTA]]="",IF(NOTA[[#This Row],[SUPPLIER_H]]="","",AM220),MONTH(NOTA[[#This Row],[TGL.NOTA]]))</f>
        <v>1</v>
      </c>
      <c r="AN221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38" t="str">
        <f>IF(NOTA[[#This Row],[CONCAT4]]="","",_xlfn.IFNA(MATCH(NOTA[[#This Row],[CONCAT4]],[2]!RAW[CONCAT_H],0),FALSE))</f>
        <v/>
      </c>
      <c r="AS221" s="38">
        <f>IF(NOTA[[#This Row],[CONCAT1]]="","",MATCH(NOTA[[#This Row],[CONCAT1]],[3]!db[NB NOTA_C],0))</f>
        <v>956</v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>50 BOX (40 PCS)</v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21" s="38" t="e">
        <f ca="1">IF(NOTA[[#This Row],[ID_H]]="","",MATCH(NOTA[[#This Row],[NB NOTA_C_QTY]],[4]!db[NB NOTA_C_QTY+F],0))</f>
        <v>#REF!</v>
      </c>
      <c r="AX221" s="53">
        <f ca="1">IF(NOTA[[#This Row],[NB NOTA_C_QTY]]="","",ROW()-2)</f>
        <v>219</v>
      </c>
    </row>
    <row r="222" spans="1:50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32</v>
      </c>
      <c r="E222" s="46"/>
      <c r="F222" s="37"/>
      <c r="G222" s="37"/>
      <c r="H222" s="47"/>
      <c r="I222" s="37"/>
      <c r="J222" s="39"/>
      <c r="K222" s="37"/>
      <c r="L222" s="37" t="s">
        <v>123</v>
      </c>
      <c r="M222" s="40">
        <v>1</v>
      </c>
      <c r="N222" s="38">
        <v>50</v>
      </c>
      <c r="O222" s="37" t="s">
        <v>118</v>
      </c>
      <c r="P222" s="41">
        <v>28300</v>
      </c>
      <c r="Q222" s="42"/>
      <c r="R222" s="48"/>
      <c r="S222" s="49">
        <v>0.125</v>
      </c>
      <c r="T222" s="44">
        <v>0.05</v>
      </c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1415000</v>
      </c>
      <c r="Y222" s="50">
        <f>IF(NOTA[[#This Row],[JUMLAH]]="","",NOTA[[#This Row],[JUMLAH]]*NOTA[[#This Row],[DISC 1]])</f>
        <v>176875</v>
      </c>
      <c r="Z222" s="50">
        <f>IF(NOTA[[#This Row],[JUMLAH]]="","",(NOTA[[#This Row],[JUMLAH]]-NOTA[[#This Row],[DISC 1-]])*NOTA[[#This Row],[DISC 2]])</f>
        <v>61906.25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238781.25</v>
      </c>
      <c r="AC222" s="50">
        <f>IF(NOTA[[#This Row],[JUMLAH]]="","",NOTA[[#This Row],[JUMLAH]]-NOTA[[#This Row],[DISC]])</f>
        <v>1176218.75</v>
      </c>
      <c r="AD222" s="50"/>
      <c r="AE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1480410</v>
      </c>
      <c r="AF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7292390</v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22" s="50">
        <f>IF(OR(NOTA[[#This Row],[QTY]]="",NOTA[[#This Row],[HARGA SATUAN]]="",),"",NOTA[[#This Row],[QTY]]*NOTA[[#This Row],[HARGA SATUAN]])</f>
        <v>1415000</v>
      </c>
      <c r="AI222" s="39">
        <f ca="1">IF(NOTA[ID_H]="","",INDEX(NOTA[TANGGAL],MATCH(,INDIRECT(ADDRESS(ROW(NOTA[TANGGAL]),COLUMN(NOTA[TANGGAL]))&amp;":"&amp;ADDRESS(ROW(),COLUMN(NOTA[TANGGAL]))),-1)))</f>
        <v>45300</v>
      </c>
      <c r="AJ222" s="41" t="str">
        <f ca="1">IF(NOTA[[#This Row],[NAMA BARANG]]="","",INDEX(NOTA[SUPPLIER],MATCH(,INDIRECT(ADDRESS(ROW(NOTA[ID]),COLUMN(NOTA[ID]))&amp;":"&amp;ADDRESS(ROW(),COLUMN(NOTA[ID]))),-1)))</f>
        <v>ATALI MAKMUR</v>
      </c>
      <c r="AK222" s="41" t="str">
        <f ca="1">IF(NOTA[[#This Row],[ID_H]]="","",IF(NOTA[[#This Row],[FAKTUR]]="",INDIRECT(ADDRESS(ROW()-1,COLUMN())),NOTA[[#This Row],[FAKTUR]]))</f>
        <v>ARTO MORO</v>
      </c>
      <c r="AL222" s="38" t="str">
        <f ca="1">IF(NOTA[[#This Row],[ID]]="","",COUNTIF(NOTA[ID_H],NOTA[[#This Row],[ID_H]]))</f>
        <v/>
      </c>
      <c r="AM222" s="38">
        <f ca="1">IF(NOTA[[#This Row],[TGL.NOTA]]="",IF(NOTA[[#This Row],[SUPPLIER_H]]="","",AM221),MONTH(NOTA[[#This Row],[TGL.NOTA]]))</f>
        <v>1</v>
      </c>
      <c r="AN222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38" t="str">
        <f>IF(NOTA[[#This Row],[CONCAT4]]="","",_xlfn.IFNA(MATCH(NOTA[[#This Row],[CONCAT4]],[2]!RAW[CONCAT_H],0),FALSE))</f>
        <v/>
      </c>
      <c r="AS222" s="38">
        <f>IF(NOTA[[#This Row],[CONCAT1]]="","",MATCH(NOTA[[#This Row],[CONCAT1]],[3]!db[NB NOTA_C],0))</f>
        <v>954</v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>50 BOX (40 PCS)</v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222" s="38" t="e">
        <f ca="1">IF(NOTA[[#This Row],[ID_H]]="","",MATCH(NOTA[[#This Row],[NB NOTA_C_QTY]],[4]!db[NB NOTA_C_QTY+F],0))</f>
        <v>#REF!</v>
      </c>
      <c r="AX222" s="53">
        <f ca="1">IF(NOTA[[#This Row],[NB NOTA_C_QTY]]="","",ROW()-2)</f>
        <v>220</v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 t="str">
        <f ca="1">IF(NOTA[[#This Row],[NAMA BARANG]]="","",INDEX(NOTA[ID],MATCH(,INDIRECT(ADDRESS(ROW(NOTA[ID]),COLUMN(NOTA[ID]))&amp;":"&amp;ADDRESS(ROW(),COLUMN(NOTA[ID]))),-1)))</f>
        <v/>
      </c>
      <c r="E223" s="46"/>
      <c r="F223" s="37"/>
      <c r="G223" s="37"/>
      <c r="H223" s="47"/>
      <c r="I223" s="37"/>
      <c r="J223" s="39"/>
      <c r="K223" s="37"/>
      <c r="L223" s="37"/>
      <c r="M223" s="40"/>
      <c r="O223" s="37"/>
      <c r="P223" s="41"/>
      <c r="Q223" s="42"/>
      <c r="R223" s="48"/>
      <c r="S223" s="49"/>
      <c r="T223" s="44"/>
      <c r="U223" s="44"/>
      <c r="V223" s="50"/>
      <c r="W223" s="45"/>
      <c r="X223" s="50" t="str">
        <f>IF(NOTA[[#This Row],[HARGA/ CTN]]="",NOTA[[#This Row],[JUMLAH_H]],NOTA[[#This Row],[HARGA/ CTN]]*IF(NOTA[[#This Row],[C]]="",0,NOTA[[#This Row],[C]]))</f>
        <v/>
      </c>
      <c r="Y223" s="50" t="str">
        <f>IF(NOTA[[#This Row],[JUMLAH]]="","",NOTA[[#This Row],[JUMLAH]]*NOTA[[#This Row],[DISC 1]])</f>
        <v/>
      </c>
      <c r="Z223" s="50" t="str">
        <f>IF(NOTA[[#This Row],[JUMLAH]]="","",(NOTA[[#This Row],[JUMLAH]]-NOTA[[#This Row],[DISC 1-]])*NOTA[[#This Row],[DISC 2]])</f>
        <v/>
      </c>
      <c r="AA223" s="50" t="str">
        <f>IF(NOTA[[#This Row],[JUMLAH]]="","",(NOTA[[#This Row],[JUMLAH]]-NOTA[[#This Row],[DISC 1-]]-NOTA[[#This Row],[DISC 2-]])*NOTA[[#This Row],[DISC 3]])</f>
        <v/>
      </c>
      <c r="AB223" s="50" t="str">
        <f>IF(NOTA[[#This Row],[JUMLAH]]="","",NOTA[[#This Row],[DISC 1-]]+NOTA[[#This Row],[DISC 2-]]+NOTA[[#This Row],[DISC 3-]])</f>
        <v/>
      </c>
      <c r="AC223" s="50" t="str">
        <f>IF(NOTA[[#This Row],[JUMLAH]]="","",NOTA[[#This Row],[JUMLAH]]-NOTA[[#This Row],[DISC]])</f>
        <v/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3" s="50" t="str">
        <f>IF(OR(NOTA[[#This Row],[QTY]]="",NOTA[[#This Row],[HARGA SATUAN]]="",),"",NOTA[[#This Row],[QTY]]*NOTA[[#This Row],[HARGA SATUAN]])</f>
        <v/>
      </c>
      <c r="AI223" s="39" t="str">
        <f ca="1">IF(NOTA[ID_H]="","",INDEX(NOTA[TANGGAL],MATCH(,INDIRECT(ADDRESS(ROW(NOTA[TANGGAL]),COLUMN(NOTA[TANGGAL]))&amp;":"&amp;ADDRESS(ROW(),COLUMN(NOTA[TANGGAL]))),-1)))</f>
        <v/>
      </c>
      <c r="AJ223" s="41" t="str">
        <f ca="1">IF(NOTA[[#This Row],[NAMA BARANG]]="","",INDEX(NOTA[SUPPLIER],MATCH(,INDIRECT(ADDRESS(ROW(NOTA[ID]),COLUMN(NOTA[ID]))&amp;":"&amp;ADDRESS(ROW(),COLUMN(NOTA[ID]))),-1)))</f>
        <v/>
      </c>
      <c r="AK223" s="41" t="str">
        <f ca="1">IF(NOTA[[#This Row],[ID_H]]="","",IF(NOTA[[#This Row],[FAKTUR]]="",INDIRECT(ADDRESS(ROW()-1,COLUMN())),NOTA[[#This Row],[FAKTUR]]))</f>
        <v/>
      </c>
      <c r="AL223" s="38" t="str">
        <f ca="1">IF(NOTA[[#This Row],[ID]]="","",COUNTIF(NOTA[ID_H],NOTA[[#This Row],[ID_H]]))</f>
        <v/>
      </c>
      <c r="AM223" s="38" t="str">
        <f ca="1">IF(NOTA[[#This Row],[TGL.NOTA]]="",IF(NOTA[[#This Row],[SUPPLIER_H]]="","",AM222),MONTH(NOTA[[#This Row],[TGL.NOTA]]))</f>
        <v/>
      </c>
      <c r="AN223" s="38" t="str">
        <f>LOWER(SUBSTITUTE(SUBSTITUTE(SUBSTITUTE(SUBSTITUTE(SUBSTITUTE(SUBSTITUTE(SUBSTITUTE(SUBSTITUTE(SUBSTITUTE(NOTA[NAMA BARANG]," ",),".",""),"-",""),"(",""),")",""),",",""),"/",""),"""",""),"+",""))</f>
        <v/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 t="str">
        <f>IF(NOTA[[#This Row],[CONCAT1]]="","",MATCH(NOTA[[#This Row],[CONCAT1]],[3]!db[NB NOTA_C],0))</f>
        <v/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/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3" s="38" t="str">
        <f ca="1">IF(NOTA[[#This Row],[ID_H]]="","",MATCH(NOTA[[#This Row],[NB NOTA_C_QTY]],[4]!db[NB NOTA_C_QTY+F],0))</f>
        <v/>
      </c>
      <c r="AX223" s="53" t="str">
        <f ca="1">IF(NOTA[[#This Row],[NB NOTA_C_QTY]]="","",ROW()-2)</f>
        <v/>
      </c>
    </row>
    <row r="224" spans="1:50" s="38" customFormat="1" ht="20.100000000000001" customHeight="1" x14ac:dyDescent="0.25">
      <c r="A224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2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KEN_0901_205-10</v>
      </c>
      <c r="C224" s="38" t="e">
        <f ca="1">IF(NOTA[[#This Row],[ID_P]]="","",MATCH(NOTA[[#This Row],[ID_P]],[1]!B_MSK[N_ID],0))</f>
        <v>#REF!</v>
      </c>
      <c r="D224" s="38">
        <f ca="1">IF(NOTA[[#This Row],[NAMA BARANG]]="","",INDEX(NOTA[ID],MATCH(,INDIRECT(ADDRESS(ROW(NOTA[ID]),COLUMN(NOTA[ID]))&amp;":"&amp;ADDRESS(ROW(),COLUMN(NOTA[ID]))),-1)))</f>
        <v>33</v>
      </c>
      <c r="E224" s="46"/>
      <c r="F224" s="37" t="s">
        <v>22</v>
      </c>
      <c r="G224" s="37" t="s">
        <v>23</v>
      </c>
      <c r="H224" s="47" t="s">
        <v>359</v>
      </c>
      <c r="I224" s="37"/>
      <c r="J224" s="39">
        <v>45297</v>
      </c>
      <c r="K224" s="37">
        <v>0</v>
      </c>
      <c r="L224" s="37" t="s">
        <v>350</v>
      </c>
      <c r="M224" s="40">
        <v>5</v>
      </c>
      <c r="O224" s="37"/>
      <c r="P224" s="41"/>
      <c r="Q224" s="42">
        <v>2952000</v>
      </c>
      <c r="R224" s="48"/>
      <c r="S224" s="49">
        <v>0.17</v>
      </c>
      <c r="T224" s="44"/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14760000</v>
      </c>
      <c r="Y224" s="50">
        <f>IF(NOTA[[#This Row],[JUMLAH]]="","",NOTA[[#This Row],[JUMLAH]]*NOTA[[#This Row],[DISC 1]])</f>
        <v>2509200</v>
      </c>
      <c r="Z224" s="50">
        <f>IF(NOTA[[#This Row],[JUMLAH]]="","",(NOTA[[#This Row],[JUMLAH]]-NOTA[[#This Row],[DISC 1-]])*NOTA[[#This Row],[DISC 2]])</f>
        <v>0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2509200</v>
      </c>
      <c r="AC224" s="50">
        <f>IF(NOTA[[#This Row],[JUMLAH]]="","",NOTA[[#This Row],[JUMLAH]]-NOTA[[#This Row],[DISC]])</f>
        <v>12250800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24" s="50" t="str">
        <f>IF(OR(NOTA[[#This Row],[QTY]]="",NOTA[[#This Row],[HARGA SATUAN]]="",),"",NOTA[[#This Row],[QTY]]*NOTA[[#This Row],[HARGA SATUAN]])</f>
        <v/>
      </c>
      <c r="AI224" s="39">
        <f ca="1">IF(NOTA[ID_H]="","",INDEX(NOTA[TANGGAL],MATCH(,INDIRECT(ADDRESS(ROW(NOTA[TANGGAL]),COLUMN(NOTA[TANGGAL]))&amp;":"&amp;ADDRESS(ROW(),COLUMN(NOTA[TANGGAL]))),-1)))</f>
        <v>45300</v>
      </c>
      <c r="AJ224" s="41" t="str">
        <f ca="1">IF(NOTA[[#This Row],[NAMA BARANG]]="","",INDEX(NOTA[SUPPLIER],MATCH(,INDIRECT(ADDRESS(ROW(NOTA[ID]),COLUMN(NOTA[ID]))&amp;":"&amp;ADDRESS(ROW(),COLUMN(NOTA[ID]))),-1)))</f>
        <v>KENKO SINAR INDONESIA</v>
      </c>
      <c r="AK224" s="41" t="str">
        <f ca="1">IF(NOTA[[#This Row],[ID_H]]="","",IF(NOTA[[#This Row],[FAKTUR]]="",INDIRECT(ADDRESS(ROW()-1,COLUMN())),NOTA[[#This Row],[FAKTUR]]))</f>
        <v>ARTO MORO</v>
      </c>
      <c r="AL224" s="38">
        <f ca="1">IF(NOTA[[#This Row],[ID]]="","",COUNTIF(NOTA[ID_H],NOTA[[#This Row],[ID_H]]))</f>
        <v>10</v>
      </c>
      <c r="AM224" s="38">
        <f>IF(NOTA[[#This Row],[TGL.NOTA]]="",IF(NOTA[[#This Row],[SUPPLIER_H]]="","",AM223),MONTH(NOTA[[#This Row],[TGL.NOTA]]))</f>
        <v>1</v>
      </c>
      <c r="AN224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MORO2401020545297kenkocutterl50018mmblade</v>
      </c>
      <c r="AR224" s="38" t="e">
        <f>IF(NOTA[[#This Row],[CONCAT4]]="","",_xlfn.IFNA(MATCH(NOTA[[#This Row],[CONCAT4]],[2]!RAW[CONCAT_H],0),FALSE))</f>
        <v>#REF!</v>
      </c>
      <c r="AS224" s="38">
        <f>IF(NOTA[[#This Row],[CONCAT1]]="","",MATCH(NOTA[[#This Row],[CONCAT1]],[3]!db[NB NOTA_C],0))</f>
        <v>1600</v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>20 LSN</v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24" s="38" t="e">
        <f ca="1">IF(NOTA[[#This Row],[ID_H]]="","",MATCH(NOTA[[#This Row],[NB NOTA_C_QTY]],[4]!db[NB NOTA_C_QTY+F],0))</f>
        <v>#REF!</v>
      </c>
      <c r="AX224" s="53">
        <f ca="1">IF(NOTA[[#This Row],[NB NOTA_C_QTY]]="","",ROW()-2)</f>
        <v>222</v>
      </c>
    </row>
    <row r="225" spans="1:50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33</v>
      </c>
      <c r="E225" s="46"/>
      <c r="F225" s="37"/>
      <c r="G225" s="37"/>
      <c r="H225" s="47"/>
      <c r="I225" s="37"/>
      <c r="J225" s="39"/>
      <c r="K225" s="37">
        <v>0</v>
      </c>
      <c r="L225" s="37" t="s">
        <v>351</v>
      </c>
      <c r="M225" s="40">
        <v>3</v>
      </c>
      <c r="O225" s="37"/>
      <c r="P225" s="41"/>
      <c r="Q225" s="42">
        <v>3542400</v>
      </c>
      <c r="R225" s="48"/>
      <c r="S225" s="49">
        <v>0.17</v>
      </c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10627200</v>
      </c>
      <c r="Y225" s="50">
        <f>IF(NOTA[[#This Row],[JUMLAH]]="","",NOTA[[#This Row],[JUMLAH]]*NOTA[[#This Row],[DISC 1]])</f>
        <v>1806624.0000000002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1806624.0000000002</v>
      </c>
      <c r="AC225" s="50">
        <f>IF(NOTA[[#This Row],[JUMLAH]]="","",NOTA[[#This Row],[JUMLAH]]-NOTA[[#This Row],[DISC]])</f>
        <v>8820576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225" s="50" t="str">
        <f>IF(OR(NOTA[[#This Row],[QTY]]="",NOTA[[#This Row],[HARGA SATUAN]]="",),"",NOTA[[#This Row],[QTY]]*NOTA[[#This Row],[HARGA SATUAN]])</f>
        <v/>
      </c>
      <c r="AI225" s="39">
        <f ca="1">IF(NOTA[ID_H]="","",INDEX(NOTA[TANGGAL],MATCH(,INDIRECT(ADDRESS(ROW(NOTA[TANGGAL]),COLUMN(NOTA[TANGGAL]))&amp;":"&amp;ADDRESS(ROW(),COLUMN(NOTA[TANGGAL]))),-1)))</f>
        <v>45300</v>
      </c>
      <c r="AJ225" s="41" t="str">
        <f ca="1">IF(NOTA[[#This Row],[NAMA BARANG]]="","",INDEX(NOTA[SUPPLIER],MATCH(,INDIRECT(ADDRESS(ROW(NOTA[ID]),COLUMN(NOTA[ID]))&amp;":"&amp;ADDRESS(ROW(),COLUMN(NOTA[ID]))),-1)))</f>
        <v>KENKO SINAR INDONESIA</v>
      </c>
      <c r="AK225" s="41" t="str">
        <f ca="1">IF(NOTA[[#This Row],[ID_H]]="","",IF(NOTA[[#This Row],[FAKTUR]]="",INDIRECT(ADDRESS(ROW()-1,COLUMN())),NOTA[[#This Row],[FAKTUR]]))</f>
        <v>ARTO MORO</v>
      </c>
      <c r="AL225" s="38" t="str">
        <f ca="1">IF(NOTA[[#This Row],[ID]]="","",COUNTIF(NOTA[ID_H],NOTA[[#This Row],[ID_H]]))</f>
        <v/>
      </c>
      <c r="AM225" s="38">
        <f ca="1">IF(NOTA[[#This Row],[TGL.NOTA]]="",IF(NOTA[[#This Row],[SUPPLIER_H]]="","",AM224),MONTH(NOTA[[#This Row],[TGL.NOTA]]))</f>
        <v>1</v>
      </c>
      <c r="AN225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38" t="str">
        <f>IF(NOTA[[#This Row],[CONCAT4]]="","",_xlfn.IFNA(MATCH(NOTA[[#This Row],[CONCAT4]],[2]!RAW[CONCAT_H],0),FALSE))</f>
        <v/>
      </c>
      <c r="AS225" s="38">
        <f>IF(NOTA[[#This Row],[CONCAT1]]="","",MATCH(NOTA[[#This Row],[CONCAT1]],[3]!db[NB NOTA_C],0))</f>
        <v>1642</v>
      </c>
      <c r="AT225" s="38" t="str">
        <f>IF(NOTA[[#This Row],[QTY/ CTN]]="","",TRUE)</f>
        <v/>
      </c>
      <c r="AU225" s="38" t="str">
        <f ca="1">IF(NOTA[[#This Row],[ID_H]]="","",IF(NOTA[[#This Row],[Column3]]=TRUE,NOTA[[#This Row],[QTY/ CTN]],INDEX([3]!db[QTY/ CTN],NOTA[[#This Row],[//DB]])))</f>
        <v>144 LSN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33</v>
      </c>
      <c r="E226" s="46"/>
      <c r="F226" s="37"/>
      <c r="G226" s="37"/>
      <c r="H226" s="47"/>
      <c r="I226" s="37"/>
      <c r="J226" s="39"/>
      <c r="K226" s="37">
        <v>0</v>
      </c>
      <c r="L226" s="37" t="s">
        <v>352</v>
      </c>
      <c r="M226" s="40">
        <v>1</v>
      </c>
      <c r="O226" s="37"/>
      <c r="P226" s="41"/>
      <c r="Q226" s="42">
        <v>1584000</v>
      </c>
      <c r="R226" s="48"/>
      <c r="S226" s="49">
        <v>0.17</v>
      </c>
      <c r="T226" s="44"/>
      <c r="U226" s="44"/>
      <c r="V226" s="50"/>
      <c r="W226" s="45"/>
      <c r="X226" s="50">
        <f>IF(NOTA[[#This Row],[HARGA/ CTN]]="",NOTA[[#This Row],[JUMLAH_H]],NOTA[[#This Row],[HARGA/ CTN]]*IF(NOTA[[#This Row],[C]]="",0,NOTA[[#This Row],[C]]))</f>
        <v>1584000</v>
      </c>
      <c r="Y226" s="50">
        <f>IF(NOTA[[#This Row],[JUMLAH]]="","",NOTA[[#This Row],[JUMLAH]]*NOTA[[#This Row],[DISC 1]])</f>
        <v>269280</v>
      </c>
      <c r="Z226" s="50">
        <f>IF(NOTA[[#This Row],[JUMLAH]]="","",(NOTA[[#This Row],[JUMLAH]]-NOTA[[#This Row],[DISC 1-]])*NOTA[[#This Row],[DISC 2]])</f>
        <v>0</v>
      </c>
      <c r="AA226" s="50">
        <f>IF(NOTA[[#This Row],[JUMLAH]]="","",(NOTA[[#This Row],[JUMLAH]]-NOTA[[#This Row],[DISC 1-]]-NOTA[[#This Row],[DISC 2-]])*NOTA[[#This Row],[DISC 3]])</f>
        <v>0</v>
      </c>
      <c r="AB226" s="50">
        <f>IF(NOTA[[#This Row],[JUMLAH]]="","",NOTA[[#This Row],[DISC 1-]]+NOTA[[#This Row],[DISC 2-]]+NOTA[[#This Row],[DISC 3-]])</f>
        <v>269280</v>
      </c>
      <c r="AC226" s="50">
        <f>IF(NOTA[[#This Row],[JUMLAH]]="","",NOTA[[#This Row],[JUMLAH]]-NOTA[[#This Row],[DISC]])</f>
        <v>1314720</v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226" s="50" t="str">
        <f>IF(OR(NOTA[[#This Row],[QTY]]="",NOTA[[#This Row],[HARGA SATUAN]]="",),"",NOTA[[#This Row],[QTY]]*NOTA[[#This Row],[HARGA SATUAN]])</f>
        <v/>
      </c>
      <c r="AI226" s="39">
        <f ca="1">IF(NOTA[ID_H]="","",INDEX(NOTA[TANGGAL],MATCH(,INDIRECT(ADDRESS(ROW(NOTA[TANGGAL]),COLUMN(NOTA[TANGGAL]))&amp;":"&amp;ADDRESS(ROW(),COLUMN(NOTA[TANGGAL]))),-1)))</f>
        <v>45300</v>
      </c>
      <c r="AJ226" s="41" t="str">
        <f ca="1">IF(NOTA[[#This Row],[NAMA BARANG]]="","",INDEX(NOTA[SUPPLIER],MATCH(,INDIRECT(ADDRESS(ROW(NOTA[ID]),COLUMN(NOTA[ID]))&amp;":"&amp;ADDRESS(ROW(),COLUMN(NOTA[ID]))),-1)))</f>
        <v>KENKO SINAR INDONESIA</v>
      </c>
      <c r="AK226" s="41" t="str">
        <f ca="1">IF(NOTA[[#This Row],[ID_H]]="","",IF(NOTA[[#This Row],[FAKTUR]]="",INDIRECT(ADDRESS(ROW()-1,COLUMN())),NOTA[[#This Row],[FAKTUR]]))</f>
        <v>ARTO MORO</v>
      </c>
      <c r="AL226" s="38" t="str">
        <f ca="1">IF(NOTA[[#This Row],[ID]]="","",COUNTIF(NOTA[ID_H],NOTA[[#This Row],[ID_H]]))</f>
        <v/>
      </c>
      <c r="AM226" s="38">
        <f ca="1">IF(NOTA[[#This Row],[TGL.NOTA]]="",IF(NOTA[[#This Row],[SUPPLIER_H]]="","",AM225),MONTH(NOTA[[#This Row],[TGL.NOTA]]))</f>
        <v>1</v>
      </c>
      <c r="AN226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>
        <f>IF(NOTA[[#This Row],[CONCAT1]]="","",MATCH(NOTA[[#This Row],[CONCAT1]],[3]!db[NB NOTA_C],0))</f>
        <v>1753</v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>48 LSN</v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W226" s="38" t="e">
        <f ca="1">IF(NOTA[[#This Row],[ID_H]]="","",MATCH(NOTA[[#This Row],[NB NOTA_C_QTY]],[4]!db[NB NOTA_C_QTY+F],0))</f>
        <v>#REF!</v>
      </c>
      <c r="AX226" s="53">
        <f ca="1">IF(NOTA[[#This Row],[NB NOTA_C_QTY]]="","",ROW()-2)</f>
        <v>224</v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33</v>
      </c>
      <c r="E227" s="46"/>
      <c r="F227" s="37"/>
      <c r="G227" s="37"/>
      <c r="H227" s="47"/>
      <c r="I227" s="37"/>
      <c r="J227" s="39"/>
      <c r="K227" s="37">
        <v>0</v>
      </c>
      <c r="L227" s="37" t="s">
        <v>353</v>
      </c>
      <c r="M227" s="40">
        <v>1</v>
      </c>
      <c r="O227" s="37"/>
      <c r="P227" s="41"/>
      <c r="Q227" s="42">
        <v>1987200</v>
      </c>
      <c r="R227" s="48"/>
      <c r="S227" s="49">
        <v>0.17</v>
      </c>
      <c r="T227" s="44"/>
      <c r="U227" s="44"/>
      <c r="V227" s="50"/>
      <c r="W227" s="45"/>
      <c r="X227" s="50">
        <f>IF(NOTA[[#This Row],[HARGA/ CTN]]="",NOTA[[#This Row],[JUMLAH_H]],NOTA[[#This Row],[HARGA/ CTN]]*IF(NOTA[[#This Row],[C]]="",0,NOTA[[#This Row],[C]]))</f>
        <v>1987200</v>
      </c>
      <c r="Y227" s="50">
        <f>IF(NOTA[[#This Row],[JUMLAH]]="","",NOTA[[#This Row],[JUMLAH]]*NOTA[[#This Row],[DISC 1]])</f>
        <v>337824</v>
      </c>
      <c r="Z227" s="50">
        <f>IF(NOTA[[#This Row],[JUMLAH]]="","",(NOTA[[#This Row],[JUMLAH]]-NOTA[[#This Row],[DISC 1-]])*NOTA[[#This Row],[DISC 2]])</f>
        <v>0</v>
      </c>
      <c r="AA227" s="50">
        <f>IF(NOTA[[#This Row],[JUMLAH]]="","",(NOTA[[#This Row],[JUMLAH]]-NOTA[[#This Row],[DISC 1-]]-NOTA[[#This Row],[DISC 2-]])*NOTA[[#This Row],[DISC 3]])</f>
        <v>0</v>
      </c>
      <c r="AB227" s="50">
        <f>IF(NOTA[[#This Row],[JUMLAH]]="","",NOTA[[#This Row],[DISC 1-]]+NOTA[[#This Row],[DISC 2-]]+NOTA[[#This Row],[DISC 3-]])</f>
        <v>337824</v>
      </c>
      <c r="AC227" s="50">
        <f>IF(NOTA[[#This Row],[JUMLAH]]="","",NOTA[[#This Row],[JUMLAH]]-NOTA[[#This Row],[DISC]])</f>
        <v>1649376</v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227" s="50" t="str">
        <f>IF(OR(NOTA[[#This Row],[QTY]]="",NOTA[[#This Row],[HARGA SATUAN]]="",),"",NOTA[[#This Row],[QTY]]*NOTA[[#This Row],[HARGA SATUAN]])</f>
        <v/>
      </c>
      <c r="AI227" s="39">
        <f ca="1">IF(NOTA[ID_H]="","",INDEX(NOTA[TANGGAL],MATCH(,INDIRECT(ADDRESS(ROW(NOTA[TANGGAL]),COLUMN(NOTA[TANGGAL]))&amp;":"&amp;ADDRESS(ROW(),COLUMN(NOTA[TANGGAL]))),-1)))</f>
        <v>45300</v>
      </c>
      <c r="AJ227" s="41" t="str">
        <f ca="1">IF(NOTA[[#This Row],[NAMA BARANG]]="","",INDEX(NOTA[SUPPLIER],MATCH(,INDIRECT(ADDRESS(ROW(NOTA[ID]),COLUMN(NOTA[ID]))&amp;":"&amp;ADDRESS(ROW(),COLUMN(NOTA[ID]))),-1)))</f>
        <v>KENKO SINAR INDONESIA</v>
      </c>
      <c r="AK227" s="41" t="str">
        <f ca="1">IF(NOTA[[#This Row],[ID_H]]="","",IF(NOTA[[#This Row],[FAKTUR]]="",INDIRECT(ADDRESS(ROW()-1,COLUMN())),NOTA[[#This Row],[FAKTUR]]))</f>
        <v>ARTO MORO</v>
      </c>
      <c r="AL227" s="38" t="str">
        <f ca="1">IF(NOTA[[#This Row],[ID]]="","",COUNTIF(NOTA[ID_H],NOTA[[#This Row],[ID_H]]))</f>
        <v/>
      </c>
      <c r="AM227" s="38">
        <f ca="1">IF(NOTA[[#This Row],[TGL.NOTA]]="",IF(NOTA[[#This Row],[SUPPLIER_H]]="","",AM226),MONTH(NOTA[[#This Row],[TGL.NOTA]]))</f>
        <v>1</v>
      </c>
      <c r="AN227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>
        <f>IF(NOTA[[#This Row],[CONCAT1]]="","",MATCH(NOTA[[#This Row],[CONCAT1]],[3]!db[NB NOTA_C],0))</f>
        <v>1546</v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>48 LSN</v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227" s="38" t="e">
        <f ca="1">IF(NOTA[[#This Row],[ID_H]]="","",MATCH(NOTA[[#This Row],[NB NOTA_C_QTY]],[4]!db[NB NOTA_C_QTY+F],0))</f>
        <v>#REF!</v>
      </c>
      <c r="AX227" s="53">
        <f ca="1">IF(NOTA[[#This Row],[NB NOTA_C_QTY]]="","",ROW()-2)</f>
        <v>225</v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>
        <f ca="1">IF(NOTA[[#This Row],[NAMA BARANG]]="","",INDEX(NOTA[ID],MATCH(,INDIRECT(ADDRESS(ROW(NOTA[ID]),COLUMN(NOTA[ID]))&amp;":"&amp;ADDRESS(ROW(),COLUMN(NOTA[ID]))),-1)))</f>
        <v>33</v>
      </c>
      <c r="E228" s="46"/>
      <c r="F228" s="37"/>
      <c r="G228" s="37"/>
      <c r="H228" s="47"/>
      <c r="I228" s="37"/>
      <c r="J228" s="39"/>
      <c r="K228" s="37">
        <v>0</v>
      </c>
      <c r="L228" s="37" t="s">
        <v>354</v>
      </c>
      <c r="M228" s="40">
        <v>1</v>
      </c>
      <c r="O228" s="37"/>
      <c r="P228" s="41"/>
      <c r="Q228" s="42">
        <v>3758400</v>
      </c>
      <c r="R228" s="48"/>
      <c r="S228" s="49">
        <v>0.17</v>
      </c>
      <c r="T228" s="44"/>
      <c r="U228" s="44"/>
      <c r="V228" s="50"/>
      <c r="W228" s="45"/>
      <c r="X228" s="50">
        <f>IF(NOTA[[#This Row],[HARGA/ CTN]]="",NOTA[[#This Row],[JUMLAH_H]],NOTA[[#This Row],[HARGA/ CTN]]*IF(NOTA[[#This Row],[C]]="",0,NOTA[[#This Row],[C]]))</f>
        <v>3758400</v>
      </c>
      <c r="Y228" s="50">
        <f>IF(NOTA[[#This Row],[JUMLAH]]="","",NOTA[[#This Row],[JUMLAH]]*NOTA[[#This Row],[DISC 1]])</f>
        <v>638928</v>
      </c>
      <c r="Z228" s="50">
        <f>IF(NOTA[[#This Row],[JUMLAH]]="","",(NOTA[[#This Row],[JUMLAH]]-NOTA[[#This Row],[DISC 1-]])*NOTA[[#This Row],[DISC 2]])</f>
        <v>0</v>
      </c>
      <c r="AA228" s="50">
        <f>IF(NOTA[[#This Row],[JUMLAH]]="","",(NOTA[[#This Row],[JUMLAH]]-NOTA[[#This Row],[DISC 1-]]-NOTA[[#This Row],[DISC 2-]])*NOTA[[#This Row],[DISC 3]])</f>
        <v>0</v>
      </c>
      <c r="AB228" s="50">
        <f>IF(NOTA[[#This Row],[JUMLAH]]="","",NOTA[[#This Row],[DISC 1-]]+NOTA[[#This Row],[DISC 2-]]+NOTA[[#This Row],[DISC 3-]])</f>
        <v>638928</v>
      </c>
      <c r="AC228" s="50">
        <f>IF(NOTA[[#This Row],[JUMLAH]]="","",NOTA[[#This Row],[JUMLAH]]-NOTA[[#This Row],[DISC]])</f>
        <v>3119472</v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228" s="50" t="str">
        <f>IF(OR(NOTA[[#This Row],[QTY]]="",NOTA[[#This Row],[HARGA SATUAN]]="",),"",NOTA[[#This Row],[QTY]]*NOTA[[#This Row],[HARGA SATUAN]])</f>
        <v/>
      </c>
      <c r="AI228" s="39">
        <f ca="1">IF(NOTA[ID_H]="","",INDEX(NOTA[TANGGAL],MATCH(,INDIRECT(ADDRESS(ROW(NOTA[TANGGAL]),COLUMN(NOTA[TANGGAL]))&amp;":"&amp;ADDRESS(ROW(),COLUMN(NOTA[TANGGAL]))),-1)))</f>
        <v>45300</v>
      </c>
      <c r="AJ228" s="41" t="str">
        <f ca="1">IF(NOTA[[#This Row],[NAMA BARANG]]="","",INDEX(NOTA[SUPPLIER],MATCH(,INDIRECT(ADDRESS(ROW(NOTA[ID]),COLUMN(NOTA[ID]))&amp;":"&amp;ADDRESS(ROW(),COLUMN(NOTA[ID]))),-1)))</f>
        <v>KENKO SINAR INDONESIA</v>
      </c>
      <c r="AK228" s="41" t="str">
        <f ca="1">IF(NOTA[[#This Row],[ID_H]]="","",IF(NOTA[[#This Row],[FAKTUR]]="",INDIRECT(ADDRESS(ROW()-1,COLUMN())),NOTA[[#This Row],[FAKTUR]]))</f>
        <v>ARTO MORO</v>
      </c>
      <c r="AL228" s="38" t="str">
        <f ca="1">IF(NOTA[[#This Row],[ID]]="","",COUNTIF(NOTA[ID_H],NOTA[[#This Row],[ID_H]]))</f>
        <v/>
      </c>
      <c r="AM228" s="38">
        <f ca="1">IF(NOTA[[#This Row],[TGL.NOTA]]="",IF(NOTA[[#This Row],[SUPPLIER_H]]="","",AM227),MONTH(NOTA[[#This Row],[TGL.NOTA]]))</f>
        <v>1</v>
      </c>
      <c r="AN228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>
        <f>IF(NOTA[[#This Row],[CONCAT1]]="","",MATCH(NOTA[[#This Row],[CONCAT1]],[3]!db[NB NOTA_C],0))</f>
        <v>1658</v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>144 LSN</v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228" s="38" t="e">
        <f ca="1">IF(NOTA[[#This Row],[ID_H]]="","",MATCH(NOTA[[#This Row],[NB NOTA_C_QTY]],[4]!db[NB NOTA_C_QTY+F],0))</f>
        <v>#REF!</v>
      </c>
      <c r="AX228" s="53">
        <f ca="1">IF(NOTA[[#This Row],[NB NOTA_C_QTY]]="","",ROW()-2)</f>
        <v>226</v>
      </c>
    </row>
    <row r="229" spans="1:50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33</v>
      </c>
      <c r="E229" s="46"/>
      <c r="F229" s="37"/>
      <c r="G229" s="37"/>
      <c r="H229" s="47"/>
      <c r="I229" s="37"/>
      <c r="J229" s="39"/>
      <c r="K229" s="37">
        <v>0</v>
      </c>
      <c r="L229" s="37" t="s">
        <v>125</v>
      </c>
      <c r="M229" s="40">
        <v>10</v>
      </c>
      <c r="O229" s="37"/>
      <c r="P229" s="41"/>
      <c r="Q229" s="42">
        <v>1954800</v>
      </c>
      <c r="R229" s="48"/>
      <c r="S229" s="49">
        <v>0.17</v>
      </c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19548000</v>
      </c>
      <c r="Y229" s="50">
        <f>IF(NOTA[[#This Row],[JUMLAH]]="","",NOTA[[#This Row],[JUMLAH]]*NOTA[[#This Row],[DISC 1]])</f>
        <v>3323160.0000000005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3323160.0000000005</v>
      </c>
      <c r="AC229" s="50">
        <f>IF(NOTA[[#This Row],[JUMLAH]]="","",NOTA[[#This Row],[JUMLAH]]-NOTA[[#This Row],[DISC]])</f>
        <v>16224840</v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29" s="50" t="str">
        <f>IF(OR(NOTA[[#This Row],[QTY]]="",NOTA[[#This Row],[HARGA SATUAN]]="",),"",NOTA[[#This Row],[QTY]]*NOTA[[#This Row],[HARGA SATUAN]])</f>
        <v/>
      </c>
      <c r="AI229" s="39">
        <f ca="1">IF(NOTA[ID_H]="","",INDEX(NOTA[TANGGAL],MATCH(,INDIRECT(ADDRESS(ROW(NOTA[TANGGAL]),COLUMN(NOTA[TANGGAL]))&amp;":"&amp;ADDRESS(ROW(),COLUMN(NOTA[TANGGAL]))),-1)))</f>
        <v>45300</v>
      </c>
      <c r="AJ229" s="41" t="str">
        <f ca="1">IF(NOTA[[#This Row],[NAMA BARANG]]="","",INDEX(NOTA[SUPPLIER],MATCH(,INDIRECT(ADDRESS(ROW(NOTA[ID]),COLUMN(NOTA[ID]))&amp;":"&amp;ADDRESS(ROW(),COLUMN(NOTA[ID]))),-1)))</f>
        <v>KENKO SINAR INDONESIA</v>
      </c>
      <c r="AK229" s="41" t="str">
        <f ca="1">IF(NOTA[[#This Row],[ID_H]]="","",IF(NOTA[[#This Row],[FAKTUR]]="",INDIRECT(ADDRESS(ROW()-1,COLUMN())),NOTA[[#This Row],[FAKTUR]]))</f>
        <v>ARTO MORO</v>
      </c>
      <c r="AL229" s="38" t="str">
        <f ca="1">IF(NOTA[[#This Row],[ID]]="","",COUNTIF(NOTA[ID_H],NOTA[[#This Row],[ID_H]]))</f>
        <v/>
      </c>
      <c r="AM229" s="38">
        <f ca="1">IF(NOTA[[#This Row],[TGL.NOTA]]="",IF(NOTA[[#This Row],[SUPPLIER_H]]="","",AM228),MONTH(NOTA[[#This Row],[TGL.NOTA]]))</f>
        <v>1</v>
      </c>
      <c r="AN22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38" t="str">
        <f>IF(NOTA[[#This Row],[CONCAT4]]="","",_xlfn.IFNA(MATCH(NOTA[[#This Row],[CONCAT4]],[2]!RAW[CONCAT_H],0),FALSE))</f>
        <v/>
      </c>
      <c r="AS229" s="38">
        <f>IF(NOTA[[#This Row],[CONCAT1]]="","",MATCH(NOTA[[#This Row],[CONCAT1]],[3]!db[NB NOTA_C],0))</f>
        <v>1558</v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>36 LSN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29" s="38" t="e">
        <f ca="1">IF(NOTA[[#This Row],[ID_H]]="","",MATCH(NOTA[[#This Row],[NB NOTA_C_QTY]],[4]!db[NB NOTA_C_QTY+F],0))</f>
        <v>#REF!</v>
      </c>
      <c r="AX229" s="53">
        <f ca="1">IF(NOTA[[#This Row],[NB NOTA_C_QTY]]="","",ROW()-2)</f>
        <v>227</v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33</v>
      </c>
      <c r="E230" s="46"/>
      <c r="F230" s="37"/>
      <c r="G230" s="37"/>
      <c r="H230" s="47"/>
      <c r="I230" s="37"/>
      <c r="J230" s="39"/>
      <c r="K230" s="37">
        <v>0</v>
      </c>
      <c r="L230" s="37" t="s">
        <v>145</v>
      </c>
      <c r="M230" s="40">
        <v>4</v>
      </c>
      <c r="O230" s="37"/>
      <c r="P230" s="41"/>
      <c r="Q230" s="42">
        <v>1695600</v>
      </c>
      <c r="R230" s="48"/>
      <c r="S230" s="49">
        <v>0.17</v>
      </c>
      <c r="T230" s="44"/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6782400</v>
      </c>
      <c r="Y230" s="50">
        <f>IF(NOTA[[#This Row],[JUMLAH]]="","",NOTA[[#This Row],[JUMLAH]]*NOTA[[#This Row],[DISC 1]])</f>
        <v>1153008</v>
      </c>
      <c r="Z230" s="50">
        <f>IF(NOTA[[#This Row],[JUMLAH]]="","",(NOTA[[#This Row],[JUMLAH]]-NOTA[[#This Row],[DISC 1-]])*NOTA[[#This Row],[DISC 2]])</f>
        <v>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1153008</v>
      </c>
      <c r="AC230" s="50">
        <f>IF(NOTA[[#This Row],[JUMLAH]]="","",NOTA[[#This Row],[JUMLAH]]-NOTA[[#This Row],[DISC]])</f>
        <v>5629392</v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30" s="50" t="str">
        <f>IF(OR(NOTA[[#This Row],[QTY]]="",NOTA[[#This Row],[HARGA SATUAN]]="",),"",NOTA[[#This Row],[QTY]]*NOTA[[#This Row],[HARGA SATUAN]])</f>
        <v/>
      </c>
      <c r="AI230" s="39">
        <f ca="1">IF(NOTA[ID_H]="","",INDEX(NOTA[TANGGAL],MATCH(,INDIRECT(ADDRESS(ROW(NOTA[TANGGAL]),COLUMN(NOTA[TANGGAL]))&amp;":"&amp;ADDRESS(ROW(),COLUMN(NOTA[TANGGAL]))),-1)))</f>
        <v>45300</v>
      </c>
      <c r="AJ230" s="41" t="str">
        <f ca="1">IF(NOTA[[#This Row],[NAMA BARANG]]="","",INDEX(NOTA[SUPPLIER],MATCH(,INDIRECT(ADDRESS(ROW(NOTA[ID]),COLUMN(NOTA[ID]))&amp;":"&amp;ADDRESS(ROW(),COLUMN(NOTA[ID]))),-1)))</f>
        <v>KENKO SINAR INDONESIA</v>
      </c>
      <c r="AK230" s="41" t="str">
        <f ca="1">IF(NOTA[[#This Row],[ID_H]]="","",IF(NOTA[[#This Row],[FAKTUR]]="",INDIRECT(ADDRESS(ROW()-1,COLUMN())),NOTA[[#This Row],[FAKTUR]]))</f>
        <v>ARTO MORO</v>
      </c>
      <c r="AL230" s="38" t="str">
        <f ca="1">IF(NOTA[[#This Row],[ID]]="","",COUNTIF(NOTA[ID_H],NOTA[[#This Row],[ID_H]]))</f>
        <v/>
      </c>
      <c r="AM230" s="38">
        <f ca="1">IF(NOTA[[#This Row],[TGL.NOTA]]="",IF(NOTA[[#This Row],[SUPPLIER_H]]="","",AM229),MONTH(NOTA[[#This Row],[TGL.NOTA]]))</f>
        <v>1</v>
      </c>
      <c r="AN230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>
        <f>IF(NOTA[[#This Row],[CONCAT1]]="","",MATCH(NOTA[[#This Row],[CONCAT1]],[3]!db[NB NOTA_C],0))</f>
        <v>1560</v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>36 LSN</v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30" s="38" t="e">
        <f ca="1">IF(NOTA[[#This Row],[ID_H]]="","",MATCH(NOTA[[#This Row],[NB NOTA_C_QTY]],[4]!db[NB NOTA_C_QTY+F],0))</f>
        <v>#REF!</v>
      </c>
      <c r="AX230" s="53">
        <f ca="1">IF(NOTA[[#This Row],[NB NOTA_C_QTY]]="","",ROW()-2)</f>
        <v>228</v>
      </c>
    </row>
    <row r="231" spans="1:50" s="38" customFormat="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33</v>
      </c>
      <c r="E231" s="46"/>
      <c r="F231" s="37"/>
      <c r="G231" s="37"/>
      <c r="H231" s="37"/>
      <c r="I231" s="39"/>
      <c r="J231" s="39"/>
      <c r="K231" s="37">
        <v>0</v>
      </c>
      <c r="L231" s="37" t="s">
        <v>355</v>
      </c>
      <c r="M231" s="40">
        <v>1</v>
      </c>
      <c r="O231" s="37"/>
      <c r="P231" s="41"/>
      <c r="Q231" s="42">
        <v>1069200</v>
      </c>
      <c r="R231" s="48"/>
      <c r="S231" s="49">
        <v>0.17</v>
      </c>
      <c r="T231" s="44"/>
      <c r="U231" s="44"/>
      <c r="V231" s="50"/>
      <c r="W231" s="45"/>
      <c r="X231" s="50">
        <f>IF(NOTA[[#This Row],[HARGA/ CTN]]="",NOTA[[#This Row],[JUMLAH_H]],NOTA[[#This Row],[HARGA/ CTN]]*IF(NOTA[[#This Row],[C]]="",0,NOTA[[#This Row],[C]]))</f>
        <v>1069200</v>
      </c>
      <c r="Y231" s="50">
        <f>IF(NOTA[[#This Row],[JUMLAH]]="","",NOTA[[#This Row],[JUMLAH]]*NOTA[[#This Row],[DISC 1]])</f>
        <v>181764</v>
      </c>
      <c r="Z231" s="50">
        <f>IF(NOTA[[#This Row],[JUMLAH]]="","",(NOTA[[#This Row],[JUMLAH]]-NOTA[[#This Row],[DISC 1-]])*NOTA[[#This Row],[DISC 2]])</f>
        <v>0</v>
      </c>
      <c r="AA231" s="50">
        <f>IF(NOTA[[#This Row],[JUMLAH]]="","",(NOTA[[#This Row],[JUMLAH]]-NOTA[[#This Row],[DISC 1-]]-NOTA[[#This Row],[DISC 2-]])*NOTA[[#This Row],[DISC 3]])</f>
        <v>0</v>
      </c>
      <c r="AB231" s="50">
        <f>IF(NOTA[[#This Row],[JUMLAH]]="","",NOTA[[#This Row],[DISC 1-]]+NOTA[[#This Row],[DISC 2-]]+NOTA[[#This Row],[DISC 3-]])</f>
        <v>181764</v>
      </c>
      <c r="AC231" s="50">
        <f>IF(NOTA[[#This Row],[JUMLAH]]="","",NOTA[[#This Row],[JUMLAH]]-NOTA[[#This Row],[DISC]])</f>
        <v>887436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231" s="50" t="str">
        <f>IF(OR(NOTA[[#This Row],[QTY]]="",NOTA[[#This Row],[HARGA SATUAN]]="",),"",NOTA[[#This Row],[QTY]]*NOTA[[#This Row],[HARGA SATUAN]])</f>
        <v/>
      </c>
      <c r="AI231" s="39">
        <f ca="1">IF(NOTA[ID_H]="","",INDEX(NOTA[TANGGAL],MATCH(,INDIRECT(ADDRESS(ROW(NOTA[TANGGAL]),COLUMN(NOTA[TANGGAL]))&amp;":"&amp;ADDRESS(ROW(),COLUMN(NOTA[TANGGAL]))),-1)))</f>
        <v>45300</v>
      </c>
      <c r="AJ231" s="41" t="str">
        <f ca="1">IF(NOTA[[#This Row],[NAMA BARANG]]="","",INDEX(NOTA[SUPPLIER],MATCH(,INDIRECT(ADDRESS(ROW(NOTA[ID]),COLUMN(NOTA[ID]))&amp;":"&amp;ADDRESS(ROW(),COLUMN(NOTA[ID]))),-1)))</f>
        <v>KENKO SINAR INDONESIA</v>
      </c>
      <c r="AK231" s="41" t="str">
        <f ca="1">IF(NOTA[[#This Row],[ID_H]]="","",IF(NOTA[[#This Row],[FAKTUR]]="",INDIRECT(ADDRESS(ROW()-1,COLUMN())),NOTA[[#This Row],[FAKTUR]]))</f>
        <v>ARTO MORO</v>
      </c>
      <c r="AL231" s="38" t="str">
        <f ca="1">IF(NOTA[[#This Row],[ID]]="","",COUNTIF(NOTA[ID_H],NOTA[[#This Row],[ID_H]]))</f>
        <v/>
      </c>
      <c r="AM231" s="38">
        <f ca="1">IF(NOTA[[#This Row],[TGL.NOTA]]="",IF(NOTA[[#This Row],[SUPPLIER_H]]="","",AM230),MONTH(NOTA[[#This Row],[TGL.NOTA]]))</f>
        <v>1</v>
      </c>
      <c r="AN231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38" t="str">
        <f>IF(NOTA[[#This Row],[CONCAT4]]="","",_xlfn.IFNA(MATCH(NOTA[[#This Row],[CONCAT4]],[2]!RAW[CONCAT_H],0),FALSE))</f>
        <v/>
      </c>
      <c r="AS231" s="38">
        <f>IF(NOTA[[#This Row],[CONCAT1]]="","",MATCH(NOTA[[#This Row],[CONCAT1]],[3]!db[NB NOTA_C],0))</f>
        <v>1774</v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>18 LSN</v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231" s="38" t="e">
        <f ca="1">IF(NOTA[[#This Row],[ID_H]]="","",MATCH(NOTA[[#This Row],[NB NOTA_C_QTY]],[4]!db[NB NOTA_C_QTY+F],0))</f>
        <v>#REF!</v>
      </c>
      <c r="AX231" s="53">
        <f ca="1">IF(NOTA[[#This Row],[NB NOTA_C_QTY]]="","",ROW()-2)</f>
        <v>229</v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33</v>
      </c>
      <c r="E232" s="46"/>
      <c r="F232" s="37"/>
      <c r="G232" s="37"/>
      <c r="H232" s="47"/>
      <c r="I232" s="37"/>
      <c r="J232" s="39"/>
      <c r="K232" s="37">
        <v>0</v>
      </c>
      <c r="L232" s="37" t="s">
        <v>356</v>
      </c>
      <c r="M232" s="40">
        <v>1</v>
      </c>
      <c r="O232" s="37"/>
      <c r="P232" s="41"/>
      <c r="Q232" s="42">
        <v>1274400</v>
      </c>
      <c r="R232" s="48"/>
      <c r="S232" s="49">
        <v>0.17</v>
      </c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1274400</v>
      </c>
      <c r="Y232" s="50">
        <f>IF(NOTA[[#This Row],[JUMLAH]]="","",NOTA[[#This Row],[JUMLAH]]*NOTA[[#This Row],[DISC 1]])</f>
        <v>216648.00000000003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216648.00000000003</v>
      </c>
      <c r="AC232" s="50">
        <f>IF(NOTA[[#This Row],[JUMLAH]]="","",NOTA[[#This Row],[JUMLAH]]-NOTA[[#This Row],[DISC]])</f>
        <v>1057752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H232" s="50" t="str">
        <f>IF(OR(NOTA[[#This Row],[QTY]]="",NOTA[[#This Row],[HARGA SATUAN]]="",),"",NOTA[[#This Row],[QTY]]*NOTA[[#This Row],[HARGA SATUAN]])</f>
        <v/>
      </c>
      <c r="AI232" s="39">
        <f ca="1">IF(NOTA[ID_H]="","",INDEX(NOTA[TANGGAL],MATCH(,INDIRECT(ADDRESS(ROW(NOTA[TANGGAL]),COLUMN(NOTA[TANGGAL]))&amp;":"&amp;ADDRESS(ROW(),COLUMN(NOTA[TANGGAL]))),-1)))</f>
        <v>45300</v>
      </c>
      <c r="AJ232" s="41" t="str">
        <f ca="1">IF(NOTA[[#This Row],[NAMA BARANG]]="","",INDEX(NOTA[SUPPLIER],MATCH(,INDIRECT(ADDRESS(ROW(NOTA[ID]),COLUMN(NOTA[ID]))&amp;":"&amp;ADDRESS(ROW(),COLUMN(NOTA[ID]))),-1)))</f>
        <v>KENKO SINAR INDONESIA</v>
      </c>
      <c r="AK232" s="41" t="str">
        <f ca="1">IF(NOTA[[#This Row],[ID_H]]="","",IF(NOTA[[#This Row],[FAKTUR]]="",INDIRECT(ADDRESS(ROW()-1,COLUMN())),NOTA[[#This Row],[FAKTUR]]))</f>
        <v>ARTO MORO</v>
      </c>
      <c r="AL232" s="38" t="str">
        <f ca="1">IF(NOTA[[#This Row],[ID]]="","",COUNTIF(NOTA[ID_H],NOTA[[#This Row],[ID_H]]))</f>
        <v/>
      </c>
      <c r="AM232" s="38">
        <f ca="1">IF(NOTA[[#This Row],[TGL.NOTA]]="",IF(NOTA[[#This Row],[SUPPLIER_H]]="","",AM231),MONTH(NOTA[[#This Row],[TGL.NOTA]]))</f>
        <v>1</v>
      </c>
      <c r="AN232" s="38" t="str">
        <f>LOWER(SUBSTITUTE(SUBSTITUTE(SUBSTITUTE(SUBSTITUTE(SUBSTITUTE(SUBSTITUTE(SUBSTITUTE(SUBSTITUTE(SUBSTITUTE(NOTA[NAMA BARANG]," ",),".",""),"-",""),"(",""),")",""),",",""),"/",""),"""",""),"+",""))</f>
        <v>kenkostamppadno1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>
        <f>IF(NOTA[[#This Row],[CONCAT1]]="","",MATCH(NOTA[[#This Row],[CONCAT1]],[3]!db[NB NOTA_C],0))</f>
        <v>1773</v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>18 LSN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kenkostamppadno118lsnartomoro</v>
      </c>
      <c r="AW232" s="38" t="e">
        <f ca="1">IF(NOTA[[#This Row],[ID_H]]="","",MATCH(NOTA[[#This Row],[NB NOTA_C_QTY]],[4]!db[NB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33</v>
      </c>
      <c r="E233" s="46"/>
      <c r="F233" s="37"/>
      <c r="G233" s="37"/>
      <c r="H233" s="47"/>
      <c r="I233" s="37"/>
      <c r="J233" s="39"/>
      <c r="K233" s="37">
        <v>0</v>
      </c>
      <c r="L233" s="37" t="s">
        <v>357</v>
      </c>
      <c r="M233" s="40">
        <v>10</v>
      </c>
      <c r="O233" s="37"/>
      <c r="P233" s="41"/>
      <c r="Q233" s="42">
        <v>840000</v>
      </c>
      <c r="R233" s="48"/>
      <c r="S233" s="49">
        <v>0.17</v>
      </c>
      <c r="T233" s="44"/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8400000</v>
      </c>
      <c r="Y233" s="50">
        <f>IF(NOTA[[#This Row],[JUMLAH]]="","",NOTA[[#This Row],[JUMLAH]]*NOTA[[#This Row],[DISC 1]])</f>
        <v>1428000</v>
      </c>
      <c r="Z233" s="50">
        <f>IF(NOTA[[#This Row],[JUMLAH]]="","",(NOTA[[#This Row],[JUMLAH]]-NOTA[[#This Row],[DISC 1-]])*NOTA[[#This Row],[DISC 2]])</f>
        <v>0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1428000</v>
      </c>
      <c r="AC233" s="50">
        <f>IF(NOTA[[#This Row],[JUMLAH]]="","",NOTA[[#This Row],[JUMLAH]]-NOTA[[#This Row],[DISC]])</f>
        <v>6972000</v>
      </c>
      <c r="AD233" s="50"/>
      <c r="AE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11864436</v>
      </c>
      <c r="AF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57926364</v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33" s="50" t="str">
        <f>IF(OR(NOTA[[#This Row],[QTY]]="",NOTA[[#This Row],[HARGA SATUAN]]="",),"",NOTA[[#This Row],[QTY]]*NOTA[[#This Row],[HARGA SATUAN]])</f>
        <v/>
      </c>
      <c r="AI233" s="39">
        <f ca="1">IF(NOTA[ID_H]="","",INDEX(NOTA[TANGGAL],MATCH(,INDIRECT(ADDRESS(ROW(NOTA[TANGGAL]),COLUMN(NOTA[TANGGAL]))&amp;":"&amp;ADDRESS(ROW(),COLUMN(NOTA[TANGGAL]))),-1)))</f>
        <v>45300</v>
      </c>
      <c r="AJ233" s="41" t="str">
        <f ca="1">IF(NOTA[[#This Row],[NAMA BARANG]]="","",INDEX(NOTA[SUPPLIER],MATCH(,INDIRECT(ADDRESS(ROW(NOTA[ID]),COLUMN(NOTA[ID]))&amp;":"&amp;ADDRESS(ROW(),COLUMN(NOTA[ID]))),-1)))</f>
        <v>KENKO SINAR INDONESIA</v>
      </c>
      <c r="AK233" s="41" t="str">
        <f ca="1">IF(NOTA[[#This Row],[ID_H]]="","",IF(NOTA[[#This Row],[FAKTUR]]="",INDIRECT(ADDRESS(ROW()-1,COLUMN())),NOTA[[#This Row],[FAKTUR]]))</f>
        <v>ARTO MORO</v>
      </c>
      <c r="AL233" s="38" t="str">
        <f ca="1">IF(NOTA[[#This Row],[ID]]="","",COUNTIF(NOTA[ID_H],NOTA[[#This Row],[ID_H]]))</f>
        <v/>
      </c>
      <c r="AM233" s="38">
        <f ca="1">IF(NOTA[[#This Row],[TGL.NOTA]]="",IF(NOTA[[#This Row],[SUPPLIER_H]]="","",AM232),MONTH(NOTA[[#This Row],[TGL.NOTA]]))</f>
        <v>1</v>
      </c>
      <c r="AN233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>
        <f>IF(NOTA[[#This Row],[CONCAT1]]="","",MATCH(NOTA[[#This Row],[CONCAT1]],[3]!db[NB NOTA_C],0))</f>
        <v>1791</v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>20 PAK (10 BOX)</v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233" s="38" t="e">
        <f ca="1">IF(NOTA[[#This Row],[ID_H]]="","",MATCH(NOTA[[#This Row],[NB NOTA_C_QTY]],[4]!db[NB NOTA_C_QTY+F],0))</f>
        <v>#REF!</v>
      </c>
      <c r="AX233" s="53">
        <f ca="1">IF(NOTA[[#This Row],[NB NOTA_C_QTY]]="","",ROW()-2)</f>
        <v>231</v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 t="str">
        <f ca="1">IF(NOTA[[#This Row],[NAMA BARANG]]="","",INDEX(NOTA[ID],MATCH(,INDIRECT(ADDRESS(ROW(NOTA[ID]),COLUMN(NOTA[ID]))&amp;":"&amp;ADDRESS(ROW(),COLUMN(NOTA[ID]))),-1)))</f>
        <v/>
      </c>
      <c r="E234" s="46"/>
      <c r="F234" s="37"/>
      <c r="G234" s="37"/>
      <c r="H234" s="47"/>
      <c r="I234" s="37"/>
      <c r="J234" s="39"/>
      <c r="K234" s="37"/>
      <c r="L234" s="37"/>
      <c r="M234" s="40"/>
      <c r="O234" s="37"/>
      <c r="P234" s="41"/>
      <c r="Q234" s="42"/>
      <c r="R234" s="48"/>
      <c r="S234" s="49"/>
      <c r="T234" s="44"/>
      <c r="U234" s="44"/>
      <c r="V234" s="50"/>
      <c r="W234" s="45"/>
      <c r="X234" s="50" t="str">
        <f>IF(NOTA[[#This Row],[HARGA/ CTN]]="",NOTA[[#This Row],[JUMLAH_H]],NOTA[[#This Row],[HARGA/ CTN]]*IF(NOTA[[#This Row],[C]]="",0,NOTA[[#This Row],[C]]))</f>
        <v/>
      </c>
      <c r="Y234" s="50" t="str">
        <f>IF(NOTA[[#This Row],[JUMLAH]]="","",NOTA[[#This Row],[JUMLAH]]*NOTA[[#This Row],[DISC 1]])</f>
        <v/>
      </c>
      <c r="Z234" s="50" t="str">
        <f>IF(NOTA[[#This Row],[JUMLAH]]="","",(NOTA[[#This Row],[JUMLAH]]-NOTA[[#This Row],[DISC 1-]])*NOTA[[#This Row],[DISC 2]])</f>
        <v/>
      </c>
      <c r="AA234" s="50" t="str">
        <f>IF(NOTA[[#This Row],[JUMLAH]]="","",(NOTA[[#This Row],[JUMLAH]]-NOTA[[#This Row],[DISC 1-]]-NOTA[[#This Row],[DISC 2-]])*NOTA[[#This Row],[DISC 3]])</f>
        <v/>
      </c>
      <c r="AB234" s="50" t="str">
        <f>IF(NOTA[[#This Row],[JUMLAH]]="","",NOTA[[#This Row],[DISC 1-]]+NOTA[[#This Row],[DISC 2-]]+NOTA[[#This Row],[DISC 3-]])</f>
        <v/>
      </c>
      <c r="AC234" s="50" t="str">
        <f>IF(NOTA[[#This Row],[JUMLAH]]="","",NOTA[[#This Row],[JUMLAH]]-NOTA[[#This Row],[DISC]])</f>
        <v/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4" s="50" t="str">
        <f>IF(OR(NOTA[[#This Row],[QTY]]="",NOTA[[#This Row],[HARGA SATUAN]]="",),"",NOTA[[#This Row],[QTY]]*NOTA[[#This Row],[HARGA SATUAN]])</f>
        <v/>
      </c>
      <c r="AI234" s="39" t="str">
        <f ca="1">IF(NOTA[ID_H]="","",INDEX(NOTA[TANGGAL],MATCH(,INDIRECT(ADDRESS(ROW(NOTA[TANGGAL]),COLUMN(NOTA[TANGGAL]))&amp;":"&amp;ADDRESS(ROW(),COLUMN(NOTA[TANGGAL]))),-1)))</f>
        <v/>
      </c>
      <c r="AJ234" s="41" t="str">
        <f ca="1">IF(NOTA[[#This Row],[NAMA BARANG]]="","",INDEX(NOTA[SUPPLIER],MATCH(,INDIRECT(ADDRESS(ROW(NOTA[ID]),COLUMN(NOTA[ID]))&amp;":"&amp;ADDRESS(ROW(),COLUMN(NOTA[ID]))),-1)))</f>
        <v/>
      </c>
      <c r="AK234" s="41" t="str">
        <f ca="1">IF(NOTA[[#This Row],[ID_H]]="","",IF(NOTA[[#This Row],[FAKTUR]]="",INDIRECT(ADDRESS(ROW()-1,COLUMN())),NOTA[[#This Row],[FAKTUR]]))</f>
        <v/>
      </c>
      <c r="AL234" s="38" t="str">
        <f ca="1">IF(NOTA[[#This Row],[ID]]="","",COUNTIF(NOTA[ID_H],NOTA[[#This Row],[ID_H]]))</f>
        <v/>
      </c>
      <c r="AM234" s="38" t="str">
        <f ca="1">IF(NOTA[[#This Row],[TGL.NOTA]]="",IF(NOTA[[#This Row],[SUPPLIER_H]]="","",AM233),MONTH(NOTA[[#This Row],[TGL.NOTA]]))</f>
        <v/>
      </c>
      <c r="AN234" s="38" t="str">
        <f>LOWER(SUBSTITUTE(SUBSTITUTE(SUBSTITUTE(SUBSTITUTE(SUBSTITUTE(SUBSTITUTE(SUBSTITUTE(SUBSTITUTE(SUBSTITUTE(NOTA[NAMA BARANG]," ",),".",""),"-",""),"(",""),")",""),",",""),"/",""),"""",""),"+",""))</f>
        <v/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 t="str">
        <f>IF(NOTA[[#This Row],[CONCAT1]]="","",MATCH(NOTA[[#This Row],[CONCAT1]],[3]!db[NB NOTA_C],0))</f>
        <v/>
      </c>
      <c r="AT234" s="38" t="str">
        <f>IF(NOTA[[#This Row],[QTY/ CTN]]="","",TRUE)</f>
        <v/>
      </c>
      <c r="AU234" s="38" t="str">
        <f ca="1">IF(NOTA[[#This Row],[ID_H]]="","",IF(NOTA[[#This Row],[Column3]]=TRUE,NOTA[[#This Row],[QTY/ CTN]],INDEX([3]!db[QTY/ CTN],NOTA[[#This Row],[//DB]])))</f>
        <v/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4" s="38" t="str">
        <f ca="1">IF(NOTA[[#This Row],[ID_H]]="","",MATCH(NOTA[[#This Row],[NB NOTA_C_QTY]],[4]!db[NB NOTA_C_QTY+F],0))</f>
        <v/>
      </c>
      <c r="AX234" s="53" t="str">
        <f ca="1">IF(NOTA[[#This Row],[NB NOTA_C_QTY]]="","",ROW()-2)</f>
        <v/>
      </c>
    </row>
    <row r="235" spans="1:50" s="38" customFormat="1" ht="20.100000000000001" customHeight="1" x14ac:dyDescent="0.25">
      <c r="A235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2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KEN_0901_206-8</v>
      </c>
      <c r="C235" s="38" t="e">
        <f ca="1">IF(NOTA[[#This Row],[ID_P]]="","",MATCH(NOTA[[#This Row],[ID_P]],[1]!B_MSK[N_ID],0))</f>
        <v>#REF!</v>
      </c>
      <c r="D235" s="38">
        <f ca="1">IF(NOTA[[#This Row],[NAMA BARANG]]="","",INDEX(NOTA[ID],MATCH(,INDIRECT(ADDRESS(ROW(NOTA[ID]),COLUMN(NOTA[ID]))&amp;":"&amp;ADDRESS(ROW(),COLUMN(NOTA[ID]))),-1)))</f>
        <v>34</v>
      </c>
      <c r="E235" s="46"/>
      <c r="F235" s="37" t="s">
        <v>22</v>
      </c>
      <c r="G235" s="37" t="s">
        <v>23</v>
      </c>
      <c r="H235" s="47" t="s">
        <v>358</v>
      </c>
      <c r="I235" s="37"/>
      <c r="J235" s="39">
        <v>45297</v>
      </c>
      <c r="K235" s="37">
        <v>0</v>
      </c>
      <c r="L235" s="37" t="s">
        <v>361</v>
      </c>
      <c r="M235" s="40">
        <v>2</v>
      </c>
      <c r="O235" s="37"/>
      <c r="P235" s="41"/>
      <c r="Q235" s="42">
        <v>850000</v>
      </c>
      <c r="R235" s="48"/>
      <c r="S235" s="49">
        <v>0.17</v>
      </c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1700000</v>
      </c>
      <c r="Y235" s="50">
        <f>IF(NOTA[[#This Row],[JUMLAH]]="","",NOTA[[#This Row],[JUMLAH]]*NOTA[[#This Row],[DISC 1]])</f>
        <v>289000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289000</v>
      </c>
      <c r="AC235" s="50">
        <f>IF(NOTA[[#This Row],[JUMLAH]]="","",NOTA[[#This Row],[JUMLAH]]-NOTA[[#This Row],[DISC]])</f>
        <v>1411000</v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45300</v>
      </c>
      <c r="AJ235" s="41" t="str">
        <f ca="1">IF(NOTA[[#This Row],[NAMA BARANG]]="","",INDEX(NOTA[SUPPLIER],MATCH(,INDIRECT(ADDRESS(ROW(NOTA[ID]),COLUMN(NOTA[ID]))&amp;":"&amp;ADDRESS(ROW(),COLUMN(NOTA[ID]))),-1)))</f>
        <v>KENKO SINAR INDONESIA</v>
      </c>
      <c r="AK235" s="41" t="str">
        <f ca="1">IF(NOTA[[#This Row],[ID_H]]="","",IF(NOTA[[#This Row],[FAKTUR]]="",INDIRECT(ADDRESS(ROW()-1,COLUMN())),NOTA[[#This Row],[FAKTUR]]))</f>
        <v>ARTO MORO</v>
      </c>
      <c r="AL235" s="38">
        <f ca="1">IF(NOTA[[#This Row],[ID]]="","",COUNTIF(NOTA[ID_H],NOTA[[#This Row],[ID_H]]))</f>
        <v>8</v>
      </c>
      <c r="AM235" s="38">
        <f>IF(NOTA[[#This Row],[TGL.NOTA]]="",IF(NOTA[[#This Row],[SUPPLIER_H]]="","",AM234),MONTH(NOTA[[#This Row],[TGL.NOTA]]))</f>
        <v>1</v>
      </c>
      <c r="AN235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MORO2401020645297kenkotrigonalclipno1</v>
      </c>
      <c r="AR235" s="38" t="e">
        <f>IF(NOTA[[#This Row],[CONCAT4]]="","",_xlfn.IFNA(MATCH(NOTA[[#This Row],[CONCAT4]],[2]!RAW[CONCAT_H],0),FALSE))</f>
        <v>#REF!</v>
      </c>
      <c r="AS235" s="38">
        <f>IF(NOTA[[#This Row],[CONCAT1]]="","",MATCH(NOTA[[#This Row],[CONCAT1]],[3]!db[NB NOTA_C],0))</f>
        <v>1802</v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>500 BOX</v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235" s="38" t="e">
        <f ca="1">IF(NOTA[[#This Row],[ID_H]]="","",MATCH(NOTA[[#This Row],[NB NOTA_C_QTY]],[4]!db[NB NOTA_C_QTY+F],0))</f>
        <v>#REF!</v>
      </c>
      <c r="AX235" s="53">
        <f ca="1">IF(NOTA[[#This Row],[NB NOTA_C_QTY]]="","",ROW()-2)</f>
        <v>233</v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34</v>
      </c>
      <c r="E236" s="46"/>
      <c r="F236" s="37"/>
      <c r="G236" s="37"/>
      <c r="H236" s="47"/>
      <c r="I236" s="37"/>
      <c r="J236" s="39"/>
      <c r="K236" s="37">
        <v>0</v>
      </c>
      <c r="L236" s="37" t="s">
        <v>360</v>
      </c>
      <c r="M236" s="40">
        <v>2</v>
      </c>
      <c r="O236" s="37"/>
      <c r="P236" s="41"/>
      <c r="Q236" s="42">
        <v>800000</v>
      </c>
      <c r="R236" s="48"/>
      <c r="S236" s="49">
        <v>0.17</v>
      </c>
      <c r="T236" s="44"/>
      <c r="U236" s="44"/>
      <c r="V236" s="50"/>
      <c r="W236" s="45"/>
      <c r="X236" s="50">
        <f>IF(NOTA[[#This Row],[HARGA/ CTN]]="",NOTA[[#This Row],[JUMLAH_H]],NOTA[[#This Row],[HARGA/ CTN]]*IF(NOTA[[#This Row],[C]]="",0,NOTA[[#This Row],[C]]))</f>
        <v>1600000</v>
      </c>
      <c r="Y236" s="50">
        <f>IF(NOTA[[#This Row],[JUMLAH]]="","",NOTA[[#This Row],[JUMLAH]]*NOTA[[#This Row],[DISC 1]])</f>
        <v>272000</v>
      </c>
      <c r="Z236" s="50">
        <f>IF(NOTA[[#This Row],[JUMLAH]]="","",(NOTA[[#This Row],[JUMLAH]]-NOTA[[#This Row],[DISC 1-]])*NOTA[[#This Row],[DISC 2]])</f>
        <v>0</v>
      </c>
      <c r="AA236" s="50">
        <f>IF(NOTA[[#This Row],[JUMLAH]]="","",(NOTA[[#This Row],[JUMLAH]]-NOTA[[#This Row],[DISC 1-]]-NOTA[[#This Row],[DISC 2-]])*NOTA[[#This Row],[DISC 3]])</f>
        <v>0</v>
      </c>
      <c r="AB236" s="50">
        <f>IF(NOTA[[#This Row],[JUMLAH]]="","",NOTA[[#This Row],[DISC 1-]]+NOTA[[#This Row],[DISC 2-]]+NOTA[[#This Row],[DISC 3-]])</f>
        <v>272000</v>
      </c>
      <c r="AC236" s="50">
        <f>IF(NOTA[[#This Row],[JUMLAH]]="","",NOTA[[#This Row],[JUMLAH]]-NOTA[[#This Row],[DISC]])</f>
        <v>1328000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236" s="50" t="str">
        <f>IF(OR(NOTA[[#This Row],[QTY]]="",NOTA[[#This Row],[HARGA SATUAN]]="",),"",NOTA[[#This Row],[QTY]]*NOTA[[#This Row],[HARGA SATUAN]])</f>
        <v/>
      </c>
      <c r="AI236" s="39">
        <f ca="1">IF(NOTA[ID_H]="","",INDEX(NOTA[TANGGAL],MATCH(,INDIRECT(ADDRESS(ROW(NOTA[TANGGAL]),COLUMN(NOTA[TANGGAL]))&amp;":"&amp;ADDRESS(ROW(),COLUMN(NOTA[TANGGAL]))),-1)))</f>
        <v>45300</v>
      </c>
      <c r="AJ236" s="41" t="str">
        <f ca="1">IF(NOTA[[#This Row],[NAMA BARANG]]="","",INDEX(NOTA[SUPPLIER],MATCH(,INDIRECT(ADDRESS(ROW(NOTA[ID]),COLUMN(NOTA[ID]))&amp;":"&amp;ADDRESS(ROW(),COLUMN(NOTA[ID]))),-1)))</f>
        <v>KENKO SINAR INDONESIA</v>
      </c>
      <c r="AK236" s="41" t="str">
        <f ca="1">IF(NOTA[[#This Row],[ID_H]]="","",IF(NOTA[[#This Row],[FAKTUR]]="",INDIRECT(ADDRESS(ROW()-1,COLUMN())),NOTA[[#This Row],[FAKTUR]]))</f>
        <v>ARTO MORO</v>
      </c>
      <c r="AL236" s="38" t="str">
        <f ca="1">IF(NOTA[[#This Row],[ID]]="","",COUNTIF(NOTA[ID_H],NOTA[[#This Row],[ID_H]]))</f>
        <v/>
      </c>
      <c r="AM236" s="38">
        <f ca="1">IF(NOTA[[#This Row],[TGL.NOTA]]="",IF(NOTA[[#This Row],[SUPPLIER_H]]="","",AM235),MONTH(NOTA[[#This Row],[TGL.NOTA]]))</f>
        <v>1</v>
      </c>
      <c r="AN236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>
        <f>IF(NOTA[[#This Row],[CONCAT1]]="","",MATCH(NOTA[[#This Row],[CONCAT1]],[3]!db[NB NOTA_C],0))</f>
        <v>1801</v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>500 BOX</v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236" s="38" t="e">
        <f ca="1">IF(NOTA[[#This Row],[ID_H]]="","",MATCH(NOTA[[#This Row],[NB NOTA_C_QTY]],[4]!db[NB NOTA_C_QTY+F],0))</f>
        <v>#REF!</v>
      </c>
      <c r="AX236" s="53">
        <f ca="1">IF(NOTA[[#This Row],[NB NOTA_C_QTY]]="","",ROW()-2)</f>
        <v>234</v>
      </c>
    </row>
    <row r="237" spans="1:50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34</v>
      </c>
      <c r="E237" s="46"/>
      <c r="F237" s="37"/>
      <c r="G237" s="37"/>
      <c r="H237" s="47"/>
      <c r="I237" s="37"/>
      <c r="J237" s="39"/>
      <c r="K237" s="37">
        <v>0</v>
      </c>
      <c r="L237" s="37" t="s">
        <v>362</v>
      </c>
      <c r="M237" s="40">
        <v>2</v>
      </c>
      <c r="O237" s="37"/>
      <c r="P237" s="41"/>
      <c r="Q237" s="42">
        <v>860000</v>
      </c>
      <c r="R237" s="48"/>
      <c r="S237" s="49">
        <v>0.17</v>
      </c>
      <c r="T237" s="44"/>
      <c r="U237" s="44"/>
      <c r="V237" s="50"/>
      <c r="W237" s="45"/>
      <c r="X237" s="50">
        <f>IF(NOTA[[#This Row],[HARGA/ CTN]]="",NOTA[[#This Row],[JUMLAH_H]],NOTA[[#This Row],[HARGA/ CTN]]*IF(NOTA[[#This Row],[C]]="",0,NOTA[[#This Row],[C]]))</f>
        <v>1720000</v>
      </c>
      <c r="Y237" s="50">
        <f>IF(NOTA[[#This Row],[JUMLAH]]="","",NOTA[[#This Row],[JUMLAH]]*NOTA[[#This Row],[DISC 1]])</f>
        <v>292400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292400</v>
      </c>
      <c r="AC237" s="50">
        <f>IF(NOTA[[#This Row],[JUMLAH]]="","",NOTA[[#This Row],[JUMLAH]]-NOTA[[#This Row],[DISC]])</f>
        <v>1427600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45300</v>
      </c>
      <c r="AJ237" s="41" t="str">
        <f ca="1">IF(NOTA[[#This Row],[NAMA BARANG]]="","",INDEX(NOTA[SUPPLIER],MATCH(,INDIRECT(ADDRESS(ROW(NOTA[ID]),COLUMN(NOTA[ID]))&amp;":"&amp;ADDRESS(ROW(),COLUMN(NOTA[ID]))),-1)))</f>
        <v>KENKO SINAR INDONESIA</v>
      </c>
      <c r="AK237" s="41" t="str">
        <f ca="1">IF(NOTA[[#This Row],[ID_H]]="","",IF(NOTA[[#This Row],[FAKTUR]]="",INDIRECT(ADDRESS(ROW()-1,COLUMN())),NOTA[[#This Row],[FAKTUR]]))</f>
        <v>ARTO MORO</v>
      </c>
      <c r="AL237" s="38" t="str">
        <f ca="1">IF(NOTA[[#This Row],[ID]]="","",COUNTIF(NOTA[ID_H],NOTA[[#This Row],[ID_H]]))</f>
        <v/>
      </c>
      <c r="AM237" s="38">
        <f ca="1">IF(NOTA[[#This Row],[TGL.NOTA]]="",IF(NOTA[[#This Row],[SUPPLIER_H]]="","",AM236),MONTH(NOTA[[#This Row],[TGL.NOTA]]))</f>
        <v>1</v>
      </c>
      <c r="AN237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Row],[CONCAT4]],[2]!RAW[CONCAT_H],0),FALSE))</f>
        <v/>
      </c>
      <c r="AS237" s="38">
        <f>IF(NOTA[[#This Row],[CONCAT1]]="","",MATCH(NOTA[[#This Row],[CONCAT1]],[3]!db[NB NOTA_C],0))</f>
        <v>1686</v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>200 BOX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237" s="38" t="e">
        <f ca="1">IF(NOTA[[#This Row],[ID_H]]="","",MATCH(NOTA[[#This Row],[NB NOTA_C_QTY]],[4]!db[NB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34</v>
      </c>
      <c r="E238" s="46"/>
      <c r="F238" s="37"/>
      <c r="G238" s="37"/>
      <c r="H238" s="47"/>
      <c r="I238" s="37"/>
      <c r="J238" s="39"/>
      <c r="K238" s="37">
        <v>0</v>
      </c>
      <c r="L238" s="37" t="s">
        <v>363</v>
      </c>
      <c r="M238" s="40">
        <v>2</v>
      </c>
      <c r="O238" s="37"/>
      <c r="P238" s="41"/>
      <c r="Q238" s="42">
        <v>1410000</v>
      </c>
      <c r="R238" s="48"/>
      <c r="S238" s="49">
        <v>0.17</v>
      </c>
      <c r="T238" s="44"/>
      <c r="U238" s="44"/>
      <c r="V238" s="50"/>
      <c r="W238" s="45"/>
      <c r="X238" s="50">
        <f>IF(NOTA[[#This Row],[HARGA/ CTN]]="",NOTA[[#This Row],[JUMLAH_H]],NOTA[[#This Row],[HARGA/ CTN]]*IF(NOTA[[#This Row],[C]]="",0,NOTA[[#This Row],[C]]))</f>
        <v>2820000</v>
      </c>
      <c r="Y238" s="50">
        <f>IF(NOTA[[#This Row],[JUMLAH]]="","",NOTA[[#This Row],[JUMLAH]]*NOTA[[#This Row],[DISC 1]])</f>
        <v>479400.00000000006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479400.00000000006</v>
      </c>
      <c r="AC238" s="50">
        <f>IF(NOTA[[#This Row],[JUMLAH]]="","",NOTA[[#This Row],[JUMLAH]]-NOTA[[#This Row],[DISC]])</f>
        <v>2340600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45300</v>
      </c>
      <c r="AJ238" s="41" t="str">
        <f ca="1">IF(NOTA[[#This Row],[NAMA BARANG]]="","",INDEX(NOTA[SUPPLIER],MATCH(,INDIRECT(ADDRESS(ROW(NOTA[ID]),COLUMN(NOTA[ID]))&amp;":"&amp;ADDRESS(ROW(),COLUMN(NOTA[ID]))),-1)))</f>
        <v>KENKO SINAR INDONESIA</v>
      </c>
      <c r="AK238" s="41" t="str">
        <f ca="1">IF(NOTA[[#This Row],[ID_H]]="","",IF(NOTA[[#This Row],[FAKTUR]]="",INDIRECT(ADDRESS(ROW()-1,COLUMN())),NOTA[[#This Row],[FAKTUR]]))</f>
        <v>ARTO MORO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1</v>
      </c>
      <c r="AN238" s="38" t="str">
        <f>LOWER(SUBSTITUTE(SUBSTITUTE(SUBSTITUTE(SUBSTITUTE(SUBSTITUTE(SUBSTITUTE(SUBSTITUTE(SUBSTITUTE(SUBSTITUTE(NOTA[NAMA BARANG]," ",),".",""),"-",""),"(",""),")",""),",",""),"/",""),"""",""),"+",""))</f>
        <v>kenkopunchno40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>
        <f>IF(NOTA[[#This Row],[CONCAT1]]="","",MATCH(NOTA[[#This Row],[CONCAT1]],[3]!db[NB NOTA_C],0))</f>
        <v>1748</v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>5 LSN</v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kenkopunchno405lsnartomoro</v>
      </c>
      <c r="AW238" s="38" t="e">
        <f ca="1">IF(NOTA[[#This Row],[ID_H]]="","",MATCH(NOTA[[#This Row],[NB NOTA_C_QTY]],[4]!db[NB NOTA_C_QTY+F],0))</f>
        <v>#REF!</v>
      </c>
      <c r="AX238" s="53">
        <f ca="1">IF(NOTA[[#This Row],[NB NOTA_C_QTY]]="","",ROW()-2)</f>
        <v>236</v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34</v>
      </c>
      <c r="E239" s="46"/>
      <c r="F239" s="37"/>
      <c r="G239" s="37"/>
      <c r="H239" s="47"/>
      <c r="I239" s="37"/>
      <c r="J239" s="39"/>
      <c r="K239" s="37">
        <v>0</v>
      </c>
      <c r="L239" s="37" t="s">
        <v>364</v>
      </c>
      <c r="M239" s="40">
        <v>1</v>
      </c>
      <c r="O239" s="37"/>
      <c r="P239" s="41"/>
      <c r="Q239" s="42">
        <v>1536000</v>
      </c>
      <c r="R239" s="48"/>
      <c r="S239" s="49">
        <v>0.17</v>
      </c>
      <c r="T239" s="44"/>
      <c r="U239" s="44"/>
      <c r="V239" s="50"/>
      <c r="W239" s="45"/>
      <c r="X239" s="50">
        <f>IF(NOTA[[#This Row],[HARGA/ CTN]]="",NOTA[[#This Row],[JUMLAH_H]],NOTA[[#This Row],[HARGA/ CTN]]*IF(NOTA[[#This Row],[C]]="",0,NOTA[[#This Row],[C]]))</f>
        <v>1536000</v>
      </c>
      <c r="Y239" s="50">
        <f>IF(NOTA[[#This Row],[JUMLAH]]="","",NOTA[[#This Row],[JUMLAH]]*NOTA[[#This Row],[DISC 1]])</f>
        <v>261120.00000000003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261120.00000000003</v>
      </c>
      <c r="AC239" s="50">
        <f>IF(NOTA[[#This Row],[JUMLAH]]="","",NOTA[[#This Row],[JUMLAH]]-NOTA[[#This Row],[DISC]])</f>
        <v>1274880</v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239" s="50" t="str">
        <f>IF(OR(NOTA[[#This Row],[QTY]]="",NOTA[[#This Row],[HARGA SATUAN]]="",),"",NOTA[[#This Row],[QTY]]*NOTA[[#This Row],[HARGA SATUAN]])</f>
        <v/>
      </c>
      <c r="AI239" s="39">
        <f ca="1">IF(NOTA[ID_H]="","",INDEX(NOTA[TANGGAL],MATCH(,INDIRECT(ADDRESS(ROW(NOTA[TANGGAL]),COLUMN(NOTA[TANGGAL]))&amp;":"&amp;ADDRESS(ROW(),COLUMN(NOTA[TANGGAL]))),-1)))</f>
        <v>45300</v>
      </c>
      <c r="AJ239" s="41" t="str">
        <f ca="1">IF(NOTA[[#This Row],[NAMA BARANG]]="","",INDEX(NOTA[SUPPLIER],MATCH(,INDIRECT(ADDRESS(ROW(NOTA[ID]),COLUMN(NOTA[ID]))&amp;":"&amp;ADDRESS(ROW(),COLUMN(NOTA[ID]))),-1)))</f>
        <v>KENKO SINAR INDONESIA</v>
      </c>
      <c r="AK239" s="41" t="str">
        <f ca="1">IF(NOTA[[#This Row],[ID_H]]="","",IF(NOTA[[#This Row],[FAKTUR]]="",INDIRECT(ADDRESS(ROW()-1,COLUMN())),NOTA[[#This Row],[FAKTUR]]))</f>
        <v>ARTO MORO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1</v>
      </c>
      <c r="AN239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>
        <f>IF(NOTA[[#This Row],[CONCAT1]]="","",MATCH(NOTA[[#This Row],[CONCAT1]],[3]!db[NB NOTA_C],0))</f>
        <v>1749</v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>4 LSN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W239" s="38" t="e">
        <f ca="1">IF(NOTA[[#This Row],[ID_H]]="","",MATCH(NOTA[[#This Row],[NB NOTA_C_QTY]],[4]!db[NB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34</v>
      </c>
      <c r="E240" s="46"/>
      <c r="F240" s="37"/>
      <c r="G240" s="37"/>
      <c r="H240" s="47"/>
      <c r="I240" s="37"/>
      <c r="J240" s="39"/>
      <c r="K240" s="37">
        <v>0</v>
      </c>
      <c r="L240" s="37" t="s">
        <v>365</v>
      </c>
      <c r="M240" s="40">
        <v>4</v>
      </c>
      <c r="O240" s="37"/>
      <c r="P240" s="41"/>
      <c r="Q240" s="42">
        <v>2052000</v>
      </c>
      <c r="R240" s="48"/>
      <c r="S240" s="49">
        <v>0.17</v>
      </c>
      <c r="T240" s="44"/>
      <c r="U240" s="44"/>
      <c r="V240" s="50"/>
      <c r="W240" s="45"/>
      <c r="X240" s="50">
        <f>IF(NOTA[[#This Row],[HARGA/ CTN]]="",NOTA[[#This Row],[JUMLAH_H]],NOTA[[#This Row],[HARGA/ CTN]]*IF(NOTA[[#This Row],[C]]="",0,NOTA[[#This Row],[C]]))</f>
        <v>8208000</v>
      </c>
      <c r="Y240" s="50">
        <f>IF(NOTA[[#This Row],[JUMLAH]]="","",NOTA[[#This Row],[JUMLAH]]*NOTA[[#This Row],[DISC 1]])</f>
        <v>1395360</v>
      </c>
      <c r="Z240" s="50">
        <f>IF(NOTA[[#This Row],[JUMLAH]]="","",(NOTA[[#This Row],[JUMLAH]]-NOTA[[#This Row],[DISC 1-]])*NOTA[[#This Row],[DISC 2]])</f>
        <v>0</v>
      </c>
      <c r="AA240" s="50">
        <f>IF(NOTA[[#This Row],[JUMLAH]]="","",(NOTA[[#This Row],[JUMLAH]]-NOTA[[#This Row],[DISC 1-]]-NOTA[[#This Row],[DISC 2-]])*NOTA[[#This Row],[DISC 3]])</f>
        <v>0</v>
      </c>
      <c r="AB240" s="50">
        <f>IF(NOTA[[#This Row],[JUMLAH]]="","",NOTA[[#This Row],[DISC 1-]]+NOTA[[#This Row],[DISC 2-]]+NOTA[[#This Row],[DISC 3-]])</f>
        <v>1395360</v>
      </c>
      <c r="AC240" s="50">
        <f>IF(NOTA[[#This Row],[JUMLAH]]="","",NOTA[[#This Row],[JUMLAH]]-NOTA[[#This Row],[DISC]])</f>
        <v>6812640</v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40" s="50" t="str">
        <f>IF(OR(NOTA[[#This Row],[QTY]]="",NOTA[[#This Row],[HARGA SATUAN]]="",),"",NOTA[[#This Row],[QTY]]*NOTA[[#This Row],[HARGA SATUAN]])</f>
        <v/>
      </c>
      <c r="AI240" s="39">
        <f ca="1">IF(NOTA[ID_H]="","",INDEX(NOTA[TANGGAL],MATCH(,INDIRECT(ADDRESS(ROW(NOTA[TANGGAL]),COLUMN(NOTA[TANGGAL]))&amp;":"&amp;ADDRESS(ROW(),COLUMN(NOTA[TANGGAL]))),-1)))</f>
        <v>45300</v>
      </c>
      <c r="AJ240" s="41" t="str">
        <f ca="1">IF(NOTA[[#This Row],[NAMA BARANG]]="","",INDEX(NOTA[SUPPLIER],MATCH(,INDIRECT(ADDRESS(ROW(NOTA[ID]),COLUMN(NOTA[ID]))&amp;":"&amp;ADDRESS(ROW(),COLUMN(NOTA[ID]))),-1)))</f>
        <v>KENKO SINAR INDONESIA</v>
      </c>
      <c r="AK240" s="41" t="str">
        <f ca="1">IF(NOTA[[#This Row],[ID_H]]="","",IF(NOTA[[#This Row],[FAKTUR]]="",INDIRECT(ADDRESS(ROW()-1,COLUMN())),NOTA[[#This Row],[FAKTUR]]))</f>
        <v>ARTO MORO</v>
      </c>
      <c r="AL240" s="38" t="str">
        <f ca="1">IF(NOTA[[#This Row],[ID]]="","",COUNTIF(NOTA[ID_H],NOTA[[#This Row],[ID_H]]))</f>
        <v/>
      </c>
      <c r="AM240" s="38">
        <f ca="1">IF(NOTA[[#This Row],[TGL.NOTA]]="",IF(NOTA[[#This Row],[SUPPLIER_H]]="","",AM239),MONTH(NOTA[[#This Row],[TGL.NOTA]]))</f>
        <v>1</v>
      </c>
      <c r="AN240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>
        <f>IF(NOTA[[#This Row],[CONCAT1]]="","",MATCH(NOTA[[#This Row],[CONCAT1]],[3]!db[NB NOTA_C],0))</f>
        <v>1562</v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>36 LSN</v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240" s="38" t="e">
        <f ca="1">IF(NOTA[[#This Row],[ID_H]]="","",MATCH(NOTA[[#This Row],[NB NOTA_C_QTY]],[4]!db[NB NOTA_C_QTY+F],0))</f>
        <v>#REF!</v>
      </c>
      <c r="AX240" s="53">
        <f ca="1">IF(NOTA[[#This Row],[NB NOTA_C_QTY]]="","",ROW()-2)</f>
        <v>238</v>
      </c>
    </row>
    <row r="241" spans="1:50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34</v>
      </c>
      <c r="E241" s="46"/>
      <c r="F241" s="37"/>
      <c r="G241" s="37"/>
      <c r="H241" s="47"/>
      <c r="I241" s="37"/>
      <c r="J241" s="39"/>
      <c r="K241" s="37">
        <v>0</v>
      </c>
      <c r="L241" s="37" t="s">
        <v>147</v>
      </c>
      <c r="M241" s="40">
        <v>2</v>
      </c>
      <c r="O241" s="37"/>
      <c r="P241" s="41"/>
      <c r="Q241" s="42">
        <v>462000</v>
      </c>
      <c r="R241" s="48"/>
      <c r="S241" s="49">
        <v>0.17</v>
      </c>
      <c r="T241" s="44"/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924000</v>
      </c>
      <c r="Y241" s="50">
        <f>IF(NOTA[[#This Row],[JUMLAH]]="","",NOTA[[#This Row],[JUMLAH]]*NOTA[[#This Row],[DISC 1]])</f>
        <v>157080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157080</v>
      </c>
      <c r="AC241" s="50">
        <f>IF(NOTA[[#This Row],[JUMLAH]]="","",NOTA[[#This Row],[JUMLAH]]-NOTA[[#This Row],[DISC]])</f>
        <v>766920</v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241" s="50" t="str">
        <f>IF(OR(NOTA[[#This Row],[QTY]]="",NOTA[[#This Row],[HARGA SATUAN]]="",),"",NOTA[[#This Row],[QTY]]*NOTA[[#This Row],[HARGA SATUAN]])</f>
        <v/>
      </c>
      <c r="AI241" s="39">
        <f ca="1">IF(NOTA[ID_H]="","",INDEX(NOTA[TANGGAL],MATCH(,INDIRECT(ADDRESS(ROW(NOTA[TANGGAL]),COLUMN(NOTA[TANGGAL]))&amp;":"&amp;ADDRESS(ROW(),COLUMN(NOTA[TANGGAL]))),-1)))</f>
        <v>45300</v>
      </c>
      <c r="AJ241" s="41" t="str">
        <f ca="1">IF(NOTA[[#This Row],[NAMA BARANG]]="","",INDEX(NOTA[SUPPLIER],MATCH(,INDIRECT(ADDRESS(ROW(NOTA[ID]),COLUMN(NOTA[ID]))&amp;":"&amp;ADDRESS(ROW(),COLUMN(NOTA[ID]))),-1)))</f>
        <v>KENKO SINAR INDONESIA</v>
      </c>
      <c r="AK241" s="41" t="str">
        <f ca="1">IF(NOTA[[#This Row],[ID_H]]="","",IF(NOTA[[#This Row],[FAKTUR]]="",INDIRECT(ADDRESS(ROW()-1,COLUMN())),NOTA[[#This Row],[FAKTUR]]))</f>
        <v>ARTO MORO</v>
      </c>
      <c r="AL241" s="38" t="str">
        <f ca="1">IF(NOTA[[#This Row],[ID]]="","",COUNTIF(NOTA[ID_H],NOTA[[#This Row],[ID_H]]))</f>
        <v/>
      </c>
      <c r="AM241" s="38">
        <f ca="1">IF(NOTA[[#This Row],[TGL.NOTA]]="",IF(NOTA[[#This Row],[SUPPLIER_H]]="","",AM240),MONTH(NOTA[[#This Row],[TGL.NOTA]]))</f>
        <v>1</v>
      </c>
      <c r="AN241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38" t="str">
        <f>IF(NOTA[[#This Row],[CONCAT4]]="","",_xlfn.IFNA(MATCH(NOTA[[#This Row],[CONCAT4]],[2]!RAW[CONCAT_H],0),FALSE))</f>
        <v/>
      </c>
      <c r="AS241" s="38">
        <f>IF(NOTA[[#This Row],[CONCAT1]]="","",MATCH(NOTA[[#This Row],[CONCAT1]],[3]!db[NB NOTA_C],0))</f>
        <v>1796</v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>24 PCS</v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241" s="38" t="e">
        <f ca="1">IF(NOTA[[#This Row],[ID_H]]="","",MATCH(NOTA[[#This Row],[NB NOTA_C_QTY]],[4]!db[NB NOTA_C_QTY+F],0))</f>
        <v>#REF!</v>
      </c>
      <c r="AX241" s="53">
        <f ca="1">IF(NOTA[[#This Row],[NB NOTA_C_QTY]]="","",ROW()-2)</f>
        <v>239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34</v>
      </c>
      <c r="E242" s="46"/>
      <c r="F242" s="37"/>
      <c r="G242" s="37"/>
      <c r="H242" s="47"/>
      <c r="I242" s="37"/>
      <c r="J242" s="39"/>
      <c r="K242" s="37"/>
      <c r="L242" s="37" t="s">
        <v>366</v>
      </c>
      <c r="M242" s="40">
        <v>1</v>
      </c>
      <c r="O242" s="37"/>
      <c r="P242" s="41"/>
      <c r="Q242" s="42">
        <v>2040000</v>
      </c>
      <c r="R242" s="48"/>
      <c r="S242" s="49">
        <v>0.17</v>
      </c>
      <c r="T242" s="44"/>
      <c r="U242" s="44"/>
      <c r="V242" s="50"/>
      <c r="W242" s="45"/>
      <c r="X242" s="50">
        <f>IF(NOTA[[#This Row],[HARGA/ CTN]]="",NOTA[[#This Row],[JUMLAH_H]],NOTA[[#This Row],[HARGA/ CTN]]*IF(NOTA[[#This Row],[C]]="",0,NOTA[[#This Row],[C]]))</f>
        <v>2040000</v>
      </c>
      <c r="Y242" s="50">
        <f>IF(NOTA[[#This Row],[JUMLAH]]="","",NOTA[[#This Row],[JUMLAH]]*NOTA[[#This Row],[DISC 1]])</f>
        <v>346800</v>
      </c>
      <c r="Z242" s="50">
        <f>IF(NOTA[[#This Row],[JUMLAH]]="","",(NOTA[[#This Row],[JUMLAH]]-NOTA[[#This Row],[DISC 1-]])*NOTA[[#This Row],[DISC 2]])</f>
        <v>0</v>
      </c>
      <c r="AA242" s="50">
        <f>IF(NOTA[[#This Row],[JUMLAH]]="","",(NOTA[[#This Row],[JUMLAH]]-NOTA[[#This Row],[DISC 1-]]-NOTA[[#This Row],[DISC 2-]])*NOTA[[#This Row],[DISC 3]])</f>
        <v>0</v>
      </c>
      <c r="AB242" s="50">
        <f>IF(NOTA[[#This Row],[JUMLAH]]="","",NOTA[[#This Row],[DISC 1-]]+NOTA[[#This Row],[DISC 2-]]+NOTA[[#This Row],[DISC 3-]])</f>
        <v>346800</v>
      </c>
      <c r="AC242" s="50">
        <f>IF(NOTA[[#This Row],[JUMLAH]]="","",NOTA[[#This Row],[JUMLAH]]-NOTA[[#This Row],[DISC]])</f>
        <v>1693200</v>
      </c>
      <c r="AD242" s="50"/>
      <c r="AE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3493160</v>
      </c>
      <c r="AF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17054840</v>
      </c>
      <c r="AG242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242" s="50" t="str">
        <f>IF(OR(NOTA[[#This Row],[QTY]]="",NOTA[[#This Row],[HARGA SATUAN]]="",),"",NOTA[[#This Row],[QTY]]*NOTA[[#This Row],[HARGA SATUAN]])</f>
        <v/>
      </c>
      <c r="AI242" s="39">
        <f ca="1">IF(NOTA[ID_H]="","",INDEX(NOTA[TANGGAL],MATCH(,INDIRECT(ADDRESS(ROW(NOTA[TANGGAL]),COLUMN(NOTA[TANGGAL]))&amp;":"&amp;ADDRESS(ROW(),COLUMN(NOTA[TANGGAL]))),-1)))</f>
        <v>45300</v>
      </c>
      <c r="AJ242" s="41" t="str">
        <f ca="1">IF(NOTA[[#This Row],[NAMA BARANG]]="","",INDEX(NOTA[SUPPLIER],MATCH(,INDIRECT(ADDRESS(ROW(NOTA[ID]),COLUMN(NOTA[ID]))&amp;":"&amp;ADDRESS(ROW(),COLUMN(NOTA[ID]))),-1)))</f>
        <v>KENKO SINAR INDONESIA</v>
      </c>
      <c r="AK242" s="41" t="str">
        <f ca="1">IF(NOTA[[#This Row],[ID_H]]="","",IF(NOTA[[#This Row],[FAKTUR]]="",INDIRECT(ADDRESS(ROW()-1,COLUMN())),NOTA[[#This Row],[FAKTUR]]))</f>
        <v>ARTO MORO</v>
      </c>
      <c r="AL242" s="38" t="str">
        <f ca="1">IF(NOTA[[#This Row],[ID]]="","",COUNTIF(NOTA[ID_H],NOTA[[#This Row],[ID_H]]))</f>
        <v/>
      </c>
      <c r="AM242" s="38">
        <f ca="1">IF(NOTA[[#This Row],[TGL.NOTA]]="",IF(NOTA[[#This Row],[SUPPLIER_H]]="","",AM241),MONTH(NOTA[[#This Row],[TGL.NOTA]]))</f>
        <v>1</v>
      </c>
      <c r="AN242" s="38" t="str">
        <f>LOWER(SUBSTITUTE(SUBSTITUTE(SUBSTITUTE(SUBSTITUTE(SUBSTITUTE(SUBSTITUTE(SUBSTITUTE(SUBSTITUTE(SUBSTITUTE(NOTA[NAMA BARANG]," ",),".",""),"-",""),"(",""),")",""),",",""),"/",""),"""",""),"+",""))</f>
        <v>kenko24colorpencilcp24ftincaseclassic</v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>
        <f>IF(NOTA[[#This Row],[CONCAT1]]="","",MATCH(NOTA[[#This Row],[CONCAT1]],[3]!db[NB NOTA_C],0))</f>
        <v>1490</v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>10 BOX (6 SET)</v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kenko24colorpencilcp24ftincaseclassic10box6setartomoro</v>
      </c>
      <c r="AW242" s="38" t="e">
        <f ca="1">IF(NOTA[[#This Row],[ID_H]]="","",MATCH(NOTA[[#This Row],[NB NOTA_C_QTY]],[4]!db[NB NOTA_C_QTY+F],0))</f>
        <v>#REF!</v>
      </c>
      <c r="AX242" s="53">
        <f ca="1">IF(NOTA[[#This Row],[NB NOTA_C_QTY]]="","",ROW()-2)</f>
        <v>240</v>
      </c>
    </row>
    <row r="243" spans="1:50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 t="str">
        <f ca="1">IF(NOTA[[#This Row],[NAMA BARANG]]="","",INDEX(NOTA[ID],MATCH(,INDIRECT(ADDRESS(ROW(NOTA[ID]),COLUMN(NOTA[ID]))&amp;":"&amp;ADDRESS(ROW(),COLUMN(NOTA[ID]))),-1)))</f>
        <v/>
      </c>
      <c r="E243" s="46"/>
      <c r="F243" s="37"/>
      <c r="G243" s="37"/>
      <c r="H243" s="47"/>
      <c r="I243" s="37"/>
      <c r="J243" s="39"/>
      <c r="K243" s="39"/>
      <c r="L243" s="37"/>
      <c r="M243" s="40"/>
      <c r="O243" s="37"/>
      <c r="P243" s="41"/>
      <c r="Q243" s="42"/>
      <c r="R243" s="48"/>
      <c r="S243" s="49"/>
      <c r="T243" s="44"/>
      <c r="U243" s="44"/>
      <c r="V243" s="50"/>
      <c r="W243" s="45"/>
      <c r="X243" s="50" t="str">
        <f>IF(NOTA[[#This Row],[HARGA/ CTN]]="",NOTA[[#This Row],[JUMLAH_H]],NOTA[[#This Row],[HARGA/ CTN]]*IF(NOTA[[#This Row],[C]]="",0,NOTA[[#This Row],[C]]))</f>
        <v/>
      </c>
      <c r="Y243" s="50" t="str">
        <f>IF(NOTA[[#This Row],[JUMLAH]]="","",NOTA[[#This Row],[JUMLAH]]*NOTA[[#This Row],[DISC 1]])</f>
        <v/>
      </c>
      <c r="Z243" s="50" t="str">
        <f>IF(NOTA[[#This Row],[JUMLAH]]="","",(NOTA[[#This Row],[JUMLAH]]-NOTA[[#This Row],[DISC 1-]])*NOTA[[#This Row],[DISC 2]])</f>
        <v/>
      </c>
      <c r="AA243" s="50" t="str">
        <f>IF(NOTA[[#This Row],[JUMLAH]]="","",(NOTA[[#This Row],[JUMLAH]]-NOTA[[#This Row],[DISC 1-]]-NOTA[[#This Row],[DISC 2-]])*NOTA[[#This Row],[DISC 3]])</f>
        <v/>
      </c>
      <c r="AB243" s="50" t="str">
        <f>IF(NOTA[[#This Row],[JUMLAH]]="","",NOTA[[#This Row],[DISC 1-]]+NOTA[[#This Row],[DISC 2-]]+NOTA[[#This Row],[DISC 3-]])</f>
        <v/>
      </c>
      <c r="AC243" s="50" t="str">
        <f>IF(NOTA[[#This Row],[JUMLAH]]="","",NOTA[[#This Row],[JUMLAH]]-NOTA[[#This Row],[DISC]])</f>
        <v/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3" s="50" t="str">
        <f>IF(OR(NOTA[[#This Row],[QTY]]="",NOTA[[#This Row],[HARGA SATUAN]]="",),"",NOTA[[#This Row],[QTY]]*NOTA[[#This Row],[HARGA SATUAN]])</f>
        <v/>
      </c>
      <c r="AI243" s="39" t="str">
        <f ca="1">IF(NOTA[ID_H]="","",INDEX(NOTA[TANGGAL],MATCH(,INDIRECT(ADDRESS(ROW(NOTA[TANGGAL]),COLUMN(NOTA[TANGGAL]))&amp;":"&amp;ADDRESS(ROW(),COLUMN(NOTA[TANGGAL]))),-1)))</f>
        <v/>
      </c>
      <c r="AJ243" s="41" t="str">
        <f ca="1">IF(NOTA[[#This Row],[NAMA BARANG]]="","",INDEX(NOTA[SUPPLIER],MATCH(,INDIRECT(ADDRESS(ROW(NOTA[ID]),COLUMN(NOTA[ID]))&amp;":"&amp;ADDRESS(ROW(),COLUMN(NOTA[ID]))),-1)))</f>
        <v/>
      </c>
      <c r="AK243" s="41" t="str">
        <f ca="1">IF(NOTA[[#This Row],[ID_H]]="","",IF(NOTA[[#This Row],[FAKTUR]]="",INDIRECT(ADDRESS(ROW()-1,COLUMN())),NOTA[[#This Row],[FAKTUR]]))</f>
        <v/>
      </c>
      <c r="AL243" s="38" t="str">
        <f ca="1">IF(NOTA[[#This Row],[ID]]="","",COUNTIF(NOTA[ID_H],NOTA[[#This Row],[ID_H]]))</f>
        <v/>
      </c>
      <c r="AM243" s="38" t="str">
        <f ca="1">IF(NOTA[[#This Row],[TGL.NOTA]]="",IF(NOTA[[#This Row],[SUPPLIER_H]]="","",AM242),MONTH(NOTA[[#This Row],[TGL.NOTA]]))</f>
        <v/>
      </c>
      <c r="AN243" s="38" t="str">
        <f>LOWER(SUBSTITUTE(SUBSTITUTE(SUBSTITUTE(SUBSTITUTE(SUBSTITUTE(SUBSTITUTE(SUBSTITUTE(SUBSTITUTE(SUBSTITUTE(NOTA[NAMA BARANG]," ",),".",""),"-",""),"(",""),")",""),",",""),"/",""),"""",""),"+",""))</f>
        <v/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3" s="38" t="str">
        <f>IF(NOTA[[#This Row],[CONCAT4]]="","",_xlfn.IFNA(MATCH(NOTA[[#This Row],[CONCAT4]],[2]!RAW[CONCAT_H],0),FALSE))</f>
        <v/>
      </c>
      <c r="AS243" s="38" t="str">
        <f>IF(NOTA[[#This Row],[CONCAT1]]="","",MATCH(NOTA[[#This Row],[CONCAT1]],[3]!db[NB NOTA_C],0))</f>
        <v/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/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3" s="38" t="str">
        <f ca="1">IF(NOTA[[#This Row],[ID_H]]="","",MATCH(NOTA[[#This Row],[NB NOTA_C_QTY]],[4]!db[NB NOTA_C_QTY+F],0))</f>
        <v/>
      </c>
      <c r="AX243" s="53" t="str">
        <f ca="1">IF(NOTA[[#This Row],[NB NOTA_C_QTY]]="","",ROW()-2)</f>
        <v/>
      </c>
    </row>
    <row r="244" spans="1:50" s="38" customFormat="1" ht="20.100000000000001" customHeight="1" x14ac:dyDescent="0.25">
      <c r="A244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2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PPW_0901_I24-1</v>
      </c>
      <c r="C244" s="38" t="e">
        <f ca="1">IF(NOTA[[#This Row],[ID_P]]="","",MATCH(NOTA[[#This Row],[ID_P]],[1]!B_MSK[N_ID],0))</f>
        <v>#REF!</v>
      </c>
      <c r="D244" s="38">
        <f ca="1">IF(NOTA[[#This Row],[NAMA BARANG]]="","",INDEX(NOTA[ID],MATCH(,INDIRECT(ADDRESS(ROW(NOTA[ID]),COLUMN(NOTA[ID]))&amp;":"&amp;ADDRESS(ROW(),COLUMN(NOTA[ID]))),-1)))</f>
        <v>35</v>
      </c>
      <c r="E244" s="46">
        <v>45300</v>
      </c>
      <c r="F244" s="37" t="s">
        <v>367</v>
      </c>
      <c r="G244" s="37" t="s">
        <v>110</v>
      </c>
      <c r="H244" s="47" t="s">
        <v>368</v>
      </c>
      <c r="I244" s="37"/>
      <c r="J244" s="39">
        <v>45295</v>
      </c>
      <c r="K244" s="37"/>
      <c r="L244" s="37" t="s">
        <v>369</v>
      </c>
      <c r="M244" s="40">
        <v>5</v>
      </c>
      <c r="N244" s="38">
        <v>500</v>
      </c>
      <c r="O244" s="37" t="s">
        <v>111</v>
      </c>
      <c r="P244" s="41">
        <v>26780</v>
      </c>
      <c r="Q244" s="42"/>
      <c r="R244" s="48" t="s">
        <v>370</v>
      </c>
      <c r="S244" s="49">
        <v>0.2</v>
      </c>
      <c r="T244" s="44">
        <v>0.04</v>
      </c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13390000</v>
      </c>
      <c r="Y244" s="50">
        <f>IF(NOTA[[#This Row],[JUMLAH]]="","",NOTA[[#This Row],[JUMLAH]]*NOTA[[#This Row],[DISC 1]])</f>
        <v>2678000</v>
      </c>
      <c r="Z244" s="50">
        <f>IF(NOTA[[#This Row],[JUMLAH]]="","",(NOTA[[#This Row],[JUMLAH]]-NOTA[[#This Row],[DISC 1-]])*NOTA[[#This Row],[DISC 2]])</f>
        <v>428480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3106480</v>
      </c>
      <c r="AC244" s="50">
        <f>IF(NOTA[[#This Row],[JUMLAH]]="","",NOTA[[#This Row],[JUMLAH]]-NOTA[[#This Row],[DISC]])</f>
        <v>10283520</v>
      </c>
      <c r="AD244" s="50"/>
      <c r="AE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F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244" s="50">
        <f>IF(OR(NOTA[[#This Row],[QTY]]="",NOTA[[#This Row],[HARGA SATUAN]]="",),"",NOTA[[#This Row],[QTY]]*NOTA[[#This Row],[HARGA SATUAN]])</f>
        <v>13390000</v>
      </c>
      <c r="AI244" s="39">
        <f ca="1">IF(NOTA[ID_H]="","",INDEX(NOTA[TANGGAL],MATCH(,INDIRECT(ADDRESS(ROW(NOTA[TANGGAL]),COLUMN(NOTA[TANGGAL]))&amp;":"&amp;ADDRESS(ROW(),COLUMN(NOTA[TANGGAL]))),-1)))</f>
        <v>45300</v>
      </c>
      <c r="AJ244" s="41" t="str">
        <f ca="1">IF(NOTA[[#This Row],[NAMA BARANG]]="","",INDEX(NOTA[SUPPLIER],MATCH(,INDIRECT(ADDRESS(ROW(NOTA[ID]),COLUMN(NOTA[ID]))&amp;":"&amp;ADDRESS(ROW(),COLUMN(NOTA[ID]))),-1)))</f>
        <v>PPW</v>
      </c>
      <c r="AK244" s="41" t="str">
        <f ca="1">IF(NOTA[[#This Row],[ID_H]]="","",IF(NOTA[[#This Row],[FAKTUR]]="",INDIRECT(ADDRESS(ROW()-1,COLUMN())),NOTA[[#This Row],[FAKTUR]]))</f>
        <v>UNTANA</v>
      </c>
      <c r="AL244" s="38">
        <f ca="1">IF(NOTA[[#This Row],[ID]]="","",COUNTIF(NOTA[ID_H],NOTA[[#This Row],[ID_H]]))</f>
        <v>1</v>
      </c>
      <c r="AM244" s="38">
        <f>IF(NOTA[[#This Row],[TGL.NOTA]]="",IF(NOTA[[#This Row],[SUPPLIER_H]]="","",AM243),MONTH(NOTA[[#This Row],[TGL.NOTA]]))</f>
        <v>1</v>
      </c>
      <c r="AN244" s="38" t="str">
        <f>LOWER(SUBSTITUTE(SUBSTITUTE(SUBSTITUTE(SUBSTITUTE(SUBSTITUTE(SUBSTITUTE(SUBSTITUTE(SUBSTITUTE(SUBSTITUTE(NOTA[NAMA BARANG]," ",),".",""),"-",""),"(",""),")",""),",",""),"/",""),"""",""),"+",""))</f>
        <v>bt30cm</v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PPWUNTANA0045/HW/I/2445295bt30cm</v>
      </c>
      <c r="AR244" s="38" t="e">
        <f>IF(NOTA[[#This Row],[CONCAT4]]="","",_xlfn.IFNA(MATCH(NOTA[[#This Row],[CONCAT4]],[2]!RAW[CONCAT_H],0),FALSE))</f>
        <v>#REF!</v>
      </c>
      <c r="AS244" s="38">
        <f>IF(NOTA[[#This Row],[CONCAT1]]="","",MATCH(NOTA[[#This Row],[CONCAT1]],[3]!db[NB NOTA_C],0))</f>
        <v>499</v>
      </c>
      <c r="AT244" s="38" t="b">
        <f>IF(NOTA[[#This Row],[QTY/ CTN]]="","",TRUE)</f>
        <v>1</v>
      </c>
      <c r="AU244" s="38" t="str">
        <f ca="1">IF(NOTA[[#This Row],[ID_H]]="","",IF(NOTA[[#This Row],[Column3]]=TRUE,NOTA[[#This Row],[QTY/ CTN]],INDEX([3]!db[QTY/ CTN],NOTA[[#This Row],[//DB]])))</f>
        <v>100 LSN</v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244" s="38" t="e">
        <f ca="1">IF(NOTA[[#This Row],[ID_H]]="","",MATCH(NOTA[[#This Row],[NB NOTA_C_QTY]],[4]!db[NB NOTA_C_QTY+F],0))</f>
        <v>#REF!</v>
      </c>
      <c r="AX244" s="53">
        <f ca="1">IF(NOTA[[#This Row],[NB NOTA_C_QTY]]="","",ROW()-2)</f>
        <v>242</v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 t="str">
        <f ca="1">IF(NOTA[[#This Row],[NAMA BARANG]]="","",INDEX(NOTA[ID],MATCH(,INDIRECT(ADDRESS(ROW(NOTA[ID]),COLUMN(NOTA[ID]))&amp;":"&amp;ADDRESS(ROW(),COLUMN(NOTA[ID]))),-1)))</f>
        <v/>
      </c>
      <c r="E245" s="46"/>
      <c r="F245" s="37"/>
      <c r="G245" s="37"/>
      <c r="H245" s="47"/>
      <c r="I245" s="37"/>
      <c r="J245" s="39"/>
      <c r="K245" s="37"/>
      <c r="L245" s="37"/>
      <c r="M245" s="40"/>
      <c r="O245" s="37"/>
      <c r="P245" s="41"/>
      <c r="Q245" s="42"/>
      <c r="R245" s="48"/>
      <c r="S245" s="49"/>
      <c r="T245" s="44"/>
      <c r="U245" s="44"/>
      <c r="V245" s="50"/>
      <c r="W245" s="45"/>
      <c r="X245" s="50" t="str">
        <f>IF(NOTA[[#This Row],[HARGA/ CTN]]="",NOTA[[#This Row],[JUMLAH_H]],NOTA[[#This Row],[HARGA/ CTN]]*IF(NOTA[[#This Row],[C]]="",0,NOTA[[#This Row],[C]]))</f>
        <v/>
      </c>
      <c r="Y245" s="50" t="str">
        <f>IF(NOTA[[#This Row],[JUMLAH]]="","",NOTA[[#This Row],[JUMLAH]]*NOTA[[#This Row],[DISC 1]])</f>
        <v/>
      </c>
      <c r="Z245" s="50" t="str">
        <f>IF(NOTA[[#This Row],[JUMLAH]]="","",(NOTA[[#This Row],[JUMLAH]]-NOTA[[#This Row],[DISC 1-]])*NOTA[[#This Row],[DISC 2]])</f>
        <v/>
      </c>
      <c r="AA245" s="50" t="str">
        <f>IF(NOTA[[#This Row],[JUMLAH]]="","",(NOTA[[#This Row],[JUMLAH]]-NOTA[[#This Row],[DISC 1-]]-NOTA[[#This Row],[DISC 2-]])*NOTA[[#This Row],[DISC 3]])</f>
        <v/>
      </c>
      <c r="AB245" s="50" t="str">
        <f>IF(NOTA[[#This Row],[JUMLAH]]="","",NOTA[[#This Row],[DISC 1-]]+NOTA[[#This Row],[DISC 2-]]+NOTA[[#This Row],[DISC 3-]])</f>
        <v/>
      </c>
      <c r="AC245" s="50" t="str">
        <f>IF(NOTA[[#This Row],[JUMLAH]]="","",NOTA[[#This Row],[JUMLAH]]-NOTA[[#This Row],[DISC]])</f>
        <v/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5" s="50" t="str">
        <f>IF(OR(NOTA[[#This Row],[QTY]]="",NOTA[[#This Row],[HARGA SATUAN]]="",),"",NOTA[[#This Row],[QTY]]*NOTA[[#This Row],[HARGA SATUAN]])</f>
        <v/>
      </c>
      <c r="AI245" s="39" t="str">
        <f ca="1">IF(NOTA[ID_H]="","",INDEX(NOTA[TANGGAL],MATCH(,INDIRECT(ADDRESS(ROW(NOTA[TANGGAL]),COLUMN(NOTA[TANGGAL]))&amp;":"&amp;ADDRESS(ROW(),COLUMN(NOTA[TANGGAL]))),-1)))</f>
        <v/>
      </c>
      <c r="AJ245" s="41" t="str">
        <f ca="1">IF(NOTA[[#This Row],[NAMA BARANG]]="","",INDEX(NOTA[SUPPLIER],MATCH(,INDIRECT(ADDRESS(ROW(NOTA[ID]),COLUMN(NOTA[ID]))&amp;":"&amp;ADDRESS(ROW(),COLUMN(NOTA[ID]))),-1)))</f>
        <v/>
      </c>
      <c r="AK245" s="41" t="str">
        <f ca="1">IF(NOTA[[#This Row],[ID_H]]="","",IF(NOTA[[#This Row],[FAKTUR]]="",INDIRECT(ADDRESS(ROW()-1,COLUMN())),NOTA[[#This Row],[FAKTUR]]))</f>
        <v/>
      </c>
      <c r="AL245" s="38" t="str">
        <f ca="1">IF(NOTA[[#This Row],[ID]]="","",COUNTIF(NOTA[ID_H],NOTA[[#This Row],[ID_H]]))</f>
        <v/>
      </c>
      <c r="AM245" s="38" t="str">
        <f ca="1">IF(NOTA[[#This Row],[TGL.NOTA]]="",IF(NOTA[[#This Row],[SUPPLIER_H]]="","",AM244),MONTH(NOTA[[#This Row],[TGL.NOTA]]))</f>
        <v/>
      </c>
      <c r="AN245" s="38" t="str">
        <f>LOWER(SUBSTITUTE(SUBSTITUTE(SUBSTITUTE(SUBSTITUTE(SUBSTITUTE(SUBSTITUTE(SUBSTITUTE(SUBSTITUTE(SUBSTITUTE(NOTA[NAMA BARANG]," ",),".",""),"-",""),"(",""),")",""),",",""),"/",""),"""",""),"+",""))</f>
        <v/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 t="str">
        <f>IF(NOTA[[#This Row],[CONCAT1]]="","",MATCH(NOTA[[#This Row],[CONCAT1]],[3]!db[NB NOTA_C],0))</f>
        <v/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/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5" s="38" t="str">
        <f ca="1">IF(NOTA[[#This Row],[ID_H]]="","",MATCH(NOTA[[#This Row],[NB NOTA_C_QTY]],[4]!db[NB NOTA_C_QTY+F],0))</f>
        <v/>
      </c>
      <c r="AX245" s="53" t="str">
        <f ca="1">IF(NOTA[[#This Row],[NB NOTA_C_QTY]]="","",ROW()-2)</f>
        <v/>
      </c>
    </row>
    <row r="246" spans="1:50" s="38" customFormat="1" ht="20.100000000000001" customHeight="1" x14ac:dyDescent="0.25">
      <c r="A246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24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SBS_0901_1PR-2</v>
      </c>
      <c r="C246" s="38" t="e">
        <f ca="1">IF(NOTA[[#This Row],[ID_P]]="","",MATCH(NOTA[[#This Row],[ID_P]],[1]!B_MSK[N_ID],0))</f>
        <v>#REF!</v>
      </c>
      <c r="D246" s="38">
        <f ca="1">IF(NOTA[[#This Row],[NAMA BARANG]]="","",INDEX(NOTA[ID],MATCH(,INDIRECT(ADDRESS(ROW(NOTA[ID]),COLUMN(NOTA[ID]))&amp;":"&amp;ADDRESS(ROW(),COLUMN(NOTA[ID]))),-1)))</f>
        <v>36</v>
      </c>
      <c r="E246" s="46">
        <v>45300</v>
      </c>
      <c r="F246" s="37" t="s">
        <v>371</v>
      </c>
      <c r="G246" s="37" t="s">
        <v>110</v>
      </c>
      <c r="H246" s="47" t="s">
        <v>372</v>
      </c>
      <c r="I246" s="37"/>
      <c r="J246" s="39">
        <v>45295</v>
      </c>
      <c r="K246" s="37">
        <v>1</v>
      </c>
      <c r="L246" s="37" t="s">
        <v>373</v>
      </c>
      <c r="M246" s="40">
        <v>5</v>
      </c>
      <c r="N246" s="38">
        <v>240</v>
      </c>
      <c r="O246" s="37" t="s">
        <v>115</v>
      </c>
      <c r="P246" s="41">
        <v>23000</v>
      </c>
      <c r="Q246" s="42"/>
      <c r="R246" s="48" t="s">
        <v>374</v>
      </c>
      <c r="S246" s="49">
        <v>0.05</v>
      </c>
      <c r="T246" s="44"/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5520000</v>
      </c>
      <c r="Y246" s="50">
        <f>IF(NOTA[[#This Row],[JUMLAH]]="","",NOTA[[#This Row],[JUMLAH]]*NOTA[[#This Row],[DISC 1]])</f>
        <v>276000</v>
      </c>
      <c r="Z246" s="50">
        <f>IF(NOTA[[#This Row],[JUMLAH]]="","",(NOTA[[#This Row],[JUMLAH]]-NOTA[[#This Row],[DISC 1-]])*NOTA[[#This Row],[DISC 2]])</f>
        <v>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276000</v>
      </c>
      <c r="AC246" s="50">
        <f>IF(NOTA[[#This Row],[JUMLAH]]="","",NOTA[[#This Row],[JUMLAH]]-NOTA[[#This Row],[DISC]])</f>
        <v>5244000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246" s="50">
        <f>IF(OR(NOTA[[#This Row],[QTY]]="",NOTA[[#This Row],[HARGA SATUAN]]="",),"",NOTA[[#This Row],[QTY]]*NOTA[[#This Row],[HARGA SATUAN]])</f>
        <v>5520000</v>
      </c>
      <c r="AI246" s="39">
        <f ca="1">IF(NOTA[ID_H]="","",INDEX(NOTA[TANGGAL],MATCH(,INDIRECT(ADDRESS(ROW(NOTA[TANGGAL]),COLUMN(NOTA[TANGGAL]))&amp;":"&amp;ADDRESS(ROW(),COLUMN(NOTA[TANGGAL]))),-1)))</f>
        <v>45300</v>
      </c>
      <c r="AJ246" s="41" t="str">
        <f ca="1">IF(NOTA[[#This Row],[NAMA BARANG]]="","",INDEX(NOTA[SUPPLIER],MATCH(,INDIRECT(ADDRESS(ROW(NOTA[ID]),COLUMN(NOTA[ID]))&amp;":"&amp;ADDRESS(ROW(),COLUMN(NOTA[ID]))),-1)))</f>
        <v>SBS</v>
      </c>
      <c r="AK246" s="41" t="str">
        <f ca="1">IF(NOTA[[#This Row],[ID_H]]="","",IF(NOTA[[#This Row],[FAKTUR]]="",INDIRECT(ADDRESS(ROW()-1,COLUMN())),NOTA[[#This Row],[FAKTUR]]))</f>
        <v>UNTANA</v>
      </c>
      <c r="AL246" s="38">
        <f ca="1">IF(NOTA[[#This Row],[ID]]="","",COUNTIF(NOTA[ID_H],NOTA[[#This Row],[ID_H]]))</f>
        <v>2</v>
      </c>
      <c r="AM246" s="38">
        <f>IF(NOTA[[#This Row],[TGL.NOTA]]="",IF(NOTA[[#This Row],[SUPPLIER_H]]="","",AM245),MONTH(NOTA[[#This Row],[TGL.NOTA]]))</f>
        <v>1</v>
      </c>
      <c r="AN246" s="38" t="str">
        <f>LOWER(SUBSTITUTE(SUBSTITUTE(SUBSTITUTE(SUBSTITUTE(SUBSTITUTE(SUBSTITUTE(SUBSTITUTE(SUBSTITUTE(SUBSTITUTE(NOTA[NAMA BARANG]," ",),".",""),"-",""),"(",""),")",""),",",""),"/",""),"""",""),"+",""))</f>
        <v>boxfileplkmicrotopa6183ssn</v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boxfileplkmicrotopa6183ssn11040000.05</v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boxfileplkmicrotopa6183ssn11040000.05</v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SBSUNTANAWA0038B1PR45295boxfileplkmicrotopa6183ssn</v>
      </c>
      <c r="AR246" s="38" t="e">
        <f>IF(NOTA[[#This Row],[CONCAT4]]="","",_xlfn.IFNA(MATCH(NOTA[[#This Row],[CONCAT4]],[2]!RAW[CONCAT_H],0),FALSE))</f>
        <v>#REF!</v>
      </c>
      <c r="AS246" s="38">
        <f>IF(NOTA[[#This Row],[CONCAT1]]="","",MATCH(NOTA[[#This Row],[CONCAT1]],[3]!db[NB NOTA_C],0))</f>
        <v>447</v>
      </c>
      <c r="AT246" s="38" t="b">
        <f>IF(NOTA[[#This Row],[QTY/ CTN]]="","",TRUE)</f>
        <v>1</v>
      </c>
      <c r="AU246" s="38" t="str">
        <f ca="1">IF(NOTA[[#This Row],[ID_H]]="","",IF(NOTA[[#This Row],[Column3]]=TRUE,NOTA[[#This Row],[QTY/ CTN]],INDEX([3]!db[QTY/ CTN],NOTA[[#This Row],[//DB]])))</f>
        <v>48 PCS</v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boxfileplkmicrotopa6183ssn48pcsuntana</v>
      </c>
      <c r="AW246" s="38" t="e">
        <f ca="1">IF(NOTA[[#This Row],[ID_H]]="","",MATCH(NOTA[[#This Row],[NB NOTA_C_QTY]],[4]!db[NB NOTA_C_QTY+F],0))</f>
        <v>#REF!</v>
      </c>
      <c r="AX246" s="53">
        <f ca="1">IF(NOTA[[#This Row],[NB NOTA_C_QTY]]="","",ROW()-2)</f>
        <v>244</v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36</v>
      </c>
      <c r="E247" s="46"/>
      <c r="F247" s="37"/>
      <c r="G247" s="37"/>
      <c r="H247" s="47"/>
      <c r="I247" s="37"/>
      <c r="J247" s="39"/>
      <c r="K247" s="37">
        <v>1</v>
      </c>
      <c r="L247" s="37" t="s">
        <v>375</v>
      </c>
      <c r="M247" s="40">
        <v>5</v>
      </c>
      <c r="N247" s="38">
        <v>200</v>
      </c>
      <c r="O247" s="37" t="s">
        <v>115</v>
      </c>
      <c r="P247" s="41">
        <v>29000</v>
      </c>
      <c r="Q247" s="42"/>
      <c r="R247" s="48" t="s">
        <v>376</v>
      </c>
      <c r="S247" s="49">
        <v>0.05</v>
      </c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5800000</v>
      </c>
      <c r="Y247" s="50">
        <f>IF(NOTA[[#This Row],[JUMLAH]]="","",NOTA[[#This Row],[JUMLAH]]*NOTA[[#This Row],[DISC 1]])</f>
        <v>290000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290000</v>
      </c>
      <c r="AC247" s="50">
        <f>IF(NOTA[[#This Row],[JUMLAH]]="","",NOTA[[#This Row],[JUMLAH]]-NOTA[[#This Row],[DISC]])</f>
        <v>5510000</v>
      </c>
      <c r="AD247" s="50"/>
      <c r="AE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566000</v>
      </c>
      <c r="AF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10754000</v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1160000</v>
      </c>
      <c r="AH247" s="50">
        <f>IF(OR(NOTA[[#This Row],[QTY]]="",NOTA[[#This Row],[HARGA SATUAN]]="",),"",NOTA[[#This Row],[QTY]]*NOTA[[#This Row],[HARGA SATUAN]])</f>
        <v>5800000</v>
      </c>
      <c r="AI247" s="39">
        <f ca="1">IF(NOTA[ID_H]="","",INDEX(NOTA[TANGGAL],MATCH(,INDIRECT(ADDRESS(ROW(NOTA[TANGGAL]),COLUMN(NOTA[TANGGAL]))&amp;":"&amp;ADDRESS(ROW(),COLUMN(NOTA[TANGGAL]))),-1)))</f>
        <v>45300</v>
      </c>
      <c r="AJ247" s="41" t="str">
        <f ca="1">IF(NOTA[[#This Row],[NAMA BARANG]]="","",INDEX(NOTA[SUPPLIER],MATCH(,INDIRECT(ADDRESS(ROW(NOTA[ID]),COLUMN(NOTA[ID]))&amp;":"&amp;ADDRESS(ROW(),COLUMN(NOTA[ID]))),-1)))</f>
        <v>SBS</v>
      </c>
      <c r="AK247" s="41" t="str">
        <f ca="1">IF(NOTA[[#This Row],[ID_H]]="","",IF(NOTA[[#This Row],[FAKTUR]]="",INDIRECT(ADDRESS(ROW()-1,COLUMN())),NOTA[[#This Row],[FAKTUR]]))</f>
        <v>UNTANA</v>
      </c>
      <c r="AL247" s="38" t="str">
        <f ca="1">IF(NOTA[[#This Row],[ID]]="","",COUNTIF(NOTA[ID_H],NOTA[[#This Row],[ID_H]]))</f>
        <v/>
      </c>
      <c r="AM247" s="38">
        <f ca="1">IF(NOTA[[#This Row],[TGL.NOTA]]="",IF(NOTA[[#This Row],[SUPPLIER_H]]="","",AM246),MONTH(NOTA[[#This Row],[TGL.NOTA]]))</f>
        <v>1</v>
      </c>
      <c r="AN247" s="38" t="str">
        <f>LOWER(SUBSTITUTE(SUBSTITUTE(SUBSTITUTE(SUBSTITUTE(SUBSTITUTE(SUBSTITUTE(SUBSTITUTE(SUBSTITUTE(SUBSTITUTE(NOTA[NAMA BARANG]," ",),".",""),"-",""),"(",""),")",""),",",""),"/",""),"""",""),"+",""))</f>
        <v>boxfileplkmicrotopa6484ssn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boxfileplkmicrotopa6484ssn11600000.05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boxfileplkmicrotopa6484ssn11600000.05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>
        <f>IF(NOTA[[#This Row],[CONCAT1]]="","",MATCH(NOTA[[#This Row],[CONCAT1]],[3]!db[NB NOTA_C],0))</f>
        <v>448</v>
      </c>
      <c r="AT247" s="38" t="b">
        <f>IF(NOTA[[#This Row],[QTY/ CTN]]="","",TRUE)</f>
        <v>1</v>
      </c>
      <c r="AU247" s="38" t="str">
        <f ca="1">IF(NOTA[[#This Row],[ID_H]]="","",IF(NOTA[[#This Row],[Column3]]=TRUE,NOTA[[#This Row],[QTY/ CTN]],INDEX([3]!db[QTY/ CTN],NOTA[[#This Row],[//DB]])))</f>
        <v>40 PCS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boxfileplkmicrotopa6484ssn40pcsuntana</v>
      </c>
      <c r="AW247" s="38" t="e">
        <f ca="1">IF(NOTA[[#This Row],[ID_H]]="","",MATCH(NOTA[[#This Row],[NB NOTA_C_QTY]],[4]!db[NB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/>
      <c r="F248" s="37"/>
      <c r="G248" s="37"/>
      <c r="H248" s="47"/>
      <c r="I248" s="37"/>
      <c r="J248" s="39"/>
      <c r="K248" s="37"/>
      <c r="L248" s="37"/>
      <c r="M248" s="40"/>
      <c r="O248" s="37"/>
      <c r="P248" s="41"/>
      <c r="Q248" s="42"/>
      <c r="R248" s="48"/>
      <c r="S248" s="49"/>
      <c r="T248" s="44"/>
      <c r="U248" s="44"/>
      <c r="V248" s="50"/>
      <c r="W248" s="45"/>
      <c r="X248" s="50" t="str">
        <f>IF(NOTA[[#This Row],[HARGA/ CTN]]="",NOTA[[#This Row],[JUMLAH_H]],NOTA[[#This Row],[HARGA/ CTN]]*IF(NOTA[[#This Row],[C]]="",0,NOTA[[#This Row],[C]]))</f>
        <v/>
      </c>
      <c r="Y248" s="50" t="str">
        <f>IF(NOTA[[#This Row],[JUMLAH]]="","",NOTA[[#This Row],[JUMLAH]]*NOTA[[#This Row],[DISC 1]])</f>
        <v/>
      </c>
      <c r="Z248" s="50" t="str">
        <f>IF(NOTA[[#This Row],[JUMLAH]]="","",(NOTA[[#This Row],[JUMLAH]]-NOTA[[#This Row],[DISC 1-]])*NOTA[[#This Row],[DISC 2]])</f>
        <v/>
      </c>
      <c r="AA248" s="50" t="str">
        <f>IF(NOTA[[#This Row],[JUMLAH]]="","",(NOTA[[#This Row],[JUMLAH]]-NOTA[[#This Row],[DISC 1-]]-NOTA[[#This Row],[DISC 2-]])*NOTA[[#This Row],[DISC 3]])</f>
        <v/>
      </c>
      <c r="AB248" s="50" t="str">
        <f>IF(NOTA[[#This Row],[JUMLAH]]="","",NOTA[[#This Row],[DISC 1-]]+NOTA[[#This Row],[DISC 2-]]+NOTA[[#This Row],[DISC 3-]])</f>
        <v/>
      </c>
      <c r="AC248" s="50" t="str">
        <f>IF(NOTA[[#This Row],[JUMLAH]]="","",NOTA[[#This Row],[JUMLAH]]-NOTA[[#This Row],[DISC]])</f>
        <v/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8" s="50" t="str">
        <f>IF(OR(NOTA[[#This Row],[QTY]]="",NOTA[[#This Row],[HARGA SATUAN]]="",),"",NOTA[[#This Row],[QTY]]*NOTA[[#This Row],[HARGA SATUAN]])</f>
        <v/>
      </c>
      <c r="AI248" s="39" t="str">
        <f ca="1">IF(NOTA[ID_H]="","",INDEX(NOTA[TANGGAL],MATCH(,INDIRECT(ADDRESS(ROW(NOTA[TANGGAL]),COLUMN(NOTA[TANGGAL]))&amp;":"&amp;ADDRESS(ROW(),COLUMN(NOTA[TANGGAL]))),-1)))</f>
        <v/>
      </c>
      <c r="AJ248" s="41" t="str">
        <f ca="1">IF(NOTA[[#This Row],[NAMA BARANG]]="","",INDEX(NOTA[SUPPLIER],MATCH(,INDIRECT(ADDRESS(ROW(NOTA[ID]),COLUMN(NOTA[ID]))&amp;":"&amp;ADDRESS(ROW(),COLUMN(NOTA[ID]))),-1)))</f>
        <v/>
      </c>
      <c r="AK248" s="41" t="str">
        <f ca="1">IF(NOTA[[#This Row],[ID_H]]="","",IF(NOTA[[#This Row],[FAKTUR]]="",INDIRECT(ADDRESS(ROW()-1,COLUMN())),NOTA[[#This Row],[FAKTUR]]))</f>
        <v/>
      </c>
      <c r="AL248" s="38" t="str">
        <f ca="1">IF(NOTA[[#This Row],[ID]]="","",COUNTIF(NOTA[ID_H],NOTA[[#This Row],[ID_H]]))</f>
        <v/>
      </c>
      <c r="AM248" s="38" t="str">
        <f ca="1">IF(NOTA[[#This Row],[TGL.NOTA]]="",IF(NOTA[[#This Row],[SUPPLIER_H]]="","",AM247),MONTH(NOTA[[#This Row],[TGL.NOTA]]))</f>
        <v/>
      </c>
      <c r="AN248" s="38" t="str">
        <f>LOWER(SUBSTITUTE(SUBSTITUTE(SUBSTITUTE(SUBSTITUTE(SUBSTITUTE(SUBSTITUTE(SUBSTITUTE(SUBSTITUTE(SUBSTITUTE(NOTA[NAMA BARANG]," ",),".",""),"-",""),"(",""),")",""),",",""),"/",""),"""",""),"+",""))</f>
        <v/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 t="str">
        <f>IF(NOTA[[#This Row],[CONCAT1]]="","",MATCH(NOTA[[#This Row],[CONCAT1]],[3]!db[NB NOTA_C],0))</f>
        <v/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/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8" s="38" t="str">
        <f ca="1">IF(NOTA[[#This Row],[ID_H]]="","",MATCH(NOTA[[#This Row],[NB NOTA_C_QTY]],[4]!db[NB NOTA_C_QTY+F],0))</f>
        <v/>
      </c>
      <c r="AX248" s="53" t="str">
        <f ca="1">IF(NOTA[[#This Row],[NB NOTA_C_QTY]]="","",ROW()-2)</f>
        <v/>
      </c>
    </row>
    <row r="249" spans="1:50" s="38" customFormat="1" ht="20.100000000000001" customHeight="1" x14ac:dyDescent="0.25">
      <c r="A249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2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SBS_0901_1PR-9</v>
      </c>
      <c r="C249" s="38" t="e">
        <f ca="1">IF(NOTA[[#This Row],[ID_P]]="","",MATCH(NOTA[[#This Row],[ID_P]],[1]!B_MSK[N_ID],0))</f>
        <v>#REF!</v>
      </c>
      <c r="D249" s="38">
        <f ca="1">IF(NOTA[[#This Row],[NAMA BARANG]]="","",INDEX(NOTA[ID],MATCH(,INDIRECT(ADDRESS(ROW(NOTA[ID]),COLUMN(NOTA[ID]))&amp;":"&amp;ADDRESS(ROW(),COLUMN(NOTA[ID]))),-1)))</f>
        <v>37</v>
      </c>
      <c r="E249" s="46"/>
      <c r="F249" s="37" t="s">
        <v>377</v>
      </c>
      <c r="G249" s="37" t="s">
        <v>110</v>
      </c>
      <c r="H249" s="47" t="s">
        <v>378</v>
      </c>
      <c r="I249" s="37"/>
      <c r="J249" s="39">
        <v>45295</v>
      </c>
      <c r="K249" s="37">
        <v>1</v>
      </c>
      <c r="L249" s="37" t="s">
        <v>379</v>
      </c>
      <c r="M249" s="40">
        <v>1</v>
      </c>
      <c r="N249" s="38">
        <v>50</v>
      </c>
      <c r="O249" s="37" t="s">
        <v>111</v>
      </c>
      <c r="P249" s="41">
        <v>46200</v>
      </c>
      <c r="Q249" s="42"/>
      <c r="R249" s="48" t="s">
        <v>240</v>
      </c>
      <c r="S249" s="49">
        <v>0.05</v>
      </c>
      <c r="T249" s="44"/>
      <c r="U249" s="44"/>
      <c r="V249" s="50"/>
      <c r="W249" s="45"/>
      <c r="X249" s="50">
        <f>IF(NOTA[[#This Row],[HARGA/ CTN]]="",NOTA[[#This Row],[JUMLAH_H]],NOTA[[#This Row],[HARGA/ CTN]]*IF(NOTA[[#This Row],[C]]="",0,NOTA[[#This Row],[C]]))</f>
        <v>2310000</v>
      </c>
      <c r="Y249" s="50">
        <f>IF(NOTA[[#This Row],[JUMLAH]]="","",NOTA[[#This Row],[JUMLAH]]*NOTA[[#This Row],[DISC 1]])</f>
        <v>115500</v>
      </c>
      <c r="Z249" s="50">
        <f>IF(NOTA[[#This Row],[JUMLAH]]="","",(NOTA[[#This Row],[JUMLAH]]-NOTA[[#This Row],[DISC 1-]])*NOTA[[#This Row],[DISC 2]])</f>
        <v>0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115500</v>
      </c>
      <c r="AC249" s="50">
        <f>IF(NOTA[[#This Row],[JUMLAH]]="","",NOTA[[#This Row],[JUMLAH]]-NOTA[[#This Row],[DISC]])</f>
        <v>2194500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2310000</v>
      </c>
      <c r="AH249" s="50">
        <f>IF(OR(NOTA[[#This Row],[QTY]]="",NOTA[[#This Row],[HARGA SATUAN]]="",),"",NOTA[[#This Row],[QTY]]*NOTA[[#This Row],[HARGA SATUAN]])</f>
        <v>2310000</v>
      </c>
      <c r="AI249" s="39">
        <f ca="1">IF(NOTA[ID_H]="","",INDEX(NOTA[TANGGAL],MATCH(,INDIRECT(ADDRESS(ROW(NOTA[TANGGAL]),COLUMN(NOTA[TANGGAL]))&amp;":"&amp;ADDRESS(ROW(),COLUMN(NOTA[TANGGAL]))),-1)))</f>
        <v>45300</v>
      </c>
      <c r="AJ249" s="41" t="str">
        <f ca="1">IF(NOTA[[#This Row],[NAMA BARANG]]="","",INDEX(NOTA[SUPPLIER],MATCH(,INDIRECT(ADDRESS(ROW(NOTA[ID]),COLUMN(NOTA[ID]))&amp;":"&amp;ADDRESS(ROW(),COLUMN(NOTA[ID]))),-1)))</f>
        <v xml:space="preserve">SBS </v>
      </c>
      <c r="AK249" s="41" t="str">
        <f ca="1">IF(NOTA[[#This Row],[ID_H]]="","",IF(NOTA[[#This Row],[FAKTUR]]="",INDIRECT(ADDRESS(ROW()-1,COLUMN())),NOTA[[#This Row],[FAKTUR]]))</f>
        <v>UNTANA</v>
      </c>
      <c r="AL249" s="38">
        <f ca="1">IF(NOTA[[#This Row],[ID]]="","",COUNTIF(NOTA[ID_H],NOTA[[#This Row],[ID_H]]))</f>
        <v>9</v>
      </c>
      <c r="AM249" s="38">
        <f>IF(NOTA[[#This Row],[TGL.NOTA]]="",IF(NOTA[[#This Row],[SUPPLIER_H]]="","",AM248),MONTH(NOTA[[#This Row],[TGL.NOTA]]))</f>
        <v>1</v>
      </c>
      <c r="AN249" s="38" t="str">
        <f>LOWER(SUBSTITUTE(SUBSTITUTE(SUBSTITUTE(SUBSTITUTE(SUBSTITUTE(SUBSTITUTE(SUBSTITUTE(SUBSTITUTE(SUBSTITUTE(NOTA[NAMA BARANG]," ",),".",""),"-",""),"(",""),")",""),",",""),"/",""),"""",""),"+",""))</f>
        <v>mapdatamicrotopbs53grsalur</v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mapdatamicrotopbs53grsalur23100000.05</v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mapdatamicrotopbs53grsalur23100000.05</v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UNTANAWA0039B1PR45295mapdatamicrotopbs53grsalur</v>
      </c>
      <c r="AR249" s="38" t="e">
        <f>IF(NOTA[[#This Row],[CONCAT4]]="","",_xlfn.IFNA(MATCH(NOTA[[#This Row],[CONCAT4]],[2]!RAW[CONCAT_H],0),FALSE))</f>
        <v>#REF!</v>
      </c>
      <c r="AS249" s="38" t="e">
        <f>IF(NOTA[[#This Row],[CONCAT1]]="","",MATCH(NOTA[[#This Row],[CONCAT1]],[3]!db[NB NOTA_C],0))</f>
        <v>#N/A</v>
      </c>
      <c r="AT249" s="38" t="b">
        <f>IF(NOTA[[#This Row],[QTY/ CTN]]="","",TRUE)</f>
        <v>1</v>
      </c>
      <c r="AU249" s="38" t="str">
        <f ca="1">IF(NOTA[[#This Row],[ID_H]]="","",IF(NOTA[[#This Row],[Column3]]=TRUE,NOTA[[#This Row],[QTY/ CTN]],INDEX([3]!db[QTY/ CTN],NOTA[[#This Row],[//DB]])))</f>
        <v>50 LSN</v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mapdatamicrotopbs53grsalur50lsnuntana</v>
      </c>
      <c r="AW249" s="38" t="e">
        <f ca="1">IF(NOTA[[#This Row],[ID_H]]="","",MATCH(NOTA[[#This Row],[NB NOTA_C_QTY]],[4]!db[NB NOTA_C_QTY+F],0))</f>
        <v>#REF!</v>
      </c>
      <c r="AX249" s="53">
        <f ca="1">IF(NOTA[[#This Row],[NB NOTA_C_QTY]]="","",ROW()-2)</f>
        <v>247</v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37</v>
      </c>
      <c r="E250" s="46"/>
      <c r="F250" s="37"/>
      <c r="G250" s="37"/>
      <c r="H250" s="47"/>
      <c r="I250" s="37"/>
      <c r="J250" s="39"/>
      <c r="K250" s="37">
        <v>1</v>
      </c>
      <c r="L250" s="37" t="s">
        <v>380</v>
      </c>
      <c r="M250" s="40">
        <v>1</v>
      </c>
      <c r="N250" s="38">
        <v>40</v>
      </c>
      <c r="O250" s="37" t="s">
        <v>111</v>
      </c>
      <c r="P250" s="41">
        <v>60000</v>
      </c>
      <c r="Q250" s="42"/>
      <c r="R250" s="48" t="s">
        <v>384</v>
      </c>
      <c r="S250" s="49">
        <v>0.05</v>
      </c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2400000</v>
      </c>
      <c r="Y250" s="50">
        <f>IF(NOTA[[#This Row],[JUMLAH]]="","",NOTA[[#This Row],[JUMLAH]]*NOTA[[#This Row],[DISC 1]])</f>
        <v>120000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120000</v>
      </c>
      <c r="AC250" s="50">
        <f>IF(NOTA[[#This Row],[JUMLAH]]="","",NOTA[[#This Row],[JUMLAH]]-NOTA[[#This Row],[DISC]])</f>
        <v>2280000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50" s="50">
        <f>IF(OR(NOTA[[#This Row],[QTY]]="",NOTA[[#This Row],[HARGA SATUAN]]="",),"",NOTA[[#This Row],[QTY]]*NOTA[[#This Row],[HARGA SATUAN]])</f>
        <v>2400000</v>
      </c>
      <c r="AI250" s="39">
        <f ca="1">IF(NOTA[ID_H]="","",INDEX(NOTA[TANGGAL],MATCH(,INDIRECT(ADDRESS(ROW(NOTA[TANGGAL]),COLUMN(NOTA[TANGGAL]))&amp;":"&amp;ADDRESS(ROW(),COLUMN(NOTA[TANGGAL]))),-1)))</f>
        <v>45300</v>
      </c>
      <c r="AJ250" s="41" t="str">
        <f ca="1">IF(NOTA[[#This Row],[NAMA BARANG]]="","",INDEX(NOTA[SUPPLIER],MATCH(,INDIRECT(ADDRESS(ROW(NOTA[ID]),COLUMN(NOTA[ID]))&amp;":"&amp;ADDRESS(ROW(),COLUMN(NOTA[ID]))),-1)))</f>
        <v xml:space="preserve">SBS </v>
      </c>
      <c r="AK250" s="41" t="str">
        <f ca="1">IF(NOTA[[#This Row],[ID_H]]="","",IF(NOTA[[#This Row],[FAKTUR]]="",INDIRECT(ADDRESS(ROW()-1,COLUMN())),NOTA[[#This Row],[FAKTUR]]))</f>
        <v>UNTANA</v>
      </c>
      <c r="AL250" s="38" t="str">
        <f ca="1">IF(NOTA[[#This Row],[ID]]="","",COUNTIF(NOTA[ID_H],NOTA[[#This Row],[ID_H]]))</f>
        <v/>
      </c>
      <c r="AM250" s="38">
        <f ca="1">IF(NOTA[[#This Row],[TGL.NOTA]]="",IF(NOTA[[#This Row],[SUPPLIER_H]]="","",AM249),MONTH(NOTA[[#This Row],[TGL.NOTA]]))</f>
        <v>1</v>
      </c>
      <c r="AN250" s="38" t="str">
        <f>LOWER(SUBSTITUTE(SUBSTITUTE(SUBSTITUTE(SUBSTITUTE(SUBSTITUTE(SUBSTITUTE(SUBSTITUTE(SUBSTITUTE(SUBSTITUTE(NOTA[NAMA BARANG]," ",),".",""),"-",""),"(",""),")",""),",",""),"/",""),"""",""),"+",""))</f>
        <v>mapdatamicrotopbs54a5salur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mapdatamicrotopbs54a5salur24000000.05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mapdatamicrotopbs54a5salur24000000.05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 t="e">
        <f>IF(NOTA[[#This Row],[CONCAT1]]="","",MATCH(NOTA[[#This Row],[CONCAT1]],[3]!db[NB NOTA_C],0))</f>
        <v>#N/A</v>
      </c>
      <c r="AT250" s="38" t="b">
        <f>IF(NOTA[[#This Row],[QTY/ CTN]]="","",TRUE)</f>
        <v>1</v>
      </c>
      <c r="AU250" s="38" t="str">
        <f ca="1">IF(NOTA[[#This Row],[ID_H]]="","",IF(NOTA[[#This Row],[Column3]]=TRUE,NOTA[[#This Row],[QTY/ CTN]],INDEX([3]!db[QTY/ CTN],NOTA[[#This Row],[//DB]])))</f>
        <v>40 LSN</v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mapdatamicrotopbs54a5salur40lsnuntana</v>
      </c>
      <c r="AW250" s="38" t="e">
        <f ca="1">IF(NOTA[[#This Row],[ID_H]]="","",MATCH(NOTA[[#This Row],[NB NOTA_C_QTY]],[4]!db[NB NOTA_C_QTY+F],0))</f>
        <v>#REF!</v>
      </c>
      <c r="AX250" s="53">
        <f ca="1">IF(NOTA[[#This Row],[NB NOTA_C_QTY]]="","",ROW()-2)</f>
        <v>248</v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37</v>
      </c>
      <c r="E251" s="46"/>
      <c r="F251" s="37"/>
      <c r="G251" s="37"/>
      <c r="H251" s="47"/>
      <c r="I251" s="37"/>
      <c r="J251" s="39"/>
      <c r="K251" s="37">
        <v>1</v>
      </c>
      <c r="L251" s="37" t="s">
        <v>381</v>
      </c>
      <c r="M251" s="40">
        <v>1</v>
      </c>
      <c r="N251" s="38">
        <v>40</v>
      </c>
      <c r="O251" s="37" t="s">
        <v>111</v>
      </c>
      <c r="P251" s="41">
        <v>75000</v>
      </c>
      <c r="Q251" s="42"/>
      <c r="R251" s="48" t="s">
        <v>384</v>
      </c>
      <c r="S251" s="49">
        <v>0.05</v>
      </c>
      <c r="T251" s="44"/>
      <c r="U251" s="44"/>
      <c r="V251" s="50"/>
      <c r="W251" s="45"/>
      <c r="X251" s="50">
        <f>IF(NOTA[[#This Row],[HARGA/ CTN]]="",NOTA[[#This Row],[JUMLAH_H]],NOTA[[#This Row],[HARGA/ CTN]]*IF(NOTA[[#This Row],[C]]="",0,NOTA[[#This Row],[C]]))</f>
        <v>3000000</v>
      </c>
      <c r="Y251" s="50">
        <f>IF(NOTA[[#This Row],[JUMLAH]]="","",NOTA[[#This Row],[JUMLAH]]*NOTA[[#This Row],[DISC 1]])</f>
        <v>150000</v>
      </c>
      <c r="Z251" s="50">
        <f>IF(NOTA[[#This Row],[JUMLAH]]="","",(NOTA[[#This Row],[JUMLAH]]-NOTA[[#This Row],[DISC 1-]])*NOTA[[#This Row],[DISC 2]])</f>
        <v>0</v>
      </c>
      <c r="AA251" s="50">
        <f>IF(NOTA[[#This Row],[JUMLAH]]="","",(NOTA[[#This Row],[JUMLAH]]-NOTA[[#This Row],[DISC 1-]]-NOTA[[#This Row],[DISC 2-]])*NOTA[[#This Row],[DISC 3]])</f>
        <v>0</v>
      </c>
      <c r="AB251" s="50">
        <f>IF(NOTA[[#This Row],[JUMLAH]]="","",NOTA[[#This Row],[DISC 1-]]+NOTA[[#This Row],[DISC 2-]]+NOTA[[#This Row],[DISC 3-]])</f>
        <v>150000</v>
      </c>
      <c r="AC251" s="50">
        <f>IF(NOTA[[#This Row],[JUMLAH]]="","",NOTA[[#This Row],[JUMLAH]]-NOTA[[#This Row],[DISC]])</f>
        <v>2850000</v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51" s="50">
        <f>IF(OR(NOTA[[#This Row],[QTY]]="",NOTA[[#This Row],[HARGA SATUAN]]="",),"",NOTA[[#This Row],[QTY]]*NOTA[[#This Row],[HARGA SATUAN]])</f>
        <v>3000000</v>
      </c>
      <c r="AI251" s="39">
        <f ca="1">IF(NOTA[ID_H]="","",INDEX(NOTA[TANGGAL],MATCH(,INDIRECT(ADDRESS(ROW(NOTA[TANGGAL]),COLUMN(NOTA[TANGGAL]))&amp;":"&amp;ADDRESS(ROW(),COLUMN(NOTA[TANGGAL]))),-1)))</f>
        <v>45300</v>
      </c>
      <c r="AJ251" s="41" t="str">
        <f ca="1">IF(NOTA[[#This Row],[NAMA BARANG]]="","",INDEX(NOTA[SUPPLIER],MATCH(,INDIRECT(ADDRESS(ROW(NOTA[ID]),COLUMN(NOTA[ID]))&amp;":"&amp;ADDRESS(ROW(),COLUMN(NOTA[ID]))),-1)))</f>
        <v xml:space="preserve">SBS </v>
      </c>
      <c r="AK251" s="41" t="str">
        <f ca="1">IF(NOTA[[#This Row],[ID_H]]="","",IF(NOTA[[#This Row],[FAKTUR]]="",INDIRECT(ADDRESS(ROW()-1,COLUMN())),NOTA[[#This Row],[FAKTUR]]))</f>
        <v>UNTANA</v>
      </c>
      <c r="AL251" s="38" t="str">
        <f ca="1">IF(NOTA[[#This Row],[ID]]="","",COUNTIF(NOTA[ID_H],NOTA[[#This Row],[ID_H]]))</f>
        <v/>
      </c>
      <c r="AM251" s="38">
        <f ca="1">IF(NOTA[[#This Row],[TGL.NOTA]]="",IF(NOTA[[#This Row],[SUPPLIER_H]]="","",AM250),MONTH(NOTA[[#This Row],[TGL.NOTA]]))</f>
        <v>1</v>
      </c>
      <c r="AN251" s="38" t="str">
        <f>LOWER(SUBSTITUTE(SUBSTITUTE(SUBSTITUTE(SUBSTITUTE(SUBSTITUTE(SUBSTITUTE(SUBSTITUTE(SUBSTITUTE(SUBSTITUTE(NOTA[NAMA BARANG]," ",),".",""),"-",""),"(",""),")",""),",",""),"/",""),"""",""),"+",""))</f>
        <v>mapdatamicrotopbs55b5salur</v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mapdatamicrotopbs55b5salur30000000.05</v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mapdatamicrotopbs55b5salur30000000.05</v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 t="e">
        <f>IF(NOTA[[#This Row],[CONCAT1]]="","",MATCH(NOTA[[#This Row],[CONCAT1]],[3]!db[NB NOTA_C],0))</f>
        <v>#N/A</v>
      </c>
      <c r="AT251" s="38" t="b">
        <f>IF(NOTA[[#This Row],[QTY/ CTN]]="","",TRUE)</f>
        <v>1</v>
      </c>
      <c r="AU251" s="38" t="str">
        <f ca="1">IF(NOTA[[#This Row],[ID_H]]="","",IF(NOTA[[#This Row],[Column3]]=TRUE,NOTA[[#This Row],[QTY/ CTN]],INDEX([3]!db[QTY/ CTN],NOTA[[#This Row],[//DB]])))</f>
        <v>40 LSN</v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mapdatamicrotopbs55b5salur40lsnuntana</v>
      </c>
      <c r="AW251" s="38" t="e">
        <f ca="1">IF(NOTA[[#This Row],[ID_H]]="","",MATCH(NOTA[[#This Row],[NB NOTA_C_QTY]],[4]!db[NB NOTA_C_QTY+F],0))</f>
        <v>#REF!</v>
      </c>
      <c r="AX251" s="53">
        <f ca="1">IF(NOTA[[#This Row],[NB NOTA_C_QTY]]="","",ROW()-2)</f>
        <v>249</v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37</v>
      </c>
      <c r="E252" s="46"/>
      <c r="F252" s="37"/>
      <c r="G252" s="37"/>
      <c r="H252" s="47"/>
      <c r="I252" s="37"/>
      <c r="J252" s="39"/>
      <c r="K252" s="37">
        <v>1</v>
      </c>
      <c r="L252" s="37" t="s">
        <v>382</v>
      </c>
      <c r="M252" s="40">
        <v>1</v>
      </c>
      <c r="N252" s="38">
        <v>30</v>
      </c>
      <c r="O252" s="37" t="s">
        <v>111</v>
      </c>
      <c r="P252" s="41">
        <v>91500</v>
      </c>
      <c r="Q252" s="42"/>
      <c r="R252" s="48" t="s">
        <v>113</v>
      </c>
      <c r="S252" s="49">
        <v>0.05</v>
      </c>
      <c r="T252" s="44"/>
      <c r="U252" s="44"/>
      <c r="V252" s="50"/>
      <c r="W252" s="45"/>
      <c r="X252" s="50">
        <f>IF(NOTA[[#This Row],[HARGA/ CTN]]="",NOTA[[#This Row],[JUMLAH_H]],NOTA[[#This Row],[HARGA/ CTN]]*IF(NOTA[[#This Row],[C]]="",0,NOTA[[#This Row],[C]]))</f>
        <v>2745000</v>
      </c>
      <c r="Y252" s="50">
        <f>IF(NOTA[[#This Row],[JUMLAH]]="","",NOTA[[#This Row],[JUMLAH]]*NOTA[[#This Row],[DISC 1]])</f>
        <v>137250</v>
      </c>
      <c r="Z252" s="50">
        <f>IF(NOTA[[#This Row],[JUMLAH]]="","",(NOTA[[#This Row],[JUMLAH]]-NOTA[[#This Row],[DISC 1-]])*NOTA[[#This Row],[DISC 2]])</f>
        <v>0</v>
      </c>
      <c r="AA252" s="50">
        <f>IF(NOTA[[#This Row],[JUMLAH]]="","",(NOTA[[#This Row],[JUMLAH]]-NOTA[[#This Row],[DISC 1-]]-NOTA[[#This Row],[DISC 2-]])*NOTA[[#This Row],[DISC 3]])</f>
        <v>0</v>
      </c>
      <c r="AB252" s="50">
        <f>IF(NOTA[[#This Row],[JUMLAH]]="","",NOTA[[#This Row],[DISC 1-]]+NOTA[[#This Row],[DISC 2-]]+NOTA[[#This Row],[DISC 3-]])</f>
        <v>137250</v>
      </c>
      <c r="AC252" s="50">
        <f>IF(NOTA[[#This Row],[JUMLAH]]="","",NOTA[[#This Row],[JUMLAH]]-NOTA[[#This Row],[DISC]])</f>
        <v>2607750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2745000</v>
      </c>
      <c r="AH252" s="50">
        <f>IF(OR(NOTA[[#This Row],[QTY]]="",NOTA[[#This Row],[HARGA SATUAN]]="",),"",NOTA[[#This Row],[QTY]]*NOTA[[#This Row],[HARGA SATUAN]])</f>
        <v>2745000</v>
      </c>
      <c r="AI252" s="39">
        <f ca="1">IF(NOTA[ID_H]="","",INDEX(NOTA[TANGGAL],MATCH(,INDIRECT(ADDRESS(ROW(NOTA[TANGGAL]),COLUMN(NOTA[TANGGAL]))&amp;":"&amp;ADDRESS(ROW(),COLUMN(NOTA[TANGGAL]))),-1)))</f>
        <v>45300</v>
      </c>
      <c r="AJ252" s="41" t="str">
        <f ca="1">IF(NOTA[[#This Row],[NAMA BARANG]]="","",INDEX(NOTA[SUPPLIER],MATCH(,INDIRECT(ADDRESS(ROW(NOTA[ID]),COLUMN(NOTA[ID]))&amp;":"&amp;ADDRESS(ROW(),COLUMN(NOTA[ID]))),-1)))</f>
        <v xml:space="preserve">SBS </v>
      </c>
      <c r="AK252" s="41" t="str">
        <f ca="1">IF(NOTA[[#This Row],[ID_H]]="","",IF(NOTA[[#This Row],[FAKTUR]]="",INDIRECT(ADDRESS(ROW()-1,COLUMN())),NOTA[[#This Row],[FAKTUR]]))</f>
        <v>UNTANA</v>
      </c>
      <c r="AL252" s="38" t="str">
        <f ca="1">IF(NOTA[[#This Row],[ID]]="","",COUNTIF(NOTA[ID_H],NOTA[[#This Row],[ID_H]]))</f>
        <v/>
      </c>
      <c r="AM252" s="38">
        <f ca="1">IF(NOTA[[#This Row],[TGL.NOTA]]="",IF(NOTA[[#This Row],[SUPPLIER_H]]="","",AM251),MONTH(NOTA[[#This Row],[TGL.NOTA]]))</f>
        <v>1</v>
      </c>
      <c r="AN252" s="38" t="str">
        <f>LOWER(SUBSTITUTE(SUBSTITUTE(SUBSTITUTE(SUBSTITUTE(SUBSTITUTE(SUBSTITUTE(SUBSTITUTE(SUBSTITUTE(SUBSTITUTE(NOTA[NAMA BARANG]," ",),".",""),"-",""),"(",""),")",""),",",""),"/",""),"""",""),"+",""))</f>
        <v>mapdatamicrotopbs56a4salur</v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mapdatamicrotopbs56a4salur27450000.05</v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mapdatamicrotopbs56a4salur27450000.05</v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 t="e">
        <f>IF(NOTA[[#This Row],[CONCAT1]]="","",MATCH(NOTA[[#This Row],[CONCAT1]],[3]!db[NB NOTA_C],0))</f>
        <v>#N/A</v>
      </c>
      <c r="AT252" s="38" t="b">
        <f>IF(NOTA[[#This Row],[QTY/ CTN]]="","",TRUE)</f>
        <v>1</v>
      </c>
      <c r="AU252" s="38" t="str">
        <f ca="1">IF(NOTA[[#This Row],[ID_H]]="","",IF(NOTA[[#This Row],[Column3]]=TRUE,NOTA[[#This Row],[QTY/ CTN]],INDEX([3]!db[QTY/ CTN],NOTA[[#This Row],[//DB]])))</f>
        <v>30 LSN</v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mapdatamicrotopbs56a4salur30lsnuntana</v>
      </c>
      <c r="AW252" s="38" t="e">
        <f ca="1">IF(NOTA[[#This Row],[ID_H]]="","",MATCH(NOTA[[#This Row],[NB NOTA_C_QTY]],[4]!db[NB NOTA_C_QTY+F],0))</f>
        <v>#REF!</v>
      </c>
      <c r="AX252" s="53">
        <f ca="1">IF(NOTA[[#This Row],[NB NOTA_C_QTY]]="","",ROW()-2)</f>
        <v>250</v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37</v>
      </c>
      <c r="E253" s="46"/>
      <c r="F253" s="37"/>
      <c r="G253" s="37"/>
      <c r="H253" s="47"/>
      <c r="I253" s="37"/>
      <c r="J253" s="39"/>
      <c r="K253" s="37">
        <v>1</v>
      </c>
      <c r="L253" s="37" t="s">
        <v>383</v>
      </c>
      <c r="M253" s="40">
        <v>1</v>
      </c>
      <c r="N253" s="38">
        <v>30</v>
      </c>
      <c r="O253" s="37" t="s">
        <v>111</v>
      </c>
      <c r="P253" s="41">
        <v>111600</v>
      </c>
      <c r="Q253" s="42"/>
      <c r="R253" s="48" t="s">
        <v>113</v>
      </c>
      <c r="S253" s="49">
        <v>0.05</v>
      </c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3348000</v>
      </c>
      <c r="Y253" s="50">
        <f>IF(NOTA[[#This Row],[JUMLAH]]="","",NOTA[[#This Row],[JUMLAH]]*NOTA[[#This Row],[DISC 1]])</f>
        <v>167400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167400</v>
      </c>
      <c r="AC253" s="50">
        <f>IF(NOTA[[#This Row],[JUMLAH]]="","",NOTA[[#This Row],[JUMLAH]]-NOTA[[#This Row],[DISC]])</f>
        <v>3180600</v>
      </c>
      <c r="AD253" s="50"/>
      <c r="AE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3348000</v>
      </c>
      <c r="AH253" s="50">
        <f>IF(OR(NOTA[[#This Row],[QTY]]="",NOTA[[#This Row],[HARGA SATUAN]]="",),"",NOTA[[#This Row],[QTY]]*NOTA[[#This Row],[HARGA SATUAN]])</f>
        <v>3348000</v>
      </c>
      <c r="AI253" s="39">
        <f ca="1">IF(NOTA[ID_H]="","",INDEX(NOTA[TANGGAL],MATCH(,INDIRECT(ADDRESS(ROW(NOTA[TANGGAL]),COLUMN(NOTA[TANGGAL]))&amp;":"&amp;ADDRESS(ROW(),COLUMN(NOTA[TANGGAL]))),-1)))</f>
        <v>45300</v>
      </c>
      <c r="AJ253" s="41" t="str">
        <f ca="1">IF(NOTA[[#This Row],[NAMA BARANG]]="","",INDEX(NOTA[SUPPLIER],MATCH(,INDIRECT(ADDRESS(ROW(NOTA[ID]),COLUMN(NOTA[ID]))&amp;":"&amp;ADDRESS(ROW(),COLUMN(NOTA[ID]))),-1)))</f>
        <v xml:space="preserve">SBS </v>
      </c>
      <c r="AK253" s="41" t="str">
        <f ca="1">IF(NOTA[[#This Row],[ID_H]]="","",IF(NOTA[[#This Row],[FAKTUR]]="",INDIRECT(ADDRESS(ROW()-1,COLUMN())),NOTA[[#This Row],[FAKTUR]]))</f>
        <v>UNTANA</v>
      </c>
      <c r="AL253" s="38" t="str">
        <f ca="1">IF(NOTA[[#This Row],[ID]]="","",COUNTIF(NOTA[ID_H],NOTA[[#This Row],[ID_H]]))</f>
        <v/>
      </c>
      <c r="AM253" s="38">
        <f ca="1">IF(NOTA[[#This Row],[TGL.NOTA]]="",IF(NOTA[[#This Row],[SUPPLIER_H]]="","",AM252),MONTH(NOTA[[#This Row],[TGL.NOTA]]))</f>
        <v>1</v>
      </c>
      <c r="AN253" s="38" t="str">
        <f>LOWER(SUBSTITUTE(SUBSTITUTE(SUBSTITUTE(SUBSTITUTE(SUBSTITUTE(SUBSTITUTE(SUBSTITUTE(SUBSTITUTE(SUBSTITUTE(NOTA[NAMA BARANG]," ",),".",""),"-",""),"(",""),")",""),",",""),"/",""),"""",""),"+",""))</f>
        <v>mapdatamicrotopbs57b4salur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mapdatamicrotopbs57b4salur33480000.05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mapdatamicrotopbs57b4salur33480000.05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 t="e">
        <f>IF(NOTA[[#This Row],[CONCAT1]]="","",MATCH(NOTA[[#This Row],[CONCAT1]],[3]!db[NB NOTA_C],0))</f>
        <v>#N/A</v>
      </c>
      <c r="AT253" s="38" t="b">
        <f>IF(NOTA[[#This Row],[QTY/ CTN]]="","",TRUE)</f>
        <v>1</v>
      </c>
      <c r="AU253" s="38" t="str">
        <f ca="1">IF(NOTA[[#This Row],[ID_H]]="","",IF(NOTA[[#This Row],[Column3]]=TRUE,NOTA[[#This Row],[QTY/ CTN]],INDEX([3]!db[QTY/ CTN],NOTA[[#This Row],[//DB]])))</f>
        <v>30 LSN</v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mapdatamicrotopbs57b4salur30lsnuntana</v>
      </c>
      <c r="AW253" s="38" t="e">
        <f ca="1">IF(NOTA[[#This Row],[ID_H]]="","",MATCH(NOTA[[#This Row],[NB NOTA_C_QTY]],[4]!db[NB NOTA_C_QTY+F],0))</f>
        <v>#REF!</v>
      </c>
      <c r="AX253" s="53">
        <f ca="1">IF(NOTA[[#This Row],[NB NOTA_C_QTY]]="","",ROW()-2)</f>
        <v>251</v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>
        <f ca="1">IF(NOTA[[#This Row],[NAMA BARANG]]="","",INDEX(NOTA[ID],MATCH(,INDIRECT(ADDRESS(ROW(NOTA[ID]),COLUMN(NOTA[ID]))&amp;":"&amp;ADDRESS(ROW(),COLUMN(NOTA[ID]))),-1)))</f>
        <v>37</v>
      </c>
      <c r="E254" s="46"/>
      <c r="F254" s="37"/>
      <c r="G254" s="37"/>
      <c r="H254" s="47"/>
      <c r="I254" s="37"/>
      <c r="J254" s="39"/>
      <c r="K254" s="37">
        <v>1</v>
      </c>
      <c r="L254" s="37" t="s">
        <v>385</v>
      </c>
      <c r="M254" s="40">
        <v>1</v>
      </c>
      <c r="N254" s="38">
        <v>60</v>
      </c>
      <c r="O254" s="37" t="s">
        <v>111</v>
      </c>
      <c r="P254" s="41">
        <v>51600</v>
      </c>
      <c r="Q254" s="42"/>
      <c r="R254" s="48" t="s">
        <v>153</v>
      </c>
      <c r="S254" s="49">
        <v>0.05</v>
      </c>
      <c r="T254" s="44"/>
      <c r="U254" s="44"/>
      <c r="V254" s="50"/>
      <c r="W254" s="45"/>
      <c r="X254" s="50">
        <f>IF(NOTA[[#This Row],[HARGA/ CTN]]="",NOTA[[#This Row],[JUMLAH_H]],NOTA[[#This Row],[HARGA/ CTN]]*IF(NOTA[[#This Row],[C]]="",0,NOTA[[#This Row],[C]]))</f>
        <v>3096000</v>
      </c>
      <c r="Y254" s="50">
        <f>IF(NOTA[[#This Row],[JUMLAH]]="","",NOTA[[#This Row],[JUMLAH]]*NOTA[[#This Row],[DISC 1]])</f>
        <v>154800</v>
      </c>
      <c r="Z254" s="50">
        <f>IF(NOTA[[#This Row],[JUMLAH]]="","",(NOTA[[#This Row],[JUMLAH]]-NOTA[[#This Row],[DISC 1-]])*NOTA[[#This Row],[DISC 2]])</f>
        <v>0</v>
      </c>
      <c r="AA254" s="50">
        <f>IF(NOTA[[#This Row],[JUMLAH]]="","",(NOTA[[#This Row],[JUMLAH]]-NOTA[[#This Row],[DISC 1-]]-NOTA[[#This Row],[DISC 2-]])*NOTA[[#This Row],[DISC 3]])</f>
        <v>0</v>
      </c>
      <c r="AB254" s="50">
        <f>IF(NOTA[[#This Row],[JUMLAH]]="","",NOTA[[#This Row],[DISC 1-]]+NOTA[[#This Row],[DISC 2-]]+NOTA[[#This Row],[DISC 3-]])</f>
        <v>154800</v>
      </c>
      <c r="AC254" s="50">
        <f>IF(NOTA[[#This Row],[JUMLAH]]="","",NOTA[[#This Row],[JUMLAH]]-NOTA[[#This Row],[DISC]])</f>
        <v>2941200</v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54" s="50">
        <f>IF(OR(NOTA[[#This Row],[QTY]]="",NOTA[[#This Row],[HARGA SATUAN]]="",),"",NOTA[[#This Row],[QTY]]*NOTA[[#This Row],[HARGA SATUAN]])</f>
        <v>3096000</v>
      </c>
      <c r="AI254" s="39">
        <f ca="1">IF(NOTA[ID_H]="","",INDEX(NOTA[TANGGAL],MATCH(,INDIRECT(ADDRESS(ROW(NOTA[TANGGAL]),COLUMN(NOTA[TANGGAL]))&amp;":"&amp;ADDRESS(ROW(),COLUMN(NOTA[TANGGAL]))),-1)))</f>
        <v>45300</v>
      </c>
      <c r="AJ254" s="41" t="str">
        <f ca="1">IF(NOTA[[#This Row],[NAMA BARANG]]="","",INDEX(NOTA[SUPPLIER],MATCH(,INDIRECT(ADDRESS(ROW(NOTA[ID]),COLUMN(NOTA[ID]))&amp;":"&amp;ADDRESS(ROW(),COLUMN(NOTA[ID]))),-1)))</f>
        <v xml:space="preserve">SBS </v>
      </c>
      <c r="AK254" s="41" t="str">
        <f ca="1">IF(NOTA[[#This Row],[ID_H]]="","",IF(NOTA[[#This Row],[FAKTUR]]="",INDIRECT(ADDRESS(ROW()-1,COLUMN())),NOTA[[#This Row],[FAKTUR]]))</f>
        <v>UNTANA</v>
      </c>
      <c r="AL254" s="38" t="str">
        <f ca="1">IF(NOTA[[#This Row],[ID]]="","",COUNTIF(NOTA[ID_H],NOTA[[#This Row],[ID_H]]))</f>
        <v/>
      </c>
      <c r="AM254" s="38">
        <f ca="1">IF(NOTA[[#This Row],[TGL.NOTA]]="",IF(NOTA[[#This Row],[SUPPLIER_H]]="","",AM253),MONTH(NOTA[[#This Row],[TGL.NOTA]]))</f>
        <v>1</v>
      </c>
      <c r="AN254" s="38" t="str">
        <f>LOWER(SUBSTITUTE(SUBSTITUTE(SUBSTITUTE(SUBSTITUTE(SUBSTITUTE(SUBSTITUTE(SUBSTITUTE(SUBSTITUTE(SUBSTITUTE(NOTA[NAMA BARANG]," ",),".",""),"-",""),"(",""),")",""),",",""),"/",""),"""",""),"+",""))</f>
        <v>mapdatamicrotoppa53a6</v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mapdatamicrotoppa53a630960000.05</v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mapdatamicrotoppa53a630960000.05</v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e">
        <f>IF(NOTA[[#This Row],[CONCAT1]]="","",MATCH(NOTA[[#This Row],[CONCAT1]],[3]!db[NB NOTA_C],0))</f>
        <v>#N/A</v>
      </c>
      <c r="AT254" s="38" t="b">
        <f>IF(NOTA[[#This Row],[QTY/ CTN]]="","",TRUE)</f>
        <v>1</v>
      </c>
      <c r="AU254" s="38" t="str">
        <f ca="1">IF(NOTA[[#This Row],[ID_H]]="","",IF(NOTA[[#This Row],[Column3]]=TRUE,NOTA[[#This Row],[QTY/ CTN]],INDEX([3]!db[QTY/ CTN],NOTA[[#This Row],[//DB]])))</f>
        <v>60 LSN</v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mapdatamicrotoppa53a660lsnuntana</v>
      </c>
      <c r="AW254" s="38" t="e">
        <f ca="1">IF(NOTA[[#This Row],[ID_H]]="","",MATCH(NOTA[[#This Row],[NB NOTA_C_QTY]],[4]!db[NB NOTA_C_QTY+F],0))</f>
        <v>#REF!</v>
      </c>
      <c r="AX254" s="53">
        <f ca="1">IF(NOTA[[#This Row],[NB NOTA_C_QTY]]="","",ROW()-2)</f>
        <v>252</v>
      </c>
    </row>
    <row r="255" spans="1:50" s="38" customFormat="1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>
        <f ca="1">IF(NOTA[[#This Row],[NAMA BARANG]]="","",INDEX(NOTA[ID],MATCH(,INDIRECT(ADDRESS(ROW(NOTA[ID]),COLUMN(NOTA[ID]))&amp;":"&amp;ADDRESS(ROW(),COLUMN(NOTA[ID]))),-1)))</f>
        <v>37</v>
      </c>
      <c r="E255" s="46"/>
      <c r="F255" s="37"/>
      <c r="G255" s="37"/>
      <c r="H255" s="47"/>
      <c r="I255" s="37"/>
      <c r="J255" s="39"/>
      <c r="K255" s="37">
        <v>1</v>
      </c>
      <c r="L255" s="37" t="s">
        <v>386</v>
      </c>
      <c r="M255" s="40">
        <v>1</v>
      </c>
      <c r="N255" s="38">
        <v>50</v>
      </c>
      <c r="O255" s="37" t="s">
        <v>111</v>
      </c>
      <c r="P255" s="41">
        <v>57000</v>
      </c>
      <c r="Q255" s="42"/>
      <c r="R255" s="48" t="s">
        <v>153</v>
      </c>
      <c r="S255" s="49">
        <v>0.05</v>
      </c>
      <c r="T255" s="44"/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2850000</v>
      </c>
      <c r="Y255" s="50">
        <f>IF(NOTA[[#This Row],[JUMLAH]]="","",NOTA[[#This Row],[JUMLAH]]*NOTA[[#This Row],[DISC 1]])</f>
        <v>142500</v>
      </c>
      <c r="Z255" s="50">
        <f>IF(NOTA[[#This Row],[JUMLAH]]="","",(NOTA[[#This Row],[JUMLAH]]-NOTA[[#This Row],[DISC 1-]])*NOTA[[#This Row],[DISC 2]])</f>
        <v>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142500</v>
      </c>
      <c r="AC255" s="50">
        <f>IF(NOTA[[#This Row],[JUMLAH]]="","",NOTA[[#This Row],[JUMLAH]]-NOTA[[#This Row],[DISC]])</f>
        <v>2707500</v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255" s="50">
        <f>IF(OR(NOTA[[#This Row],[QTY]]="",NOTA[[#This Row],[HARGA SATUAN]]="",),"",NOTA[[#This Row],[QTY]]*NOTA[[#This Row],[HARGA SATUAN]])</f>
        <v>2850000</v>
      </c>
      <c r="AI255" s="39">
        <f ca="1">IF(NOTA[ID_H]="","",INDEX(NOTA[TANGGAL],MATCH(,INDIRECT(ADDRESS(ROW(NOTA[TANGGAL]),COLUMN(NOTA[TANGGAL]))&amp;":"&amp;ADDRESS(ROW(),COLUMN(NOTA[TANGGAL]))),-1)))</f>
        <v>45300</v>
      </c>
      <c r="AJ255" s="41" t="str">
        <f ca="1">IF(NOTA[[#This Row],[NAMA BARANG]]="","",INDEX(NOTA[SUPPLIER],MATCH(,INDIRECT(ADDRESS(ROW(NOTA[ID]),COLUMN(NOTA[ID]))&amp;":"&amp;ADDRESS(ROW(),COLUMN(NOTA[ID]))),-1)))</f>
        <v xml:space="preserve">SBS </v>
      </c>
      <c r="AK255" s="41" t="str">
        <f ca="1">IF(NOTA[[#This Row],[ID_H]]="","",IF(NOTA[[#This Row],[FAKTUR]]="",INDIRECT(ADDRESS(ROW()-1,COLUMN())),NOTA[[#This Row],[FAKTUR]]))</f>
        <v>UNTANA</v>
      </c>
      <c r="AL255" s="38" t="str">
        <f ca="1">IF(NOTA[[#This Row],[ID]]="","",COUNTIF(NOTA[ID_H],NOTA[[#This Row],[ID_H]]))</f>
        <v/>
      </c>
      <c r="AM255" s="38">
        <f ca="1">IF(NOTA[[#This Row],[TGL.NOTA]]="",IF(NOTA[[#This Row],[SUPPLIER_H]]="","",AM254),MONTH(NOTA[[#This Row],[TGL.NOTA]]))</f>
        <v>1</v>
      </c>
      <c r="AN255" s="38" t="str">
        <f>LOWER(SUBSTITUTE(SUBSTITUTE(SUBSTITUTE(SUBSTITUTE(SUBSTITUTE(SUBSTITUTE(SUBSTITUTE(SUBSTITUTE(SUBSTITUTE(NOTA[NAMA BARANG]," ",),".",""),"-",""),"(",""),")",""),",",""),"/",""),"""",""),"+",""))</f>
        <v>mapdatamicrotoppa54a5</v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mapdatamicrotoppa54a528500000.05</v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mapdatamicrotoppa54a528500000.05</v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5" s="38" t="str">
        <f>IF(NOTA[[#This Row],[CONCAT4]]="","",_xlfn.IFNA(MATCH(NOTA[[#This Row],[CONCAT4]],[2]!RAW[CONCAT_H],0),FALSE))</f>
        <v/>
      </c>
      <c r="AS255" s="38" t="e">
        <f>IF(NOTA[[#This Row],[CONCAT1]]="","",MATCH(NOTA[[#This Row],[CONCAT1]],[3]!db[NB NOTA_C],0))</f>
        <v>#N/A</v>
      </c>
      <c r="AT255" s="38" t="b">
        <f>IF(NOTA[[#This Row],[QTY/ CTN]]="","",TRUE)</f>
        <v>1</v>
      </c>
      <c r="AU255" s="38" t="str">
        <f ca="1">IF(NOTA[[#This Row],[ID_H]]="","",IF(NOTA[[#This Row],[Column3]]=TRUE,NOTA[[#This Row],[QTY/ CTN]],INDEX([3]!db[QTY/ CTN],NOTA[[#This Row],[//DB]])))</f>
        <v>60 LSN</v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mapdatamicrotoppa54a560lsnuntana</v>
      </c>
      <c r="AW255" s="38" t="e">
        <f ca="1">IF(NOTA[[#This Row],[ID_H]]="","",MATCH(NOTA[[#This Row],[NB NOTA_C_QTY]],[4]!db[NB NOTA_C_QTY+F],0))</f>
        <v>#REF!</v>
      </c>
      <c r="AX255" s="53">
        <f ca="1">IF(NOTA[[#This Row],[NB NOTA_C_QTY]]="","",ROW()-2)</f>
        <v>253</v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37</v>
      </c>
      <c r="E256" s="46"/>
      <c r="F256" s="37"/>
      <c r="G256" s="37"/>
      <c r="H256" s="47"/>
      <c r="I256" s="37"/>
      <c r="J256" s="39"/>
      <c r="K256" s="37">
        <v>1</v>
      </c>
      <c r="L256" s="37" t="s">
        <v>387</v>
      </c>
      <c r="M256" s="40">
        <v>1</v>
      </c>
      <c r="N256" s="38">
        <v>40</v>
      </c>
      <c r="O256" s="37" t="s">
        <v>111</v>
      </c>
      <c r="P256" s="41">
        <v>68400</v>
      </c>
      <c r="Q256" s="42"/>
      <c r="R256" s="48" t="s">
        <v>384</v>
      </c>
      <c r="S256" s="49">
        <v>0.05</v>
      </c>
      <c r="T256" s="44"/>
      <c r="U256" s="44"/>
      <c r="V256" s="50"/>
      <c r="W256" s="45"/>
      <c r="X256" s="50">
        <f>IF(NOTA[[#This Row],[HARGA/ CTN]]="",NOTA[[#This Row],[JUMLAH_H]],NOTA[[#This Row],[HARGA/ CTN]]*IF(NOTA[[#This Row],[C]]="",0,NOTA[[#This Row],[C]]))</f>
        <v>2736000</v>
      </c>
      <c r="Y256" s="50">
        <f>IF(NOTA[[#This Row],[JUMLAH]]="","",NOTA[[#This Row],[JUMLAH]]*NOTA[[#This Row],[DISC 1]])</f>
        <v>136800</v>
      </c>
      <c r="Z256" s="50">
        <f>IF(NOTA[[#This Row],[JUMLAH]]="","",(NOTA[[#This Row],[JUMLAH]]-NOTA[[#This Row],[DISC 1-]])*NOTA[[#This Row],[DISC 2]])</f>
        <v>0</v>
      </c>
      <c r="AA256" s="50">
        <f>IF(NOTA[[#This Row],[JUMLAH]]="","",(NOTA[[#This Row],[JUMLAH]]-NOTA[[#This Row],[DISC 1-]]-NOTA[[#This Row],[DISC 2-]])*NOTA[[#This Row],[DISC 3]])</f>
        <v>0</v>
      </c>
      <c r="AB256" s="50">
        <f>IF(NOTA[[#This Row],[JUMLAH]]="","",NOTA[[#This Row],[DISC 1-]]+NOTA[[#This Row],[DISC 2-]]+NOTA[[#This Row],[DISC 3-]])</f>
        <v>136800</v>
      </c>
      <c r="AC256" s="50">
        <f>IF(NOTA[[#This Row],[JUMLAH]]="","",NOTA[[#This Row],[JUMLAH]]-NOTA[[#This Row],[DISC]])</f>
        <v>2599200</v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256" s="50">
        <f>IF(OR(NOTA[[#This Row],[QTY]]="",NOTA[[#This Row],[HARGA SATUAN]]="",),"",NOTA[[#This Row],[QTY]]*NOTA[[#This Row],[HARGA SATUAN]])</f>
        <v>2736000</v>
      </c>
      <c r="AI256" s="39">
        <f ca="1">IF(NOTA[ID_H]="","",INDEX(NOTA[TANGGAL],MATCH(,INDIRECT(ADDRESS(ROW(NOTA[TANGGAL]),COLUMN(NOTA[TANGGAL]))&amp;":"&amp;ADDRESS(ROW(),COLUMN(NOTA[TANGGAL]))),-1)))</f>
        <v>45300</v>
      </c>
      <c r="AJ256" s="41" t="str">
        <f ca="1">IF(NOTA[[#This Row],[NAMA BARANG]]="","",INDEX(NOTA[SUPPLIER],MATCH(,INDIRECT(ADDRESS(ROW(NOTA[ID]),COLUMN(NOTA[ID]))&amp;":"&amp;ADDRESS(ROW(),COLUMN(NOTA[ID]))),-1)))</f>
        <v xml:space="preserve">SBS </v>
      </c>
      <c r="AK256" s="41" t="str">
        <f ca="1">IF(NOTA[[#This Row],[ID_H]]="","",IF(NOTA[[#This Row],[FAKTUR]]="",INDIRECT(ADDRESS(ROW()-1,COLUMN())),NOTA[[#This Row],[FAKTUR]]))</f>
        <v>UNTANA</v>
      </c>
      <c r="AL256" s="38" t="str">
        <f ca="1">IF(NOTA[[#This Row],[ID]]="","",COUNTIF(NOTA[ID_H],NOTA[[#This Row],[ID_H]]))</f>
        <v/>
      </c>
      <c r="AM256" s="38">
        <f ca="1">IF(NOTA[[#This Row],[TGL.NOTA]]="",IF(NOTA[[#This Row],[SUPPLIER_H]]="","",AM255),MONTH(NOTA[[#This Row],[TGL.NOTA]]))</f>
        <v>1</v>
      </c>
      <c r="AN256" s="38" t="str">
        <f>LOWER(SUBSTITUTE(SUBSTITUTE(SUBSTITUTE(SUBSTITUTE(SUBSTITUTE(SUBSTITUTE(SUBSTITUTE(SUBSTITUTE(SUBSTITUTE(NOTA[NAMA BARANG]," ",),".",""),"-",""),"(",""),")",""),",",""),"/",""),"""",""),"+",""))</f>
        <v>mapdatamicrotoppa56a4</v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mapdatamicrotoppa56a427360000.05</v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mapdatamicrotoppa56a427360000.05</v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 t="e">
        <f>IF(NOTA[[#This Row],[CONCAT1]]="","",MATCH(NOTA[[#This Row],[CONCAT1]],[3]!db[NB NOTA_C],0))</f>
        <v>#N/A</v>
      </c>
      <c r="AT256" s="38" t="b">
        <f>IF(NOTA[[#This Row],[QTY/ CTN]]="","",TRUE)</f>
        <v>1</v>
      </c>
      <c r="AU256" s="38" t="str">
        <f ca="1">IF(NOTA[[#This Row],[ID_H]]="","",IF(NOTA[[#This Row],[Column3]]=TRUE,NOTA[[#This Row],[QTY/ CTN]],INDEX([3]!db[QTY/ CTN],NOTA[[#This Row],[//DB]])))</f>
        <v>40 LSN</v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mapdatamicrotoppa56a440lsnuntana</v>
      </c>
      <c r="AW256" s="38" t="e">
        <f ca="1">IF(NOTA[[#This Row],[ID_H]]="","",MATCH(NOTA[[#This Row],[NB NOTA_C_QTY]],[4]!db[NB NOTA_C_QTY+F],0))</f>
        <v>#REF!</v>
      </c>
      <c r="AX256" s="53">
        <f ca="1">IF(NOTA[[#This Row],[NB NOTA_C_QTY]]="","",ROW()-2)</f>
        <v>254</v>
      </c>
    </row>
    <row r="257" spans="1:50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37</v>
      </c>
      <c r="E257" s="46"/>
      <c r="F257" s="37"/>
      <c r="G257" s="37"/>
      <c r="H257" s="47"/>
      <c r="I257" s="37"/>
      <c r="J257" s="39"/>
      <c r="K257" s="37">
        <v>1</v>
      </c>
      <c r="L257" s="37" t="s">
        <v>388</v>
      </c>
      <c r="M257" s="40">
        <v>1</v>
      </c>
      <c r="N257" s="38">
        <v>30</v>
      </c>
      <c r="O257" s="37" t="s">
        <v>111</v>
      </c>
      <c r="P257" s="41">
        <v>79500</v>
      </c>
      <c r="Q257" s="42"/>
      <c r="R257" s="48" t="s">
        <v>113</v>
      </c>
      <c r="S257" s="49">
        <v>0.05</v>
      </c>
      <c r="T257" s="44"/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2385000</v>
      </c>
      <c r="Y257" s="50">
        <f>IF(NOTA[[#This Row],[JUMLAH]]="","",NOTA[[#This Row],[JUMLAH]]*NOTA[[#This Row],[DISC 1]])</f>
        <v>119250</v>
      </c>
      <c r="Z257" s="50">
        <f>IF(NOTA[[#This Row],[JUMLAH]]="","",(NOTA[[#This Row],[JUMLAH]]-NOTA[[#This Row],[DISC 1-]])*NOTA[[#This Row],[DISC 2]])</f>
        <v>0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119250</v>
      </c>
      <c r="AC257" s="50">
        <f>IF(NOTA[[#This Row],[JUMLAH]]="","",NOTA[[#This Row],[JUMLAH]]-NOTA[[#This Row],[DISC]])</f>
        <v>2265750</v>
      </c>
      <c r="AD257" s="50"/>
      <c r="AE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1243500</v>
      </c>
      <c r="AF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23626500</v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2385000</v>
      </c>
      <c r="AH257" s="50">
        <f>IF(OR(NOTA[[#This Row],[QTY]]="",NOTA[[#This Row],[HARGA SATUAN]]="",),"",NOTA[[#This Row],[QTY]]*NOTA[[#This Row],[HARGA SATUAN]])</f>
        <v>2385000</v>
      </c>
      <c r="AI257" s="39">
        <f ca="1">IF(NOTA[ID_H]="","",INDEX(NOTA[TANGGAL],MATCH(,INDIRECT(ADDRESS(ROW(NOTA[TANGGAL]),COLUMN(NOTA[TANGGAL]))&amp;":"&amp;ADDRESS(ROW(),COLUMN(NOTA[TANGGAL]))),-1)))</f>
        <v>45300</v>
      </c>
      <c r="AJ257" s="41" t="str">
        <f ca="1">IF(NOTA[[#This Row],[NAMA BARANG]]="","",INDEX(NOTA[SUPPLIER],MATCH(,INDIRECT(ADDRESS(ROW(NOTA[ID]),COLUMN(NOTA[ID]))&amp;":"&amp;ADDRESS(ROW(),COLUMN(NOTA[ID]))),-1)))</f>
        <v xml:space="preserve">SBS </v>
      </c>
      <c r="AK257" s="41" t="str">
        <f ca="1">IF(NOTA[[#This Row],[ID_H]]="","",IF(NOTA[[#This Row],[FAKTUR]]="",INDIRECT(ADDRESS(ROW()-1,COLUMN())),NOTA[[#This Row],[FAKTUR]]))</f>
        <v>UNTANA</v>
      </c>
      <c r="AL257" s="38" t="str">
        <f ca="1">IF(NOTA[[#This Row],[ID]]="","",COUNTIF(NOTA[ID_H],NOTA[[#This Row],[ID_H]]))</f>
        <v/>
      </c>
      <c r="AM257" s="38">
        <f ca="1">IF(NOTA[[#This Row],[TGL.NOTA]]="",IF(NOTA[[#This Row],[SUPPLIER_H]]="","",AM256),MONTH(NOTA[[#This Row],[TGL.NOTA]]))</f>
        <v>1</v>
      </c>
      <c r="AN257" s="38" t="str">
        <f>LOWER(SUBSTITUTE(SUBSTITUTE(SUBSTITUTE(SUBSTITUTE(SUBSTITUTE(SUBSTITUTE(SUBSTITUTE(SUBSTITUTE(SUBSTITUTE(NOTA[NAMA BARANG]," ",),".",""),"-",""),"(",""),")",""),",",""),"/",""),"""",""),"+",""))</f>
        <v>mapdatamicrotoppa57b4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mapdatamicrotoppa57b423850000.05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mapdatamicrotoppa57b423850000.05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7" s="38" t="str">
        <f>IF(NOTA[[#This Row],[CONCAT4]]="","",_xlfn.IFNA(MATCH(NOTA[[#This Row],[CONCAT4]],[2]!RAW[CONCAT_H],0),FALSE))</f>
        <v/>
      </c>
      <c r="AS257" s="38" t="e">
        <f>IF(NOTA[[#This Row],[CONCAT1]]="","",MATCH(NOTA[[#This Row],[CONCAT1]],[3]!db[NB NOTA_C],0))</f>
        <v>#N/A</v>
      </c>
      <c r="AT257" s="38" t="b">
        <f>IF(NOTA[[#This Row],[QTY/ CTN]]="","",TRUE)</f>
        <v>1</v>
      </c>
      <c r="AU257" s="38" t="str">
        <f ca="1">IF(NOTA[[#This Row],[ID_H]]="","",IF(NOTA[[#This Row],[Column3]]=TRUE,NOTA[[#This Row],[QTY/ CTN]],INDEX([3]!db[QTY/ CTN],NOTA[[#This Row],[//DB]])))</f>
        <v>30 LSN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mapdatamicrotoppa57b430lsnuntana</v>
      </c>
      <c r="AW257" s="38" t="e">
        <f ca="1">IF(NOTA[[#This Row],[ID_H]]="","",MATCH(NOTA[[#This Row],[NB NOTA_C_QTY]],[4]!db[NB NOTA_C_QTY+F],0))</f>
        <v>#REF!</v>
      </c>
      <c r="AX257" s="53">
        <f ca="1">IF(NOTA[[#This Row],[NB NOTA_C_QTY]]="","",ROW()-2)</f>
        <v>255</v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/>
      <c r="F258" s="37"/>
      <c r="G258" s="37"/>
      <c r="H258" s="47"/>
      <c r="I258" s="37"/>
      <c r="J258" s="39"/>
      <c r="K258" s="37"/>
      <c r="L258" s="37"/>
      <c r="M258" s="40"/>
      <c r="O258" s="37"/>
      <c r="P258" s="41"/>
      <c r="Q258" s="42"/>
      <c r="R258" s="48"/>
      <c r="S258" s="49"/>
      <c r="T258" s="44"/>
      <c r="U258" s="44"/>
      <c r="V258" s="50"/>
      <c r="W258" s="45"/>
      <c r="X258" s="50" t="str">
        <f>IF(NOTA[[#This Row],[HARGA/ CTN]]="",NOTA[[#This Row],[JUMLAH_H]],NOTA[[#This Row],[HARGA/ CTN]]*IF(NOTA[[#This Row],[C]]="",0,NOTA[[#This Row],[C]]))</f>
        <v/>
      </c>
      <c r="Y258" s="50" t="str">
        <f>IF(NOTA[[#This Row],[JUMLAH]]="","",NOTA[[#This Row],[JUMLAH]]*NOTA[[#This Row],[DISC 1]])</f>
        <v/>
      </c>
      <c r="Z258" s="50" t="str">
        <f>IF(NOTA[[#This Row],[JUMLAH]]="","",(NOTA[[#This Row],[JUMLAH]]-NOTA[[#This Row],[DISC 1-]])*NOTA[[#This Row],[DISC 2]])</f>
        <v/>
      </c>
      <c r="AA258" s="50" t="str">
        <f>IF(NOTA[[#This Row],[JUMLAH]]="","",(NOTA[[#This Row],[JUMLAH]]-NOTA[[#This Row],[DISC 1-]]-NOTA[[#This Row],[DISC 2-]])*NOTA[[#This Row],[DISC 3]])</f>
        <v/>
      </c>
      <c r="AB258" s="50" t="str">
        <f>IF(NOTA[[#This Row],[JUMLAH]]="","",NOTA[[#This Row],[DISC 1-]]+NOTA[[#This Row],[DISC 2-]]+NOTA[[#This Row],[DISC 3-]])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41" t="str">
        <f ca="1">IF(NOTA[[#This Row],[NAMA BARANG]]="","",INDEX(NOTA[SUPPLIER],MATCH(,INDIRECT(ADDRESS(ROW(NOTA[ID]),COLUMN(NOTA[ID]))&amp;":"&amp;ADDRESS(ROW(),COLUMN(NOTA[ID]))),-1)))</f>
        <v/>
      </c>
      <c r="AK258" s="41" t="str">
        <f ca="1">IF(NOTA[[#This Row],[ID_H]]="","",IF(NOTA[[#This Row],[FAKTUR]]="",INDIRECT(ADDRESS(ROW()-1,COLUMN())),NOTA[[#This Row],[FAKTUR]]))</f>
        <v/>
      </c>
      <c r="AL258" s="38" t="str">
        <f ca="1">IF(NOTA[[#This Row],[ID]]="","",COUNTIF(NOTA[ID_H],NOTA[[#This Row],[ID_H]]))</f>
        <v/>
      </c>
      <c r="AM258" s="38" t="str">
        <f ca="1">IF(NOTA[[#This Row],[TGL.NOTA]]="",IF(NOTA[[#This Row],[SUPPLIER_H]]="","",AM257),MONTH(NOTA[[#This Row],[TGL.NOTA]]))</f>
        <v/>
      </c>
      <c r="AN258" s="38" t="str">
        <f>LOWER(SUBSTITUTE(SUBSTITUTE(SUBSTITUTE(SUBSTITUTE(SUBSTITUTE(SUBSTITUTE(SUBSTITUTE(SUBSTITUTE(SUBSTITUTE(NOTA[NAMA BARANG]," ",),".",""),"-",""),"(",""),")",""),",",""),"/",""),"""",""),"+",""))</f>
        <v/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 t="str">
        <f>IF(NOTA[[#This Row],[CONCAT1]]="","",MATCH(NOTA[[#This Row],[CONCAT1]],[3]!db[NB NOTA_C],0))</f>
        <v/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/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8" s="38" t="str">
        <f ca="1">IF(NOTA[[#This Row],[ID_H]]="","",MATCH(NOTA[[#This Row],[NB NOTA_C_QTY]],[4]!db[NB NOTA_C_QTY+F],0))</f>
        <v/>
      </c>
      <c r="AX258" s="53" t="str">
        <f ca="1">IF(NOTA[[#This Row],[NB NOTA_C_QTY]]="","",ROW()-2)</f>
        <v/>
      </c>
    </row>
    <row r="259" spans="1:50" s="38" customFormat="1" ht="20.100000000000001" customHeight="1" x14ac:dyDescent="0.25">
      <c r="A259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2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SBS_0901_BPR-3</v>
      </c>
      <c r="C259" s="38" t="e">
        <f ca="1">IF(NOTA[[#This Row],[ID_P]]="","",MATCH(NOTA[[#This Row],[ID_P]],[1]!B_MSK[N_ID],0))</f>
        <v>#REF!</v>
      </c>
      <c r="D259" s="38">
        <f ca="1">IF(NOTA[[#This Row],[NAMA BARANG]]="","",INDEX(NOTA[ID],MATCH(,INDIRECT(ADDRESS(ROW(NOTA[ID]),COLUMN(NOTA[ID]))&amp;":"&amp;ADDRESS(ROW(),COLUMN(NOTA[ID]))),-1)))</f>
        <v>38</v>
      </c>
      <c r="E259" s="46"/>
      <c r="F259" s="37" t="s">
        <v>371</v>
      </c>
      <c r="G259" s="37" t="s">
        <v>110</v>
      </c>
      <c r="H259" s="47" t="s">
        <v>389</v>
      </c>
      <c r="I259" s="37"/>
      <c r="J259" s="39">
        <v>45295</v>
      </c>
      <c r="K259" s="37">
        <v>1</v>
      </c>
      <c r="L259" s="37" t="s">
        <v>390</v>
      </c>
      <c r="M259" s="40">
        <v>3</v>
      </c>
      <c r="N259" s="38">
        <v>150</v>
      </c>
      <c r="O259" s="37" t="s">
        <v>111</v>
      </c>
      <c r="P259" s="41">
        <v>16500</v>
      </c>
      <c r="Q259" s="42"/>
      <c r="R259" s="48" t="s">
        <v>240</v>
      </c>
      <c r="S259" s="49">
        <v>0.05</v>
      </c>
      <c r="T259" s="44"/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2475000</v>
      </c>
      <c r="Y259" s="50">
        <f>IF(NOTA[[#This Row],[JUMLAH]]="","",NOTA[[#This Row],[JUMLAH]]*NOTA[[#This Row],[DISC 1]])</f>
        <v>123750</v>
      </c>
      <c r="Z259" s="50">
        <f>IF(NOTA[[#This Row],[JUMLAH]]="","",(NOTA[[#This Row],[JUMLAH]]-NOTA[[#This Row],[DISC 1-]])*NOTA[[#This Row],[DISC 2]])</f>
        <v>0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123750</v>
      </c>
      <c r="AC259" s="50">
        <f>IF(NOTA[[#This Row],[JUMLAH]]="","",NOTA[[#This Row],[JUMLAH]]-NOTA[[#This Row],[DISC]])</f>
        <v>2351250</v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825000</v>
      </c>
      <c r="AH259" s="50">
        <f>IF(OR(NOTA[[#This Row],[QTY]]="",NOTA[[#This Row],[HARGA SATUAN]]="",),"",NOTA[[#This Row],[QTY]]*NOTA[[#This Row],[HARGA SATUAN]])</f>
        <v>2475000</v>
      </c>
      <c r="AI259" s="39">
        <f ca="1">IF(NOTA[ID_H]="","",INDEX(NOTA[TANGGAL],MATCH(,INDIRECT(ADDRESS(ROW(NOTA[TANGGAL]),COLUMN(NOTA[TANGGAL]))&amp;":"&amp;ADDRESS(ROW(),COLUMN(NOTA[TANGGAL]))),-1)))</f>
        <v>45300</v>
      </c>
      <c r="AJ259" s="41" t="str">
        <f ca="1">IF(NOTA[[#This Row],[NAMA BARANG]]="","",INDEX(NOTA[SUPPLIER],MATCH(,INDIRECT(ADDRESS(ROW(NOTA[ID]),COLUMN(NOTA[ID]))&amp;":"&amp;ADDRESS(ROW(),COLUMN(NOTA[ID]))),-1)))</f>
        <v>SBS</v>
      </c>
      <c r="AK259" s="41" t="str">
        <f ca="1">IF(NOTA[[#This Row],[ID_H]]="","",IF(NOTA[[#This Row],[FAKTUR]]="",INDIRECT(ADDRESS(ROW()-1,COLUMN())),NOTA[[#This Row],[FAKTUR]]))</f>
        <v>UNTANA</v>
      </c>
      <c r="AL259" s="38">
        <f ca="1">IF(NOTA[[#This Row],[ID]]="","",COUNTIF(NOTA[ID_H],NOTA[[#This Row],[ID_H]]))</f>
        <v>3</v>
      </c>
      <c r="AM259" s="38">
        <f>IF(NOTA[[#This Row],[TGL.NOTA]]="",IF(NOTA[[#This Row],[SUPPLIER_H]]="","",AM258),MONTH(NOTA[[#This Row],[TGL.NOTA]]))</f>
        <v>1</v>
      </c>
      <c r="AN259" s="38" t="str">
        <f>LOWER(SUBSTITUTE(SUBSTITUTE(SUBSTITUTE(SUBSTITUTE(SUBSTITUTE(SUBSTITUTE(SUBSTITUTE(SUBSTITUTE(SUBSTITUTE(NOTA[NAMA BARANG]," ",),".",""),"-",""),"(",""),")",""),",",""),"/",""),"""",""),"+",""))</f>
        <v>hbagkertasmtbatik1s205x255</v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hbagkertasmtbatik1s205x2558250000.05</v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hbagkertasmtbatik1s205x2558250000.05</v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SBSUNTANAWA0040BPR45295hbagkertasmtbatik1s205x255</v>
      </c>
      <c r="AR259" s="38" t="e">
        <f>IF(NOTA[[#This Row],[CONCAT4]]="","",_xlfn.IFNA(MATCH(NOTA[[#This Row],[CONCAT4]],[2]!RAW[CONCAT_H],0),FALSE))</f>
        <v>#REF!</v>
      </c>
      <c r="AS259" s="38" t="e">
        <f>IF(NOTA[[#This Row],[CONCAT1]]="","",MATCH(NOTA[[#This Row],[CONCAT1]],[3]!db[NB NOTA_C],0))</f>
        <v>#N/A</v>
      </c>
      <c r="AT259" s="38" t="b">
        <f>IF(NOTA[[#This Row],[QTY/ CTN]]="","",TRUE)</f>
        <v>1</v>
      </c>
      <c r="AU259" s="38" t="str">
        <f ca="1">IF(NOTA[[#This Row],[ID_H]]="","",IF(NOTA[[#This Row],[Column3]]=TRUE,NOTA[[#This Row],[QTY/ CTN]],INDEX([3]!db[QTY/ CTN],NOTA[[#This Row],[//DB]])))</f>
        <v>50 LSN</v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hbagkertasmtbatik1s205x25550lsnuntana</v>
      </c>
      <c r="AW259" s="38" t="e">
        <f ca="1">IF(NOTA[[#This Row],[ID_H]]="","",MATCH(NOTA[[#This Row],[NB NOTA_C_QTY]],[4]!db[NB NOTA_C_QTY+F],0))</f>
        <v>#REF!</v>
      </c>
      <c r="AX259" s="53">
        <f ca="1">IF(NOTA[[#This Row],[NB NOTA_C_QTY]]="","",ROW()-2)</f>
        <v>257</v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>
        <f ca="1">IF(NOTA[[#This Row],[NAMA BARANG]]="","",INDEX(NOTA[ID],MATCH(,INDIRECT(ADDRESS(ROW(NOTA[ID]),COLUMN(NOTA[ID]))&amp;":"&amp;ADDRESS(ROW(),COLUMN(NOTA[ID]))),-1)))</f>
        <v>38</v>
      </c>
      <c r="E260" s="46"/>
      <c r="F260" s="37"/>
      <c r="G260" s="37"/>
      <c r="H260" s="47"/>
      <c r="I260" s="37"/>
      <c r="J260" s="39"/>
      <c r="K260" s="37">
        <v>1</v>
      </c>
      <c r="L260" s="37" t="s">
        <v>391</v>
      </c>
      <c r="M260" s="40">
        <v>3</v>
      </c>
      <c r="N260" s="38">
        <v>120</v>
      </c>
      <c r="O260" s="37" t="s">
        <v>111</v>
      </c>
      <c r="P260" s="41">
        <v>21000</v>
      </c>
      <c r="Q260" s="42"/>
      <c r="R260" s="48" t="s">
        <v>384</v>
      </c>
      <c r="S260" s="49">
        <v>0.05</v>
      </c>
      <c r="T260" s="44"/>
      <c r="U260" s="44"/>
      <c r="V260" s="50"/>
      <c r="W260" s="45"/>
      <c r="X260" s="50">
        <f>IF(NOTA[[#This Row],[HARGA/ CTN]]="",NOTA[[#This Row],[JUMLAH_H]],NOTA[[#This Row],[HARGA/ CTN]]*IF(NOTA[[#This Row],[C]]="",0,NOTA[[#This Row],[C]]))</f>
        <v>2520000</v>
      </c>
      <c r="Y260" s="50">
        <f>IF(NOTA[[#This Row],[JUMLAH]]="","",NOTA[[#This Row],[JUMLAH]]*NOTA[[#This Row],[DISC 1]])</f>
        <v>126000</v>
      </c>
      <c r="Z260" s="50">
        <f>IF(NOTA[[#This Row],[JUMLAH]]="","",(NOTA[[#This Row],[JUMLAH]]-NOTA[[#This Row],[DISC 1-]])*NOTA[[#This Row],[DISC 2]])</f>
        <v>0</v>
      </c>
      <c r="AA260" s="50">
        <f>IF(NOTA[[#This Row],[JUMLAH]]="","",(NOTA[[#This Row],[JUMLAH]]-NOTA[[#This Row],[DISC 1-]]-NOTA[[#This Row],[DISC 2-]])*NOTA[[#This Row],[DISC 3]])</f>
        <v>0</v>
      </c>
      <c r="AB260" s="50">
        <f>IF(NOTA[[#This Row],[JUMLAH]]="","",NOTA[[#This Row],[DISC 1-]]+NOTA[[#This Row],[DISC 2-]]+NOTA[[#This Row],[DISC 3-]])</f>
        <v>126000</v>
      </c>
      <c r="AC260" s="50">
        <f>IF(NOTA[[#This Row],[JUMLAH]]="","",NOTA[[#This Row],[JUMLAH]]-NOTA[[#This Row],[DISC]])</f>
        <v>2394000</v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60" s="50">
        <f>IF(OR(NOTA[[#This Row],[QTY]]="",NOTA[[#This Row],[HARGA SATUAN]]="",),"",NOTA[[#This Row],[QTY]]*NOTA[[#This Row],[HARGA SATUAN]])</f>
        <v>2520000</v>
      </c>
      <c r="AI260" s="39">
        <f ca="1">IF(NOTA[ID_H]="","",INDEX(NOTA[TANGGAL],MATCH(,INDIRECT(ADDRESS(ROW(NOTA[TANGGAL]),COLUMN(NOTA[TANGGAL]))&amp;":"&amp;ADDRESS(ROW(),COLUMN(NOTA[TANGGAL]))),-1)))</f>
        <v>45300</v>
      </c>
      <c r="AJ260" s="41" t="str">
        <f ca="1">IF(NOTA[[#This Row],[NAMA BARANG]]="","",INDEX(NOTA[SUPPLIER],MATCH(,INDIRECT(ADDRESS(ROW(NOTA[ID]),COLUMN(NOTA[ID]))&amp;":"&amp;ADDRESS(ROW(),COLUMN(NOTA[ID]))),-1)))</f>
        <v>SBS</v>
      </c>
      <c r="AK260" s="41" t="str">
        <f ca="1">IF(NOTA[[#This Row],[ID_H]]="","",IF(NOTA[[#This Row],[FAKTUR]]="",INDIRECT(ADDRESS(ROW()-1,COLUMN())),NOTA[[#This Row],[FAKTUR]]))</f>
        <v>UNTANA</v>
      </c>
      <c r="AL260" s="38" t="str">
        <f ca="1">IF(NOTA[[#This Row],[ID]]="","",COUNTIF(NOTA[ID_H],NOTA[[#This Row],[ID_H]]))</f>
        <v/>
      </c>
      <c r="AM260" s="38">
        <f ca="1">IF(NOTA[[#This Row],[TGL.NOTA]]="",IF(NOTA[[#This Row],[SUPPLIER_H]]="","",AM259),MONTH(NOTA[[#This Row],[TGL.NOTA]]))</f>
        <v>1</v>
      </c>
      <c r="AN260" s="38" t="str">
        <f>LOWER(SUBSTITUTE(SUBSTITUTE(SUBSTITUTE(SUBSTITUTE(SUBSTITUTE(SUBSTITUTE(SUBSTITUTE(SUBSTITUTE(SUBSTITUTE(NOTA[NAMA BARANG]," ",),".",""),"-",""),"(",""),")",""),",",""),"/",""),"""",""),"+",""))</f>
        <v>hbagkertasmtbatik3l25x35</v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hbagkertasmtbatik3l25x358400000.05</v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hbagkertasmtbatik3l25x358400000.05</v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 t="e">
        <f>IF(NOTA[[#This Row],[CONCAT1]]="","",MATCH(NOTA[[#This Row],[CONCAT1]],[3]!db[NB NOTA_C],0))</f>
        <v>#N/A</v>
      </c>
      <c r="AT260" s="38" t="b">
        <f>IF(NOTA[[#This Row],[QTY/ CTN]]="","",TRUE)</f>
        <v>1</v>
      </c>
      <c r="AU260" s="38" t="str">
        <f ca="1">IF(NOTA[[#This Row],[ID_H]]="","",IF(NOTA[[#This Row],[Column3]]=TRUE,NOTA[[#This Row],[QTY/ CTN]],INDEX([3]!db[QTY/ CTN],NOTA[[#This Row],[//DB]])))</f>
        <v>40 LSN</v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hbagkertasmtbatik3l25x3540lsnuntana</v>
      </c>
      <c r="AW260" s="38" t="e">
        <f ca="1">IF(NOTA[[#This Row],[ID_H]]="","",MATCH(NOTA[[#This Row],[NB NOTA_C_QTY]],[4]!db[NB NOTA_C_QTY+F],0))</f>
        <v>#REF!</v>
      </c>
      <c r="AX260" s="53">
        <f ca="1">IF(NOTA[[#This Row],[NB NOTA_C_QTY]]="","",ROW()-2)</f>
        <v>258</v>
      </c>
    </row>
    <row r="261" spans="1:50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>
        <f ca="1">IF(NOTA[[#This Row],[NAMA BARANG]]="","",INDEX(NOTA[ID],MATCH(,INDIRECT(ADDRESS(ROW(NOTA[ID]),COLUMN(NOTA[ID]))&amp;":"&amp;ADDRESS(ROW(),COLUMN(NOTA[ID]))),-1)))</f>
        <v>38</v>
      </c>
      <c r="E261" s="46"/>
      <c r="F261" s="37"/>
      <c r="G261" s="37"/>
      <c r="H261" s="47"/>
      <c r="I261" s="37"/>
      <c r="J261" s="39"/>
      <c r="K261" s="37">
        <v>1</v>
      </c>
      <c r="L261" s="37" t="s">
        <v>392</v>
      </c>
      <c r="M261" s="40">
        <v>3</v>
      </c>
      <c r="N261" s="38">
        <v>90</v>
      </c>
      <c r="O261" s="37" t="s">
        <v>111</v>
      </c>
      <c r="P261" s="41">
        <v>25500</v>
      </c>
      <c r="Q261" s="42"/>
      <c r="R261" s="48" t="s">
        <v>113</v>
      </c>
      <c r="S261" s="49">
        <v>0.05</v>
      </c>
      <c r="T261" s="44"/>
      <c r="U261" s="44"/>
      <c r="V261" s="50"/>
      <c r="W261" s="45"/>
      <c r="X261" s="50">
        <f>IF(NOTA[[#This Row],[HARGA/ CTN]]="",NOTA[[#This Row],[JUMLAH_H]],NOTA[[#This Row],[HARGA/ CTN]]*IF(NOTA[[#This Row],[C]]="",0,NOTA[[#This Row],[C]]))</f>
        <v>2295000</v>
      </c>
      <c r="Y261" s="50">
        <f>IF(NOTA[[#This Row],[JUMLAH]]="","",NOTA[[#This Row],[JUMLAH]]*NOTA[[#This Row],[DISC 1]])</f>
        <v>114750</v>
      </c>
      <c r="Z261" s="50">
        <f>IF(NOTA[[#This Row],[JUMLAH]]="","",(NOTA[[#This Row],[JUMLAH]]-NOTA[[#This Row],[DISC 1-]])*NOTA[[#This Row],[DISC 2]])</f>
        <v>0</v>
      </c>
      <c r="AA261" s="50">
        <f>IF(NOTA[[#This Row],[JUMLAH]]="","",(NOTA[[#This Row],[JUMLAH]]-NOTA[[#This Row],[DISC 1-]]-NOTA[[#This Row],[DISC 2-]])*NOTA[[#This Row],[DISC 3]])</f>
        <v>0</v>
      </c>
      <c r="AB261" s="50">
        <f>IF(NOTA[[#This Row],[JUMLAH]]="","",NOTA[[#This Row],[DISC 1-]]+NOTA[[#This Row],[DISC 2-]]+NOTA[[#This Row],[DISC 3-]])</f>
        <v>114750</v>
      </c>
      <c r="AC261" s="50">
        <f>IF(NOTA[[#This Row],[JUMLAH]]="","",NOTA[[#This Row],[JUMLAH]]-NOTA[[#This Row],[DISC]])</f>
        <v>2180250</v>
      </c>
      <c r="AD261" s="50"/>
      <c r="AE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364500</v>
      </c>
      <c r="AF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6925500</v>
      </c>
      <c r="AG261" s="41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261" s="50">
        <f>IF(OR(NOTA[[#This Row],[QTY]]="",NOTA[[#This Row],[HARGA SATUAN]]="",),"",NOTA[[#This Row],[QTY]]*NOTA[[#This Row],[HARGA SATUAN]])</f>
        <v>2295000</v>
      </c>
      <c r="AI261" s="39">
        <f ca="1">IF(NOTA[ID_H]="","",INDEX(NOTA[TANGGAL],MATCH(,INDIRECT(ADDRESS(ROW(NOTA[TANGGAL]),COLUMN(NOTA[TANGGAL]))&amp;":"&amp;ADDRESS(ROW(),COLUMN(NOTA[TANGGAL]))),-1)))</f>
        <v>45300</v>
      </c>
      <c r="AJ261" s="41" t="str">
        <f ca="1">IF(NOTA[[#This Row],[NAMA BARANG]]="","",INDEX(NOTA[SUPPLIER],MATCH(,INDIRECT(ADDRESS(ROW(NOTA[ID]),COLUMN(NOTA[ID]))&amp;":"&amp;ADDRESS(ROW(),COLUMN(NOTA[ID]))),-1)))</f>
        <v>SBS</v>
      </c>
      <c r="AK261" s="41" t="str">
        <f ca="1">IF(NOTA[[#This Row],[ID_H]]="","",IF(NOTA[[#This Row],[FAKTUR]]="",INDIRECT(ADDRESS(ROW()-1,COLUMN())),NOTA[[#This Row],[FAKTUR]]))</f>
        <v>UNTANA</v>
      </c>
      <c r="AL261" s="38" t="str">
        <f ca="1">IF(NOTA[[#This Row],[ID]]="","",COUNTIF(NOTA[ID_H],NOTA[[#This Row],[ID_H]]))</f>
        <v/>
      </c>
      <c r="AM261" s="38">
        <f ca="1">IF(NOTA[[#This Row],[TGL.NOTA]]="",IF(NOTA[[#This Row],[SUPPLIER_H]]="","",AM260),MONTH(NOTA[[#This Row],[TGL.NOTA]]))</f>
        <v>1</v>
      </c>
      <c r="AN261" s="38" t="str">
        <f>LOWER(SUBSTITUTE(SUBSTITUTE(SUBSTITUTE(SUBSTITUTE(SUBSTITUTE(SUBSTITUTE(SUBSTITUTE(SUBSTITUTE(SUBSTITUTE(NOTA[NAMA BARANG]," ",),".",""),"-",""),"(",""),")",""),",",""),"/",""),"""",""),"+",""))</f>
        <v>hbagkertasmtbatik4txltegak30x40</v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hbagkertasmtbatik4txltegak30x407650000.05</v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hbagkertasmtbatik4txltegak30x407650000.05</v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1" s="38" t="str">
        <f>IF(NOTA[[#This Row],[CONCAT4]]="","",_xlfn.IFNA(MATCH(NOTA[[#This Row],[CONCAT4]],[2]!RAW[CONCAT_H],0),FALSE))</f>
        <v/>
      </c>
      <c r="AS261" s="38" t="e">
        <f>IF(NOTA[[#This Row],[CONCAT1]]="","",MATCH(NOTA[[#This Row],[CONCAT1]],[3]!db[NB NOTA_C],0))</f>
        <v>#N/A</v>
      </c>
      <c r="AT261" s="38" t="b">
        <f>IF(NOTA[[#This Row],[QTY/ CTN]]="","",TRUE)</f>
        <v>1</v>
      </c>
      <c r="AU261" s="38" t="str">
        <f ca="1">IF(NOTA[[#This Row],[ID_H]]="","",IF(NOTA[[#This Row],[Column3]]=TRUE,NOTA[[#This Row],[QTY/ CTN]],INDEX([3]!db[QTY/ CTN],NOTA[[#This Row],[//DB]])))</f>
        <v>30 LSN</v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hbagkertasmtbatik4txltegak30x4030lsnuntana</v>
      </c>
      <c r="AW261" s="38" t="e">
        <f ca="1">IF(NOTA[[#This Row],[ID_H]]="","",MATCH(NOTA[[#This Row],[NB NOTA_C_QTY]],[4]!db[NB NOTA_C_QTY+F],0))</f>
        <v>#REF!</v>
      </c>
      <c r="AX261" s="53">
        <f ca="1">IF(NOTA[[#This Row],[NB NOTA_C_QTY]]="","",ROW()-2)</f>
        <v>259</v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 t="str">
        <f ca="1">IF(NOTA[[#This Row],[NAMA BARANG]]="","",INDEX(NOTA[ID],MATCH(,INDIRECT(ADDRESS(ROW(NOTA[ID]),COLUMN(NOTA[ID]))&amp;":"&amp;ADDRESS(ROW(),COLUMN(NOTA[ID]))),-1)))</f>
        <v/>
      </c>
      <c r="E262" s="46"/>
      <c r="F262" s="37"/>
      <c r="G262" s="37"/>
      <c r="H262" s="47"/>
      <c r="I262" s="37"/>
      <c r="J262" s="39"/>
      <c r="K262" s="37"/>
      <c r="L262" s="37"/>
      <c r="M262" s="40"/>
      <c r="O262" s="37"/>
      <c r="P262" s="41"/>
      <c r="Q262" s="42"/>
      <c r="R262" s="48"/>
      <c r="S262" s="49"/>
      <c r="T262" s="44"/>
      <c r="U262" s="44"/>
      <c r="V262" s="50"/>
      <c r="W262" s="45"/>
      <c r="X262" s="50" t="str">
        <f>IF(NOTA[[#This Row],[HARGA/ CTN]]="",NOTA[[#This Row],[JUMLAH_H]],NOTA[[#This Row],[HARGA/ CTN]]*IF(NOTA[[#This Row],[C]]="",0,NOTA[[#This Row],[C]]))</f>
        <v/>
      </c>
      <c r="Y262" s="50" t="str">
        <f>IF(NOTA[[#This Row],[JUMLAH]]="","",NOTA[[#This Row],[JUMLAH]]*NOTA[[#This Row],[DISC 1]])</f>
        <v/>
      </c>
      <c r="Z262" s="50" t="str">
        <f>IF(NOTA[[#This Row],[JUMLAH]]="","",(NOTA[[#This Row],[JUMLAH]]-NOTA[[#This Row],[DISC 1-]])*NOTA[[#This Row],[DISC 2]])</f>
        <v/>
      </c>
      <c r="AA262" s="50" t="str">
        <f>IF(NOTA[[#This Row],[JUMLAH]]="","",(NOTA[[#This Row],[JUMLAH]]-NOTA[[#This Row],[DISC 1-]]-NOTA[[#This Row],[DISC 2-]])*NOTA[[#This Row],[DISC 3]])</f>
        <v/>
      </c>
      <c r="AB262" s="50" t="str">
        <f>IF(NOTA[[#This Row],[JUMLAH]]="","",NOTA[[#This Row],[DISC 1-]]+NOTA[[#This Row],[DISC 2-]]+NOTA[[#This Row],[DISC 3-]])</f>
        <v/>
      </c>
      <c r="AC262" s="50" t="str">
        <f>IF(NOTA[[#This Row],[JUMLAH]]="","",NOTA[[#This Row],[JUMLAH]]-NOTA[[#This Row],[DISC]])</f>
        <v/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2" s="50" t="str">
        <f>IF(OR(NOTA[[#This Row],[QTY]]="",NOTA[[#This Row],[HARGA SATUAN]]="",),"",NOTA[[#This Row],[QTY]]*NOTA[[#This Row],[HARGA SATUAN]])</f>
        <v/>
      </c>
      <c r="AI262" s="39" t="str">
        <f ca="1">IF(NOTA[ID_H]="","",INDEX(NOTA[TANGGAL],MATCH(,INDIRECT(ADDRESS(ROW(NOTA[TANGGAL]),COLUMN(NOTA[TANGGAL]))&amp;":"&amp;ADDRESS(ROW(),COLUMN(NOTA[TANGGAL]))),-1)))</f>
        <v/>
      </c>
      <c r="AJ262" s="41" t="str">
        <f ca="1">IF(NOTA[[#This Row],[NAMA BARANG]]="","",INDEX(NOTA[SUPPLIER],MATCH(,INDIRECT(ADDRESS(ROW(NOTA[ID]),COLUMN(NOTA[ID]))&amp;":"&amp;ADDRESS(ROW(),COLUMN(NOTA[ID]))),-1)))</f>
        <v/>
      </c>
      <c r="AK262" s="41" t="str">
        <f ca="1">IF(NOTA[[#This Row],[ID_H]]="","",IF(NOTA[[#This Row],[FAKTUR]]="",INDIRECT(ADDRESS(ROW()-1,COLUMN())),NOTA[[#This Row],[FAKTUR]]))</f>
        <v/>
      </c>
      <c r="AL262" s="38" t="str">
        <f ca="1">IF(NOTA[[#This Row],[ID]]="","",COUNTIF(NOTA[ID_H],NOTA[[#This Row],[ID_H]]))</f>
        <v/>
      </c>
      <c r="AM262" s="38" t="str">
        <f ca="1">IF(NOTA[[#This Row],[TGL.NOTA]]="",IF(NOTA[[#This Row],[SUPPLIER_H]]="","",AM261),MONTH(NOTA[[#This Row],[TGL.NOTA]]))</f>
        <v/>
      </c>
      <c r="AN262" s="38" t="str">
        <f>LOWER(SUBSTITUTE(SUBSTITUTE(SUBSTITUTE(SUBSTITUTE(SUBSTITUTE(SUBSTITUTE(SUBSTITUTE(SUBSTITUTE(SUBSTITUTE(NOTA[NAMA BARANG]," ",),".",""),"-",""),"(",""),")",""),",",""),"/",""),"""",""),"+",""))</f>
        <v/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 t="str">
        <f>IF(NOTA[[#This Row],[CONCAT1]]="","",MATCH(NOTA[[#This Row],[CONCAT1]],[3]!db[NB NOTA_C],0))</f>
        <v/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/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2" s="38" t="str">
        <f ca="1">IF(NOTA[[#This Row],[ID_H]]="","",MATCH(NOTA[[#This Row],[NB NOTA_C_QTY]],[4]!db[NB NOTA_C_QTY+F],0))</f>
        <v/>
      </c>
      <c r="AX262" s="53" t="str">
        <f ca="1">IF(NOTA[[#This Row],[NB NOTA_C_QTY]]="","",ROW()-2)</f>
        <v/>
      </c>
    </row>
    <row r="263" spans="1:50" s="38" customFormat="1" ht="20.100000000000001" customHeight="1" x14ac:dyDescent="0.25">
      <c r="A263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2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SBS_0901_TTP-6</v>
      </c>
      <c r="C263" s="38" t="e">
        <f ca="1">IF(NOTA[[#This Row],[ID_P]]="","",MATCH(NOTA[[#This Row],[ID_P]],[1]!B_MSK[N_ID],0))</f>
        <v>#REF!</v>
      </c>
      <c r="D263" s="38">
        <f ca="1">IF(NOTA[[#This Row],[NAMA BARANG]]="","",INDEX(NOTA[ID],MATCH(,INDIRECT(ADDRESS(ROW(NOTA[ID]),COLUMN(NOTA[ID]))&amp;":"&amp;ADDRESS(ROW(),COLUMN(NOTA[ID]))),-1)))</f>
        <v>39</v>
      </c>
      <c r="E263" s="46"/>
      <c r="F263" s="37" t="s">
        <v>371</v>
      </c>
      <c r="G263" s="37" t="s">
        <v>110</v>
      </c>
      <c r="H263" s="47" t="s">
        <v>393</v>
      </c>
      <c r="I263" s="37"/>
      <c r="J263" s="39">
        <v>45630</v>
      </c>
      <c r="K263" s="37"/>
      <c r="L263" s="37" t="s">
        <v>394</v>
      </c>
      <c r="M263" s="40">
        <v>7</v>
      </c>
      <c r="N263" s="38">
        <v>84</v>
      </c>
      <c r="O263" s="37" t="s">
        <v>115</v>
      </c>
      <c r="P263" s="41">
        <v>66000</v>
      </c>
      <c r="Q263" s="42"/>
      <c r="R263" s="48" t="s">
        <v>395</v>
      </c>
      <c r="S263" s="49">
        <v>0.25</v>
      </c>
      <c r="T263" s="44"/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5544000</v>
      </c>
      <c r="Y263" s="50">
        <f>IF(NOTA[[#This Row],[JUMLAH]]="","",NOTA[[#This Row],[JUMLAH]]*NOTA[[#This Row],[DISC 1]])</f>
        <v>1386000</v>
      </c>
      <c r="Z263" s="50">
        <f>IF(NOTA[[#This Row],[JUMLAH]]="","",(NOTA[[#This Row],[JUMLAH]]-NOTA[[#This Row],[DISC 1-]])*NOTA[[#This Row],[DISC 2]])</f>
        <v>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1386000</v>
      </c>
      <c r="AC263" s="50">
        <f>IF(NOTA[[#This Row],[JUMLAH]]="","",NOTA[[#This Row],[JUMLAH]]-NOTA[[#This Row],[DISC]])</f>
        <v>4158000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H263" s="50">
        <f>IF(OR(NOTA[[#This Row],[QTY]]="",NOTA[[#This Row],[HARGA SATUAN]]="",),"",NOTA[[#This Row],[QTY]]*NOTA[[#This Row],[HARGA SATUAN]])</f>
        <v>5544000</v>
      </c>
      <c r="AI263" s="39">
        <f ca="1">IF(NOTA[ID_H]="","",INDEX(NOTA[TANGGAL],MATCH(,INDIRECT(ADDRESS(ROW(NOTA[TANGGAL]),COLUMN(NOTA[TANGGAL]))&amp;":"&amp;ADDRESS(ROW(),COLUMN(NOTA[TANGGAL]))),-1)))</f>
        <v>45300</v>
      </c>
      <c r="AJ263" s="41" t="str">
        <f ca="1">IF(NOTA[[#This Row],[NAMA BARANG]]="","",INDEX(NOTA[SUPPLIER],MATCH(,INDIRECT(ADDRESS(ROW(NOTA[ID]),COLUMN(NOTA[ID]))&amp;":"&amp;ADDRESS(ROW(),COLUMN(NOTA[ID]))),-1)))</f>
        <v>SBS</v>
      </c>
      <c r="AK263" s="41" t="str">
        <f ca="1">IF(NOTA[[#This Row],[ID_H]]="","",IF(NOTA[[#This Row],[FAKTUR]]="",INDIRECT(ADDRESS(ROW()-1,COLUMN())),NOTA[[#This Row],[FAKTUR]]))</f>
        <v>UNTANA</v>
      </c>
      <c r="AL263" s="38">
        <f ca="1">IF(NOTA[[#This Row],[ID]]="","",COUNTIF(NOTA[ID_H],NOTA[[#This Row],[ID_H]]))</f>
        <v>6</v>
      </c>
      <c r="AM263" s="38">
        <f>IF(NOTA[[#This Row],[TGL.NOTA]]="",IF(NOTA[[#This Row],[SUPPLIER_H]]="","",AM262),MONTH(NOTA[[#This Row],[TGL.NOTA]]))</f>
        <v>12</v>
      </c>
      <c r="AN263" s="38" t="str">
        <f>LOWER(SUBSTITUTE(SUBSTITUTE(SUBSTITUTE(SUBSTITUTE(SUBSTITUTE(SUBSTITUTE(SUBSTITUTE(SUBSTITUTE(SUBSTITUTE(NOTA[NAMA BARANG]," ",),".",""),"-",""),"(",""),")",""),",",""),"/",""),"""",""),"+",""))</f>
        <v>elevatedtraymicrotop602hitam</v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elevatedtraymicrotop602hitam7920000.25</v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elevatedtraymicrotop602hitam7920000.25</v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SBSUNTANAVM0057ATTP45630elevatedtraymicrotop602hitam</v>
      </c>
      <c r="AR263" s="38" t="e">
        <f>IF(NOTA[[#This Row],[CONCAT4]]="","",_xlfn.IFNA(MATCH(NOTA[[#This Row],[CONCAT4]],[2]!RAW[CONCAT_H],0),FALSE))</f>
        <v>#REF!</v>
      </c>
      <c r="AS263" s="38">
        <f>IF(NOTA[[#This Row],[CONCAT1]]="","",MATCH(NOTA[[#This Row],[CONCAT1]],[3]!db[NB NOTA_C],0))</f>
        <v>908</v>
      </c>
      <c r="AT263" s="38" t="b">
        <f>IF(NOTA[[#This Row],[QTY/ CTN]]="","",TRUE)</f>
        <v>1</v>
      </c>
      <c r="AU263" s="38" t="str">
        <f ca="1">IF(NOTA[[#This Row],[ID_H]]="","",IF(NOTA[[#This Row],[Column3]]=TRUE,NOTA[[#This Row],[QTY/ CTN]],INDEX([3]!db[QTY/ CTN],NOTA[[#This Row],[//DB]])))</f>
        <v>12 PCS</v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elevatedtraymicrotop602hitam12pcsuntana</v>
      </c>
      <c r="AW263" s="38" t="e">
        <f ca="1">IF(NOTA[[#This Row],[ID_H]]="","",MATCH(NOTA[[#This Row],[NB NOTA_C_QTY]],[4]!db[NB NOTA_C_QTY+F],0))</f>
        <v>#REF!</v>
      </c>
      <c r="AX263" s="53">
        <f ca="1">IF(NOTA[[#This Row],[NB NOTA_C_QTY]]="","",ROW()-2)</f>
        <v>261</v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39</v>
      </c>
      <c r="E264" s="46"/>
      <c r="F264" s="37"/>
      <c r="G264" s="37"/>
      <c r="H264" s="47"/>
      <c r="I264" s="37"/>
      <c r="J264" s="39"/>
      <c r="K264" s="37"/>
      <c r="L264" s="37" t="s">
        <v>394</v>
      </c>
      <c r="M264" s="40">
        <v>1</v>
      </c>
      <c r="N264" s="38">
        <v>12</v>
      </c>
      <c r="O264" s="37" t="s">
        <v>115</v>
      </c>
      <c r="P264" s="41"/>
      <c r="Q264" s="42"/>
      <c r="R264" s="48"/>
      <c r="S264" s="49"/>
      <c r="T264" s="44"/>
      <c r="U264" s="44"/>
      <c r="V264" s="50"/>
      <c r="W264" s="45" t="s">
        <v>250</v>
      </c>
      <c r="X264" s="50" t="str">
        <f>IF(NOTA[[#This Row],[HARGA/ CTN]]="",NOTA[[#This Row],[JUMLAH_H]],NOTA[[#This Row],[HARGA/ CTN]]*IF(NOTA[[#This Row],[C]]="",0,NOTA[[#This Row],[C]]))</f>
        <v/>
      </c>
      <c r="Y264" s="50" t="str">
        <f>IF(NOTA[[#This Row],[JUMLAH]]="","",NOTA[[#This Row],[JUMLAH]]*NOTA[[#This Row],[DISC 1]])</f>
        <v/>
      </c>
      <c r="Z264" s="50" t="str">
        <f>IF(NOTA[[#This Row],[JUMLAH]]="","",(NOTA[[#This Row],[JUMLAH]]-NOTA[[#This Row],[DISC 1-]])*NOTA[[#This Row],[DISC 2]])</f>
        <v/>
      </c>
      <c r="AA264" s="50" t="str">
        <f>IF(NOTA[[#This Row],[JUMLAH]]="","",(NOTA[[#This Row],[JUMLAH]]-NOTA[[#This Row],[DISC 1-]]-NOTA[[#This Row],[DISC 2-]])*NOTA[[#This Row],[DISC 3]])</f>
        <v/>
      </c>
      <c r="AB264" s="50" t="str">
        <f>IF(NOTA[[#This Row],[JUMLAH]]="","",NOTA[[#This Row],[DISC 1-]]+NOTA[[#This Row],[DISC 2-]]+NOTA[[#This Row],[DISC 3-]])</f>
        <v/>
      </c>
      <c r="AC264" s="50" t="str">
        <f>IF(NOTA[[#This Row],[JUMLAH]]="","",NOTA[[#This Row],[JUMLAH]]-NOTA[[#This Row],[DISC]])</f>
        <v/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64" s="50" t="str">
        <f>IF(OR(NOTA[[#This Row],[QTY]]="",NOTA[[#This Row],[HARGA SATUAN]]="",),"",NOTA[[#This Row],[QTY]]*NOTA[[#This Row],[HARGA SATUAN]])</f>
        <v/>
      </c>
      <c r="AI264" s="39">
        <f ca="1">IF(NOTA[ID_H]="","",INDEX(NOTA[TANGGAL],MATCH(,INDIRECT(ADDRESS(ROW(NOTA[TANGGAL]),COLUMN(NOTA[TANGGAL]))&amp;":"&amp;ADDRESS(ROW(),COLUMN(NOTA[TANGGAL]))),-1)))</f>
        <v>45300</v>
      </c>
      <c r="AJ264" s="41" t="str">
        <f ca="1">IF(NOTA[[#This Row],[NAMA BARANG]]="","",INDEX(NOTA[SUPPLIER],MATCH(,INDIRECT(ADDRESS(ROW(NOTA[ID]),COLUMN(NOTA[ID]))&amp;":"&amp;ADDRESS(ROW(),COLUMN(NOTA[ID]))),-1)))</f>
        <v>SBS</v>
      </c>
      <c r="AK264" s="41" t="str">
        <f ca="1">IF(NOTA[[#This Row],[ID_H]]="","",IF(NOTA[[#This Row],[FAKTUR]]="",INDIRECT(ADDRESS(ROW()-1,COLUMN())),NOTA[[#This Row],[FAKTUR]]))</f>
        <v>UNTANA</v>
      </c>
      <c r="AL264" s="38" t="str">
        <f ca="1">IF(NOTA[[#This Row],[ID]]="","",COUNTIF(NOTA[ID_H],NOTA[[#This Row],[ID_H]]))</f>
        <v/>
      </c>
      <c r="AM264" s="38">
        <f ca="1">IF(NOTA[[#This Row],[TGL.NOTA]]="",IF(NOTA[[#This Row],[SUPPLIER_H]]="","",AM263),MONTH(NOTA[[#This Row],[TGL.NOTA]]))</f>
        <v>12</v>
      </c>
      <c r="AN264" s="38" t="str">
        <f>LOWER(SUBSTITUTE(SUBSTITUTE(SUBSTITUTE(SUBSTITUTE(SUBSTITUTE(SUBSTITUTE(SUBSTITUTE(SUBSTITUTE(SUBSTITUTE(NOTA[NAMA BARANG]," ",),".",""),"-",""),"(",""),")",""),",",""),"/",""),"""",""),"+",""))</f>
        <v>elevatedtraymicrotop602hitam</v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elevatedtraymicrotop602hitam0</v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elevatedtraymicrotop602hitam0</v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>
        <f>IF(NOTA[[#This Row],[CONCAT1]]="","",MATCH(NOTA[[#This Row],[CONCAT1]],[3]!db[NB NOTA_C],0))</f>
        <v>908</v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>24 PCS</v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elevatedtraymicrotop602hitam24pcsuntana</v>
      </c>
      <c r="AW264" s="38" t="e">
        <f ca="1">IF(NOTA[[#This Row],[ID_H]]="","",MATCH(NOTA[[#This Row],[NB NOTA_C_QTY]],[4]!db[NB NOTA_C_QTY+F],0))</f>
        <v>#REF!</v>
      </c>
      <c r="AX264" s="53">
        <f ca="1">IF(NOTA[[#This Row],[NB NOTA_C_QTY]]="","",ROW()-2)</f>
        <v>262</v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39</v>
      </c>
      <c r="E265" s="46"/>
      <c r="F265" s="37"/>
      <c r="G265" s="37"/>
      <c r="H265" s="47"/>
      <c r="I265" s="37"/>
      <c r="J265" s="39"/>
      <c r="K265" s="37"/>
      <c r="L265" s="37" t="s">
        <v>396</v>
      </c>
      <c r="M265" s="40">
        <v>7</v>
      </c>
      <c r="N265" s="38">
        <v>56</v>
      </c>
      <c r="O265" s="37" t="s">
        <v>115</v>
      </c>
      <c r="P265" s="41">
        <v>82500</v>
      </c>
      <c r="Q265" s="42"/>
      <c r="R265" s="48" t="s">
        <v>399</v>
      </c>
      <c r="S265" s="49">
        <v>0.25</v>
      </c>
      <c r="T265" s="44"/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4620000</v>
      </c>
      <c r="Y265" s="50">
        <f>IF(NOTA[[#This Row],[JUMLAH]]="","",NOTA[[#This Row],[JUMLAH]]*NOTA[[#This Row],[DISC 1]])</f>
        <v>1155000</v>
      </c>
      <c r="Z265" s="50">
        <f>IF(NOTA[[#This Row],[JUMLAH]]="","",(NOTA[[#This Row],[JUMLAH]]-NOTA[[#This Row],[DISC 1-]])*NOTA[[#This Row],[DISC 2]])</f>
        <v>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1155000</v>
      </c>
      <c r="AC265" s="50">
        <f>IF(NOTA[[#This Row],[JUMLAH]]="","",NOTA[[#This Row],[JUMLAH]]-NOTA[[#This Row],[DISC]])</f>
        <v>3465000</v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H265" s="50">
        <f>IF(OR(NOTA[[#This Row],[QTY]]="",NOTA[[#This Row],[HARGA SATUAN]]="",),"",NOTA[[#This Row],[QTY]]*NOTA[[#This Row],[HARGA SATUAN]])</f>
        <v>4620000</v>
      </c>
      <c r="AI265" s="39">
        <f ca="1">IF(NOTA[ID_H]="","",INDEX(NOTA[TANGGAL],MATCH(,INDIRECT(ADDRESS(ROW(NOTA[TANGGAL]),COLUMN(NOTA[TANGGAL]))&amp;":"&amp;ADDRESS(ROW(),COLUMN(NOTA[TANGGAL]))),-1)))</f>
        <v>45300</v>
      </c>
      <c r="AJ265" s="41" t="str">
        <f ca="1">IF(NOTA[[#This Row],[NAMA BARANG]]="","",INDEX(NOTA[SUPPLIER],MATCH(,INDIRECT(ADDRESS(ROW(NOTA[ID]),COLUMN(NOTA[ID]))&amp;":"&amp;ADDRESS(ROW(),COLUMN(NOTA[ID]))),-1)))</f>
        <v>SBS</v>
      </c>
      <c r="AK265" s="41" t="str">
        <f ca="1">IF(NOTA[[#This Row],[ID_H]]="","",IF(NOTA[[#This Row],[FAKTUR]]="",INDIRECT(ADDRESS(ROW()-1,COLUMN())),NOTA[[#This Row],[FAKTUR]]))</f>
        <v>UNTANA</v>
      </c>
      <c r="AL265" s="38" t="str">
        <f ca="1">IF(NOTA[[#This Row],[ID]]="","",COUNTIF(NOTA[ID_H],NOTA[[#This Row],[ID_H]]))</f>
        <v/>
      </c>
      <c r="AM265" s="38">
        <f ca="1">IF(NOTA[[#This Row],[TGL.NOTA]]="",IF(NOTA[[#This Row],[SUPPLIER_H]]="","",AM264),MONTH(NOTA[[#This Row],[TGL.NOTA]]))</f>
        <v>12</v>
      </c>
      <c r="AN265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elevatedtraymicrotop603hitam6600000.25</v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elevatedtraymicrotop603hitam6600000.25</v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>
        <f>IF(NOTA[[#This Row],[CONCAT1]]="","",MATCH(NOTA[[#This Row],[CONCAT1]],[3]!db[NB NOTA_C],0))</f>
        <v>910</v>
      </c>
      <c r="AT265" s="38" t="b">
        <f>IF(NOTA[[#This Row],[QTY/ CTN]]="","",TRUE)</f>
        <v>1</v>
      </c>
      <c r="AU265" s="38" t="str">
        <f ca="1">IF(NOTA[[#This Row],[ID_H]]="","",IF(NOTA[[#This Row],[Column3]]=TRUE,NOTA[[#This Row],[QTY/ CTN]],INDEX([3]!db[QTY/ CTN],NOTA[[#This Row],[//DB]])))</f>
        <v>8 PCS</v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elevatedtraymicrotop603hitam8pcsuntana</v>
      </c>
      <c r="AW265" s="38" t="e">
        <f ca="1">IF(NOTA[[#This Row],[ID_H]]="","",MATCH(NOTA[[#This Row],[NB NOTA_C_QTY]],[4]!db[NB NOTA_C_QTY+F],0))</f>
        <v>#REF!</v>
      </c>
      <c r="AX265" s="53">
        <f ca="1">IF(NOTA[[#This Row],[NB NOTA_C_QTY]]="","",ROW()-2)</f>
        <v>263</v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39</v>
      </c>
      <c r="E266" s="46"/>
      <c r="F266" s="37"/>
      <c r="G266" s="37"/>
      <c r="H266" s="47"/>
      <c r="I266" s="37"/>
      <c r="J266" s="39"/>
      <c r="K266" s="37"/>
      <c r="L266" s="37" t="s">
        <v>396</v>
      </c>
      <c r="M266" s="40">
        <v>1</v>
      </c>
      <c r="O266" s="37"/>
      <c r="P266" s="41"/>
      <c r="Q266" s="42"/>
      <c r="R266" s="48"/>
      <c r="S266" s="49"/>
      <c r="T266" s="44"/>
      <c r="U266" s="44"/>
      <c r="V266" s="50"/>
      <c r="W266" s="45" t="s">
        <v>250</v>
      </c>
      <c r="X266" s="50" t="str">
        <f>IF(NOTA[[#This Row],[HARGA/ CTN]]="",NOTA[[#This Row],[JUMLAH_H]],NOTA[[#This Row],[HARGA/ CTN]]*IF(NOTA[[#This Row],[C]]="",0,NOTA[[#This Row],[C]]))</f>
        <v/>
      </c>
      <c r="Y266" s="50" t="str">
        <f>IF(NOTA[[#This Row],[JUMLAH]]="","",NOTA[[#This Row],[JUMLAH]]*NOTA[[#This Row],[DISC 1]])</f>
        <v/>
      </c>
      <c r="Z266" s="50" t="str">
        <f>IF(NOTA[[#This Row],[JUMLAH]]="","",(NOTA[[#This Row],[JUMLAH]]-NOTA[[#This Row],[DISC 1-]])*NOTA[[#This Row],[DISC 2]])</f>
        <v/>
      </c>
      <c r="AA266" s="50" t="str">
        <f>IF(NOTA[[#This Row],[JUMLAH]]="","",(NOTA[[#This Row],[JUMLAH]]-NOTA[[#This Row],[DISC 1-]]-NOTA[[#This Row],[DISC 2-]])*NOTA[[#This Row],[DISC 3]])</f>
        <v/>
      </c>
      <c r="AB266" s="50" t="str">
        <f>IF(NOTA[[#This Row],[JUMLAH]]="","",NOTA[[#This Row],[DISC 1-]]+NOTA[[#This Row],[DISC 2-]]+NOTA[[#This Row],[DISC 3-]])</f>
        <v/>
      </c>
      <c r="AC266" s="50" t="str">
        <f>IF(NOTA[[#This Row],[JUMLAH]]="","",NOTA[[#This Row],[JUMLAH]]-NOTA[[#This Row],[DISC]])</f>
        <v/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66" s="50" t="str">
        <f>IF(OR(NOTA[[#This Row],[QTY]]="",NOTA[[#This Row],[HARGA SATUAN]]="",),"",NOTA[[#This Row],[QTY]]*NOTA[[#This Row],[HARGA SATUAN]])</f>
        <v/>
      </c>
      <c r="AI266" s="39">
        <f ca="1">IF(NOTA[ID_H]="","",INDEX(NOTA[TANGGAL],MATCH(,INDIRECT(ADDRESS(ROW(NOTA[TANGGAL]),COLUMN(NOTA[TANGGAL]))&amp;":"&amp;ADDRESS(ROW(),COLUMN(NOTA[TANGGAL]))),-1)))</f>
        <v>45300</v>
      </c>
      <c r="AJ266" s="41" t="str">
        <f ca="1">IF(NOTA[[#This Row],[NAMA BARANG]]="","",INDEX(NOTA[SUPPLIER],MATCH(,INDIRECT(ADDRESS(ROW(NOTA[ID]),COLUMN(NOTA[ID]))&amp;":"&amp;ADDRESS(ROW(),COLUMN(NOTA[ID]))),-1)))</f>
        <v>SBS</v>
      </c>
      <c r="AK266" s="41" t="str">
        <f ca="1">IF(NOTA[[#This Row],[ID_H]]="","",IF(NOTA[[#This Row],[FAKTUR]]="",INDIRECT(ADDRESS(ROW()-1,COLUMN())),NOTA[[#This Row],[FAKTUR]]))</f>
        <v>UNTANA</v>
      </c>
      <c r="AL266" s="38" t="str">
        <f ca="1">IF(NOTA[[#This Row],[ID]]="","",COUNTIF(NOTA[ID_H],NOTA[[#This Row],[ID_H]]))</f>
        <v/>
      </c>
      <c r="AM266" s="38">
        <f ca="1">IF(NOTA[[#This Row],[TGL.NOTA]]="",IF(NOTA[[#This Row],[SUPPLIER_H]]="","",AM265),MONTH(NOTA[[#This Row],[TGL.NOTA]]))</f>
        <v>12</v>
      </c>
      <c r="AN266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elevatedtraymicrotop603hitam0</v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elevatedtraymicrotop603hitam0</v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>
        <f>IF(NOTA[[#This Row],[CONCAT1]]="","",MATCH(NOTA[[#This Row],[CONCAT1]],[3]!db[NB NOTA_C],0))</f>
        <v>910</v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>24 PCS</v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elevatedtraymicrotop603hitam24pcsuntana</v>
      </c>
      <c r="AW266" s="38" t="e">
        <f ca="1">IF(NOTA[[#This Row],[ID_H]]="","",MATCH(NOTA[[#This Row],[NB NOTA_C_QTY]],[4]!db[NB NOTA_C_QTY+F],0))</f>
        <v>#REF!</v>
      </c>
      <c r="AX266" s="53">
        <f ca="1">IF(NOTA[[#This Row],[NB NOTA_C_QTY]]="","",ROW()-2)</f>
        <v>264</v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39</v>
      </c>
      <c r="E267" s="46"/>
      <c r="F267" s="37"/>
      <c r="G267" s="37"/>
      <c r="H267" s="47"/>
      <c r="I267" s="37"/>
      <c r="J267" s="39"/>
      <c r="K267" s="37"/>
      <c r="L267" s="37" t="s">
        <v>397</v>
      </c>
      <c r="M267" s="40">
        <v>7</v>
      </c>
      <c r="N267" s="38">
        <v>42</v>
      </c>
      <c r="O267" s="37" t="s">
        <v>115</v>
      </c>
      <c r="P267" s="41">
        <v>150000</v>
      </c>
      <c r="Q267" s="42"/>
      <c r="R267" s="48" t="s">
        <v>398</v>
      </c>
      <c r="S267" s="49">
        <v>0.25</v>
      </c>
      <c r="T267" s="44"/>
      <c r="U267" s="44"/>
      <c r="V267" s="50"/>
      <c r="W267" s="50"/>
      <c r="X267" s="50">
        <f>IF(NOTA[[#This Row],[HARGA/ CTN]]="",NOTA[[#This Row],[JUMLAH_H]],NOTA[[#This Row],[HARGA/ CTN]]*IF(NOTA[[#This Row],[C]]="",0,NOTA[[#This Row],[C]]))</f>
        <v>6300000</v>
      </c>
      <c r="Y267" s="50">
        <f>IF(NOTA[[#This Row],[JUMLAH]]="","",NOTA[[#This Row],[JUMLAH]]*NOTA[[#This Row],[DISC 1]])</f>
        <v>1575000</v>
      </c>
      <c r="Z267" s="50">
        <f>IF(NOTA[[#This Row],[JUMLAH]]="","",(NOTA[[#This Row],[JUMLAH]]-NOTA[[#This Row],[DISC 1-]])*NOTA[[#This Row],[DISC 2]])</f>
        <v>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1575000</v>
      </c>
      <c r="AC267" s="50">
        <f>IF(NOTA[[#This Row],[JUMLAH]]="","",NOTA[[#This Row],[JUMLAH]]-NOTA[[#This Row],[DISC]])</f>
        <v>4725000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267" s="50">
        <f>IF(OR(NOTA[[#This Row],[QTY]]="",NOTA[[#This Row],[HARGA SATUAN]]="",),"",NOTA[[#This Row],[QTY]]*NOTA[[#This Row],[HARGA SATUAN]])</f>
        <v>6300000</v>
      </c>
      <c r="AI267" s="39">
        <f ca="1">IF(NOTA[ID_H]="","",INDEX(NOTA[TANGGAL],MATCH(,INDIRECT(ADDRESS(ROW(NOTA[TANGGAL]),COLUMN(NOTA[TANGGAL]))&amp;":"&amp;ADDRESS(ROW(),COLUMN(NOTA[TANGGAL]))),-1)))</f>
        <v>45300</v>
      </c>
      <c r="AJ267" s="41" t="str">
        <f ca="1">IF(NOTA[[#This Row],[NAMA BARANG]]="","",INDEX(NOTA[SUPPLIER],MATCH(,INDIRECT(ADDRESS(ROW(NOTA[ID]),COLUMN(NOTA[ID]))&amp;":"&amp;ADDRESS(ROW(),COLUMN(NOTA[ID]))),-1)))</f>
        <v>SBS</v>
      </c>
      <c r="AK267" s="41" t="str">
        <f ca="1">IF(NOTA[[#This Row],[ID_H]]="","",IF(NOTA[[#This Row],[FAKTUR]]="",INDIRECT(ADDRESS(ROW()-1,COLUMN())),NOTA[[#This Row],[FAKTUR]]))</f>
        <v>UNTANA</v>
      </c>
      <c r="AL267" s="38" t="str">
        <f ca="1">IF(NOTA[[#This Row],[ID]]="","",COUNTIF(NOTA[ID_H],NOTA[[#This Row],[ID_H]]))</f>
        <v/>
      </c>
      <c r="AM267" s="38">
        <f ca="1">IF(NOTA[[#This Row],[TGL.NOTA]]="",IF(NOTA[[#This Row],[SUPPLIER_H]]="","",AM266),MONTH(NOTA[[#This Row],[TGL.NOTA]]))</f>
        <v>12</v>
      </c>
      <c r="AN267" s="38" t="str">
        <f>LOWER(SUBSTITUTE(SUBSTITUTE(SUBSTITUTE(SUBSTITUTE(SUBSTITUTE(SUBSTITUTE(SUBSTITUTE(SUBSTITUTE(SUBSTITUTE(NOTA[NAMA BARANG]," ",),".",""),"-",""),"(",""),")",""),",",""),"/",""),"""",""),"+",""))</f>
        <v>elevatedtraymicrotop604hitam</v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elevatedtraymicrotop604hitam9000000.25</v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elevatedtraymicrotop604hitam9000000.25</v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>
        <f>IF(NOTA[[#This Row],[CONCAT1]]="","",MATCH(NOTA[[#This Row],[CONCAT1]],[3]!db[NB NOTA_C],0))</f>
        <v>911</v>
      </c>
      <c r="AT267" s="38" t="b">
        <f>IF(NOTA[[#This Row],[QTY/ CTN]]="","",TRUE)</f>
        <v>1</v>
      </c>
      <c r="AU267" s="38" t="str">
        <f ca="1">IF(NOTA[[#This Row],[ID_H]]="","",IF(NOTA[[#This Row],[Column3]]=TRUE,NOTA[[#This Row],[QTY/ CTN]],INDEX([3]!db[QTY/ CTN],NOTA[[#This Row],[//DB]])))</f>
        <v>6 PCS</v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elevatedtraymicrotop604hitam6pcsuntana</v>
      </c>
      <c r="AW267" s="38" t="e">
        <f ca="1">IF(NOTA[[#This Row],[ID_H]]="","",MATCH(NOTA[[#This Row],[NB NOTA_C_QTY]],[4]!db[NB NOTA_C_QTY+F],0))</f>
        <v>#REF!</v>
      </c>
      <c r="AX267" s="53">
        <f ca="1">IF(NOTA[[#This Row],[NB NOTA_C_QTY]]="","",ROW()-2)</f>
        <v>265</v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39</v>
      </c>
      <c r="E268" s="46"/>
      <c r="F268" s="37"/>
      <c r="G268" s="37"/>
      <c r="H268" s="47"/>
      <c r="I268" s="37"/>
      <c r="J268" s="39"/>
      <c r="K268" s="37"/>
      <c r="L268" s="37" t="s">
        <v>397</v>
      </c>
      <c r="M268" s="40">
        <v>1</v>
      </c>
      <c r="O268" s="37"/>
      <c r="P268" s="41"/>
      <c r="Q268" s="42"/>
      <c r="R268" s="48"/>
      <c r="S268" s="49"/>
      <c r="T268" s="44"/>
      <c r="U268" s="44"/>
      <c r="V268" s="50"/>
      <c r="W268" s="45" t="s">
        <v>250</v>
      </c>
      <c r="X268" s="50" t="str">
        <f>IF(NOTA[[#This Row],[HARGA/ CTN]]="",NOTA[[#This Row],[JUMLAH_H]],NOTA[[#This Row],[HARGA/ CTN]]*IF(NOTA[[#This Row],[C]]="",0,NOTA[[#This Row],[C]]))</f>
        <v/>
      </c>
      <c r="Y268" s="50" t="str">
        <f>IF(NOTA[[#This Row],[JUMLAH]]="","",NOTA[[#This Row],[JUMLAH]]*NOTA[[#This Row],[DISC 1]])</f>
        <v/>
      </c>
      <c r="Z268" s="50" t="str">
        <f>IF(NOTA[[#This Row],[JUMLAH]]="","",(NOTA[[#This Row],[JUMLAH]]-NOTA[[#This Row],[DISC 1-]])*NOTA[[#This Row],[DISC 2]])</f>
        <v/>
      </c>
      <c r="AA268" s="50" t="str">
        <f>IF(NOTA[[#This Row],[JUMLAH]]="","",(NOTA[[#This Row],[JUMLAH]]-NOTA[[#This Row],[DISC 1-]]-NOTA[[#This Row],[DISC 2-]])*NOTA[[#This Row],[DISC 3]])</f>
        <v/>
      </c>
      <c r="AB268" s="50" t="str">
        <f>IF(NOTA[[#This Row],[JUMLAH]]="","",NOTA[[#This Row],[DISC 1-]]+NOTA[[#This Row],[DISC 2-]]+NOTA[[#This Row],[DISC 3-]])</f>
        <v/>
      </c>
      <c r="AC268" s="50" t="str">
        <f>IF(NOTA[[#This Row],[JUMLAH]]="","",NOTA[[#This Row],[JUMLAH]]-NOTA[[#This Row],[DISC]])</f>
        <v/>
      </c>
      <c r="AD268" s="50"/>
      <c r="AE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4116000</v>
      </c>
      <c r="AF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12348000</v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68" s="50" t="str">
        <f>IF(OR(NOTA[[#This Row],[QTY]]="",NOTA[[#This Row],[HARGA SATUAN]]="",),"",NOTA[[#This Row],[QTY]]*NOTA[[#This Row],[HARGA SATUAN]])</f>
        <v/>
      </c>
      <c r="AI268" s="39">
        <f ca="1">IF(NOTA[ID_H]="","",INDEX(NOTA[TANGGAL],MATCH(,INDIRECT(ADDRESS(ROW(NOTA[TANGGAL]),COLUMN(NOTA[TANGGAL]))&amp;":"&amp;ADDRESS(ROW(),COLUMN(NOTA[TANGGAL]))),-1)))</f>
        <v>45300</v>
      </c>
      <c r="AJ268" s="41" t="str">
        <f ca="1">IF(NOTA[[#This Row],[NAMA BARANG]]="","",INDEX(NOTA[SUPPLIER],MATCH(,INDIRECT(ADDRESS(ROW(NOTA[ID]),COLUMN(NOTA[ID]))&amp;":"&amp;ADDRESS(ROW(),COLUMN(NOTA[ID]))),-1)))</f>
        <v>SBS</v>
      </c>
      <c r="AK268" s="41" t="str">
        <f ca="1">IF(NOTA[[#This Row],[ID_H]]="","",IF(NOTA[[#This Row],[FAKTUR]]="",INDIRECT(ADDRESS(ROW()-1,COLUMN())),NOTA[[#This Row],[FAKTUR]]))</f>
        <v>UNTANA</v>
      </c>
      <c r="AL268" s="38" t="str">
        <f ca="1">IF(NOTA[[#This Row],[ID]]="","",COUNTIF(NOTA[ID_H],NOTA[[#This Row],[ID_H]]))</f>
        <v/>
      </c>
      <c r="AM268" s="38">
        <f ca="1">IF(NOTA[[#This Row],[TGL.NOTA]]="",IF(NOTA[[#This Row],[SUPPLIER_H]]="","",AM267),MONTH(NOTA[[#This Row],[TGL.NOTA]]))</f>
        <v>12</v>
      </c>
      <c r="AN268" s="38" t="str">
        <f>LOWER(SUBSTITUTE(SUBSTITUTE(SUBSTITUTE(SUBSTITUTE(SUBSTITUTE(SUBSTITUTE(SUBSTITUTE(SUBSTITUTE(SUBSTITUTE(NOTA[NAMA BARANG]," ",),".",""),"-",""),"(",""),")",""),",",""),"/",""),"""",""),"+",""))</f>
        <v>elevatedtraymicrotop604hitam</v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elevatedtraymicrotop604hitam0</v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elevatedtraymicrotop604hitam0</v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>
        <f>IF(NOTA[[#This Row],[CONCAT1]]="","",MATCH(NOTA[[#This Row],[CONCAT1]],[3]!db[NB NOTA_C],0))</f>
        <v>911</v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>24 PCS</v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elevatedtraymicrotop604hitam24pcsuntana</v>
      </c>
      <c r="AW268" s="38" t="e">
        <f ca="1">IF(NOTA[[#This Row],[ID_H]]="","",MATCH(NOTA[[#This Row],[NB NOTA_C_QTY]],[4]!db[NB NOTA_C_QTY+F],0))</f>
        <v>#REF!</v>
      </c>
      <c r="AX268" s="53">
        <f ca="1">IF(NOTA[[#This Row],[NB NOTA_C_QTY]]="","",ROW()-2)</f>
        <v>266</v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 t="str">
        <f ca="1">IF(NOTA[[#This Row],[NAMA BARANG]]="","",INDEX(NOTA[ID],MATCH(,INDIRECT(ADDRESS(ROW(NOTA[ID]),COLUMN(NOTA[ID]))&amp;":"&amp;ADDRESS(ROW(),COLUMN(NOTA[ID]))),-1)))</f>
        <v/>
      </c>
      <c r="E269" s="46"/>
      <c r="F269" s="37"/>
      <c r="G269" s="37"/>
      <c r="H269" s="47"/>
      <c r="I269" s="37"/>
      <c r="J269" s="39"/>
      <c r="K269" s="37"/>
      <c r="L269" s="37"/>
      <c r="M269" s="40"/>
      <c r="O269" s="37"/>
      <c r="P269" s="41"/>
      <c r="Q269" s="42"/>
      <c r="R269" s="48"/>
      <c r="S269" s="49"/>
      <c r="T269" s="44"/>
      <c r="U269" s="44"/>
      <c r="V269" s="50"/>
      <c r="W269" s="45"/>
      <c r="X269" s="50" t="str">
        <f>IF(NOTA[[#This Row],[HARGA/ CTN]]="",NOTA[[#This Row],[JUMLAH_H]],NOTA[[#This Row],[HARGA/ CTN]]*IF(NOTA[[#This Row],[C]]="",0,NOTA[[#This Row],[C]]))</f>
        <v/>
      </c>
      <c r="Y269" s="50" t="str">
        <f>IF(NOTA[[#This Row],[JUMLAH]]="","",NOTA[[#This Row],[JUMLAH]]*NOTA[[#This Row],[DISC 1]])</f>
        <v/>
      </c>
      <c r="Z269" s="50" t="str">
        <f>IF(NOTA[[#This Row],[JUMLAH]]="","",(NOTA[[#This Row],[JUMLAH]]-NOTA[[#This Row],[DISC 1-]])*NOTA[[#This Row],[DISC 2]])</f>
        <v/>
      </c>
      <c r="AA269" s="50" t="str">
        <f>IF(NOTA[[#This Row],[JUMLAH]]="","",(NOTA[[#This Row],[JUMLAH]]-NOTA[[#This Row],[DISC 1-]]-NOTA[[#This Row],[DISC 2-]])*NOTA[[#This Row],[DISC 3]])</f>
        <v/>
      </c>
      <c r="AB269" s="50" t="str">
        <f>IF(NOTA[[#This Row],[JUMLAH]]="","",NOTA[[#This Row],[DISC 1-]]+NOTA[[#This Row],[DISC 2-]]+NOTA[[#This Row],[DISC 3-]])</f>
        <v/>
      </c>
      <c r="AC269" s="50" t="str">
        <f>IF(NOTA[[#This Row],[JUMLAH]]="","",NOTA[[#This Row],[JUMLAH]]-NOTA[[#This Row],[DISC]])</f>
        <v/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9" s="50" t="str">
        <f>IF(OR(NOTA[[#This Row],[QTY]]="",NOTA[[#This Row],[HARGA SATUAN]]="",),"",NOTA[[#This Row],[QTY]]*NOTA[[#This Row],[HARGA SATUAN]])</f>
        <v/>
      </c>
      <c r="AI269" s="39" t="str">
        <f ca="1">IF(NOTA[ID_H]="","",INDEX(NOTA[TANGGAL],MATCH(,INDIRECT(ADDRESS(ROW(NOTA[TANGGAL]),COLUMN(NOTA[TANGGAL]))&amp;":"&amp;ADDRESS(ROW(),COLUMN(NOTA[TANGGAL]))),-1)))</f>
        <v/>
      </c>
      <c r="AJ269" s="41" t="str">
        <f ca="1">IF(NOTA[[#This Row],[NAMA BARANG]]="","",INDEX(NOTA[SUPPLIER],MATCH(,INDIRECT(ADDRESS(ROW(NOTA[ID]),COLUMN(NOTA[ID]))&amp;":"&amp;ADDRESS(ROW(),COLUMN(NOTA[ID]))),-1)))</f>
        <v/>
      </c>
      <c r="AK269" s="41" t="str">
        <f ca="1">IF(NOTA[[#This Row],[ID_H]]="","",IF(NOTA[[#This Row],[FAKTUR]]="",INDIRECT(ADDRESS(ROW()-1,COLUMN())),NOTA[[#This Row],[FAKTUR]]))</f>
        <v/>
      </c>
      <c r="AL269" s="38" t="str">
        <f ca="1">IF(NOTA[[#This Row],[ID]]="","",COUNTIF(NOTA[ID_H],NOTA[[#This Row],[ID_H]]))</f>
        <v/>
      </c>
      <c r="AM269" s="38" t="str">
        <f ca="1">IF(NOTA[[#This Row],[TGL.NOTA]]="",IF(NOTA[[#This Row],[SUPPLIER_H]]="","",AM268),MONTH(NOTA[[#This Row],[TGL.NOTA]]))</f>
        <v/>
      </c>
      <c r="AN269" s="38" t="str">
        <f>LOWER(SUBSTITUTE(SUBSTITUTE(SUBSTITUTE(SUBSTITUTE(SUBSTITUTE(SUBSTITUTE(SUBSTITUTE(SUBSTITUTE(SUBSTITUTE(NOTA[NAMA BARANG]," ",),".",""),"-",""),"(",""),")",""),",",""),"/",""),"""",""),"+",""))</f>
        <v/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 t="str">
        <f>IF(NOTA[[#This Row],[CONCAT1]]="","",MATCH(NOTA[[#This Row],[CONCAT1]],[3]!db[NB NOTA_C],0))</f>
        <v/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/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9" s="38" t="str">
        <f ca="1">IF(NOTA[[#This Row],[ID_H]]="","",MATCH(NOTA[[#This Row],[NB NOTA_C_QTY]],[4]!db[NB NOTA_C_QTY+F],0))</f>
        <v/>
      </c>
      <c r="AX269" s="53" t="str">
        <f ca="1">IF(NOTA[[#This Row],[NB NOTA_C_QTY]]="","",ROW()-2)</f>
        <v/>
      </c>
    </row>
    <row r="270" spans="1:50" s="38" customFormat="1" ht="20.100000000000001" customHeight="1" x14ac:dyDescent="0.25">
      <c r="A270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2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DUT_0901_24H-4</v>
      </c>
      <c r="C270" s="38" t="e">
        <f ca="1">IF(NOTA[[#This Row],[ID_P]]="","",MATCH(NOTA[[#This Row],[ID_P]],[1]!B_MSK[N_ID],0))</f>
        <v>#REF!</v>
      </c>
      <c r="D270" s="38">
        <f ca="1">IF(NOTA[[#This Row],[NAMA BARANG]]="","",INDEX(NOTA[ID],MATCH(,INDIRECT(ADDRESS(ROW(NOTA[ID]),COLUMN(NOTA[ID]))&amp;":"&amp;ADDRESS(ROW(),COLUMN(NOTA[ID]))),-1)))</f>
        <v>40</v>
      </c>
      <c r="E270" s="46"/>
      <c r="F270" s="37" t="s">
        <v>400</v>
      </c>
      <c r="G270" s="37" t="s">
        <v>110</v>
      </c>
      <c r="H270" s="47" t="s">
        <v>401</v>
      </c>
      <c r="I270" s="37"/>
      <c r="J270" s="39">
        <v>45296</v>
      </c>
      <c r="K270" s="37"/>
      <c r="L270" s="37" t="s">
        <v>402</v>
      </c>
      <c r="M270" s="40">
        <v>5</v>
      </c>
      <c r="N270" s="38">
        <v>480</v>
      </c>
      <c r="O270" s="37" t="s">
        <v>111</v>
      </c>
      <c r="P270" s="41">
        <v>30500</v>
      </c>
      <c r="Q270" s="42"/>
      <c r="R270" s="48" t="s">
        <v>403</v>
      </c>
      <c r="S270" s="49">
        <v>0.03</v>
      </c>
      <c r="T270" s="44"/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14640000</v>
      </c>
      <c r="Y270" s="50">
        <f>IF(NOTA[[#This Row],[JUMLAH]]="","",NOTA[[#This Row],[JUMLAH]]*NOTA[[#This Row],[DISC 1]])</f>
        <v>439200</v>
      </c>
      <c r="Z270" s="50">
        <f>IF(NOTA[[#This Row],[JUMLAH]]="","",(NOTA[[#This Row],[JUMLAH]]-NOTA[[#This Row],[DISC 1-]])*NOTA[[#This Row],[DISC 2]])</f>
        <v>0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439200</v>
      </c>
      <c r="AC270" s="50">
        <f>IF(NOTA[[#This Row],[JUMLAH]]="","",NOTA[[#This Row],[JUMLAH]]-NOTA[[#This Row],[DISC]])</f>
        <v>14200800</v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270" s="50">
        <f>IF(OR(NOTA[[#This Row],[QTY]]="",NOTA[[#This Row],[HARGA SATUAN]]="",),"",NOTA[[#This Row],[QTY]]*NOTA[[#This Row],[HARGA SATUAN]])</f>
        <v>14640000</v>
      </c>
      <c r="AI270" s="39">
        <f ca="1">IF(NOTA[ID_H]="","",INDEX(NOTA[TANGGAL],MATCH(,INDIRECT(ADDRESS(ROW(NOTA[TANGGAL]),COLUMN(NOTA[TANGGAL]))&amp;":"&amp;ADDRESS(ROW(),COLUMN(NOTA[TANGGAL]))),-1)))</f>
        <v>45300</v>
      </c>
      <c r="AJ270" s="41" t="str">
        <f ca="1">IF(NOTA[[#This Row],[NAMA BARANG]]="","",INDEX(NOTA[SUPPLIER],MATCH(,INDIRECT(ADDRESS(ROW(NOTA[ID]),COLUMN(NOTA[ID]))&amp;":"&amp;ADDRESS(ROW(),COLUMN(NOTA[ID]))),-1)))</f>
        <v>DUTA BUANA</v>
      </c>
      <c r="AK270" s="41" t="str">
        <f ca="1">IF(NOTA[[#This Row],[ID_H]]="","",IF(NOTA[[#This Row],[FAKTUR]]="",INDIRECT(ADDRESS(ROW()-1,COLUMN())),NOTA[[#This Row],[FAKTUR]]))</f>
        <v>UNTANA</v>
      </c>
      <c r="AL270" s="38">
        <f ca="1">IF(NOTA[[#This Row],[ID]]="","",COUNTIF(NOTA[ID_H],NOTA[[#This Row],[ID_H]]))</f>
        <v>4</v>
      </c>
      <c r="AM270" s="38">
        <f>IF(NOTA[[#This Row],[TGL.NOTA]]="",IF(NOTA[[#This Row],[SUPPLIER_H]]="","",AM269),MONTH(NOTA[[#This Row],[TGL.NOTA]]))</f>
        <v>1</v>
      </c>
      <c r="AN270" s="38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BUANAUNTANAHM/003/01-24H45296ballpengeltf311503mmhightechknock</v>
      </c>
      <c r="AR270" s="38" t="e">
        <f>IF(NOTA[[#This Row],[CONCAT4]]="","",_xlfn.IFNA(MATCH(NOTA[[#This Row],[CONCAT4]],[2]!RAW[CONCAT_H],0),FALSE))</f>
        <v>#REF!</v>
      </c>
      <c r="AS270" s="38">
        <f>IF(NOTA[[#This Row],[CONCAT1]]="","",MATCH(NOTA[[#This Row],[CONCAT1]],[3]!db[NB NOTA_C],0))</f>
        <v>154</v>
      </c>
      <c r="AT270" s="38" t="b">
        <f>IF(NOTA[[#This Row],[QTY/ CTN]]="","",TRUE)</f>
        <v>1</v>
      </c>
      <c r="AU270" s="38" t="str">
        <f ca="1">IF(NOTA[[#This Row],[ID_H]]="","",IF(NOTA[[#This Row],[Column3]]=TRUE,NOTA[[#This Row],[QTY/ CTN]],INDEX([3]!db[QTY/ CTN],NOTA[[#This Row],[//DB]])))</f>
        <v>96 LSN</v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W270" s="38" t="e">
        <f ca="1">IF(NOTA[[#This Row],[ID_H]]="","",MATCH(NOTA[[#This Row],[NB NOTA_C_QTY]],[4]!db[NB NOTA_C_QTY+F],0))</f>
        <v>#REF!</v>
      </c>
      <c r="AX270" s="53">
        <f ca="1">IF(NOTA[[#This Row],[NB NOTA_C_QTY]]="","",ROW()-2)</f>
        <v>268</v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40</v>
      </c>
      <c r="E271" s="46"/>
      <c r="F271" s="37"/>
      <c r="G271" s="37"/>
      <c r="H271" s="47"/>
      <c r="I271" s="37"/>
      <c r="J271" s="39"/>
      <c r="K271" s="37"/>
      <c r="L271" s="37" t="s">
        <v>404</v>
      </c>
      <c r="M271" s="40"/>
      <c r="N271" s="38">
        <v>3</v>
      </c>
      <c r="O271" s="37" t="s">
        <v>115</v>
      </c>
      <c r="P271" s="41"/>
      <c r="Q271" s="42"/>
      <c r="R271" s="48"/>
      <c r="S271" s="49"/>
      <c r="T271" s="44"/>
      <c r="U271" s="44"/>
      <c r="V271" s="50"/>
      <c r="W271" s="45" t="s">
        <v>250</v>
      </c>
      <c r="X271" s="50" t="str">
        <f>IF(NOTA[[#This Row],[HARGA/ CTN]]="",NOTA[[#This Row],[JUMLAH_H]],NOTA[[#This Row],[HARGA/ CTN]]*IF(NOTA[[#This Row],[C]]="",0,NOTA[[#This Row],[C]]))</f>
        <v/>
      </c>
      <c r="Y271" s="50" t="str">
        <f>IF(NOTA[[#This Row],[JUMLAH]]="","",NOTA[[#This Row],[JUMLAH]]*NOTA[[#This Row],[DISC 1]])</f>
        <v/>
      </c>
      <c r="Z271" s="50" t="str">
        <f>IF(NOTA[[#This Row],[JUMLAH]]="","",(NOTA[[#This Row],[JUMLAH]]-NOTA[[#This Row],[DISC 1-]])*NOTA[[#This Row],[DISC 2]])</f>
        <v/>
      </c>
      <c r="AA271" s="50" t="str">
        <f>IF(NOTA[[#This Row],[JUMLAH]]="","",(NOTA[[#This Row],[JUMLAH]]-NOTA[[#This Row],[DISC 1-]]-NOTA[[#This Row],[DISC 2-]])*NOTA[[#This Row],[DISC 3]])</f>
        <v/>
      </c>
      <c r="AB271" s="50" t="str">
        <f>IF(NOTA[[#This Row],[JUMLAH]]="","",NOTA[[#This Row],[DISC 1-]]+NOTA[[#This Row],[DISC 2-]]+NOTA[[#This Row],[DISC 3-]])</f>
        <v/>
      </c>
      <c r="AC271" s="50" t="str">
        <f>IF(NOTA[[#This Row],[JUMLAH]]="","",NOTA[[#This Row],[JUMLAH]]-NOTA[[#This Row],[DISC]])</f>
        <v/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1" s="50" t="str">
        <f>IF(OR(NOTA[[#This Row],[QTY]]="",NOTA[[#This Row],[HARGA SATUAN]]="",),"",NOTA[[#This Row],[QTY]]*NOTA[[#This Row],[HARGA SATUAN]])</f>
        <v/>
      </c>
      <c r="AI271" s="39">
        <f ca="1">IF(NOTA[ID_H]="","",INDEX(NOTA[TANGGAL],MATCH(,INDIRECT(ADDRESS(ROW(NOTA[TANGGAL]),COLUMN(NOTA[TANGGAL]))&amp;":"&amp;ADDRESS(ROW(),COLUMN(NOTA[TANGGAL]))),-1)))</f>
        <v>45300</v>
      </c>
      <c r="AJ271" s="41" t="str">
        <f ca="1">IF(NOTA[[#This Row],[NAMA BARANG]]="","",INDEX(NOTA[SUPPLIER],MATCH(,INDIRECT(ADDRESS(ROW(NOTA[ID]),COLUMN(NOTA[ID]))&amp;":"&amp;ADDRESS(ROW(),COLUMN(NOTA[ID]))),-1)))</f>
        <v>DUTA BUANA</v>
      </c>
      <c r="AK271" s="41" t="str">
        <f ca="1">IF(NOTA[[#This Row],[ID_H]]="","",IF(NOTA[[#This Row],[FAKTUR]]="",INDIRECT(ADDRESS(ROW()-1,COLUMN())),NOTA[[#This Row],[FAKTUR]]))</f>
        <v>UNTANA</v>
      </c>
      <c r="AL271" s="38" t="str">
        <f ca="1">IF(NOTA[[#This Row],[ID]]="","",COUNTIF(NOTA[ID_H],NOTA[[#This Row],[ID_H]]))</f>
        <v/>
      </c>
      <c r="AM271" s="38">
        <f ca="1">IF(NOTA[[#This Row],[TGL.NOTA]]="",IF(NOTA[[#This Row],[SUPPLIER_H]]="","",AM270),MONTH(NOTA[[#This Row],[TGL.NOTA]]))</f>
        <v>1</v>
      </c>
      <c r="AN271" s="38" t="str">
        <f>LOWER(SUBSTITUTE(SUBSTITUTE(SUBSTITUTE(SUBSTITUTE(SUBSTITUTE(SUBSTITUTE(SUBSTITUTE(SUBSTITUTE(SUBSTITUTE(NOTA[NAMA BARANG]," ",),".",""),"-",""),"(",""),")",""),",",""),"/",""),"""",""),"+",""))</f>
        <v>sepedaubonus</v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sepedaubonus0</v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sepedaubonus0</v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>
        <f>IF(NOTA[[#This Row],[CONCAT1]]="","",MATCH(NOTA[[#This Row],[CONCAT1]],[3]!db[NB NOTA_C],0))</f>
        <v>2779</v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>1 PCS</v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sepedaubonus1pcsuntana</v>
      </c>
      <c r="AW271" s="38" t="e">
        <f ca="1">IF(NOTA[[#This Row],[ID_H]]="","",MATCH(NOTA[[#This Row],[NB NOTA_C_QTY]],[4]!db[NB NOTA_C_QTY+F],0))</f>
        <v>#REF!</v>
      </c>
      <c r="AX271" s="53">
        <f ca="1">IF(NOTA[[#This Row],[NB NOTA_C_QTY]]="","",ROW()-2)</f>
        <v>269</v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40</v>
      </c>
      <c r="E272" s="46"/>
      <c r="F272" s="37"/>
      <c r="G272" s="37"/>
      <c r="H272" s="47"/>
      <c r="I272" s="37"/>
      <c r="J272" s="39"/>
      <c r="K272" s="37"/>
      <c r="L272" s="98" t="s">
        <v>405</v>
      </c>
      <c r="M272" s="40">
        <v>1</v>
      </c>
      <c r="N272" s="38">
        <v>144</v>
      </c>
      <c r="O272" s="37" t="s">
        <v>111</v>
      </c>
      <c r="P272" s="41"/>
      <c r="Q272" s="42"/>
      <c r="R272" s="48"/>
      <c r="S272" s="49"/>
      <c r="T272" s="44"/>
      <c r="U272" s="44"/>
      <c r="V272" s="50"/>
      <c r="W272" s="45" t="s">
        <v>250</v>
      </c>
      <c r="X272" s="50" t="str">
        <f>IF(NOTA[[#This Row],[HARGA/ CTN]]="",NOTA[[#This Row],[JUMLAH_H]],NOTA[[#This Row],[HARGA/ CTN]]*IF(NOTA[[#This Row],[C]]="",0,NOTA[[#This Row],[C]]))</f>
        <v/>
      </c>
      <c r="Y272" s="50" t="str">
        <f>IF(NOTA[[#This Row],[JUMLAH]]="","",NOTA[[#This Row],[JUMLAH]]*NOTA[[#This Row],[DISC 1]])</f>
        <v/>
      </c>
      <c r="Z272" s="50" t="str">
        <f>IF(NOTA[[#This Row],[JUMLAH]]="","",(NOTA[[#This Row],[JUMLAH]]-NOTA[[#This Row],[DISC 1-]])*NOTA[[#This Row],[DISC 2]])</f>
        <v/>
      </c>
      <c r="AA272" s="50" t="str">
        <f>IF(NOTA[[#This Row],[JUMLAH]]="","",(NOTA[[#This Row],[JUMLAH]]-NOTA[[#This Row],[DISC 1-]]-NOTA[[#This Row],[DISC 2-]])*NOTA[[#This Row],[DISC 3]])</f>
        <v/>
      </c>
      <c r="AB272" s="50" t="str">
        <f>IF(NOTA[[#This Row],[JUMLAH]]="","",NOTA[[#This Row],[DISC 1-]]+NOTA[[#This Row],[DISC 2-]]+NOTA[[#This Row],[DISC 3-]])</f>
        <v/>
      </c>
      <c r="AC272" s="50" t="str">
        <f>IF(NOTA[[#This Row],[JUMLAH]]="","",NOTA[[#This Row],[JUMLAH]]-NOTA[[#This Row],[DISC]])</f>
        <v/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2" s="50" t="str">
        <f>IF(OR(NOTA[[#This Row],[QTY]]="",NOTA[[#This Row],[HARGA SATUAN]]="",),"",NOTA[[#This Row],[QTY]]*NOTA[[#This Row],[HARGA SATUAN]])</f>
        <v/>
      </c>
      <c r="AI272" s="39">
        <f ca="1">IF(NOTA[ID_H]="","",INDEX(NOTA[TANGGAL],MATCH(,INDIRECT(ADDRESS(ROW(NOTA[TANGGAL]),COLUMN(NOTA[TANGGAL]))&amp;":"&amp;ADDRESS(ROW(),COLUMN(NOTA[TANGGAL]))),-1)))</f>
        <v>45300</v>
      </c>
      <c r="AJ272" s="41" t="str">
        <f ca="1">IF(NOTA[[#This Row],[NAMA BARANG]]="","",INDEX(NOTA[SUPPLIER],MATCH(,INDIRECT(ADDRESS(ROW(NOTA[ID]),COLUMN(NOTA[ID]))&amp;":"&amp;ADDRESS(ROW(),COLUMN(NOTA[ID]))),-1)))</f>
        <v>DUTA BUANA</v>
      </c>
      <c r="AK272" s="41" t="str">
        <f ca="1">IF(NOTA[[#This Row],[ID_H]]="","",IF(NOTA[[#This Row],[FAKTUR]]="",INDIRECT(ADDRESS(ROW()-1,COLUMN())),NOTA[[#This Row],[FAKTUR]]))</f>
        <v>UNTANA</v>
      </c>
      <c r="AL272" s="38" t="str">
        <f ca="1">IF(NOTA[[#This Row],[ID]]="","",COUNTIF(NOTA[ID_H],NOTA[[#This Row],[ID_H]]))</f>
        <v/>
      </c>
      <c r="AM272" s="38">
        <f ca="1">IF(NOTA[[#This Row],[TGL.NOTA]]="",IF(NOTA[[#This Row],[SUPPLIER_H]]="","",AM271),MONTH(NOTA[[#This Row],[TGL.NOTA]]))</f>
        <v>1</v>
      </c>
      <c r="AN272" s="38" t="str">
        <f>LOWER(SUBSTITUTE(SUBSTITUTE(SUBSTITUTE(SUBSTITUTE(SUBSTITUTE(SUBSTITUTE(SUBSTITUTE(SUBSTITUTE(SUBSTITUTE(NOTA[NAMA BARANG]," ",),".",""),"-",""),"(",""),")",""),",",""),"/",""),"""",""),"+",""))</f>
        <v>ballpenpromosi2079ubonus</v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ballpenpromosi2079ubonus0</v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ballpenpromosi2079ubonus0</v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 t="e">
        <f>IF(NOTA[[#This Row],[CONCAT1]]="","",MATCH(NOTA[[#This Row],[CONCAT1]],[3]!db[NB NOTA_C],0))</f>
        <v>#N/A</v>
      </c>
      <c r="AT272" s="38" t="str">
        <f>IF(NOTA[[#This Row],[QTY/ CTN]]="","",TRUE)</f>
        <v/>
      </c>
      <c r="AU272" s="38" t="e">
        <f ca="1">IF(NOTA[[#This Row],[ID_H]]="","",IF(NOTA[[#This Row],[Column3]]=TRUE,NOTA[[#This Row],[QTY/ CTN]],INDEX([3]!db[QTY/ CTN],NOTA[[#This Row],[//DB]])))</f>
        <v>#N/A</v>
      </c>
      <c r="AV2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72" s="38" t="e">
        <f ca="1">IF(NOTA[[#This Row],[ID_H]]="","",MATCH(NOTA[[#This Row],[NB NOTA_C_QTY]],[4]!db[NB NOTA_C_QTY+F],0))</f>
        <v>#N/A</v>
      </c>
      <c r="AX272" s="53" t="e">
        <f ca="1">IF(NOTA[[#This Row],[NB NOTA_C_QTY]]="","",ROW()-2)</f>
        <v>#N/A</v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40</v>
      </c>
      <c r="E273" s="46"/>
      <c r="F273" s="37"/>
      <c r="G273" s="37"/>
      <c r="H273" s="47"/>
      <c r="I273" s="37"/>
      <c r="J273" s="39"/>
      <c r="K273" s="37"/>
      <c r="L273" s="37" t="s">
        <v>405</v>
      </c>
      <c r="M273" s="40"/>
      <c r="N273" s="38">
        <v>81</v>
      </c>
      <c r="O273" s="37" t="s">
        <v>111</v>
      </c>
      <c r="P273" s="41"/>
      <c r="Q273" s="42"/>
      <c r="R273" s="48"/>
      <c r="S273" s="49"/>
      <c r="T273" s="44"/>
      <c r="U273" s="44"/>
      <c r="V273" s="50"/>
      <c r="W273" s="45" t="s">
        <v>250</v>
      </c>
      <c r="X273" s="50" t="str">
        <f>IF(NOTA[[#This Row],[HARGA/ CTN]]="",NOTA[[#This Row],[JUMLAH_H]],NOTA[[#This Row],[HARGA/ CTN]]*IF(NOTA[[#This Row],[C]]="",0,NOTA[[#This Row],[C]]))</f>
        <v/>
      </c>
      <c r="Y273" s="50" t="str">
        <f>IF(NOTA[[#This Row],[JUMLAH]]="","",NOTA[[#This Row],[JUMLAH]]*NOTA[[#This Row],[DISC 1]])</f>
        <v/>
      </c>
      <c r="Z273" s="50" t="str">
        <f>IF(NOTA[[#This Row],[JUMLAH]]="","",(NOTA[[#This Row],[JUMLAH]]-NOTA[[#This Row],[DISC 1-]])*NOTA[[#This Row],[DISC 2]])</f>
        <v/>
      </c>
      <c r="AA273" s="50" t="str">
        <f>IF(NOTA[[#This Row],[JUMLAH]]="","",(NOTA[[#This Row],[JUMLAH]]-NOTA[[#This Row],[DISC 1-]]-NOTA[[#This Row],[DISC 2-]])*NOTA[[#This Row],[DISC 3]])</f>
        <v/>
      </c>
      <c r="AB273" s="50" t="str">
        <f>IF(NOTA[[#This Row],[JUMLAH]]="","",NOTA[[#This Row],[DISC 1-]]+NOTA[[#This Row],[DISC 2-]]+NOTA[[#This Row],[DISC 3-]])</f>
        <v/>
      </c>
      <c r="AC273" s="50" t="str">
        <f>IF(NOTA[[#This Row],[JUMLAH]]="","",NOTA[[#This Row],[JUMLAH]]-NOTA[[#This Row],[DISC]])</f>
        <v/>
      </c>
      <c r="AD273" s="50"/>
      <c r="AE2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439200</v>
      </c>
      <c r="AF2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14200800</v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3" s="50" t="str">
        <f>IF(OR(NOTA[[#This Row],[QTY]]="",NOTA[[#This Row],[HARGA SATUAN]]="",),"",NOTA[[#This Row],[QTY]]*NOTA[[#This Row],[HARGA SATUAN]])</f>
        <v/>
      </c>
      <c r="AI273" s="39">
        <f ca="1">IF(NOTA[ID_H]="","",INDEX(NOTA[TANGGAL],MATCH(,INDIRECT(ADDRESS(ROW(NOTA[TANGGAL]),COLUMN(NOTA[TANGGAL]))&amp;":"&amp;ADDRESS(ROW(),COLUMN(NOTA[TANGGAL]))),-1)))</f>
        <v>45300</v>
      </c>
      <c r="AJ273" s="41" t="str">
        <f ca="1">IF(NOTA[[#This Row],[NAMA BARANG]]="","",INDEX(NOTA[SUPPLIER],MATCH(,INDIRECT(ADDRESS(ROW(NOTA[ID]),COLUMN(NOTA[ID]))&amp;":"&amp;ADDRESS(ROW(),COLUMN(NOTA[ID]))),-1)))</f>
        <v>DUTA BUANA</v>
      </c>
      <c r="AK273" s="41" t="str">
        <f ca="1">IF(NOTA[[#This Row],[ID_H]]="","",IF(NOTA[[#This Row],[FAKTUR]]="",INDIRECT(ADDRESS(ROW()-1,COLUMN())),NOTA[[#This Row],[FAKTUR]]))</f>
        <v>UNTANA</v>
      </c>
      <c r="AL273" s="38" t="str">
        <f ca="1">IF(NOTA[[#This Row],[ID]]="","",COUNTIF(NOTA[ID_H],NOTA[[#This Row],[ID_H]]))</f>
        <v/>
      </c>
      <c r="AM273" s="38">
        <f ca="1">IF(NOTA[[#This Row],[TGL.NOTA]]="",IF(NOTA[[#This Row],[SUPPLIER_H]]="","",AM272),MONTH(NOTA[[#This Row],[TGL.NOTA]]))</f>
        <v>1</v>
      </c>
      <c r="AN273" s="38" t="str">
        <f>LOWER(SUBSTITUTE(SUBSTITUTE(SUBSTITUTE(SUBSTITUTE(SUBSTITUTE(SUBSTITUTE(SUBSTITUTE(SUBSTITUTE(SUBSTITUTE(NOTA[NAMA BARANG]," ",),".",""),"-",""),"(",""),")",""),",",""),"/",""),"""",""),"+",""))</f>
        <v>ballpenpromosi2079ubonus</v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ballpenpromosi2079ubonus0</v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ballpenpromosi2079ubonus0</v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 t="e">
        <f>IF(NOTA[[#This Row],[CONCAT1]]="","",MATCH(NOTA[[#This Row],[CONCAT1]],[3]!db[NB NOTA_C],0))</f>
        <v>#N/A</v>
      </c>
      <c r="AT273" s="38" t="str">
        <f>IF(NOTA[[#This Row],[QTY/ CTN]]="","",TRUE)</f>
        <v/>
      </c>
      <c r="AU273" s="38" t="e">
        <f ca="1">IF(NOTA[[#This Row],[ID_H]]="","",IF(NOTA[[#This Row],[Column3]]=TRUE,NOTA[[#This Row],[QTY/ CTN]],INDEX([3]!db[QTY/ CTN],NOTA[[#This Row],[//DB]])))</f>
        <v>#N/A</v>
      </c>
      <c r="AV27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73" s="38" t="e">
        <f ca="1">IF(NOTA[[#This Row],[ID_H]]="","",MATCH(NOTA[[#This Row],[NB NOTA_C_QTY]],[4]!db[NB NOTA_C_QTY+F],0))</f>
        <v>#N/A</v>
      </c>
      <c r="AX273" s="53" t="e">
        <f ca="1">IF(NOTA[[#This Row],[NB NOTA_C_QTY]]="","",ROW()-2)</f>
        <v>#N/A</v>
      </c>
    </row>
    <row r="274" spans="1:50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 t="str">
        <f ca="1">IF(NOTA[[#This Row],[NAMA BARANG]]="","",INDEX(NOTA[ID],MATCH(,INDIRECT(ADDRESS(ROW(NOTA[ID]),COLUMN(NOTA[ID]))&amp;":"&amp;ADDRESS(ROW(),COLUMN(NOTA[ID]))),-1)))</f>
        <v/>
      </c>
      <c r="E274" s="46"/>
      <c r="F274" s="37"/>
      <c r="G274" s="37"/>
      <c r="H274" s="47"/>
      <c r="I274" s="37"/>
      <c r="J274" s="39"/>
      <c r="K274" s="37"/>
      <c r="L274" s="37"/>
      <c r="M274" s="40"/>
      <c r="O274" s="37"/>
      <c r="P274" s="41"/>
      <c r="Q274" s="42"/>
      <c r="R274" s="48"/>
      <c r="S274" s="49"/>
      <c r="T274" s="44"/>
      <c r="U274" s="44"/>
      <c r="V274" s="50"/>
      <c r="W274" s="45"/>
      <c r="X274" s="50" t="str">
        <f>IF(NOTA[[#This Row],[HARGA/ CTN]]="",NOTA[[#This Row],[JUMLAH_H]],NOTA[[#This Row],[HARGA/ CTN]]*IF(NOTA[[#This Row],[C]]="",0,NOTA[[#This Row],[C]]))</f>
        <v/>
      </c>
      <c r="Y274" s="50" t="str">
        <f>IF(NOTA[[#This Row],[JUMLAH]]="","",NOTA[[#This Row],[JUMLAH]]*NOTA[[#This Row],[DISC 1]])</f>
        <v/>
      </c>
      <c r="Z274" s="50" t="str">
        <f>IF(NOTA[[#This Row],[JUMLAH]]="","",(NOTA[[#This Row],[JUMLAH]]-NOTA[[#This Row],[DISC 1-]])*NOTA[[#This Row],[DISC 2]])</f>
        <v/>
      </c>
      <c r="AA274" s="50" t="str">
        <f>IF(NOTA[[#This Row],[JUMLAH]]="","",(NOTA[[#This Row],[JUMLAH]]-NOTA[[#This Row],[DISC 1-]]-NOTA[[#This Row],[DISC 2-]])*NOTA[[#This Row],[DISC 3]])</f>
        <v/>
      </c>
      <c r="AB274" s="50" t="str">
        <f>IF(NOTA[[#This Row],[JUMLAH]]="","",NOTA[[#This Row],[DISC 1-]]+NOTA[[#This Row],[DISC 2-]]+NOTA[[#This Row],[DISC 3-]])</f>
        <v/>
      </c>
      <c r="AC274" s="50" t="str">
        <f>IF(NOTA[[#This Row],[JUMLAH]]="","",NOTA[[#This Row],[JUMLAH]]-NOTA[[#This Row],[DISC]])</f>
        <v/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4" s="50" t="str">
        <f>IF(OR(NOTA[[#This Row],[QTY]]="",NOTA[[#This Row],[HARGA SATUAN]]="",),"",NOTA[[#This Row],[QTY]]*NOTA[[#This Row],[HARGA SATUAN]])</f>
        <v/>
      </c>
      <c r="AI274" s="39" t="str">
        <f ca="1">IF(NOTA[ID_H]="","",INDEX(NOTA[TANGGAL],MATCH(,INDIRECT(ADDRESS(ROW(NOTA[TANGGAL]),COLUMN(NOTA[TANGGAL]))&amp;":"&amp;ADDRESS(ROW(),COLUMN(NOTA[TANGGAL]))),-1)))</f>
        <v/>
      </c>
      <c r="AJ274" s="41" t="str">
        <f ca="1">IF(NOTA[[#This Row],[NAMA BARANG]]="","",INDEX(NOTA[SUPPLIER],MATCH(,INDIRECT(ADDRESS(ROW(NOTA[ID]),COLUMN(NOTA[ID]))&amp;":"&amp;ADDRESS(ROW(),COLUMN(NOTA[ID]))),-1)))</f>
        <v/>
      </c>
      <c r="AK274" s="41" t="str">
        <f ca="1">IF(NOTA[[#This Row],[ID_H]]="","",IF(NOTA[[#This Row],[FAKTUR]]="",INDIRECT(ADDRESS(ROW()-1,COLUMN())),NOTA[[#This Row],[FAKTUR]]))</f>
        <v/>
      </c>
      <c r="AL274" s="38" t="str">
        <f ca="1">IF(NOTA[[#This Row],[ID]]="","",COUNTIF(NOTA[ID_H],NOTA[[#This Row],[ID_H]]))</f>
        <v/>
      </c>
      <c r="AM274" s="38" t="str">
        <f ca="1">IF(NOTA[[#This Row],[TGL.NOTA]]="",IF(NOTA[[#This Row],[SUPPLIER_H]]="","",AM273),MONTH(NOTA[[#This Row],[TGL.NOTA]]))</f>
        <v/>
      </c>
      <c r="AN274" s="38" t="str">
        <f>LOWER(SUBSTITUTE(SUBSTITUTE(SUBSTITUTE(SUBSTITUTE(SUBSTITUTE(SUBSTITUTE(SUBSTITUTE(SUBSTITUTE(SUBSTITUTE(NOTA[NAMA BARANG]," ",),".",""),"-",""),"(",""),")",""),",",""),"/",""),"""",""),"+",""))</f>
        <v/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Row],[CONCAT4]],[2]!RAW[CONCAT_H],0),FALSE))</f>
        <v/>
      </c>
      <c r="AS274" s="38" t="str">
        <f>IF(NOTA[[#This Row],[CONCAT1]]="","",MATCH(NOTA[[#This Row],[CONCAT1]],[3]!db[NB NOTA_C],0))</f>
        <v/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/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4" s="38" t="str">
        <f ca="1">IF(NOTA[[#This Row],[ID_H]]="","",MATCH(NOTA[[#This Row],[NB NOTA_C_QTY]],[4]!db[NB NOTA_C_QTY+F],0))</f>
        <v/>
      </c>
      <c r="AX274" s="53" t="str">
        <f ca="1">IF(NOTA[[#This Row],[NB NOTA_C_QTY]]="","",ROW()-2)</f>
        <v/>
      </c>
    </row>
    <row r="275" spans="1:50" s="38" customFormat="1" ht="20.100000000000001" customHeight="1" x14ac:dyDescent="0.25">
      <c r="A275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ETJ_0801_124-1</v>
      </c>
      <c r="C275" s="38" t="e">
        <f ca="1">IF(NOTA[[#This Row],[ID_P]]="","",MATCH(NOTA[[#This Row],[ID_P]],[1]!B_MSK[N_ID],0))</f>
        <v>#REF!</v>
      </c>
      <c r="D275" s="38">
        <f ca="1">IF(NOTA[[#This Row],[NAMA BARANG]]="","",INDEX(NOTA[ID],MATCH(,INDIRECT(ADDRESS(ROW(NOTA[ID]),COLUMN(NOTA[ID]))&amp;":"&amp;ADDRESS(ROW(),COLUMN(NOTA[ID]))),-1)))</f>
        <v>41</v>
      </c>
      <c r="E275" s="46">
        <v>45299</v>
      </c>
      <c r="F275" s="37" t="s">
        <v>406</v>
      </c>
      <c r="G275" s="37" t="s">
        <v>110</v>
      </c>
      <c r="H275" s="47" t="s">
        <v>407</v>
      </c>
      <c r="I275" s="37"/>
      <c r="J275" s="39">
        <v>45296</v>
      </c>
      <c r="K275" s="37">
        <v>1</v>
      </c>
      <c r="L275" s="37" t="s">
        <v>408</v>
      </c>
      <c r="M275" s="40">
        <v>5</v>
      </c>
      <c r="N275" s="38">
        <v>20000</v>
      </c>
      <c r="O275" s="37" t="s">
        <v>115</v>
      </c>
      <c r="P275" s="41">
        <v>600</v>
      </c>
      <c r="Q275" s="42"/>
      <c r="R275" s="48" t="s">
        <v>409</v>
      </c>
      <c r="S275" s="49"/>
      <c r="T275" s="44"/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12000000</v>
      </c>
      <c r="Y275" s="50">
        <f>IF(NOTA[[#This Row],[JUMLAH]]="","",NOTA[[#This Row],[JUMLAH]]*NOTA[[#This Row],[DISC 1]])</f>
        <v>0</v>
      </c>
      <c r="Z275" s="50">
        <f>IF(NOTA[[#This Row],[JUMLAH]]="","",(NOTA[[#This Row],[JUMLAH]]-NOTA[[#This Row],[DISC 1-]])*NOTA[[#This Row],[DISC 2]])</f>
        <v>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0</v>
      </c>
      <c r="AC275" s="50">
        <f>IF(NOTA[[#This Row],[JUMLAH]]="","",NOTA[[#This Row],[JUMLAH]]-NOTA[[#This Row],[DISC]])</f>
        <v>12000000</v>
      </c>
      <c r="AD275" s="50"/>
      <c r="AE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75" s="50">
        <f>IF(OR(NOTA[[#This Row],[QTY]]="",NOTA[[#This Row],[HARGA SATUAN]]="",),"",NOTA[[#This Row],[QTY]]*NOTA[[#This Row],[HARGA SATUAN]])</f>
        <v>12000000</v>
      </c>
      <c r="AI275" s="39">
        <f ca="1">IF(NOTA[ID_H]="","",INDEX(NOTA[TANGGAL],MATCH(,INDIRECT(ADDRESS(ROW(NOTA[TANGGAL]),COLUMN(NOTA[TANGGAL]))&amp;":"&amp;ADDRESS(ROW(),COLUMN(NOTA[TANGGAL]))),-1)))</f>
        <v>45299</v>
      </c>
      <c r="AJ275" s="41" t="str">
        <f ca="1">IF(NOTA[[#This Row],[NAMA BARANG]]="","",INDEX(NOTA[SUPPLIER],MATCH(,INDIRECT(ADDRESS(ROW(NOTA[ID]),COLUMN(NOTA[ID]))&amp;":"&amp;ADDRESS(ROW(),COLUMN(NOTA[ID]))),-1)))</f>
        <v>ETJ</v>
      </c>
      <c r="AK275" s="41" t="str">
        <f ca="1">IF(NOTA[[#This Row],[ID_H]]="","",IF(NOTA[[#This Row],[FAKTUR]]="",INDIRECT(ADDRESS(ROW()-1,COLUMN())),NOTA[[#This Row],[FAKTUR]]))</f>
        <v>UNTANA</v>
      </c>
      <c r="AL275" s="38">
        <f ca="1">IF(NOTA[[#This Row],[ID]]="","",COUNTIF(NOTA[ID_H],NOTA[[#This Row],[ID_H]]))</f>
        <v>1</v>
      </c>
      <c r="AM275" s="38">
        <f>IF(NOTA[[#This Row],[TGL.NOTA]]="",IF(NOTA[[#This Row],[SUPPLIER_H]]="","",AM274),MONTH(NOTA[[#This Row],[TGL.NOTA]]))</f>
        <v>1</v>
      </c>
      <c r="AN275" s="38" t="str">
        <f>LOWER(SUBSTITUTE(SUBSTITUTE(SUBSTITUTE(SUBSTITUTE(SUBSTITUTE(SUBSTITUTE(SUBSTITUTE(SUBSTITUTE(SUBSTITUTE(NOTA[NAMA BARANG]," ",),".",""),"-",""),"(",""),")",""),",",""),"/",""),"""",""),"+",""))</f>
        <v>ntagdbiru300</v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ntagdbiru3002400000</v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ntagdbiru3002400000</v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>ETJUNTANA021.2445296ntagdbiru300</v>
      </c>
      <c r="AR275" s="38" t="e">
        <f>IF(NOTA[[#This Row],[CONCAT4]]="","",_xlfn.IFNA(MATCH(NOTA[[#This Row],[CONCAT4]],[2]!RAW[CONCAT_H],0),FALSE))</f>
        <v>#REF!</v>
      </c>
      <c r="AS275" s="38">
        <f>IF(NOTA[[#This Row],[CONCAT1]]="","",MATCH(NOTA[[#This Row],[CONCAT1]],[3]!db[NB NOTA_C],0))</f>
        <v>2140</v>
      </c>
      <c r="AT275" s="38" t="b">
        <f>IF(NOTA[[#This Row],[QTY/ CTN]]="","",TRUE)</f>
        <v>1</v>
      </c>
      <c r="AU275" s="38" t="str">
        <f ca="1">IF(NOTA[[#This Row],[ID_H]]="","",IF(NOTA[[#This Row],[Column3]]=TRUE,NOTA[[#This Row],[QTY/ CTN]],INDEX([3]!db[QTY/ CTN],NOTA[[#This Row],[//DB]])))</f>
        <v>4000 PCS</v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ntagdbiru3004000pcsuntana</v>
      </c>
      <c r="AW275" s="38" t="e">
        <f ca="1">IF(NOTA[[#This Row],[ID_H]]="","",MATCH(NOTA[[#This Row],[NB NOTA_C_QTY]],[4]!db[NB NOTA_C_QTY+F],0))</f>
        <v>#REF!</v>
      </c>
      <c r="AX275" s="53">
        <f ca="1">IF(NOTA[[#This Row],[NB NOTA_C_QTY]]="","",ROW()-2)</f>
        <v>273</v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 t="str">
        <f ca="1">IF(NOTA[[#This Row],[NAMA BARANG]]="","",INDEX(NOTA[ID],MATCH(,INDIRECT(ADDRESS(ROW(NOTA[ID]),COLUMN(NOTA[ID]))&amp;":"&amp;ADDRESS(ROW(),COLUMN(NOTA[ID]))),-1)))</f>
        <v/>
      </c>
      <c r="E276" s="46"/>
      <c r="F276" s="37"/>
      <c r="G276" s="37"/>
      <c r="H276" s="47"/>
      <c r="I276" s="37"/>
      <c r="J276" s="39"/>
      <c r="K276" s="37"/>
      <c r="L276" s="37"/>
      <c r="M276" s="40"/>
      <c r="O276" s="37"/>
      <c r="P276" s="41"/>
      <c r="Q276" s="42"/>
      <c r="R276" s="48"/>
      <c r="S276" s="49"/>
      <c r="T276" s="44"/>
      <c r="U276" s="44"/>
      <c r="V276" s="50"/>
      <c r="W276" s="45"/>
      <c r="X276" s="50" t="str">
        <f>IF(NOTA[[#This Row],[HARGA/ CTN]]="",NOTA[[#This Row],[JUMLAH_H]],NOTA[[#This Row],[HARGA/ CTN]]*IF(NOTA[[#This Row],[C]]="",0,NOTA[[#This Row],[C]]))</f>
        <v/>
      </c>
      <c r="Y276" s="50" t="str">
        <f>IF(NOTA[[#This Row],[JUMLAH]]="","",NOTA[[#This Row],[JUMLAH]]*NOTA[[#This Row],[DISC 1]])</f>
        <v/>
      </c>
      <c r="Z276" s="50" t="str">
        <f>IF(NOTA[[#This Row],[JUMLAH]]="","",(NOTA[[#This Row],[JUMLAH]]-NOTA[[#This Row],[DISC 1-]])*NOTA[[#This Row],[DISC 2]])</f>
        <v/>
      </c>
      <c r="AA276" s="50" t="str">
        <f>IF(NOTA[[#This Row],[JUMLAH]]="","",(NOTA[[#This Row],[JUMLAH]]-NOTA[[#This Row],[DISC 1-]]-NOTA[[#This Row],[DISC 2-]])*NOTA[[#This Row],[DISC 3]])</f>
        <v/>
      </c>
      <c r="AB276" s="50" t="str">
        <f>IF(NOTA[[#This Row],[JUMLAH]]="","",NOTA[[#This Row],[DISC 1-]]+NOTA[[#This Row],[DISC 2-]]+NOTA[[#This Row],[DISC 3-]])</f>
        <v/>
      </c>
      <c r="AC276" s="50" t="str">
        <f>IF(NOTA[[#This Row],[JUMLAH]]="","",NOTA[[#This Row],[JUMLAH]]-NOTA[[#This Row],[DISC]])</f>
        <v/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6" s="50" t="str">
        <f>IF(OR(NOTA[[#This Row],[QTY]]="",NOTA[[#This Row],[HARGA SATUAN]]="",),"",NOTA[[#This Row],[QTY]]*NOTA[[#This Row],[HARGA SATUAN]])</f>
        <v/>
      </c>
      <c r="AI276" s="39" t="str">
        <f ca="1">IF(NOTA[ID_H]="","",INDEX(NOTA[TANGGAL],MATCH(,INDIRECT(ADDRESS(ROW(NOTA[TANGGAL]),COLUMN(NOTA[TANGGAL]))&amp;":"&amp;ADDRESS(ROW(),COLUMN(NOTA[TANGGAL]))),-1)))</f>
        <v/>
      </c>
      <c r="AJ276" s="41" t="str">
        <f ca="1">IF(NOTA[[#This Row],[NAMA BARANG]]="","",INDEX(NOTA[SUPPLIER],MATCH(,INDIRECT(ADDRESS(ROW(NOTA[ID]),COLUMN(NOTA[ID]))&amp;":"&amp;ADDRESS(ROW(),COLUMN(NOTA[ID]))),-1)))</f>
        <v/>
      </c>
      <c r="AK276" s="41" t="str">
        <f ca="1">IF(NOTA[[#This Row],[ID_H]]="","",IF(NOTA[[#This Row],[FAKTUR]]="",INDIRECT(ADDRESS(ROW()-1,COLUMN())),NOTA[[#This Row],[FAKTUR]]))</f>
        <v/>
      </c>
      <c r="AL276" s="38" t="str">
        <f ca="1">IF(NOTA[[#This Row],[ID]]="","",COUNTIF(NOTA[ID_H],NOTA[[#This Row],[ID_H]]))</f>
        <v/>
      </c>
      <c r="AM276" s="38" t="str">
        <f ca="1">IF(NOTA[[#This Row],[TGL.NOTA]]="",IF(NOTA[[#This Row],[SUPPLIER_H]]="","",AM275),MONTH(NOTA[[#This Row],[TGL.NOTA]]))</f>
        <v/>
      </c>
      <c r="AN276" s="38" t="str">
        <f>LOWER(SUBSTITUTE(SUBSTITUTE(SUBSTITUTE(SUBSTITUTE(SUBSTITUTE(SUBSTITUTE(SUBSTITUTE(SUBSTITUTE(SUBSTITUTE(NOTA[NAMA BARANG]," ",),".",""),"-",""),"(",""),")",""),",",""),"/",""),"""",""),"+",""))</f>
        <v/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 t="str">
        <f>IF(NOTA[[#This Row],[CONCAT1]]="","",MATCH(NOTA[[#This Row],[CONCAT1]],[3]!db[NB NOTA_C],0))</f>
        <v/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/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6" s="38" t="str">
        <f ca="1">IF(NOTA[[#This Row],[ID_H]]="","",MATCH(NOTA[[#This Row],[NB NOTA_C_QTY]],[4]!db[NB NOTA_C_QTY+F],0))</f>
        <v/>
      </c>
      <c r="AX276" s="53" t="str">
        <f ca="1">IF(NOTA[[#This Row],[NB NOTA_C_QTY]]="","",ROW()-2)</f>
        <v/>
      </c>
    </row>
    <row r="277" spans="1:50" s="38" customFormat="1" ht="20.100000000000001" customHeight="1" x14ac:dyDescent="0.25">
      <c r="A277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BIN_0801_117-1</v>
      </c>
      <c r="C277" s="38" t="e">
        <f ca="1">IF(NOTA[[#This Row],[ID_P]]="","",MATCH(NOTA[[#This Row],[ID_P]],[1]!B_MSK[N_ID],0))</f>
        <v>#REF!</v>
      </c>
      <c r="D277" s="38">
        <f ca="1">IF(NOTA[[#This Row],[NAMA BARANG]]="","",INDEX(NOTA[ID],MATCH(,INDIRECT(ADDRESS(ROW(NOTA[ID]),COLUMN(NOTA[ID]))&amp;":"&amp;ADDRESS(ROW(),COLUMN(NOTA[ID]))),-1)))</f>
        <v>42</v>
      </c>
      <c r="E277" s="46">
        <v>45299</v>
      </c>
      <c r="F277" s="37" t="s">
        <v>410</v>
      </c>
      <c r="G277" s="37" t="s">
        <v>110</v>
      </c>
      <c r="H277" s="47" t="s">
        <v>411</v>
      </c>
      <c r="I277" s="37"/>
      <c r="J277" s="39">
        <v>45297</v>
      </c>
      <c r="K277" s="37"/>
      <c r="L277" s="37" t="s">
        <v>412</v>
      </c>
      <c r="M277" s="40">
        <v>25</v>
      </c>
      <c r="N277" s="38">
        <f>144*25</f>
        <v>3600</v>
      </c>
      <c r="O277" s="37" t="s">
        <v>115</v>
      </c>
      <c r="P277" s="41">
        <v>4650</v>
      </c>
      <c r="Q277" s="42"/>
      <c r="R277" s="48" t="s">
        <v>413</v>
      </c>
      <c r="S277" s="49"/>
      <c r="T277" s="44"/>
      <c r="U277" s="44"/>
      <c r="V277" s="50"/>
      <c r="W277" s="45"/>
      <c r="X277" s="50">
        <f>IF(NOTA[[#This Row],[HARGA/ CTN]]="",NOTA[[#This Row],[JUMLAH_H]],NOTA[[#This Row],[HARGA/ CTN]]*IF(NOTA[[#This Row],[C]]="",0,NOTA[[#This Row],[C]]))</f>
        <v>16740000</v>
      </c>
      <c r="Y277" s="50">
        <f>IF(NOTA[[#This Row],[JUMLAH]]="","",NOTA[[#This Row],[JUMLAH]]*NOTA[[#This Row],[DISC 1]])</f>
        <v>0</v>
      </c>
      <c r="Z277" s="50">
        <f>IF(NOTA[[#This Row],[JUMLAH]]="","",(NOTA[[#This Row],[JUMLAH]]-NOTA[[#This Row],[DISC 1-]])*NOTA[[#This Row],[DISC 2]])</f>
        <v>0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0</v>
      </c>
      <c r="AC277" s="50">
        <f>IF(NOTA[[#This Row],[JUMLAH]]="","",NOTA[[#This Row],[JUMLAH]]-NOTA[[#This Row],[DISC]])</f>
        <v>16740000</v>
      </c>
      <c r="AD277" s="50"/>
      <c r="AE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16740000</v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669600</v>
      </c>
      <c r="AH277" s="50">
        <f>IF(OR(NOTA[[#This Row],[QTY]]="",NOTA[[#This Row],[HARGA SATUAN]]="",),"",NOTA[[#This Row],[QTY]]*NOTA[[#This Row],[HARGA SATUAN]])</f>
        <v>16740000</v>
      </c>
      <c r="AI277" s="39">
        <f ca="1">IF(NOTA[ID_H]="","",INDEX(NOTA[TANGGAL],MATCH(,INDIRECT(ADDRESS(ROW(NOTA[TANGGAL]),COLUMN(NOTA[TANGGAL]))&amp;":"&amp;ADDRESS(ROW(),COLUMN(NOTA[TANGGAL]))),-1)))</f>
        <v>45299</v>
      </c>
      <c r="AJ277" s="41" t="str">
        <f ca="1">IF(NOTA[[#This Row],[NAMA BARANG]]="","",INDEX(NOTA[SUPPLIER],MATCH(,INDIRECT(ADDRESS(ROW(NOTA[ID]),COLUMN(NOTA[ID]))&amp;":"&amp;ADDRESS(ROW(),COLUMN(NOTA[ID]))),-1)))</f>
        <v>BINTANG JAYA</v>
      </c>
      <c r="AK277" s="41" t="str">
        <f ca="1">IF(NOTA[[#This Row],[ID_H]]="","",IF(NOTA[[#This Row],[FAKTUR]]="",INDIRECT(ADDRESS(ROW()-1,COLUMN())),NOTA[[#This Row],[FAKTUR]]))</f>
        <v>UNTANA</v>
      </c>
      <c r="AL277" s="38">
        <f ca="1">IF(NOTA[[#This Row],[ID]]="","",COUNTIF(NOTA[ID_H],NOTA[[#This Row],[ID_H]]))</f>
        <v>1</v>
      </c>
      <c r="AM277" s="38">
        <f>IF(NOTA[[#This Row],[TGL.NOTA]]="",IF(NOTA[[#This Row],[SUPPLIER_H]]="","",AM276),MONTH(NOTA[[#This Row],[TGL.NOTA]]))</f>
        <v>1</v>
      </c>
      <c r="AN277" s="38" t="str">
        <f>LOWER(SUBSTITUTE(SUBSTITUTE(SUBSTITUTE(SUBSTITUTE(SUBSTITUTE(SUBSTITUTE(SUBSTITUTE(SUBSTITUTE(SUBSTITUTE(NOTA[NAMA BARANG]," ",),".",""),"-",""),"(",""),")",""),",",""),"/",""),"""",""),"+",""))</f>
        <v>papanujianclipboardsqfancyhologramsqclphl</v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papanujianclipboardsqfancyhologramsqclphl669600</v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papanujianclipboardsqfancyhologramsqclphl669600</v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JAYAUNTANASI.2024.01.0011745297papanujianclipboardsqfancyhologramsqclphl</v>
      </c>
      <c r="AR277" s="38" t="e">
        <f>IF(NOTA[[#This Row],[CONCAT4]]="","",_xlfn.IFNA(MATCH(NOTA[[#This Row],[CONCAT4]],[2]!RAW[CONCAT_H],0),FALSE))</f>
        <v>#REF!</v>
      </c>
      <c r="AS277" s="38" t="e">
        <f>IF(NOTA[[#This Row],[CONCAT1]]="","",MATCH(NOTA[[#This Row],[CONCAT1]],[3]!db[NB NOTA_C],0))</f>
        <v>#N/A</v>
      </c>
      <c r="AT277" s="38" t="b">
        <f>IF(NOTA[[#This Row],[QTY/ CTN]]="","",TRUE)</f>
        <v>1</v>
      </c>
      <c r="AU277" s="38" t="str">
        <f ca="1">IF(NOTA[[#This Row],[ID_H]]="","",IF(NOTA[[#This Row],[Column3]]=TRUE,NOTA[[#This Row],[QTY/ CTN]],INDEX([3]!db[QTY/ CTN],NOTA[[#This Row],[//DB]])))</f>
        <v>144 PCS</v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papanujianclipboardsqfancyhologramsqclphl144pcsuntana</v>
      </c>
      <c r="AW277" s="38" t="e">
        <f ca="1">IF(NOTA[[#This Row],[ID_H]]="","",MATCH(NOTA[[#This Row],[NB NOTA_C_QTY]],[4]!db[NB NOTA_C_QTY+F],0))</f>
        <v>#REF!</v>
      </c>
      <c r="AX277" s="53">
        <f ca="1">IF(NOTA[[#This Row],[NB NOTA_C_QTY]]="","",ROW()-2)</f>
        <v>275</v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/>
      <c r="F278" s="37"/>
      <c r="G278" s="37"/>
      <c r="H278" s="47"/>
      <c r="I278" s="37"/>
      <c r="J278" s="39"/>
      <c r="K278" s="37"/>
      <c r="L278" s="37"/>
      <c r="M278" s="40"/>
      <c r="O278" s="37"/>
      <c r="P278" s="41"/>
      <c r="Q278" s="42"/>
      <c r="R278" s="48"/>
      <c r="S278" s="49"/>
      <c r="T278" s="44"/>
      <c r="U278" s="44"/>
      <c r="V278" s="50"/>
      <c r="W278" s="45"/>
      <c r="X278" s="50" t="str">
        <f>IF(NOTA[[#This Row],[HARGA/ CTN]]="",NOTA[[#This Row],[JUMLAH_H]],NOTA[[#This Row],[HARGA/ CTN]]*IF(NOTA[[#This Row],[C]]="",0,NOTA[[#This Row],[C]]))</f>
        <v/>
      </c>
      <c r="Y278" s="50" t="str">
        <f>IF(NOTA[[#This Row],[JUMLAH]]="","",NOTA[[#This Row],[JUMLAH]]*NOTA[[#This Row],[DISC 1]])</f>
        <v/>
      </c>
      <c r="Z278" s="50" t="str">
        <f>IF(NOTA[[#This Row],[JUMLAH]]="","",(NOTA[[#This Row],[JUMLAH]]-NOTA[[#This Row],[DISC 1-]])*NOTA[[#This Row],[DISC 2]])</f>
        <v/>
      </c>
      <c r="AA278" s="50" t="str">
        <f>IF(NOTA[[#This Row],[JUMLAH]]="","",(NOTA[[#This Row],[JUMLAH]]-NOTA[[#This Row],[DISC 1-]]-NOTA[[#This Row],[DISC 2-]])*NOTA[[#This Row],[DISC 3]])</f>
        <v/>
      </c>
      <c r="AB278" s="50" t="str">
        <f>IF(NOTA[[#This Row],[JUMLAH]]="","",NOTA[[#This Row],[DISC 1-]]+NOTA[[#This Row],[DISC 2-]]+NOTA[[#This Row],[DISC 3-]])</f>
        <v/>
      </c>
      <c r="AC278" s="50" t="str">
        <f>IF(NOTA[[#This Row],[JUMLAH]]="","",NOTA[[#This Row],[JUMLAH]]-NOTA[[#This Row],[DISC]])</f>
        <v/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50" t="str">
        <f>IF(OR(NOTA[[#This Row],[QTY]]="",NOTA[[#This Row],[HARGA SATUAN]]="",),"",NOTA[[#This Row],[QTY]]*NOTA[[#This Row],[HARGA SATUAN]])</f>
        <v/>
      </c>
      <c r="AI278" s="39" t="str">
        <f ca="1">IF(NOTA[ID_H]="","",INDEX(NOTA[TANGGAL],MATCH(,INDIRECT(ADDRESS(ROW(NOTA[TANGGAL]),COLUMN(NOTA[TANGGAL]))&amp;":"&amp;ADDRESS(ROW(),COLUMN(NOTA[TANGGAL]))),-1)))</f>
        <v/>
      </c>
      <c r="AJ278" s="41" t="str">
        <f ca="1">IF(NOTA[[#This Row],[NAMA BARANG]]="","",INDEX(NOTA[SUPPLIER],MATCH(,INDIRECT(ADDRESS(ROW(NOTA[ID]),COLUMN(NOTA[ID]))&amp;":"&amp;ADDRESS(ROW(),COLUMN(NOTA[ID]))),-1)))</f>
        <v/>
      </c>
      <c r="AK278" s="41" t="str">
        <f ca="1">IF(NOTA[[#This Row],[ID_H]]="","",IF(NOTA[[#This Row],[FAKTUR]]="",INDIRECT(ADDRESS(ROW()-1,COLUMN())),NOTA[[#This Row],[FAKTUR]]))</f>
        <v/>
      </c>
      <c r="AL278" s="38" t="str">
        <f ca="1">IF(NOTA[[#This Row],[ID]]="","",COUNTIF(NOTA[ID_H],NOTA[[#This Row],[ID_H]]))</f>
        <v/>
      </c>
      <c r="AM278" s="38" t="str">
        <f ca="1">IF(NOTA[[#This Row],[TGL.NOTA]]="",IF(NOTA[[#This Row],[SUPPLIER_H]]="","",AM277),MONTH(NOTA[[#This Row],[TGL.NOTA]]))</f>
        <v/>
      </c>
      <c r="AN278" s="38" t="str">
        <f>LOWER(SUBSTITUTE(SUBSTITUTE(SUBSTITUTE(SUBSTITUTE(SUBSTITUTE(SUBSTITUTE(SUBSTITUTE(SUBSTITUTE(SUBSTITUTE(NOTA[NAMA BARANG]," ",),".",""),"-",""),"(",""),")",""),",",""),"/",""),"""",""),"+",""))</f>
        <v/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 t="str">
        <f>IF(NOTA[[#This Row],[CONCAT1]]="","",MATCH(NOTA[[#This Row],[CONCAT1]],[3]!db[NB NOTA_C],0))</f>
        <v/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/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8" s="38" t="str">
        <f ca="1">IF(NOTA[[#This Row],[ID_H]]="","",MATCH(NOTA[[#This Row],[NB NOTA_C_QTY]],[4]!db[NB NOTA_C_QTY+F],0))</f>
        <v/>
      </c>
      <c r="AX278" s="53" t="str">
        <f ca="1">IF(NOTA[[#This Row],[NB NOTA_C_QTY]]="","",ROW()-2)</f>
        <v/>
      </c>
    </row>
    <row r="279" spans="1:50" s="38" customFormat="1" ht="20.100000000000001" customHeight="1" x14ac:dyDescent="0.25">
      <c r="A279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BIN_0801_071-1</v>
      </c>
      <c r="C279" s="38" t="e">
        <f ca="1">IF(NOTA[[#This Row],[ID_P]]="","",MATCH(NOTA[[#This Row],[ID_P]],[1]!B_MSK[N_ID],0))</f>
        <v>#REF!</v>
      </c>
      <c r="D279" s="38">
        <f ca="1">IF(NOTA[[#This Row],[NAMA BARANG]]="","",INDEX(NOTA[ID],MATCH(,INDIRECT(ADDRESS(ROW(NOTA[ID]),COLUMN(NOTA[ID]))&amp;":"&amp;ADDRESS(ROW(),COLUMN(NOTA[ID]))),-1)))</f>
        <v>43</v>
      </c>
      <c r="E279" s="46">
        <v>45299</v>
      </c>
      <c r="F279" s="37" t="s">
        <v>410</v>
      </c>
      <c r="G279" s="37" t="s">
        <v>110</v>
      </c>
      <c r="H279" s="47" t="s">
        <v>414</v>
      </c>
      <c r="I279" s="37"/>
      <c r="J279" s="39">
        <v>45295</v>
      </c>
      <c r="K279" s="37"/>
      <c r="L279" s="37" t="s">
        <v>415</v>
      </c>
      <c r="M279" s="40">
        <v>25</v>
      </c>
      <c r="N279" s="38">
        <f>144*25</f>
        <v>3600</v>
      </c>
      <c r="O279" s="37" t="s">
        <v>115</v>
      </c>
      <c r="P279" s="41">
        <v>2833.33</v>
      </c>
      <c r="Q279" s="42"/>
      <c r="R279" s="48" t="s">
        <v>413</v>
      </c>
      <c r="S279" s="49"/>
      <c r="T279" s="44"/>
      <c r="U279" s="44"/>
      <c r="V279" s="50"/>
      <c r="W279" s="45"/>
      <c r="X279" s="50">
        <f>IF(NOTA[[#This Row],[HARGA/ CTN]]="",NOTA[[#This Row],[JUMLAH_H]],NOTA[[#This Row],[HARGA/ CTN]]*IF(NOTA[[#This Row],[C]]="",0,NOTA[[#This Row],[C]]))</f>
        <v>10199988</v>
      </c>
      <c r="Y279" s="50">
        <f>IF(NOTA[[#This Row],[JUMLAH]]="","",NOTA[[#This Row],[JUMLAH]]*NOTA[[#This Row],[DISC 1]])</f>
        <v>0</v>
      </c>
      <c r="Z279" s="50">
        <f>IF(NOTA[[#This Row],[JUMLAH]]="","",(NOTA[[#This Row],[JUMLAH]]-NOTA[[#This Row],[DISC 1-]])*NOTA[[#This Row],[DISC 2]])</f>
        <v>0</v>
      </c>
      <c r="AA279" s="50">
        <f>IF(NOTA[[#This Row],[JUMLAH]]="","",(NOTA[[#This Row],[JUMLAH]]-NOTA[[#This Row],[DISC 1-]]-NOTA[[#This Row],[DISC 2-]])*NOTA[[#This Row],[DISC 3]])</f>
        <v>0</v>
      </c>
      <c r="AB279" s="50">
        <f>IF(NOTA[[#This Row],[JUMLAH]]="","",NOTA[[#This Row],[DISC 1-]]+NOTA[[#This Row],[DISC 2-]]+NOTA[[#This Row],[DISC 3-]])</f>
        <v>0</v>
      </c>
      <c r="AC279" s="50">
        <f>IF(NOTA[[#This Row],[JUMLAH]]="","",NOTA[[#This Row],[JUMLAH]]-NOTA[[#This Row],[DISC]])</f>
        <v>10199988</v>
      </c>
      <c r="AD279" s="50"/>
      <c r="AE2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10199988</v>
      </c>
      <c r="AG279" s="41">
        <f>IF(NOTA[[#This Row],[NAMA BARANG]]="","",IF(NOTA[[#This Row],[JUMLAH_H]]="",NOTA[[#This Row],[HARGA/ CTN]],NOTA[[#This Row],[QTY]]*NOTA[[#This Row],[HARGA SATUAN]]/IF(ISNUMBER(NOTA[[#This Row],[C]]),NOTA[[#This Row],[C]],1)))</f>
        <v>407999.52</v>
      </c>
      <c r="AH279" s="50">
        <f>IF(OR(NOTA[[#This Row],[QTY]]="",NOTA[[#This Row],[HARGA SATUAN]]="",),"",NOTA[[#This Row],[QTY]]*NOTA[[#This Row],[HARGA SATUAN]])</f>
        <v>10199988</v>
      </c>
      <c r="AI279" s="39">
        <f ca="1">IF(NOTA[ID_H]="","",INDEX(NOTA[TANGGAL],MATCH(,INDIRECT(ADDRESS(ROW(NOTA[TANGGAL]),COLUMN(NOTA[TANGGAL]))&amp;":"&amp;ADDRESS(ROW(),COLUMN(NOTA[TANGGAL]))),-1)))</f>
        <v>45299</v>
      </c>
      <c r="AJ279" s="41" t="str">
        <f ca="1">IF(NOTA[[#This Row],[NAMA BARANG]]="","",INDEX(NOTA[SUPPLIER],MATCH(,INDIRECT(ADDRESS(ROW(NOTA[ID]),COLUMN(NOTA[ID]))&amp;":"&amp;ADDRESS(ROW(),COLUMN(NOTA[ID]))),-1)))</f>
        <v>BINTANG JAYA</v>
      </c>
      <c r="AK279" s="41" t="str">
        <f ca="1">IF(NOTA[[#This Row],[ID_H]]="","",IF(NOTA[[#This Row],[FAKTUR]]="",INDIRECT(ADDRESS(ROW()-1,COLUMN())),NOTA[[#This Row],[FAKTUR]]))</f>
        <v>UNTANA</v>
      </c>
      <c r="AL279" s="38">
        <f ca="1">IF(NOTA[[#This Row],[ID]]="","",COUNTIF(NOTA[ID_H],NOTA[[#This Row],[ID_H]]))</f>
        <v>1</v>
      </c>
      <c r="AM279" s="38">
        <f>IF(NOTA[[#This Row],[TGL.NOTA]]="",IF(NOTA[[#This Row],[SUPPLIER_H]]="","",AM278),MONTH(NOTA[[#This Row],[TGL.NOTA]]))</f>
        <v>1</v>
      </c>
      <c r="AN279" s="38" t="str">
        <f>LOWER(SUBSTITUTE(SUBSTITUTE(SUBSTITUTE(SUBSTITUTE(SUBSTITUTE(SUBSTITUTE(SUBSTITUTE(SUBSTITUTE(SUBSTITUTE(NOTA[NAMA BARANG]," ",),".",""),"-",""),"(",""),")",""),",",""),"/",""),"""",""),"+",""))</f>
        <v>papanujianclipboardsqkayukotaksqclpky</v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papanujianclipboardsqkayukotaksqclpky407999.52</v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papanujianclipboardsqkayukotaksqclpky407999.52</v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JAYAUNTANASI.2024.01.0007145295papanujianclipboardsqkayukotaksqclpky</v>
      </c>
      <c r="AR279" s="38" t="e">
        <f>IF(NOTA[[#This Row],[CONCAT4]]="","",_xlfn.IFNA(MATCH(NOTA[[#This Row],[CONCAT4]],[2]!RAW[CONCAT_H],0),FALSE))</f>
        <v>#REF!</v>
      </c>
      <c r="AS279" s="38" t="e">
        <f>IF(NOTA[[#This Row],[CONCAT1]]="","",MATCH(NOTA[[#This Row],[CONCAT1]],[3]!db[NB NOTA_C],0))</f>
        <v>#N/A</v>
      </c>
      <c r="AT279" s="38" t="b">
        <f>IF(NOTA[[#This Row],[QTY/ CTN]]="","",TRUE)</f>
        <v>1</v>
      </c>
      <c r="AU279" s="38" t="str">
        <f ca="1">IF(NOTA[[#This Row],[ID_H]]="","",IF(NOTA[[#This Row],[Column3]]=TRUE,NOTA[[#This Row],[QTY/ CTN]],INDEX([3]!db[QTY/ CTN],NOTA[[#This Row],[//DB]])))</f>
        <v>144 PCS</v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papanujianclipboardsqkayukotaksqclpky144pcsuntana</v>
      </c>
      <c r="AW279" s="38" t="e">
        <f ca="1">IF(NOTA[[#This Row],[ID_H]]="","",MATCH(NOTA[[#This Row],[NB NOTA_C_QTY]],[4]!db[NB NOTA_C_QTY+F],0))</f>
        <v>#REF!</v>
      </c>
      <c r="AX279" s="53">
        <f ca="1">IF(NOTA[[#This Row],[NB NOTA_C_QTY]]="","",ROW()-2)</f>
        <v>277</v>
      </c>
    </row>
    <row r="280" spans="1:50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 t="str">
        <f ca="1">IF(NOTA[[#This Row],[NAMA BARANG]]="","",INDEX(NOTA[ID],MATCH(,INDIRECT(ADDRESS(ROW(NOTA[ID]),COLUMN(NOTA[ID]))&amp;":"&amp;ADDRESS(ROW(),COLUMN(NOTA[ID]))),-1)))</f>
        <v/>
      </c>
      <c r="E280" s="46"/>
      <c r="F280" s="37"/>
      <c r="G280" s="37"/>
      <c r="H280" s="47"/>
      <c r="I280" s="37"/>
      <c r="J280" s="39"/>
      <c r="K280" s="37"/>
      <c r="L280" s="37"/>
      <c r="M280" s="40"/>
      <c r="O280" s="37"/>
      <c r="P280" s="41"/>
      <c r="Q280" s="42"/>
      <c r="R280" s="48"/>
      <c r="S280" s="49"/>
      <c r="T280" s="44"/>
      <c r="U280" s="44"/>
      <c r="V280" s="50"/>
      <c r="W280" s="45"/>
      <c r="X280" s="50" t="str">
        <f>IF(NOTA[[#This Row],[HARGA/ CTN]]="",NOTA[[#This Row],[JUMLAH_H]],NOTA[[#This Row],[HARGA/ CTN]]*IF(NOTA[[#This Row],[C]]="",0,NOTA[[#This Row],[C]]))</f>
        <v/>
      </c>
      <c r="Y280" s="50" t="str">
        <f>IF(NOTA[[#This Row],[JUMLAH]]="","",NOTA[[#This Row],[JUMLAH]]*NOTA[[#This Row],[DISC 1]])</f>
        <v/>
      </c>
      <c r="Z280" s="50" t="str">
        <f>IF(NOTA[[#This Row],[JUMLAH]]="","",(NOTA[[#This Row],[JUMLAH]]-NOTA[[#This Row],[DISC 1-]])*NOTA[[#This Row],[DISC 2]])</f>
        <v/>
      </c>
      <c r="AA280" s="50" t="str">
        <f>IF(NOTA[[#This Row],[JUMLAH]]="","",(NOTA[[#This Row],[JUMLAH]]-NOTA[[#This Row],[DISC 1-]]-NOTA[[#This Row],[DISC 2-]])*NOTA[[#This Row],[DISC 3]])</f>
        <v/>
      </c>
      <c r="AB280" s="50" t="str">
        <f>IF(NOTA[[#This Row],[JUMLAH]]="","",NOTA[[#This Row],[DISC 1-]]+NOTA[[#This Row],[DISC 2-]]+NOTA[[#This Row],[DISC 3-]])</f>
        <v/>
      </c>
      <c r="AC280" s="50" t="str">
        <f>IF(NOTA[[#This Row],[JUMLAH]]="","",NOTA[[#This Row],[JUMLAH]]-NOTA[[#This Row],[DISC]])</f>
        <v/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0" s="50" t="str">
        <f>IF(OR(NOTA[[#This Row],[QTY]]="",NOTA[[#This Row],[HARGA SATUAN]]="",),"",NOTA[[#This Row],[QTY]]*NOTA[[#This Row],[HARGA SATUAN]])</f>
        <v/>
      </c>
      <c r="AI280" s="39" t="str">
        <f ca="1">IF(NOTA[ID_H]="","",INDEX(NOTA[TANGGAL],MATCH(,INDIRECT(ADDRESS(ROW(NOTA[TANGGAL]),COLUMN(NOTA[TANGGAL]))&amp;":"&amp;ADDRESS(ROW(),COLUMN(NOTA[TANGGAL]))),-1)))</f>
        <v/>
      </c>
      <c r="AJ280" s="41" t="str">
        <f ca="1">IF(NOTA[[#This Row],[NAMA BARANG]]="","",INDEX(NOTA[SUPPLIER],MATCH(,INDIRECT(ADDRESS(ROW(NOTA[ID]),COLUMN(NOTA[ID]))&amp;":"&amp;ADDRESS(ROW(),COLUMN(NOTA[ID]))),-1)))</f>
        <v/>
      </c>
      <c r="AK280" s="41" t="str">
        <f ca="1">IF(NOTA[[#This Row],[ID_H]]="","",IF(NOTA[[#This Row],[FAKTUR]]="",INDIRECT(ADDRESS(ROW()-1,COLUMN())),NOTA[[#This Row],[FAKTUR]]))</f>
        <v/>
      </c>
      <c r="AL280" s="38" t="str">
        <f ca="1">IF(NOTA[[#This Row],[ID]]="","",COUNTIF(NOTA[ID_H],NOTA[[#This Row],[ID_H]]))</f>
        <v/>
      </c>
      <c r="AM280" s="38" t="str">
        <f ca="1">IF(NOTA[[#This Row],[TGL.NOTA]]="",IF(NOTA[[#This Row],[SUPPLIER_H]]="","",AM279),MONTH(NOTA[[#This Row],[TGL.NOTA]]))</f>
        <v/>
      </c>
      <c r="AN280" s="38" t="str">
        <f>LOWER(SUBSTITUTE(SUBSTITUTE(SUBSTITUTE(SUBSTITUTE(SUBSTITUTE(SUBSTITUTE(SUBSTITUTE(SUBSTITUTE(SUBSTITUTE(NOTA[NAMA BARANG]," ",),".",""),"-",""),"(",""),")",""),",",""),"/",""),"""",""),"+",""))</f>
        <v/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0" s="38" t="str">
        <f>IF(NOTA[[#This Row],[CONCAT4]]="","",_xlfn.IFNA(MATCH(NOTA[[#This Row],[CONCAT4]],[2]!RAW[CONCAT_H],0),FALSE))</f>
        <v/>
      </c>
      <c r="AS280" s="38" t="str">
        <f>IF(NOTA[[#This Row],[CONCAT1]]="","",MATCH(NOTA[[#This Row],[CONCAT1]],[3]!db[NB NOTA_C],0))</f>
        <v/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/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0" s="38" t="str">
        <f ca="1">IF(NOTA[[#This Row],[ID_H]]="","",MATCH(NOTA[[#This Row],[NB NOTA_C_QTY]],[4]!db[NB NOTA_C_QTY+F],0))</f>
        <v/>
      </c>
      <c r="AX280" s="53" t="str">
        <f ca="1">IF(NOTA[[#This Row],[NB NOTA_C_QTY]]="","",ROW()-2)</f>
        <v/>
      </c>
    </row>
    <row r="281" spans="1:50" s="38" customFormat="1" ht="20.100000000000001" customHeight="1" x14ac:dyDescent="0.25">
      <c r="A281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GRA_1101_LAN-3</v>
      </c>
      <c r="C281" s="38" t="e">
        <f ca="1">IF(NOTA[[#This Row],[ID_P]]="","",MATCH(NOTA[[#This Row],[ID_P]],[1]!B_MSK[N_ID],0))</f>
        <v>#REF!</v>
      </c>
      <c r="D281" s="38">
        <f ca="1">IF(NOTA[[#This Row],[NAMA BARANG]]="","",INDEX(NOTA[ID],MATCH(,INDIRECT(ADDRESS(ROW(NOTA[ID]),COLUMN(NOTA[ID]))&amp;":"&amp;ADDRESS(ROW(),COLUMN(NOTA[ID]))),-1)))</f>
        <v>44</v>
      </c>
      <c r="E281" s="46">
        <v>45302</v>
      </c>
      <c r="F281" s="37" t="s">
        <v>237</v>
      </c>
      <c r="G281" s="37" t="s">
        <v>110</v>
      </c>
      <c r="H281" s="47" t="s">
        <v>143</v>
      </c>
      <c r="I281" s="37" t="s">
        <v>416</v>
      </c>
      <c r="J281" s="39">
        <v>45296</v>
      </c>
      <c r="K281" s="37"/>
      <c r="L281" s="37" t="s">
        <v>417</v>
      </c>
      <c r="M281" s="40">
        <v>12</v>
      </c>
      <c r="N281" s="38">
        <v>600</v>
      </c>
      <c r="O281" s="37" t="s">
        <v>111</v>
      </c>
      <c r="P281" s="41"/>
      <c r="Q281" s="42"/>
      <c r="R281" s="48" t="s">
        <v>240</v>
      </c>
      <c r="S281" s="49"/>
      <c r="T281" s="44"/>
      <c r="U281" s="44"/>
      <c r="V281" s="50"/>
      <c r="W281" s="45"/>
      <c r="X281" s="50" t="str">
        <f>IF(NOTA[[#This Row],[HARGA/ CTN]]="",NOTA[[#This Row],[JUMLAH_H]],NOTA[[#This Row],[HARGA/ CTN]]*IF(NOTA[[#This Row],[C]]="",0,NOTA[[#This Row],[C]]))</f>
        <v/>
      </c>
      <c r="Y281" s="50" t="str">
        <f>IF(NOTA[[#This Row],[JUMLAH]]="","",NOTA[[#This Row],[JUMLAH]]*NOTA[[#This Row],[DISC 1]])</f>
        <v/>
      </c>
      <c r="Z281" s="50" t="str">
        <f>IF(NOTA[[#This Row],[JUMLAH]]="","",(NOTA[[#This Row],[JUMLAH]]-NOTA[[#This Row],[DISC 1-]])*NOTA[[#This Row],[DISC 2]])</f>
        <v/>
      </c>
      <c r="AA281" s="50" t="str">
        <f>IF(NOTA[[#This Row],[JUMLAH]]="","",(NOTA[[#This Row],[JUMLAH]]-NOTA[[#This Row],[DISC 1-]]-NOTA[[#This Row],[DISC 2-]])*NOTA[[#This Row],[DISC 3]])</f>
        <v/>
      </c>
      <c r="AB281" s="50" t="str">
        <f>IF(NOTA[[#This Row],[JUMLAH]]="","",NOTA[[#This Row],[DISC 1-]]+NOTA[[#This Row],[DISC 2-]]+NOTA[[#This Row],[DISC 3-]])</f>
        <v/>
      </c>
      <c r="AC281" s="50" t="str">
        <f>IF(NOTA[[#This Row],[JUMLAH]]="","",NOTA[[#This Row],[JUMLAH]]-NOTA[[#This Row],[DISC]])</f>
        <v/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1" s="50" t="str">
        <f>IF(OR(NOTA[[#This Row],[QTY]]="",NOTA[[#This Row],[HARGA SATUAN]]="",),"",NOTA[[#This Row],[QTY]]*NOTA[[#This Row],[HARGA SATUAN]])</f>
        <v/>
      </c>
      <c r="AI281" s="39">
        <f ca="1">IF(NOTA[ID_H]="","",INDEX(NOTA[TANGGAL],MATCH(,INDIRECT(ADDRESS(ROW(NOTA[TANGGAL]),COLUMN(NOTA[TANGGAL]))&amp;":"&amp;ADDRESS(ROW(),COLUMN(NOTA[TANGGAL]))),-1)))</f>
        <v>45302</v>
      </c>
      <c r="AJ281" s="41" t="str">
        <f ca="1">IF(NOTA[[#This Row],[NAMA BARANG]]="","",INDEX(NOTA[SUPPLIER],MATCH(,INDIRECT(ADDRESS(ROW(NOTA[ID]),COLUMN(NOTA[ID]))&amp;":"&amp;ADDRESS(ROW(),COLUMN(NOTA[ID]))),-1)))</f>
        <v>GRAFINDO</v>
      </c>
      <c r="AK281" s="41" t="str">
        <f ca="1">IF(NOTA[[#This Row],[ID_H]]="","",IF(NOTA[[#This Row],[FAKTUR]]="",INDIRECT(ADDRESS(ROW()-1,COLUMN())),NOTA[[#This Row],[FAKTUR]]))</f>
        <v>UNTANA</v>
      </c>
      <c r="AL281" s="38">
        <f ca="1">IF(NOTA[[#This Row],[ID]]="","",COUNTIF(NOTA[ID_H],NOTA[[#This Row],[ID_H]]))</f>
        <v>3</v>
      </c>
      <c r="AM281" s="38">
        <f>IF(NOTA[[#This Row],[TGL.NOTA]]="",IF(NOTA[[#This Row],[SUPPLIER_H]]="","",AM280),MONTH(NOTA[[#This Row],[TGL.NOTA]]))</f>
        <v>1</v>
      </c>
      <c r="AN281" s="38" t="str">
        <f>LOWER(SUBSTITUTE(SUBSTITUTE(SUBSTITUTE(SUBSTITUTE(SUBSTITUTE(SUBSTITUTE(SUBSTITUTE(SUBSTITUTE(SUBSTITUTE(NOTA[NAMA BARANG]," ",),".",""),"-",""),"(",""),")",""),",",""),"/",""),"""",""),"+",""))</f>
        <v>ac05merah</v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ac05merah0</v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ac05merah0</v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JALANB9388 FRW45296ac05merah</v>
      </c>
      <c r="AR281" s="38" t="e">
        <f>IF(NOTA[[#This Row],[CONCAT4]]="","",_xlfn.IFNA(MATCH(NOTA[[#This Row],[CONCAT4]],[2]!RAW[CONCAT_H],0),FALSE))</f>
        <v>#REF!</v>
      </c>
      <c r="AS281" s="38">
        <f>IF(NOTA[[#This Row],[CONCAT1]]="","",MATCH(NOTA[[#This Row],[CONCAT1]],[3]!db[NB NOTA_C],0))</f>
        <v>17</v>
      </c>
      <c r="AT281" s="38" t="b">
        <f>IF(NOTA[[#This Row],[QTY/ CTN]]="","",TRUE)</f>
        <v>1</v>
      </c>
      <c r="AU281" s="38" t="str">
        <f ca="1">IF(NOTA[[#This Row],[ID_H]]="","",IF(NOTA[[#This Row],[Column3]]=TRUE,NOTA[[#This Row],[QTY/ CTN]],INDEX([3]!db[QTY/ CTN],NOTA[[#This Row],[//DB]])))</f>
        <v>50 LSN</v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ac05merah50lsnuntana</v>
      </c>
      <c r="AW281" s="38" t="e">
        <f ca="1">IF(NOTA[[#This Row],[ID_H]]="","",MATCH(NOTA[[#This Row],[NB NOTA_C_QTY]],[4]!db[NB NOTA_C_QTY+F],0))</f>
        <v>#REF!</v>
      </c>
      <c r="AX281" s="53">
        <f ca="1">IF(NOTA[[#This Row],[NB NOTA_C_QTY]]="","",ROW()-2)</f>
        <v>279</v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44</v>
      </c>
      <c r="E282" s="46"/>
      <c r="F282" s="37"/>
      <c r="G282" s="37"/>
      <c r="H282" s="47"/>
      <c r="I282" s="37"/>
      <c r="J282" s="39"/>
      <c r="K282" s="37"/>
      <c r="L282" s="37" t="s">
        <v>418</v>
      </c>
      <c r="M282" s="40">
        <v>10</v>
      </c>
      <c r="N282" s="38">
        <v>500</v>
      </c>
      <c r="O282" s="37" t="s">
        <v>111</v>
      </c>
      <c r="P282" s="41"/>
      <c r="Q282" s="42"/>
      <c r="R282" s="48" t="s">
        <v>240</v>
      </c>
      <c r="S282" s="49"/>
      <c r="T282" s="44"/>
      <c r="U282" s="44"/>
      <c r="V282" s="50"/>
      <c r="W282" s="45"/>
      <c r="X282" s="50" t="str">
        <f>IF(NOTA[[#This Row],[HARGA/ CTN]]="",NOTA[[#This Row],[JUMLAH_H]],NOTA[[#This Row],[HARGA/ CTN]]*IF(NOTA[[#This Row],[C]]="",0,NOTA[[#This Row],[C]]))</f>
        <v/>
      </c>
      <c r="Y282" s="50" t="str">
        <f>IF(NOTA[[#This Row],[JUMLAH]]="","",NOTA[[#This Row],[JUMLAH]]*NOTA[[#This Row],[DISC 1]])</f>
        <v/>
      </c>
      <c r="Z282" s="50" t="str">
        <f>IF(NOTA[[#This Row],[JUMLAH]]="","",(NOTA[[#This Row],[JUMLAH]]-NOTA[[#This Row],[DISC 1-]])*NOTA[[#This Row],[DISC 2]])</f>
        <v/>
      </c>
      <c r="AA282" s="50" t="str">
        <f>IF(NOTA[[#This Row],[JUMLAH]]="","",(NOTA[[#This Row],[JUMLAH]]-NOTA[[#This Row],[DISC 1-]]-NOTA[[#This Row],[DISC 2-]])*NOTA[[#This Row],[DISC 3]])</f>
        <v/>
      </c>
      <c r="AB282" s="50" t="str">
        <f>IF(NOTA[[#This Row],[JUMLAH]]="","",NOTA[[#This Row],[DISC 1-]]+NOTA[[#This Row],[DISC 2-]]+NOTA[[#This Row],[DISC 3-]])</f>
        <v/>
      </c>
      <c r="AC282" s="50" t="str">
        <f>IF(NOTA[[#This Row],[JUMLAH]]="","",NOTA[[#This Row],[JUMLAH]]-NOTA[[#This Row],[DISC]])</f>
        <v/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2" s="50" t="str">
        <f>IF(OR(NOTA[[#This Row],[QTY]]="",NOTA[[#This Row],[HARGA SATUAN]]="",),"",NOTA[[#This Row],[QTY]]*NOTA[[#This Row],[HARGA SATUAN]])</f>
        <v/>
      </c>
      <c r="AI282" s="39">
        <f ca="1">IF(NOTA[ID_H]="","",INDEX(NOTA[TANGGAL],MATCH(,INDIRECT(ADDRESS(ROW(NOTA[TANGGAL]),COLUMN(NOTA[TANGGAL]))&amp;":"&amp;ADDRESS(ROW(),COLUMN(NOTA[TANGGAL]))),-1)))</f>
        <v>45302</v>
      </c>
      <c r="AJ282" s="41" t="str">
        <f ca="1">IF(NOTA[[#This Row],[NAMA BARANG]]="","",INDEX(NOTA[SUPPLIER],MATCH(,INDIRECT(ADDRESS(ROW(NOTA[ID]),COLUMN(NOTA[ID]))&amp;":"&amp;ADDRESS(ROW(),COLUMN(NOTA[ID]))),-1)))</f>
        <v>GRAFINDO</v>
      </c>
      <c r="AK282" s="41" t="str">
        <f ca="1">IF(NOTA[[#This Row],[ID_H]]="","",IF(NOTA[[#This Row],[FAKTUR]]="",INDIRECT(ADDRESS(ROW()-1,COLUMN())),NOTA[[#This Row],[FAKTUR]]))</f>
        <v>UNTANA</v>
      </c>
      <c r="AL282" s="38" t="str">
        <f ca="1">IF(NOTA[[#This Row],[ID]]="","",COUNTIF(NOTA[ID_H],NOTA[[#This Row],[ID_H]]))</f>
        <v/>
      </c>
      <c r="AM282" s="38">
        <f ca="1">IF(NOTA[[#This Row],[TGL.NOTA]]="",IF(NOTA[[#This Row],[SUPPLIER_H]]="","",AM281),MONTH(NOTA[[#This Row],[TGL.NOTA]]))</f>
        <v>1</v>
      </c>
      <c r="AN282" s="38" t="str">
        <f>LOWER(SUBSTITUTE(SUBSTITUTE(SUBSTITUTE(SUBSTITUTE(SUBSTITUTE(SUBSTITUTE(SUBSTITUTE(SUBSTITUTE(SUBSTITUTE(NOTA[NAMA BARANG]," ",),".",""),"-",""),"(",""),")",""),",",""),"/",""),"""",""),"+",""))</f>
        <v>ac05biru</v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ac05biru0</v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ac05biru0</v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>
        <f>IF(NOTA[[#This Row],[CONCAT1]]="","",MATCH(NOTA[[#This Row],[CONCAT1]],[3]!db[NB NOTA_C],0))</f>
        <v>18</v>
      </c>
      <c r="AT282" s="38" t="b">
        <f>IF(NOTA[[#This Row],[QTY/ CTN]]="","",TRUE)</f>
        <v>1</v>
      </c>
      <c r="AU282" s="38" t="str">
        <f ca="1">IF(NOTA[[#This Row],[ID_H]]="","",IF(NOTA[[#This Row],[Column3]]=TRUE,NOTA[[#This Row],[QTY/ CTN]],INDEX([3]!db[QTY/ CTN],NOTA[[#This Row],[//DB]])))</f>
        <v>50 LSN</v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ac05biru50lsnuntana</v>
      </c>
      <c r="AW282" s="38" t="e">
        <f ca="1">IF(NOTA[[#This Row],[ID_H]]="","",MATCH(NOTA[[#This Row],[NB NOTA_C_QTY]],[4]!db[NB NOTA_C_QTY+F],0))</f>
        <v>#REF!</v>
      </c>
      <c r="AX282" s="53">
        <f ca="1">IF(NOTA[[#This Row],[NB NOTA_C_QTY]]="","",ROW()-2)</f>
        <v>280</v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44</v>
      </c>
      <c r="E283" s="46"/>
      <c r="F283" s="37"/>
      <c r="G283" s="37"/>
      <c r="H283" s="47"/>
      <c r="I283" s="37"/>
      <c r="J283" s="39"/>
      <c r="K283" s="37"/>
      <c r="L283" s="37" t="s">
        <v>419</v>
      </c>
      <c r="M283" s="40">
        <v>10</v>
      </c>
      <c r="N283" s="38">
        <v>500</v>
      </c>
      <c r="O283" s="37" t="s">
        <v>111</v>
      </c>
      <c r="P283" s="41"/>
      <c r="Q283" s="42"/>
      <c r="R283" s="48" t="s">
        <v>240</v>
      </c>
      <c r="S283" s="49"/>
      <c r="T283" s="44"/>
      <c r="U283" s="44"/>
      <c r="V283" s="50"/>
      <c r="W283" s="45"/>
      <c r="X283" s="50" t="str">
        <f>IF(NOTA[[#This Row],[HARGA/ CTN]]="",NOTA[[#This Row],[JUMLAH_H]],NOTA[[#This Row],[HARGA/ CTN]]*IF(NOTA[[#This Row],[C]]="",0,NOTA[[#This Row],[C]]))</f>
        <v/>
      </c>
      <c r="Y283" s="50" t="str">
        <f>IF(NOTA[[#This Row],[JUMLAH]]="","",NOTA[[#This Row],[JUMLAH]]*NOTA[[#This Row],[DISC 1]])</f>
        <v/>
      </c>
      <c r="Z283" s="50" t="str">
        <f>IF(NOTA[[#This Row],[JUMLAH]]="","",(NOTA[[#This Row],[JUMLAH]]-NOTA[[#This Row],[DISC 1-]])*NOTA[[#This Row],[DISC 2]])</f>
        <v/>
      </c>
      <c r="AA283" s="50" t="str">
        <f>IF(NOTA[[#This Row],[JUMLAH]]="","",(NOTA[[#This Row],[JUMLAH]]-NOTA[[#This Row],[DISC 1-]]-NOTA[[#This Row],[DISC 2-]])*NOTA[[#This Row],[DISC 3]])</f>
        <v/>
      </c>
      <c r="AB283" s="50" t="str">
        <f>IF(NOTA[[#This Row],[JUMLAH]]="","",NOTA[[#This Row],[DISC 1-]]+NOTA[[#This Row],[DISC 2-]]+NOTA[[#This Row],[DISC 3-]])</f>
        <v/>
      </c>
      <c r="AC283" s="50" t="str">
        <f>IF(NOTA[[#This Row],[JUMLAH]]="","",NOTA[[#This Row],[JUMLAH]]-NOTA[[#This Row],[DISC]])</f>
        <v/>
      </c>
      <c r="AD283" s="50"/>
      <c r="AE2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3" s="50" t="str">
        <f>IF(OR(NOTA[[#This Row],[QTY]]="",NOTA[[#This Row],[HARGA SATUAN]]="",),"",NOTA[[#This Row],[QTY]]*NOTA[[#This Row],[HARGA SATUAN]])</f>
        <v/>
      </c>
      <c r="AI283" s="39">
        <f ca="1">IF(NOTA[ID_H]="","",INDEX(NOTA[TANGGAL],MATCH(,INDIRECT(ADDRESS(ROW(NOTA[TANGGAL]),COLUMN(NOTA[TANGGAL]))&amp;":"&amp;ADDRESS(ROW(),COLUMN(NOTA[TANGGAL]))),-1)))</f>
        <v>45302</v>
      </c>
      <c r="AJ283" s="41" t="str">
        <f ca="1">IF(NOTA[[#This Row],[NAMA BARANG]]="","",INDEX(NOTA[SUPPLIER],MATCH(,INDIRECT(ADDRESS(ROW(NOTA[ID]),COLUMN(NOTA[ID]))&amp;":"&amp;ADDRESS(ROW(),COLUMN(NOTA[ID]))),-1)))</f>
        <v>GRAFINDO</v>
      </c>
      <c r="AK283" s="41" t="str">
        <f ca="1">IF(NOTA[[#This Row],[ID_H]]="","",IF(NOTA[[#This Row],[FAKTUR]]="",INDIRECT(ADDRESS(ROW()-1,COLUMN())),NOTA[[#This Row],[FAKTUR]]))</f>
        <v>UNTANA</v>
      </c>
      <c r="AL283" s="38" t="str">
        <f ca="1">IF(NOTA[[#This Row],[ID]]="","",COUNTIF(NOTA[ID_H],NOTA[[#This Row],[ID_H]]))</f>
        <v/>
      </c>
      <c r="AM283" s="38">
        <f ca="1">IF(NOTA[[#This Row],[TGL.NOTA]]="",IF(NOTA[[#This Row],[SUPPLIER_H]]="","",AM282),MONTH(NOTA[[#This Row],[TGL.NOTA]]))</f>
        <v>1</v>
      </c>
      <c r="AN283" s="38" t="str">
        <f>LOWER(SUBSTITUTE(SUBSTITUTE(SUBSTITUTE(SUBSTITUTE(SUBSTITUTE(SUBSTITUTE(SUBSTITUTE(SUBSTITUTE(SUBSTITUTE(NOTA[NAMA BARANG]," ",),".",""),"-",""),"(",""),")",""),",",""),"/",""),"""",""),"+",""))</f>
        <v>ac05hijau</v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ac05hijau0</v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ac05hijau0</v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>
        <f>IF(NOTA[[#This Row],[CONCAT1]]="","",MATCH(NOTA[[#This Row],[CONCAT1]],[3]!db[NB NOTA_C],0))</f>
        <v>16</v>
      </c>
      <c r="AT283" s="38" t="b">
        <f>IF(NOTA[[#This Row],[QTY/ CTN]]="","",TRUE)</f>
        <v>1</v>
      </c>
      <c r="AU283" s="38" t="str">
        <f ca="1">IF(NOTA[[#This Row],[ID_H]]="","",IF(NOTA[[#This Row],[Column3]]=TRUE,NOTA[[#This Row],[QTY/ CTN]],INDEX([3]!db[QTY/ CTN],NOTA[[#This Row],[//DB]])))</f>
        <v>50 LSN</v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ac05hijau50lsnuntana</v>
      </c>
      <c r="AW283" s="38" t="e">
        <f ca="1">IF(NOTA[[#This Row],[ID_H]]="","",MATCH(NOTA[[#This Row],[NB NOTA_C_QTY]],[4]!db[NB NOTA_C_QTY+F],0))</f>
        <v>#REF!</v>
      </c>
      <c r="AX283" s="53">
        <f ca="1">IF(NOTA[[#This Row],[NB NOTA_C_QTY]]="","",ROW()-2)</f>
        <v>281</v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 t="str">
        <f ca="1">IF(NOTA[[#This Row],[NAMA BARANG]]="","",INDEX(NOTA[ID],MATCH(,INDIRECT(ADDRESS(ROW(NOTA[ID]),COLUMN(NOTA[ID]))&amp;":"&amp;ADDRESS(ROW(),COLUMN(NOTA[ID]))),-1)))</f>
        <v/>
      </c>
      <c r="E284" s="46"/>
      <c r="F284" s="37"/>
      <c r="G284" s="37"/>
      <c r="H284" s="47"/>
      <c r="I284" s="37"/>
      <c r="J284" s="39"/>
      <c r="K284" s="37"/>
      <c r="L284" s="37"/>
      <c r="M284" s="40"/>
      <c r="O284" s="37"/>
      <c r="P284" s="41"/>
      <c r="Q284" s="42"/>
      <c r="R284" s="48"/>
      <c r="S284" s="49"/>
      <c r="T284" s="44"/>
      <c r="U284" s="44"/>
      <c r="V284" s="50"/>
      <c r="W284" s="45"/>
      <c r="X284" s="50" t="str">
        <f>IF(NOTA[[#This Row],[HARGA/ CTN]]="",NOTA[[#This Row],[JUMLAH_H]],NOTA[[#This Row],[HARGA/ CTN]]*IF(NOTA[[#This Row],[C]]="",0,NOTA[[#This Row],[C]]))</f>
        <v/>
      </c>
      <c r="Y284" s="50" t="str">
        <f>IF(NOTA[[#This Row],[JUMLAH]]="","",NOTA[[#This Row],[JUMLAH]]*NOTA[[#This Row],[DISC 1]])</f>
        <v/>
      </c>
      <c r="Z284" s="50" t="str">
        <f>IF(NOTA[[#This Row],[JUMLAH]]="","",(NOTA[[#This Row],[JUMLAH]]-NOTA[[#This Row],[DISC 1-]])*NOTA[[#This Row],[DISC 2]])</f>
        <v/>
      </c>
      <c r="AA284" s="50" t="str">
        <f>IF(NOTA[[#This Row],[JUMLAH]]="","",(NOTA[[#This Row],[JUMLAH]]-NOTA[[#This Row],[DISC 1-]]-NOTA[[#This Row],[DISC 2-]])*NOTA[[#This Row],[DISC 3]])</f>
        <v/>
      </c>
      <c r="AB284" s="50" t="str">
        <f>IF(NOTA[[#This Row],[JUMLAH]]="","",NOTA[[#This Row],[DISC 1-]]+NOTA[[#This Row],[DISC 2-]]+NOTA[[#This Row],[DISC 3-]])</f>
        <v/>
      </c>
      <c r="AC284" s="50" t="str">
        <f>IF(NOTA[[#This Row],[JUMLAH]]="","",NOTA[[#This Row],[JUMLAH]]-NOTA[[#This Row],[DISC]])</f>
        <v/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4" s="50" t="str">
        <f>IF(OR(NOTA[[#This Row],[QTY]]="",NOTA[[#This Row],[HARGA SATUAN]]="",),"",NOTA[[#This Row],[QTY]]*NOTA[[#This Row],[HARGA SATUAN]])</f>
        <v/>
      </c>
      <c r="AI284" s="39" t="str">
        <f ca="1">IF(NOTA[ID_H]="","",INDEX(NOTA[TANGGAL],MATCH(,INDIRECT(ADDRESS(ROW(NOTA[TANGGAL]),COLUMN(NOTA[TANGGAL]))&amp;":"&amp;ADDRESS(ROW(),COLUMN(NOTA[TANGGAL]))),-1)))</f>
        <v/>
      </c>
      <c r="AJ284" s="41" t="str">
        <f ca="1">IF(NOTA[[#This Row],[NAMA BARANG]]="","",INDEX(NOTA[SUPPLIER],MATCH(,INDIRECT(ADDRESS(ROW(NOTA[ID]),COLUMN(NOTA[ID]))&amp;":"&amp;ADDRESS(ROW(),COLUMN(NOTA[ID]))),-1)))</f>
        <v/>
      </c>
      <c r="AK284" s="41" t="str">
        <f ca="1">IF(NOTA[[#This Row],[ID_H]]="","",IF(NOTA[[#This Row],[FAKTUR]]="",INDIRECT(ADDRESS(ROW()-1,COLUMN())),NOTA[[#This Row],[FAKTUR]]))</f>
        <v/>
      </c>
      <c r="AL284" s="38" t="str">
        <f ca="1">IF(NOTA[[#This Row],[ID]]="","",COUNTIF(NOTA[ID_H],NOTA[[#This Row],[ID_H]]))</f>
        <v/>
      </c>
      <c r="AM284" s="38" t="str">
        <f ca="1">IF(NOTA[[#This Row],[TGL.NOTA]]="",IF(NOTA[[#This Row],[SUPPLIER_H]]="","",AM283),MONTH(NOTA[[#This Row],[TGL.NOTA]]))</f>
        <v/>
      </c>
      <c r="AN284" s="38" t="str">
        <f>LOWER(SUBSTITUTE(SUBSTITUTE(SUBSTITUTE(SUBSTITUTE(SUBSTITUTE(SUBSTITUTE(SUBSTITUTE(SUBSTITUTE(SUBSTITUTE(NOTA[NAMA BARANG]," ",),".",""),"-",""),"(",""),")",""),",",""),"/",""),"""",""),"+",""))</f>
        <v/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 t="str">
        <f>IF(NOTA[[#This Row],[CONCAT1]]="","",MATCH(NOTA[[#This Row],[CONCAT1]],[3]!db[NB NOTA_C],0))</f>
        <v/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/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4" s="38" t="str">
        <f ca="1">IF(NOTA[[#This Row],[ID_H]]="","",MATCH(NOTA[[#This Row],[NB NOTA_C_QTY]],[4]!db[NB NOTA_C_QTY+F],0))</f>
        <v/>
      </c>
      <c r="AX284" s="53" t="str">
        <f ca="1">IF(NOTA[[#This Row],[NB NOTA_C_QTY]]="","",ROW()-2)</f>
        <v/>
      </c>
    </row>
    <row r="285" spans="1:50" s="38" customFormat="1" ht="20.100000000000001" customHeight="1" x14ac:dyDescent="0.25">
      <c r="A285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GRA_1101_LAN-5</v>
      </c>
      <c r="C285" s="38" t="e">
        <f ca="1">IF(NOTA[[#This Row],[ID_P]]="","",MATCH(NOTA[[#This Row],[ID_P]],[1]!B_MSK[N_ID],0))</f>
        <v>#REF!</v>
      </c>
      <c r="D285" s="38">
        <f ca="1">IF(NOTA[[#This Row],[NAMA BARANG]]="","",INDEX(NOTA[ID],MATCH(,INDIRECT(ADDRESS(ROW(NOTA[ID]),COLUMN(NOTA[ID]))&amp;":"&amp;ADDRESS(ROW(),COLUMN(NOTA[ID]))),-1)))</f>
        <v>45</v>
      </c>
      <c r="E285" s="46">
        <v>45302</v>
      </c>
      <c r="F285" s="37" t="s">
        <v>237</v>
      </c>
      <c r="G285" s="37" t="s">
        <v>110</v>
      </c>
      <c r="H285" s="47" t="s">
        <v>143</v>
      </c>
      <c r="I285" s="37" t="s">
        <v>420</v>
      </c>
      <c r="J285" s="39">
        <v>45300</v>
      </c>
      <c r="K285" s="37"/>
      <c r="L285" s="37" t="s">
        <v>421</v>
      </c>
      <c r="M285" s="40">
        <v>10</v>
      </c>
      <c r="N285" s="38">
        <v>500</v>
      </c>
      <c r="O285" s="37" t="s">
        <v>111</v>
      </c>
      <c r="P285" s="41"/>
      <c r="Q285" s="42"/>
      <c r="R285" s="48" t="s">
        <v>240</v>
      </c>
      <c r="S285" s="49"/>
      <c r="T285" s="44"/>
      <c r="U285" s="44"/>
      <c r="V285" s="50"/>
      <c r="W285" s="45"/>
      <c r="X285" s="50" t="str">
        <f>IF(NOTA[[#This Row],[HARGA/ CTN]]="",NOTA[[#This Row],[JUMLAH_H]],NOTA[[#This Row],[HARGA/ CTN]]*IF(NOTA[[#This Row],[C]]="",0,NOTA[[#This Row],[C]]))</f>
        <v/>
      </c>
      <c r="Y285" s="50" t="str">
        <f>IF(NOTA[[#This Row],[JUMLAH]]="","",NOTA[[#This Row],[JUMLAH]]*NOTA[[#This Row],[DISC 1]])</f>
        <v/>
      </c>
      <c r="Z285" s="50" t="str">
        <f>IF(NOTA[[#This Row],[JUMLAH]]="","",(NOTA[[#This Row],[JUMLAH]]-NOTA[[#This Row],[DISC 1-]])*NOTA[[#This Row],[DISC 2]])</f>
        <v/>
      </c>
      <c r="AA285" s="50" t="str">
        <f>IF(NOTA[[#This Row],[JUMLAH]]="","",(NOTA[[#This Row],[JUMLAH]]-NOTA[[#This Row],[DISC 1-]]-NOTA[[#This Row],[DISC 2-]])*NOTA[[#This Row],[DISC 3]])</f>
        <v/>
      </c>
      <c r="AB285" s="50" t="str">
        <f>IF(NOTA[[#This Row],[JUMLAH]]="","",NOTA[[#This Row],[DISC 1-]]+NOTA[[#This Row],[DISC 2-]]+NOTA[[#This Row],[DISC 3-]])</f>
        <v/>
      </c>
      <c r="AC285" s="50" t="str">
        <f>IF(NOTA[[#This Row],[JUMLAH]]="","",NOTA[[#This Row],[JUMLAH]]-NOTA[[#This Row],[DISC]])</f>
        <v/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5" s="50" t="str">
        <f>IF(OR(NOTA[[#This Row],[QTY]]="",NOTA[[#This Row],[HARGA SATUAN]]="",),"",NOTA[[#This Row],[QTY]]*NOTA[[#This Row],[HARGA SATUAN]])</f>
        <v/>
      </c>
      <c r="AI285" s="39">
        <f ca="1">IF(NOTA[ID_H]="","",INDEX(NOTA[TANGGAL],MATCH(,INDIRECT(ADDRESS(ROW(NOTA[TANGGAL]),COLUMN(NOTA[TANGGAL]))&amp;":"&amp;ADDRESS(ROW(),COLUMN(NOTA[TANGGAL]))),-1)))</f>
        <v>45302</v>
      </c>
      <c r="AJ285" s="41" t="str">
        <f ca="1">IF(NOTA[[#This Row],[NAMA BARANG]]="","",INDEX(NOTA[SUPPLIER],MATCH(,INDIRECT(ADDRESS(ROW(NOTA[ID]),COLUMN(NOTA[ID]))&amp;":"&amp;ADDRESS(ROW(),COLUMN(NOTA[ID]))),-1)))</f>
        <v>GRAFINDO</v>
      </c>
      <c r="AK285" s="41" t="str">
        <f ca="1">IF(NOTA[[#This Row],[ID_H]]="","",IF(NOTA[[#This Row],[FAKTUR]]="",INDIRECT(ADDRESS(ROW()-1,COLUMN())),NOTA[[#This Row],[FAKTUR]]))</f>
        <v>UNTANA</v>
      </c>
      <c r="AL285" s="38">
        <f ca="1">IF(NOTA[[#This Row],[ID]]="","",COUNTIF(NOTA[ID_H],NOTA[[#This Row],[ID_H]]))</f>
        <v>5</v>
      </c>
      <c r="AM285" s="38">
        <f>IF(NOTA[[#This Row],[TGL.NOTA]]="",IF(NOTA[[#This Row],[SUPPLIER_H]]="","",AM284),MONTH(NOTA[[#This Row],[TGL.NOTA]]))</f>
        <v>1</v>
      </c>
      <c r="AN285" s="38" t="str">
        <f>LOWER(SUBSTITUTE(SUBSTITUTE(SUBSTITUTE(SUBSTITUTE(SUBSTITUTE(SUBSTITUTE(SUBSTITUTE(SUBSTITUTE(SUBSTITUTE(NOTA[NAMA BARANG]," ",),".",""),"-",""),"(",""),")",""),",",""),"/",""),"""",""),"+",""))</f>
        <v>ac06putih</v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ac06putih0</v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ac06putih0</v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JALANB9720 BCJ45300ac06putih</v>
      </c>
      <c r="AR285" s="38" t="e">
        <f>IF(NOTA[[#This Row],[CONCAT4]]="","",_xlfn.IFNA(MATCH(NOTA[[#This Row],[CONCAT4]],[2]!RAW[CONCAT_H],0),FALSE))</f>
        <v>#REF!</v>
      </c>
      <c r="AS285" s="38" t="e">
        <f>IF(NOTA[[#This Row],[CONCAT1]]="","",MATCH(NOTA[[#This Row],[CONCAT1]],[3]!db[NB NOTA_C],0))</f>
        <v>#N/A</v>
      </c>
      <c r="AT285" s="38" t="b">
        <f>IF(NOTA[[#This Row],[QTY/ CTN]]="","",TRUE)</f>
        <v>1</v>
      </c>
      <c r="AU285" s="38" t="str">
        <f ca="1">IF(NOTA[[#This Row],[ID_H]]="","",IF(NOTA[[#This Row],[Column3]]=TRUE,NOTA[[#This Row],[QTY/ CTN]],INDEX([3]!db[QTY/ CTN],NOTA[[#This Row],[//DB]])))</f>
        <v>50 LSN</v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ac06putih50lsnuntana</v>
      </c>
      <c r="AW285" s="38" t="e">
        <f ca="1">IF(NOTA[[#This Row],[ID_H]]="","",MATCH(NOTA[[#This Row],[NB NOTA_C_QTY]],[4]!db[NB NOTA_C_QTY+F],0))</f>
        <v>#REF!</v>
      </c>
      <c r="AX285" s="53">
        <f ca="1">IF(NOTA[[#This Row],[NB NOTA_C_QTY]]="","",ROW()-2)</f>
        <v>283</v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45</v>
      </c>
      <c r="E286" s="46"/>
      <c r="F286" s="37"/>
      <c r="G286" s="37"/>
      <c r="H286" s="47"/>
      <c r="I286" s="37"/>
      <c r="J286" s="39"/>
      <c r="K286" s="37"/>
      <c r="L286" s="37" t="s">
        <v>422</v>
      </c>
      <c r="M286" s="40">
        <v>10</v>
      </c>
      <c r="N286" s="38">
        <v>500</v>
      </c>
      <c r="O286" s="37" t="s">
        <v>111</v>
      </c>
      <c r="P286" s="41"/>
      <c r="Q286" s="42"/>
      <c r="R286" s="48" t="s">
        <v>240</v>
      </c>
      <c r="S286" s="49"/>
      <c r="T286" s="44"/>
      <c r="U286" s="44"/>
      <c r="V286" s="50"/>
      <c r="W286" s="45"/>
      <c r="X286" s="50" t="str">
        <f>IF(NOTA[[#This Row],[HARGA/ CTN]]="",NOTA[[#This Row],[JUMLAH_H]],NOTA[[#This Row],[HARGA/ CTN]]*IF(NOTA[[#This Row],[C]]="",0,NOTA[[#This Row],[C]]))</f>
        <v/>
      </c>
      <c r="Y286" s="50" t="str">
        <f>IF(NOTA[[#This Row],[JUMLAH]]="","",NOTA[[#This Row],[JUMLAH]]*NOTA[[#This Row],[DISC 1]])</f>
        <v/>
      </c>
      <c r="Z286" s="50" t="str">
        <f>IF(NOTA[[#This Row],[JUMLAH]]="","",(NOTA[[#This Row],[JUMLAH]]-NOTA[[#This Row],[DISC 1-]])*NOTA[[#This Row],[DISC 2]])</f>
        <v/>
      </c>
      <c r="AA286" s="50" t="str">
        <f>IF(NOTA[[#This Row],[JUMLAH]]="","",(NOTA[[#This Row],[JUMLAH]]-NOTA[[#This Row],[DISC 1-]]-NOTA[[#This Row],[DISC 2-]])*NOTA[[#This Row],[DISC 3]])</f>
        <v/>
      </c>
      <c r="AB286" s="50" t="str">
        <f>IF(NOTA[[#This Row],[JUMLAH]]="","",NOTA[[#This Row],[DISC 1-]]+NOTA[[#This Row],[DISC 2-]]+NOTA[[#This Row],[DISC 3-]])</f>
        <v/>
      </c>
      <c r="AC286" s="50" t="str">
        <f>IF(NOTA[[#This Row],[JUMLAH]]="","",NOTA[[#This Row],[JUMLAH]]-NOTA[[#This Row],[DISC]])</f>
        <v/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6" s="50" t="str">
        <f>IF(OR(NOTA[[#This Row],[QTY]]="",NOTA[[#This Row],[HARGA SATUAN]]="",),"",NOTA[[#This Row],[QTY]]*NOTA[[#This Row],[HARGA SATUAN]])</f>
        <v/>
      </c>
      <c r="AI286" s="39">
        <f ca="1">IF(NOTA[ID_H]="","",INDEX(NOTA[TANGGAL],MATCH(,INDIRECT(ADDRESS(ROW(NOTA[TANGGAL]),COLUMN(NOTA[TANGGAL]))&amp;":"&amp;ADDRESS(ROW(),COLUMN(NOTA[TANGGAL]))),-1)))</f>
        <v>45302</v>
      </c>
      <c r="AJ286" s="41" t="str">
        <f ca="1">IF(NOTA[[#This Row],[NAMA BARANG]]="","",INDEX(NOTA[SUPPLIER],MATCH(,INDIRECT(ADDRESS(ROW(NOTA[ID]),COLUMN(NOTA[ID]))&amp;":"&amp;ADDRESS(ROW(),COLUMN(NOTA[ID]))),-1)))</f>
        <v>GRAFINDO</v>
      </c>
      <c r="AK286" s="41" t="str">
        <f ca="1">IF(NOTA[[#This Row],[ID_H]]="","",IF(NOTA[[#This Row],[FAKTUR]]="",INDIRECT(ADDRESS(ROW()-1,COLUMN())),NOTA[[#This Row],[FAKTUR]]))</f>
        <v>UNTANA</v>
      </c>
      <c r="AL286" s="38" t="str">
        <f ca="1">IF(NOTA[[#This Row],[ID]]="","",COUNTIF(NOTA[ID_H],NOTA[[#This Row],[ID_H]]))</f>
        <v/>
      </c>
      <c r="AM286" s="38">
        <f ca="1">IF(NOTA[[#This Row],[TGL.NOTA]]="",IF(NOTA[[#This Row],[SUPPLIER_H]]="","",AM285),MONTH(NOTA[[#This Row],[TGL.NOTA]]))</f>
        <v>1</v>
      </c>
      <c r="AN286" s="38" t="str">
        <f>LOWER(SUBSTITUTE(SUBSTITUTE(SUBSTITUTE(SUBSTITUTE(SUBSTITUTE(SUBSTITUTE(SUBSTITUTE(SUBSTITUTE(SUBSTITUTE(NOTA[NAMA BARANG]," ",),".",""),"-",""),"(",""),")",""),",",""),"/",""),"""",""),"+",""))</f>
        <v>ac06biru</v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ac06biru0</v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ac06biru0</v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 t="e">
        <f>IF(NOTA[[#This Row],[CONCAT1]]="","",MATCH(NOTA[[#This Row],[CONCAT1]],[3]!db[NB NOTA_C],0))</f>
        <v>#N/A</v>
      </c>
      <c r="AT286" s="38" t="b">
        <f>IF(NOTA[[#This Row],[QTY/ CTN]]="","",TRUE)</f>
        <v>1</v>
      </c>
      <c r="AU286" s="38" t="str">
        <f ca="1">IF(NOTA[[#This Row],[ID_H]]="","",IF(NOTA[[#This Row],[Column3]]=TRUE,NOTA[[#This Row],[QTY/ CTN]],INDEX([3]!db[QTY/ CTN],NOTA[[#This Row],[//DB]])))</f>
        <v>50 LSN</v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ac06biru50lsnuntana</v>
      </c>
      <c r="AW286" s="38" t="e">
        <f ca="1">IF(NOTA[[#This Row],[ID_H]]="","",MATCH(NOTA[[#This Row],[NB NOTA_C_QTY]],[4]!db[NB NOTA_C_QTY+F],0))</f>
        <v>#REF!</v>
      </c>
      <c r="AX286" s="53">
        <f ca="1">IF(NOTA[[#This Row],[NB NOTA_C_QTY]]="","",ROW()-2)</f>
        <v>284</v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45</v>
      </c>
      <c r="E287" s="46"/>
      <c r="F287" s="37"/>
      <c r="G287" s="37"/>
      <c r="H287" s="47"/>
      <c r="I287" s="37"/>
      <c r="J287" s="39"/>
      <c r="K287" s="37"/>
      <c r="L287" s="37" t="s">
        <v>423</v>
      </c>
      <c r="M287" s="40">
        <v>10</v>
      </c>
      <c r="N287" s="38">
        <v>500</v>
      </c>
      <c r="O287" s="37" t="s">
        <v>111</v>
      </c>
      <c r="P287" s="41"/>
      <c r="Q287" s="42"/>
      <c r="R287" s="48" t="s">
        <v>240</v>
      </c>
      <c r="S287" s="49"/>
      <c r="T287" s="44"/>
      <c r="U287" s="44"/>
      <c r="V287" s="50"/>
      <c r="W287" s="45"/>
      <c r="X287" s="50" t="str">
        <f>IF(NOTA[[#This Row],[HARGA/ CTN]]="",NOTA[[#This Row],[JUMLAH_H]],NOTA[[#This Row],[HARGA/ CTN]]*IF(NOTA[[#This Row],[C]]="",0,NOTA[[#This Row],[C]]))</f>
        <v/>
      </c>
      <c r="Y287" s="50" t="str">
        <f>IF(NOTA[[#This Row],[JUMLAH]]="","",NOTA[[#This Row],[JUMLAH]]*NOTA[[#This Row],[DISC 1]])</f>
        <v/>
      </c>
      <c r="Z287" s="50" t="str">
        <f>IF(NOTA[[#This Row],[JUMLAH]]="","",(NOTA[[#This Row],[JUMLAH]]-NOTA[[#This Row],[DISC 1-]])*NOTA[[#This Row],[DISC 2]])</f>
        <v/>
      </c>
      <c r="AA287" s="50" t="str">
        <f>IF(NOTA[[#This Row],[JUMLAH]]="","",(NOTA[[#This Row],[JUMLAH]]-NOTA[[#This Row],[DISC 1-]]-NOTA[[#This Row],[DISC 2-]])*NOTA[[#This Row],[DISC 3]])</f>
        <v/>
      </c>
      <c r="AB287" s="50" t="str">
        <f>IF(NOTA[[#This Row],[JUMLAH]]="","",NOTA[[#This Row],[DISC 1-]]+NOTA[[#This Row],[DISC 2-]]+NOTA[[#This Row],[DISC 3-]])</f>
        <v/>
      </c>
      <c r="AC287" s="50" t="str">
        <f>IF(NOTA[[#This Row],[JUMLAH]]="","",NOTA[[#This Row],[JUMLAH]]-NOTA[[#This Row],[DISC]])</f>
        <v/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7" s="50" t="str">
        <f>IF(OR(NOTA[[#This Row],[QTY]]="",NOTA[[#This Row],[HARGA SATUAN]]="",),"",NOTA[[#This Row],[QTY]]*NOTA[[#This Row],[HARGA SATUAN]])</f>
        <v/>
      </c>
      <c r="AI287" s="39">
        <f ca="1">IF(NOTA[ID_H]="","",INDEX(NOTA[TANGGAL],MATCH(,INDIRECT(ADDRESS(ROW(NOTA[TANGGAL]),COLUMN(NOTA[TANGGAL]))&amp;":"&amp;ADDRESS(ROW(),COLUMN(NOTA[TANGGAL]))),-1)))</f>
        <v>45302</v>
      </c>
      <c r="AJ287" s="41" t="str">
        <f ca="1">IF(NOTA[[#This Row],[NAMA BARANG]]="","",INDEX(NOTA[SUPPLIER],MATCH(,INDIRECT(ADDRESS(ROW(NOTA[ID]),COLUMN(NOTA[ID]))&amp;":"&amp;ADDRESS(ROW(),COLUMN(NOTA[ID]))),-1)))</f>
        <v>GRAFINDO</v>
      </c>
      <c r="AK287" s="41" t="str">
        <f ca="1">IF(NOTA[[#This Row],[ID_H]]="","",IF(NOTA[[#This Row],[FAKTUR]]="",INDIRECT(ADDRESS(ROW()-1,COLUMN())),NOTA[[#This Row],[FAKTUR]]))</f>
        <v>UNTANA</v>
      </c>
      <c r="AL287" s="38" t="str">
        <f ca="1">IF(NOTA[[#This Row],[ID]]="","",COUNTIF(NOTA[ID_H],NOTA[[#This Row],[ID_H]]))</f>
        <v/>
      </c>
      <c r="AM287" s="38">
        <f ca="1">IF(NOTA[[#This Row],[TGL.NOTA]]="",IF(NOTA[[#This Row],[SUPPLIER_H]]="","",AM286),MONTH(NOTA[[#This Row],[TGL.NOTA]]))</f>
        <v>1</v>
      </c>
      <c r="AN287" s="38" t="str">
        <f>LOWER(SUBSTITUTE(SUBSTITUTE(SUBSTITUTE(SUBSTITUTE(SUBSTITUTE(SUBSTITUTE(SUBSTITUTE(SUBSTITUTE(SUBSTITUTE(NOTA[NAMA BARANG]," ",),".",""),"-",""),"(",""),")",""),",",""),"/",""),"""",""),"+",""))</f>
        <v>ac06merah</v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ac06merah0</v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ac06merah0</v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>
        <f>IF(NOTA[[#This Row],[CONCAT1]]="","",MATCH(NOTA[[#This Row],[CONCAT1]],[3]!db[NB NOTA_C],0))</f>
        <v>21</v>
      </c>
      <c r="AT287" s="38" t="b">
        <f>IF(NOTA[[#This Row],[QTY/ CTN]]="","",TRUE)</f>
        <v>1</v>
      </c>
      <c r="AU287" s="38" t="str">
        <f ca="1">IF(NOTA[[#This Row],[ID_H]]="","",IF(NOTA[[#This Row],[Column3]]=TRUE,NOTA[[#This Row],[QTY/ CTN]],INDEX([3]!db[QTY/ CTN],NOTA[[#This Row],[//DB]])))</f>
        <v>50 LSN</v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ac06merah50lsnuntana</v>
      </c>
      <c r="AW287" s="38" t="e">
        <f ca="1">IF(NOTA[[#This Row],[ID_H]]="","",MATCH(NOTA[[#This Row],[NB NOTA_C_QTY]],[4]!db[NB NOTA_C_QTY+F],0))</f>
        <v>#REF!</v>
      </c>
      <c r="AX287" s="53">
        <f ca="1">IF(NOTA[[#This Row],[NB NOTA_C_QTY]]="","",ROW()-2)</f>
        <v>285</v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45</v>
      </c>
      <c r="E288" s="46"/>
      <c r="F288" s="37"/>
      <c r="G288" s="37"/>
      <c r="H288" s="47"/>
      <c r="I288" s="37"/>
      <c r="J288" s="39"/>
      <c r="K288" s="37"/>
      <c r="L288" s="37" t="s">
        <v>424</v>
      </c>
      <c r="M288" s="40">
        <v>5</v>
      </c>
      <c r="N288" s="38">
        <v>250</v>
      </c>
      <c r="O288" s="37" t="s">
        <v>111</v>
      </c>
      <c r="P288" s="41"/>
      <c r="Q288" s="42"/>
      <c r="R288" s="48" t="s">
        <v>240</v>
      </c>
      <c r="S288" s="49"/>
      <c r="T288" s="44"/>
      <c r="U288" s="44"/>
      <c r="V288" s="50"/>
      <c r="W288" s="45"/>
      <c r="X288" s="50" t="str">
        <f>IF(NOTA[[#This Row],[HARGA/ CTN]]="",NOTA[[#This Row],[JUMLAH_H]],NOTA[[#This Row],[HARGA/ CTN]]*IF(NOTA[[#This Row],[C]]="",0,NOTA[[#This Row],[C]]))</f>
        <v/>
      </c>
      <c r="Y288" s="50" t="str">
        <f>IF(NOTA[[#This Row],[JUMLAH]]="","",NOTA[[#This Row],[JUMLAH]]*NOTA[[#This Row],[DISC 1]])</f>
        <v/>
      </c>
      <c r="Z288" s="50" t="str">
        <f>IF(NOTA[[#This Row],[JUMLAH]]="","",(NOTA[[#This Row],[JUMLAH]]-NOTA[[#This Row],[DISC 1-]])*NOTA[[#This Row],[DISC 2]])</f>
        <v/>
      </c>
      <c r="AA288" s="50" t="str">
        <f>IF(NOTA[[#This Row],[JUMLAH]]="","",(NOTA[[#This Row],[JUMLAH]]-NOTA[[#This Row],[DISC 1-]]-NOTA[[#This Row],[DISC 2-]])*NOTA[[#This Row],[DISC 3]])</f>
        <v/>
      </c>
      <c r="AB288" s="50" t="str">
        <f>IF(NOTA[[#This Row],[JUMLAH]]="","",NOTA[[#This Row],[DISC 1-]]+NOTA[[#This Row],[DISC 2-]]+NOTA[[#This Row],[DISC 3-]])</f>
        <v/>
      </c>
      <c r="AC288" s="50" t="str">
        <f>IF(NOTA[[#This Row],[JUMLAH]]="","",NOTA[[#This Row],[JUMLAH]]-NOTA[[#This Row],[DISC]])</f>
        <v/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8" s="50" t="str">
        <f>IF(OR(NOTA[[#This Row],[QTY]]="",NOTA[[#This Row],[HARGA SATUAN]]="",),"",NOTA[[#This Row],[QTY]]*NOTA[[#This Row],[HARGA SATUAN]])</f>
        <v/>
      </c>
      <c r="AI288" s="39">
        <f ca="1">IF(NOTA[ID_H]="","",INDEX(NOTA[TANGGAL],MATCH(,INDIRECT(ADDRESS(ROW(NOTA[TANGGAL]),COLUMN(NOTA[TANGGAL]))&amp;":"&amp;ADDRESS(ROW(),COLUMN(NOTA[TANGGAL]))),-1)))</f>
        <v>45302</v>
      </c>
      <c r="AJ288" s="41" t="str">
        <f ca="1">IF(NOTA[[#This Row],[NAMA BARANG]]="","",INDEX(NOTA[SUPPLIER],MATCH(,INDIRECT(ADDRESS(ROW(NOTA[ID]),COLUMN(NOTA[ID]))&amp;":"&amp;ADDRESS(ROW(),COLUMN(NOTA[ID]))),-1)))</f>
        <v>GRAFINDO</v>
      </c>
      <c r="AK288" s="41" t="str">
        <f ca="1">IF(NOTA[[#This Row],[ID_H]]="","",IF(NOTA[[#This Row],[FAKTUR]]="",INDIRECT(ADDRESS(ROW()-1,COLUMN())),NOTA[[#This Row],[FAKTUR]]))</f>
        <v>UNTANA</v>
      </c>
      <c r="AL288" s="38" t="str">
        <f ca="1">IF(NOTA[[#This Row],[ID]]="","",COUNTIF(NOTA[ID_H],NOTA[[#This Row],[ID_H]]))</f>
        <v/>
      </c>
      <c r="AM288" s="38">
        <f ca="1">IF(NOTA[[#This Row],[TGL.NOTA]]="",IF(NOTA[[#This Row],[SUPPLIER_H]]="","",AM287),MONTH(NOTA[[#This Row],[TGL.NOTA]]))</f>
        <v>1</v>
      </c>
      <c r="AN288" s="38" t="str">
        <f>LOWER(SUBSTITUTE(SUBSTITUTE(SUBSTITUTE(SUBSTITUTE(SUBSTITUTE(SUBSTITUTE(SUBSTITUTE(SUBSTITUTE(SUBSTITUTE(NOTA[NAMA BARANG]," ",),".",""),"-",""),"(",""),")",""),",",""),"/",""),"""",""),"+",""))</f>
        <v>ac06kuning</v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ac06kuning0</v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ac06kuning0</v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 t="e">
        <f>IF(NOTA[[#This Row],[CONCAT1]]="","",MATCH(NOTA[[#This Row],[CONCAT1]],[3]!db[NB NOTA_C],0))</f>
        <v>#N/A</v>
      </c>
      <c r="AT288" s="38" t="b">
        <f>IF(NOTA[[#This Row],[QTY/ CTN]]="","",TRUE)</f>
        <v>1</v>
      </c>
      <c r="AU288" s="38" t="str">
        <f ca="1">IF(NOTA[[#This Row],[ID_H]]="","",IF(NOTA[[#This Row],[Column3]]=TRUE,NOTA[[#This Row],[QTY/ CTN]],INDEX([3]!db[QTY/ CTN],NOTA[[#This Row],[//DB]])))</f>
        <v>50 LSN</v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ac06kuning50lsnuntana</v>
      </c>
      <c r="AW288" s="38" t="e">
        <f ca="1">IF(NOTA[[#This Row],[ID_H]]="","",MATCH(NOTA[[#This Row],[NB NOTA_C_QTY]],[4]!db[NB NOTA_C_QTY+F],0))</f>
        <v>#REF!</v>
      </c>
      <c r="AX288" s="53">
        <f ca="1">IF(NOTA[[#This Row],[NB NOTA_C_QTY]]="","",ROW()-2)</f>
        <v>286</v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45</v>
      </c>
      <c r="E289" s="46"/>
      <c r="F289" s="37"/>
      <c r="G289" s="37"/>
      <c r="H289" s="47"/>
      <c r="I289" s="37"/>
      <c r="J289" s="39"/>
      <c r="K289" s="37"/>
      <c r="L289" s="37" t="s">
        <v>425</v>
      </c>
      <c r="M289" s="40">
        <v>5</v>
      </c>
      <c r="N289" s="38">
        <v>250</v>
      </c>
      <c r="O289" s="37" t="s">
        <v>111</v>
      </c>
      <c r="P289" s="41"/>
      <c r="Q289" s="42"/>
      <c r="R289" s="48" t="s">
        <v>240</v>
      </c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28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9" s="50" t="str">
        <f>IF(OR(NOTA[[#This Row],[QTY]]="",NOTA[[#This Row],[HARGA SATUAN]]="",),"",NOTA[[#This Row],[QTY]]*NOTA[[#This Row],[HARGA SATUAN]])</f>
        <v/>
      </c>
      <c r="AI289" s="39">
        <f ca="1">IF(NOTA[ID_H]="","",INDEX(NOTA[TANGGAL],MATCH(,INDIRECT(ADDRESS(ROW(NOTA[TANGGAL]),COLUMN(NOTA[TANGGAL]))&amp;":"&amp;ADDRESS(ROW(),COLUMN(NOTA[TANGGAL]))),-1)))</f>
        <v>45302</v>
      </c>
      <c r="AJ289" s="41" t="str">
        <f ca="1">IF(NOTA[[#This Row],[NAMA BARANG]]="","",INDEX(NOTA[SUPPLIER],MATCH(,INDIRECT(ADDRESS(ROW(NOTA[ID]),COLUMN(NOTA[ID]))&amp;":"&amp;ADDRESS(ROW(),COLUMN(NOTA[ID]))),-1)))</f>
        <v>GRAFINDO</v>
      </c>
      <c r="AK289" s="41" t="str">
        <f ca="1">IF(NOTA[[#This Row],[ID_H]]="","",IF(NOTA[[#This Row],[FAKTUR]]="",INDIRECT(ADDRESS(ROW()-1,COLUMN())),NOTA[[#This Row],[FAKTUR]]))</f>
        <v>UNTANA</v>
      </c>
      <c r="AL289" s="38" t="str">
        <f ca="1">IF(NOTA[[#This Row],[ID]]="","",COUNTIF(NOTA[ID_H],NOTA[[#This Row],[ID_H]]))</f>
        <v/>
      </c>
      <c r="AM289" s="38">
        <f ca="1">IF(NOTA[[#This Row],[TGL.NOTA]]="",IF(NOTA[[#This Row],[SUPPLIER_H]]="","",AM288),MONTH(NOTA[[#This Row],[TGL.NOTA]]))</f>
        <v>1</v>
      </c>
      <c r="AN289" s="38" t="str">
        <f>LOWER(SUBSTITUTE(SUBSTITUTE(SUBSTITUTE(SUBSTITUTE(SUBSTITUTE(SUBSTITUTE(SUBSTITUTE(SUBSTITUTE(SUBSTITUTE(NOTA[NAMA BARANG]," ",),".",""),"-",""),"(",""),")",""),",",""),"/",""),"""",""),"+",""))</f>
        <v>1c06hijau</v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1c06hijau0</v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1c06hijau0</v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 t="e">
        <f>IF(NOTA[[#This Row],[CONCAT1]]="","",MATCH(NOTA[[#This Row],[CONCAT1]],[3]!db[NB NOTA_C],0))</f>
        <v>#N/A</v>
      </c>
      <c r="AT289" s="38" t="b">
        <f>IF(NOTA[[#This Row],[QTY/ CTN]]="","",TRUE)</f>
        <v>1</v>
      </c>
      <c r="AU289" s="38" t="str">
        <f ca="1">IF(NOTA[[#This Row],[ID_H]]="","",IF(NOTA[[#This Row],[Column3]]=TRUE,NOTA[[#This Row],[QTY/ CTN]],INDEX([3]!db[QTY/ CTN],NOTA[[#This Row],[//DB]])))</f>
        <v>50 LSN</v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1c06hijau50lsnuntana</v>
      </c>
      <c r="AW289" s="38" t="e">
        <f ca="1">IF(NOTA[[#This Row],[ID_H]]="","",MATCH(NOTA[[#This Row],[NB NOTA_C_QTY]],[4]!db[NB NOTA_C_QTY+F],0))</f>
        <v>#REF!</v>
      </c>
      <c r="AX289" s="53">
        <f ca="1">IF(NOTA[[#This Row],[NB NOTA_C_QTY]]="","",ROW()-2)</f>
        <v>287</v>
      </c>
    </row>
    <row r="290" spans="1:50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 t="str">
        <f ca="1">IF(NOTA[[#This Row],[NAMA BARANG]]="","",INDEX(NOTA[ID],MATCH(,INDIRECT(ADDRESS(ROW(NOTA[ID]),COLUMN(NOTA[ID]))&amp;":"&amp;ADDRESS(ROW(),COLUMN(NOTA[ID]))),-1)))</f>
        <v/>
      </c>
      <c r="E290" s="46"/>
      <c r="F290" s="37"/>
      <c r="G290" s="37"/>
      <c r="H290" s="47"/>
      <c r="I290" s="37"/>
      <c r="J290" s="39"/>
      <c r="K290" s="37"/>
      <c r="L290" s="37"/>
      <c r="M290" s="40"/>
      <c r="O290" s="37"/>
      <c r="P290" s="41"/>
      <c r="Q290" s="42"/>
      <c r="R290" s="48"/>
      <c r="S290" s="49"/>
      <c r="T290" s="44"/>
      <c r="U290" s="44"/>
      <c r="V290" s="50"/>
      <c r="W290" s="45"/>
      <c r="X290" s="50" t="str">
        <f>IF(NOTA[[#This Row],[HARGA/ CTN]]="",NOTA[[#This Row],[JUMLAH_H]],NOTA[[#This Row],[HARGA/ CTN]]*IF(NOTA[[#This Row],[C]]="",0,NOTA[[#This Row],[C]]))</f>
        <v/>
      </c>
      <c r="Y290" s="50" t="str">
        <f>IF(NOTA[[#This Row],[JUMLAH]]="","",NOTA[[#This Row],[JUMLAH]]*NOTA[[#This Row],[DISC 1]])</f>
        <v/>
      </c>
      <c r="Z290" s="50" t="str">
        <f>IF(NOTA[[#This Row],[JUMLAH]]="","",(NOTA[[#This Row],[JUMLAH]]-NOTA[[#This Row],[DISC 1-]])*NOTA[[#This Row],[DISC 2]])</f>
        <v/>
      </c>
      <c r="AA290" s="50" t="str">
        <f>IF(NOTA[[#This Row],[JUMLAH]]="","",(NOTA[[#This Row],[JUMLAH]]-NOTA[[#This Row],[DISC 1-]]-NOTA[[#This Row],[DISC 2-]])*NOTA[[#This Row],[DISC 3]])</f>
        <v/>
      </c>
      <c r="AB290" s="50" t="str">
        <f>IF(NOTA[[#This Row],[JUMLAH]]="","",NOTA[[#This Row],[DISC 1-]]+NOTA[[#This Row],[DISC 2-]]+NOTA[[#This Row],[DISC 3-]])</f>
        <v/>
      </c>
      <c r="AC290" s="50" t="str">
        <f>IF(NOTA[[#This Row],[JUMLAH]]="","",NOTA[[#This Row],[JUMLAH]]-NOTA[[#This Row],[DISC]])</f>
        <v/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0" s="50" t="str">
        <f>IF(OR(NOTA[[#This Row],[QTY]]="",NOTA[[#This Row],[HARGA SATUAN]]="",),"",NOTA[[#This Row],[QTY]]*NOTA[[#This Row],[HARGA SATUAN]])</f>
        <v/>
      </c>
      <c r="AI290" s="39" t="str">
        <f ca="1">IF(NOTA[ID_H]="","",INDEX(NOTA[TANGGAL],MATCH(,INDIRECT(ADDRESS(ROW(NOTA[TANGGAL]),COLUMN(NOTA[TANGGAL]))&amp;":"&amp;ADDRESS(ROW(),COLUMN(NOTA[TANGGAL]))),-1)))</f>
        <v/>
      </c>
      <c r="AJ290" s="41" t="str">
        <f ca="1">IF(NOTA[[#This Row],[NAMA BARANG]]="","",INDEX(NOTA[SUPPLIER],MATCH(,INDIRECT(ADDRESS(ROW(NOTA[ID]),COLUMN(NOTA[ID]))&amp;":"&amp;ADDRESS(ROW(),COLUMN(NOTA[ID]))),-1)))</f>
        <v/>
      </c>
      <c r="AK290" s="41" t="str">
        <f ca="1">IF(NOTA[[#This Row],[ID_H]]="","",IF(NOTA[[#This Row],[FAKTUR]]="",INDIRECT(ADDRESS(ROW()-1,COLUMN())),NOTA[[#This Row],[FAKTUR]]))</f>
        <v/>
      </c>
      <c r="AL290" s="38" t="str">
        <f ca="1">IF(NOTA[[#This Row],[ID]]="","",COUNTIF(NOTA[ID_H],NOTA[[#This Row],[ID_H]]))</f>
        <v/>
      </c>
      <c r="AM290" s="38" t="str">
        <f ca="1">IF(NOTA[[#This Row],[TGL.NOTA]]="",IF(NOTA[[#This Row],[SUPPLIER_H]]="","",AM289),MONTH(NOTA[[#This Row],[TGL.NOTA]]))</f>
        <v/>
      </c>
      <c r="AN290" s="38" t="str">
        <f>LOWER(SUBSTITUTE(SUBSTITUTE(SUBSTITUTE(SUBSTITUTE(SUBSTITUTE(SUBSTITUTE(SUBSTITUTE(SUBSTITUTE(SUBSTITUTE(NOTA[NAMA BARANG]," ",),".",""),"-",""),"(",""),")",""),",",""),"/",""),"""",""),"+",""))</f>
        <v/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38" t="str">
        <f>IF(NOTA[[#This Row],[CONCAT4]]="","",_xlfn.IFNA(MATCH(NOTA[[#This Row],[CONCAT4]],[2]!RAW[CONCAT_H],0),FALSE))</f>
        <v/>
      </c>
      <c r="AS290" s="38" t="str">
        <f>IF(NOTA[[#This Row],[CONCAT1]]="","",MATCH(NOTA[[#This Row],[CONCAT1]],[3]!db[NB NOTA_C],0))</f>
        <v/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/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0" s="38" t="str">
        <f ca="1">IF(NOTA[[#This Row],[ID_H]]="","",MATCH(NOTA[[#This Row],[NB NOTA_C_QTY]],[4]!db[NB NOTA_C_QTY+F],0))</f>
        <v/>
      </c>
      <c r="AX290" s="53" t="str">
        <f ca="1">IF(NOTA[[#This Row],[NB NOTA_C_QTY]]="","",ROW()-2)</f>
        <v/>
      </c>
    </row>
    <row r="291" spans="1:50" s="38" customFormat="1" ht="20.100000000000001" customHeight="1" x14ac:dyDescent="0.25">
      <c r="A291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SIN_1101_LAN-1</v>
      </c>
      <c r="C291" s="38" t="e">
        <f ca="1">IF(NOTA[[#This Row],[ID_P]]="","",MATCH(NOTA[[#This Row],[ID_P]],[1]!B_MSK[N_ID],0))</f>
        <v>#REF!</v>
      </c>
      <c r="D291" s="38">
        <f ca="1">IF(NOTA[[#This Row],[NAMA BARANG]]="","",INDEX(NOTA[ID],MATCH(,INDIRECT(ADDRESS(ROW(NOTA[ID]),COLUMN(NOTA[ID]))&amp;":"&amp;ADDRESS(ROW(),COLUMN(NOTA[ID]))),-1)))</f>
        <v>46</v>
      </c>
      <c r="E291" s="46">
        <v>45302</v>
      </c>
      <c r="F291" s="37" t="s">
        <v>426</v>
      </c>
      <c r="G291" s="37" t="s">
        <v>110</v>
      </c>
      <c r="H291" s="47" t="s">
        <v>143</v>
      </c>
      <c r="I291" s="37" t="s">
        <v>427</v>
      </c>
      <c r="J291" s="39">
        <v>45297</v>
      </c>
      <c r="K291" s="37"/>
      <c r="L291" s="37" t="s">
        <v>428</v>
      </c>
      <c r="M291" s="40">
        <v>5</v>
      </c>
      <c r="N291" s="38">
        <v>400</v>
      </c>
      <c r="O291" s="37" t="s">
        <v>111</v>
      </c>
      <c r="P291" s="41">
        <v>26500</v>
      </c>
      <c r="Q291" s="42"/>
      <c r="R291" s="48" t="s">
        <v>429</v>
      </c>
      <c r="S291" s="49"/>
      <c r="T291" s="44"/>
      <c r="U291" s="44"/>
      <c r="V291" s="50"/>
      <c r="W291" s="45"/>
      <c r="X291" s="50">
        <f>IF(NOTA[[#This Row],[HARGA/ CTN]]="",NOTA[[#This Row],[JUMLAH_H]],NOTA[[#This Row],[HARGA/ CTN]]*IF(NOTA[[#This Row],[C]]="",0,NOTA[[#This Row],[C]]))</f>
        <v>10600000</v>
      </c>
      <c r="Y291" s="50">
        <f>IF(NOTA[[#This Row],[JUMLAH]]="","",NOTA[[#This Row],[JUMLAH]]*NOTA[[#This Row],[DISC 1]])</f>
        <v>0</v>
      </c>
      <c r="Z291" s="50">
        <f>IF(NOTA[[#This Row],[JUMLAH]]="","",(NOTA[[#This Row],[JUMLAH]]-NOTA[[#This Row],[DISC 1-]])*NOTA[[#This Row],[DISC 2]])</f>
        <v>0</v>
      </c>
      <c r="AA291" s="50">
        <f>IF(NOTA[[#This Row],[JUMLAH]]="","",(NOTA[[#This Row],[JUMLAH]]-NOTA[[#This Row],[DISC 1-]]-NOTA[[#This Row],[DISC 2-]])*NOTA[[#This Row],[DISC 3]])</f>
        <v>0</v>
      </c>
      <c r="AB291" s="50">
        <f>IF(NOTA[[#This Row],[JUMLAH]]="","",NOTA[[#This Row],[DISC 1-]]+NOTA[[#This Row],[DISC 2-]]+NOTA[[#This Row],[DISC 3-]])</f>
        <v>0</v>
      </c>
      <c r="AC291" s="50">
        <f>IF(NOTA[[#This Row],[JUMLAH]]="","",NOTA[[#This Row],[JUMLAH]]-NOTA[[#This Row],[DISC]])</f>
        <v>10600000</v>
      </c>
      <c r="AD291" s="50"/>
      <c r="AE2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10600000</v>
      </c>
      <c r="AG291" s="41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291" s="50">
        <f>IF(OR(NOTA[[#This Row],[QTY]]="",NOTA[[#This Row],[HARGA SATUAN]]="",),"",NOTA[[#This Row],[QTY]]*NOTA[[#This Row],[HARGA SATUAN]])</f>
        <v>10600000</v>
      </c>
      <c r="AI291" s="39">
        <f ca="1">IF(NOTA[ID_H]="","",INDEX(NOTA[TANGGAL],MATCH(,INDIRECT(ADDRESS(ROW(NOTA[TANGGAL]),COLUMN(NOTA[TANGGAL]))&amp;":"&amp;ADDRESS(ROW(),COLUMN(NOTA[TANGGAL]))),-1)))</f>
        <v>45302</v>
      </c>
      <c r="AJ291" s="41" t="str">
        <f ca="1">IF(NOTA[[#This Row],[NAMA BARANG]]="","",INDEX(NOTA[SUPPLIER],MATCH(,INDIRECT(ADDRESS(ROW(NOTA[ID]),COLUMN(NOTA[ID]))&amp;":"&amp;ADDRESS(ROW(),COLUMN(NOTA[ID]))),-1)))</f>
        <v>SINAR MAS</v>
      </c>
      <c r="AK291" s="41" t="str">
        <f ca="1">IF(NOTA[[#This Row],[ID_H]]="","",IF(NOTA[[#This Row],[FAKTUR]]="",INDIRECT(ADDRESS(ROW()-1,COLUMN())),NOTA[[#This Row],[FAKTUR]]))</f>
        <v>UNTANA</v>
      </c>
      <c r="AL291" s="38">
        <f ca="1">IF(NOTA[[#This Row],[ID]]="","",COUNTIF(NOTA[ID_H],NOTA[[#This Row],[ID_H]]))</f>
        <v>1</v>
      </c>
      <c r="AM291" s="38">
        <f>IF(NOTA[[#This Row],[TGL.NOTA]]="",IF(NOTA[[#This Row],[SUPPLIER_H]]="","",AM290),MONTH(NOTA[[#This Row],[TGL.NOTA]]))</f>
        <v>1</v>
      </c>
      <c r="AN291" s="38" t="str">
        <f>LOWER(SUBSTITUTE(SUBSTITUTE(SUBSTITUTE(SUBSTITUTE(SUBSTITUTE(SUBSTITUTE(SUBSTITUTE(SUBSTITUTE(SUBSTITUTE(NOTA[NAMA BARANG]," ",),".",""),"-",""),"(",""),")",""),",",""),"/",""),"""",""),"+",""))</f>
        <v>garisanbesi30cmfancya9030</v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garisanbesi30cmfancya90302120000</v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garisanbesi30cmfancya90302120000</v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>SINAR MASUNTANASURAT JALAN918 EDY45297garisanbesi30cmfancya9030</v>
      </c>
      <c r="AR291" s="38" t="e">
        <f>IF(NOTA[[#This Row],[CONCAT4]]="","",_xlfn.IFNA(MATCH(NOTA[[#This Row],[CONCAT4]],[2]!RAW[CONCAT_H],0),FALSE))</f>
        <v>#REF!</v>
      </c>
      <c r="AS291" s="38" t="e">
        <f>IF(NOTA[[#This Row],[CONCAT1]]="","",MATCH(NOTA[[#This Row],[CONCAT1]],[3]!db[NB NOTA_C],0))</f>
        <v>#N/A</v>
      </c>
      <c r="AT291" s="38" t="b">
        <f>IF(NOTA[[#This Row],[QTY/ CTN]]="","",TRUE)</f>
        <v>1</v>
      </c>
      <c r="AU291" s="38" t="str">
        <f ca="1">IF(NOTA[[#This Row],[ID_H]]="","",IF(NOTA[[#This Row],[Column3]]=TRUE,NOTA[[#This Row],[QTY/ CTN]],INDEX([3]!db[QTY/ CTN],NOTA[[#This Row],[//DB]])))</f>
        <v>80 LSN</v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garisanbesi30cmfancya903080lsnuntana</v>
      </c>
      <c r="AW291" s="38" t="e">
        <f ca="1">IF(NOTA[[#This Row],[ID_H]]="","",MATCH(NOTA[[#This Row],[NB NOTA_C_QTY]],[4]!db[NB NOTA_C_QTY+F],0))</f>
        <v>#REF!</v>
      </c>
      <c r="AX291" s="53">
        <f ca="1">IF(NOTA[[#This Row],[NB NOTA_C_QTY]]="","",ROW()-2)</f>
        <v>289</v>
      </c>
    </row>
    <row r="292" spans="1:50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 t="str">
        <f ca="1">IF(NOTA[[#This Row],[NAMA BARANG]]="","",INDEX(NOTA[ID],MATCH(,INDIRECT(ADDRESS(ROW(NOTA[ID]),COLUMN(NOTA[ID]))&amp;":"&amp;ADDRESS(ROW(),COLUMN(NOTA[ID]))),-1)))</f>
        <v/>
      </c>
      <c r="E292" s="46"/>
      <c r="F292" s="37"/>
      <c r="G292" s="37"/>
      <c r="H292" s="47"/>
      <c r="I292" s="37"/>
      <c r="J292" s="39"/>
      <c r="K292" s="37"/>
      <c r="L292" s="37"/>
      <c r="M292" s="40"/>
      <c r="O292" s="37"/>
      <c r="P292" s="41"/>
      <c r="Q292" s="42"/>
      <c r="R292" s="48"/>
      <c r="S292" s="49"/>
      <c r="T292" s="44"/>
      <c r="U292" s="44"/>
      <c r="V292" s="50"/>
      <c r="W292" s="45"/>
      <c r="X292" s="50" t="str">
        <f>IF(NOTA[[#This Row],[HARGA/ CTN]]="",NOTA[[#This Row],[JUMLAH_H]],NOTA[[#This Row],[HARGA/ CTN]]*IF(NOTA[[#This Row],[C]]="",0,NOTA[[#This Row],[C]]))</f>
        <v/>
      </c>
      <c r="Y292" s="50" t="str">
        <f>IF(NOTA[[#This Row],[JUMLAH]]="","",NOTA[[#This Row],[JUMLAH]]*NOTA[[#This Row],[DISC 1]])</f>
        <v/>
      </c>
      <c r="Z292" s="50" t="str">
        <f>IF(NOTA[[#This Row],[JUMLAH]]="","",(NOTA[[#This Row],[JUMLAH]]-NOTA[[#This Row],[DISC 1-]])*NOTA[[#This Row],[DISC 2]])</f>
        <v/>
      </c>
      <c r="AA292" s="50" t="str">
        <f>IF(NOTA[[#This Row],[JUMLAH]]="","",(NOTA[[#This Row],[JUMLAH]]-NOTA[[#This Row],[DISC 1-]]-NOTA[[#This Row],[DISC 2-]])*NOTA[[#This Row],[DISC 3]])</f>
        <v/>
      </c>
      <c r="AB292" s="50" t="str">
        <f>IF(NOTA[[#This Row],[JUMLAH]]="","",NOTA[[#This Row],[DISC 1-]]+NOTA[[#This Row],[DISC 2-]]+NOTA[[#This Row],[DISC 3-]])</f>
        <v/>
      </c>
      <c r="AC292" s="50" t="str">
        <f>IF(NOTA[[#This Row],[JUMLAH]]="","",NOTA[[#This Row],[JUMLAH]]-NOTA[[#This Row],[DISC]])</f>
        <v/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2" s="50" t="str">
        <f>IF(OR(NOTA[[#This Row],[QTY]]="",NOTA[[#This Row],[HARGA SATUAN]]="",),"",NOTA[[#This Row],[QTY]]*NOTA[[#This Row],[HARGA SATUAN]])</f>
        <v/>
      </c>
      <c r="AI292" s="39" t="str">
        <f ca="1">IF(NOTA[ID_H]="","",INDEX(NOTA[TANGGAL],MATCH(,INDIRECT(ADDRESS(ROW(NOTA[TANGGAL]),COLUMN(NOTA[TANGGAL]))&amp;":"&amp;ADDRESS(ROW(),COLUMN(NOTA[TANGGAL]))),-1)))</f>
        <v/>
      </c>
      <c r="AJ292" s="41" t="str">
        <f ca="1">IF(NOTA[[#This Row],[NAMA BARANG]]="","",INDEX(NOTA[SUPPLIER],MATCH(,INDIRECT(ADDRESS(ROW(NOTA[ID]),COLUMN(NOTA[ID]))&amp;":"&amp;ADDRESS(ROW(),COLUMN(NOTA[ID]))),-1)))</f>
        <v/>
      </c>
      <c r="AK292" s="41" t="str">
        <f ca="1">IF(NOTA[[#This Row],[ID_H]]="","",IF(NOTA[[#This Row],[FAKTUR]]="",INDIRECT(ADDRESS(ROW()-1,COLUMN())),NOTA[[#This Row],[FAKTUR]]))</f>
        <v/>
      </c>
      <c r="AL292" s="38" t="str">
        <f ca="1">IF(NOTA[[#This Row],[ID]]="","",COUNTIF(NOTA[ID_H],NOTA[[#This Row],[ID_H]]))</f>
        <v/>
      </c>
      <c r="AM292" s="38" t="str">
        <f ca="1">IF(NOTA[[#This Row],[TGL.NOTA]]="",IF(NOTA[[#This Row],[SUPPLIER_H]]="","",AM291),MONTH(NOTA[[#This Row],[TGL.NOTA]]))</f>
        <v/>
      </c>
      <c r="AN292" s="38" t="str">
        <f>LOWER(SUBSTITUTE(SUBSTITUTE(SUBSTITUTE(SUBSTITUTE(SUBSTITUTE(SUBSTITUTE(SUBSTITUTE(SUBSTITUTE(SUBSTITUTE(NOTA[NAMA BARANG]," ",),".",""),"-",""),"(",""),")",""),",",""),"/",""),"""",""),"+",""))</f>
        <v/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38" t="str">
        <f>IF(NOTA[[#This Row],[CONCAT4]]="","",_xlfn.IFNA(MATCH(NOTA[[#This Row],[CONCAT4]],[2]!RAW[CONCAT_H],0),FALSE))</f>
        <v/>
      </c>
      <c r="AS292" s="38" t="str">
        <f>IF(NOTA[[#This Row],[CONCAT1]]="","",MATCH(NOTA[[#This Row],[CONCAT1]],[3]!db[NB NOTA_C],0))</f>
        <v/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/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2" s="38" t="str">
        <f ca="1">IF(NOTA[[#This Row],[ID_H]]="","",MATCH(NOTA[[#This Row],[NB NOTA_C_QTY]],[4]!db[NB NOTA_C_QTY+F],0))</f>
        <v/>
      </c>
      <c r="AX292" s="53" t="str">
        <f ca="1">IF(NOTA[[#This Row],[NB NOTA_C_QTY]]="","",ROW()-2)</f>
        <v/>
      </c>
    </row>
    <row r="293" spans="1:50" s="38" customFormat="1" ht="20.100000000000001" customHeight="1" x14ac:dyDescent="0.25">
      <c r="A293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ETJ_1101_-2</v>
      </c>
      <c r="C293" s="38" t="e">
        <f ca="1">IF(NOTA[[#This Row],[ID_P]]="","",MATCH(NOTA[[#This Row],[ID_P]],[1]!B_MSK[N_ID],0))</f>
        <v>#REF!</v>
      </c>
      <c r="D293" s="38">
        <f ca="1">IF(NOTA[[#This Row],[NAMA BARANG]]="","",INDEX(NOTA[ID],MATCH(,INDIRECT(ADDRESS(ROW(NOTA[ID]),COLUMN(NOTA[ID]))&amp;":"&amp;ADDRESS(ROW(),COLUMN(NOTA[ID]))),-1)))</f>
        <v>47</v>
      </c>
      <c r="E293" s="46"/>
      <c r="F293" s="37" t="s">
        <v>406</v>
      </c>
      <c r="G293" s="37" t="s">
        <v>110</v>
      </c>
      <c r="H293" s="47"/>
      <c r="I293" s="37" t="s">
        <v>430</v>
      </c>
      <c r="J293" s="39">
        <v>45300</v>
      </c>
      <c r="K293" s="37"/>
      <c r="L293" s="37" t="s">
        <v>431</v>
      </c>
      <c r="M293" s="40">
        <v>19</v>
      </c>
      <c r="N293" s="38">
        <v>570</v>
      </c>
      <c r="O293" s="37" t="s">
        <v>111</v>
      </c>
      <c r="P293" s="41">
        <v>45500</v>
      </c>
      <c r="Q293" s="42"/>
      <c r="R293" s="48" t="s">
        <v>113</v>
      </c>
      <c r="S293" s="49"/>
      <c r="T293" s="44"/>
      <c r="U293" s="44"/>
      <c r="V293" s="50"/>
      <c r="W293" s="45"/>
      <c r="X293" s="50">
        <f>IF(NOTA[[#This Row],[HARGA/ CTN]]="",NOTA[[#This Row],[JUMLAH_H]],NOTA[[#This Row],[HARGA/ CTN]]*IF(NOTA[[#This Row],[C]]="",0,NOTA[[#This Row],[C]]))</f>
        <v>25935000</v>
      </c>
      <c r="Y293" s="50">
        <f>IF(NOTA[[#This Row],[JUMLAH]]="","",NOTA[[#This Row],[JUMLAH]]*NOTA[[#This Row],[DISC 1]])</f>
        <v>0</v>
      </c>
      <c r="Z293" s="50">
        <f>IF(NOTA[[#This Row],[JUMLAH]]="","",(NOTA[[#This Row],[JUMLAH]]-NOTA[[#This Row],[DISC 1-]])*NOTA[[#This Row],[DISC 2]])</f>
        <v>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0</v>
      </c>
      <c r="AC293" s="50">
        <f>IF(NOTA[[#This Row],[JUMLAH]]="","",NOTA[[#This Row],[JUMLAH]]-NOTA[[#This Row],[DISC]])</f>
        <v>25935000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293" s="50">
        <f>IF(OR(NOTA[[#This Row],[QTY]]="",NOTA[[#This Row],[HARGA SATUAN]]="",),"",NOTA[[#This Row],[QTY]]*NOTA[[#This Row],[HARGA SATUAN]])</f>
        <v>25935000</v>
      </c>
      <c r="AI293" s="39">
        <f ca="1">IF(NOTA[ID_H]="","",INDEX(NOTA[TANGGAL],MATCH(,INDIRECT(ADDRESS(ROW(NOTA[TANGGAL]),COLUMN(NOTA[TANGGAL]))&amp;":"&amp;ADDRESS(ROW(),COLUMN(NOTA[TANGGAL]))),-1)))</f>
        <v>45302</v>
      </c>
      <c r="AJ293" s="41" t="str">
        <f ca="1">IF(NOTA[[#This Row],[NAMA BARANG]]="","",INDEX(NOTA[SUPPLIER],MATCH(,INDIRECT(ADDRESS(ROW(NOTA[ID]),COLUMN(NOTA[ID]))&amp;":"&amp;ADDRESS(ROW(),COLUMN(NOTA[ID]))),-1)))</f>
        <v>ETJ</v>
      </c>
      <c r="AK293" s="41" t="str">
        <f ca="1">IF(NOTA[[#This Row],[ID_H]]="","",IF(NOTA[[#This Row],[FAKTUR]]="",INDIRECT(ADDRESS(ROW()-1,COLUMN())),NOTA[[#This Row],[FAKTUR]]))</f>
        <v>UNTANA</v>
      </c>
      <c r="AL293" s="38">
        <f ca="1">IF(NOTA[[#This Row],[ID]]="","",COUNTIF(NOTA[ID_H],NOTA[[#This Row],[ID_H]]))</f>
        <v>2</v>
      </c>
      <c r="AM293" s="38">
        <f>IF(NOTA[[#This Row],[TGL.NOTA]]="",IF(NOTA[[#This Row],[SUPPLIER_H]]="","",AM292),MONTH(NOTA[[#This Row],[TGL.NOTA]]))</f>
        <v>1</v>
      </c>
      <c r="AN293" s="38" t="str">
        <f>LOWER(SUBSTITUTE(SUBSTITUTE(SUBSTITUTE(SUBSTITUTE(SUBSTITUTE(SUBSTITUTE(SUBSTITUTE(SUBSTITUTE(SUBSTITUTE(NOTA[NAMA BARANG]," ",),".",""),"-",""),"(",""),")",""),",",""),"/",""),"""",""),"+",""))</f>
        <v>spbagjasminb</v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spbagjasminb1365000</v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spbagjasminb1365000</v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>ETJUNTANAC 0645300spbagjasminb</v>
      </c>
      <c r="AR293" s="38" t="e">
        <f>IF(NOTA[[#This Row],[CONCAT4]]="","",_xlfn.IFNA(MATCH(NOTA[[#This Row],[CONCAT4]],[2]!RAW[CONCAT_H],0),FALSE))</f>
        <v>#REF!</v>
      </c>
      <c r="AS293" s="38" t="e">
        <f>IF(NOTA[[#This Row],[CONCAT1]]="","",MATCH(NOTA[[#This Row],[CONCAT1]],[3]!db[NB NOTA_C],0))</f>
        <v>#N/A</v>
      </c>
      <c r="AT293" s="38" t="b">
        <f>IF(NOTA[[#This Row],[QTY/ CTN]]="","",TRUE)</f>
        <v>1</v>
      </c>
      <c r="AU293" s="38" t="str">
        <f ca="1">IF(NOTA[[#This Row],[ID_H]]="","",IF(NOTA[[#This Row],[Column3]]=TRUE,NOTA[[#This Row],[QTY/ CTN]],INDEX([3]!db[QTY/ CTN],NOTA[[#This Row],[//DB]])))</f>
        <v>30 LSN</v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spbagjasminb30lsnuntana</v>
      </c>
      <c r="AW293" s="38" t="e">
        <f ca="1">IF(NOTA[[#This Row],[ID_H]]="","",MATCH(NOTA[[#This Row],[NB NOTA_C_QTY]],[4]!db[NB NOTA_C_QTY+F],0))</f>
        <v>#REF!</v>
      </c>
      <c r="AX293" s="53">
        <f ca="1">IF(NOTA[[#This Row],[NB NOTA_C_QTY]]="","",ROW()-2)</f>
        <v>291</v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47</v>
      </c>
      <c r="E294" s="46"/>
      <c r="F294" s="37"/>
      <c r="G294" s="37"/>
      <c r="H294" s="47"/>
      <c r="I294" s="37"/>
      <c r="J294" s="39"/>
      <c r="K294" s="37"/>
      <c r="L294" s="37" t="s">
        <v>432</v>
      </c>
      <c r="M294" s="40">
        <v>11</v>
      </c>
      <c r="N294" s="38">
        <v>440</v>
      </c>
      <c r="O294" s="37" t="s">
        <v>111</v>
      </c>
      <c r="P294" s="41">
        <v>34000</v>
      </c>
      <c r="Q294" s="42"/>
      <c r="R294" s="48" t="s">
        <v>384</v>
      </c>
      <c r="S294" s="49"/>
      <c r="T294" s="44"/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14960000</v>
      </c>
      <c r="Y294" s="50">
        <f>IF(NOTA[[#This Row],[JUMLAH]]="","",NOTA[[#This Row],[JUMLAH]]*NOTA[[#This Row],[DISC 1]])</f>
        <v>0</v>
      </c>
      <c r="Z294" s="50">
        <f>IF(NOTA[[#This Row],[JUMLAH]]="","",(NOTA[[#This Row],[JUMLAH]]-NOTA[[#This Row],[DISC 1-]])*NOTA[[#This Row],[DISC 2]])</f>
        <v>0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0</v>
      </c>
      <c r="AC294" s="50">
        <f>IF(NOTA[[#This Row],[JUMLAH]]="","",NOTA[[#This Row],[JUMLAH]]-NOTA[[#This Row],[DISC]])</f>
        <v>14960000</v>
      </c>
      <c r="AD294" s="50"/>
      <c r="AE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40895000</v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294" s="50">
        <f>IF(OR(NOTA[[#This Row],[QTY]]="",NOTA[[#This Row],[HARGA SATUAN]]="",),"",NOTA[[#This Row],[QTY]]*NOTA[[#This Row],[HARGA SATUAN]])</f>
        <v>14960000</v>
      </c>
      <c r="AI294" s="39">
        <f ca="1">IF(NOTA[ID_H]="","",INDEX(NOTA[TANGGAL],MATCH(,INDIRECT(ADDRESS(ROW(NOTA[TANGGAL]),COLUMN(NOTA[TANGGAL]))&amp;":"&amp;ADDRESS(ROW(),COLUMN(NOTA[TANGGAL]))),-1)))</f>
        <v>45302</v>
      </c>
      <c r="AJ294" s="41" t="str">
        <f ca="1">IF(NOTA[[#This Row],[NAMA BARANG]]="","",INDEX(NOTA[SUPPLIER],MATCH(,INDIRECT(ADDRESS(ROW(NOTA[ID]),COLUMN(NOTA[ID]))&amp;":"&amp;ADDRESS(ROW(),COLUMN(NOTA[ID]))),-1)))</f>
        <v>ETJ</v>
      </c>
      <c r="AK294" s="41" t="str">
        <f ca="1">IF(NOTA[[#This Row],[ID_H]]="","",IF(NOTA[[#This Row],[FAKTUR]]="",INDIRECT(ADDRESS(ROW()-1,COLUMN())),NOTA[[#This Row],[FAKTUR]]))</f>
        <v>UNTANA</v>
      </c>
      <c r="AL294" s="38" t="str">
        <f ca="1">IF(NOTA[[#This Row],[ID]]="","",COUNTIF(NOTA[ID_H],NOTA[[#This Row],[ID_H]]))</f>
        <v/>
      </c>
      <c r="AM294" s="38">
        <f ca="1">IF(NOTA[[#This Row],[TGL.NOTA]]="",IF(NOTA[[#This Row],[SUPPLIER_H]]="","",AM293),MONTH(NOTA[[#This Row],[TGL.NOTA]]))</f>
        <v>1</v>
      </c>
      <c r="AN294" s="38" t="str">
        <f>LOWER(SUBSTITUTE(SUBSTITUTE(SUBSTITUTE(SUBSTITUTE(SUBSTITUTE(SUBSTITUTE(SUBSTITUTE(SUBSTITUTE(SUBSTITUTE(NOTA[NAMA BARANG]," ",),".",""),"-",""),"(",""),")",""),",",""),"/",""),"""",""),"+",""))</f>
        <v>spbagjasmintg</v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spbagjasmintg1360000</v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spbagjasmintg1360000</v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 t="e">
        <f>IF(NOTA[[#This Row],[CONCAT1]]="","",MATCH(NOTA[[#This Row],[CONCAT1]],[3]!db[NB NOTA_C],0))</f>
        <v>#N/A</v>
      </c>
      <c r="AT294" s="38" t="b">
        <f>IF(NOTA[[#This Row],[QTY/ CTN]]="","",TRUE)</f>
        <v>1</v>
      </c>
      <c r="AU294" s="38" t="str">
        <f ca="1">IF(NOTA[[#This Row],[ID_H]]="","",IF(NOTA[[#This Row],[Column3]]=TRUE,NOTA[[#This Row],[QTY/ CTN]],INDEX([3]!db[QTY/ CTN],NOTA[[#This Row],[//DB]])))</f>
        <v>40 LSN</v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spbagjasmintg40lsnuntana</v>
      </c>
      <c r="AW294" s="38" t="e">
        <f ca="1">IF(NOTA[[#This Row],[ID_H]]="","",MATCH(NOTA[[#This Row],[NB NOTA_C_QTY]],[4]!db[NB NOTA_C_QTY+F],0))</f>
        <v>#REF!</v>
      </c>
      <c r="AX294" s="53">
        <f ca="1">IF(NOTA[[#This Row],[NB NOTA_C_QTY]]="","",ROW()-2)</f>
        <v>292</v>
      </c>
    </row>
    <row r="295" spans="1:50" s="85" customFormat="1" ht="20.100000000000001" customHeight="1" x14ac:dyDescent="0.25">
      <c r="A29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85" t="str">
        <f>IF(NOTA[[#This Row],[ID_P]]="","",MATCH(NOTA[[#This Row],[ID_P]],[1]!B_MSK[N_ID],0))</f>
        <v/>
      </c>
      <c r="D295" s="85" t="str">
        <f ca="1">IF(NOTA[[#This Row],[NAMA BARANG]]="","",INDEX(NOTA[ID],MATCH(,INDIRECT(ADDRESS(ROW(NOTA[ID]),COLUMN(NOTA[ID]))&amp;":"&amp;ADDRESS(ROW(),COLUMN(NOTA[ID]))),-1)))</f>
        <v/>
      </c>
      <c r="E295" s="86"/>
      <c r="F295" s="87"/>
      <c r="G295" s="87"/>
      <c r="H295" s="88"/>
      <c r="I295" s="87"/>
      <c r="J295" s="89"/>
      <c r="K295" s="87"/>
      <c r="L295" s="87"/>
      <c r="M295" s="90"/>
      <c r="O295" s="87"/>
      <c r="P295" s="84"/>
      <c r="Q295" s="91"/>
      <c r="R295" s="92"/>
      <c r="S295" s="93"/>
      <c r="T295" s="94"/>
      <c r="U295" s="94"/>
      <c r="V295" s="95"/>
      <c r="W295" s="96"/>
      <c r="X295" s="95" t="str">
        <f>IF(NOTA[[#This Row],[HARGA/ CTN]]="",NOTA[[#This Row],[JUMLAH_H]],NOTA[[#This Row],[HARGA/ CTN]]*IF(NOTA[[#This Row],[C]]="",0,NOTA[[#This Row],[C]]))</f>
        <v/>
      </c>
      <c r="Y295" s="95" t="str">
        <f>IF(NOTA[[#This Row],[JUMLAH]]="","",NOTA[[#This Row],[JUMLAH]]*NOTA[[#This Row],[DISC 1]])</f>
        <v/>
      </c>
      <c r="Z295" s="95" t="str">
        <f>IF(NOTA[[#This Row],[JUMLAH]]="","",(NOTA[[#This Row],[JUMLAH]]-NOTA[[#This Row],[DISC 1-]])*NOTA[[#This Row],[DISC 2]])</f>
        <v/>
      </c>
      <c r="AA295" s="95" t="str">
        <f>IF(NOTA[[#This Row],[JUMLAH]]="","",(NOTA[[#This Row],[JUMLAH]]-NOTA[[#This Row],[DISC 1-]]-NOTA[[#This Row],[DISC 2-]])*NOTA[[#This Row],[DISC 3]])</f>
        <v/>
      </c>
      <c r="AB295" s="95" t="str">
        <f>IF(NOTA[[#This Row],[JUMLAH]]="","",NOTA[[#This Row],[DISC 1-]]+NOTA[[#This Row],[DISC 2-]]+NOTA[[#This Row],[DISC 3-]])</f>
        <v/>
      </c>
      <c r="AC295" s="95" t="str">
        <f>IF(NOTA[[#This Row],[JUMLAH]]="","",NOTA[[#This Row],[JUMLAH]]-NOTA[[#This Row],[DISC]])</f>
        <v/>
      </c>
      <c r="AD295" s="95"/>
      <c r="AE295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5" s="95" t="str">
        <f>IF(OR(NOTA[[#This Row],[QTY]]="",NOTA[[#This Row],[HARGA SATUAN]]="",),"",NOTA[[#This Row],[QTY]]*NOTA[[#This Row],[HARGA SATUAN]])</f>
        <v/>
      </c>
      <c r="AI295" s="89" t="str">
        <f ca="1">IF(NOTA[ID_H]="","",INDEX(NOTA[TANGGAL],MATCH(,INDIRECT(ADDRESS(ROW(NOTA[TANGGAL]),COLUMN(NOTA[TANGGAL]))&amp;":"&amp;ADDRESS(ROW(),COLUMN(NOTA[TANGGAL]))),-1)))</f>
        <v/>
      </c>
      <c r="AJ295" s="84" t="str">
        <f ca="1">IF(NOTA[[#This Row],[NAMA BARANG]]="","",INDEX(NOTA[SUPPLIER],MATCH(,INDIRECT(ADDRESS(ROW(NOTA[ID]),COLUMN(NOTA[ID]))&amp;":"&amp;ADDRESS(ROW(),COLUMN(NOTA[ID]))),-1)))</f>
        <v/>
      </c>
      <c r="AK295" s="84" t="str">
        <f ca="1">IF(NOTA[[#This Row],[ID_H]]="","",IF(NOTA[[#This Row],[FAKTUR]]="",INDIRECT(ADDRESS(ROW()-1,COLUMN())),NOTA[[#This Row],[FAKTUR]]))</f>
        <v/>
      </c>
      <c r="AL295" s="85" t="str">
        <f ca="1">IF(NOTA[[#This Row],[ID]]="","",COUNTIF(NOTA[ID_H],NOTA[[#This Row],[ID_H]]))</f>
        <v/>
      </c>
      <c r="AM295" s="85" t="str">
        <f ca="1">IF(NOTA[[#This Row],[TGL.NOTA]]="",IF(NOTA[[#This Row],[SUPPLIER_H]]="","",AM294),MONTH(NOTA[[#This Row],[TGL.NOTA]]))</f>
        <v/>
      </c>
      <c r="AN295" s="85" t="str">
        <f>LOWER(SUBSTITUTE(SUBSTITUTE(SUBSTITUTE(SUBSTITUTE(SUBSTITUTE(SUBSTITUTE(SUBSTITUTE(SUBSTITUTE(SUBSTITUTE(NOTA[NAMA BARANG]," ",),".",""),"-",""),"(",""),")",""),",",""),"/",""),"""",""),"+",""))</f>
        <v/>
      </c>
      <c r="AO295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5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5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85" t="str">
        <f>IF(NOTA[[#This Row],[CONCAT4]]="","",_xlfn.IFNA(MATCH(NOTA[[#This Row],[CONCAT4]],[2]!RAW[CONCAT_H],0),FALSE))</f>
        <v/>
      </c>
      <c r="AS295" s="85" t="str">
        <f>IF(NOTA[[#This Row],[CONCAT1]]="","",MATCH(NOTA[[#This Row],[CONCAT1]],[3]!db[NB NOTA_C],0))</f>
        <v/>
      </c>
      <c r="AT295" s="85" t="str">
        <f>IF(NOTA[[#This Row],[QTY/ CTN]]="","",TRUE)</f>
        <v/>
      </c>
      <c r="AU295" s="85" t="str">
        <f ca="1">IF(NOTA[[#This Row],[ID_H]]="","",IF(NOTA[[#This Row],[Column3]]=TRUE,NOTA[[#This Row],[QTY/ CTN]],INDEX([3]!db[QTY/ CTN],NOTA[[#This Row],[//DB]])))</f>
        <v/>
      </c>
      <c r="AV295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5" s="85" t="str">
        <f ca="1">IF(NOTA[[#This Row],[ID_H]]="","",MATCH(NOTA[[#This Row],[NB NOTA_C_QTY]],[4]!db[NB NOTA_C_QTY+F],0))</f>
        <v/>
      </c>
      <c r="AX295" s="97" t="str">
        <f ca="1">IF(NOTA[[#This Row],[NB NOTA_C_QTY]]="","",ROW()-2)</f>
        <v/>
      </c>
    </row>
    <row r="296" spans="1:50" s="38" customFormat="1" ht="20.100000000000001" customHeight="1" x14ac:dyDescent="0.25">
      <c r="A296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DR-_0801_-6</v>
      </c>
      <c r="C296" s="38" t="e">
        <f ca="1">IF(NOTA[[#This Row],[ID_P]]="","",MATCH(NOTA[[#This Row],[ID_P]],[1]!B_MSK[N_ID],0))</f>
        <v>#REF!</v>
      </c>
      <c r="D296" s="38">
        <f ca="1">IF(NOTA[[#This Row],[NAMA BARANG]]="","",INDEX(NOTA[ID],MATCH(,INDIRECT(ADDRESS(ROW(NOTA[ID]),COLUMN(NOTA[ID]))&amp;":"&amp;ADDRESS(ROW(),COLUMN(NOTA[ID]))),-1)))</f>
        <v>48</v>
      </c>
      <c r="E296" s="46">
        <v>45299</v>
      </c>
      <c r="F296" s="37" t="s">
        <v>433</v>
      </c>
      <c r="G296" s="37" t="s">
        <v>110</v>
      </c>
      <c r="H296" s="47"/>
      <c r="I296" s="37"/>
      <c r="J296" s="39">
        <v>45295</v>
      </c>
      <c r="K296" s="37"/>
      <c r="L296" s="37" t="s">
        <v>434</v>
      </c>
      <c r="M296" s="40">
        <v>1</v>
      </c>
      <c r="N296" s="38">
        <v>60</v>
      </c>
      <c r="O296" s="37" t="s">
        <v>111</v>
      </c>
      <c r="P296" s="41">
        <v>54000</v>
      </c>
      <c r="Q296" s="42"/>
      <c r="R296" s="48">
        <v>60</v>
      </c>
      <c r="S296" s="49">
        <v>0.1</v>
      </c>
      <c r="T296" s="44">
        <v>0.1</v>
      </c>
      <c r="U296" s="44">
        <v>0.1</v>
      </c>
      <c r="V296" s="50"/>
      <c r="W296" s="45"/>
      <c r="X296" s="50">
        <f>IF(NOTA[[#This Row],[HARGA/ CTN]]="",NOTA[[#This Row],[JUMLAH_H]],NOTA[[#This Row],[HARGA/ CTN]]*IF(NOTA[[#This Row],[C]]="",0,NOTA[[#This Row],[C]]))</f>
        <v>3240000</v>
      </c>
      <c r="Y296" s="50">
        <f>IF(NOTA[[#This Row],[JUMLAH]]="","",NOTA[[#This Row],[JUMLAH]]*NOTA[[#This Row],[DISC 1]])</f>
        <v>324000</v>
      </c>
      <c r="Z296" s="50">
        <f>IF(NOTA[[#This Row],[JUMLAH]]="","",(NOTA[[#This Row],[JUMLAH]]-NOTA[[#This Row],[DISC 1-]])*NOTA[[#This Row],[DISC 2]])</f>
        <v>291600</v>
      </c>
      <c r="AA296" s="50">
        <f>IF(NOTA[[#This Row],[JUMLAH]]="","",(NOTA[[#This Row],[JUMLAH]]-NOTA[[#This Row],[DISC 1-]]-NOTA[[#This Row],[DISC 2-]])*NOTA[[#This Row],[DISC 3]])</f>
        <v>262440</v>
      </c>
      <c r="AB296" s="50">
        <f>IF(NOTA[[#This Row],[JUMLAH]]="","",NOTA[[#This Row],[DISC 1-]]+NOTA[[#This Row],[DISC 2-]]+NOTA[[#This Row],[DISC 3-]])</f>
        <v>878040</v>
      </c>
      <c r="AC296" s="50">
        <f>IF(NOTA[[#This Row],[JUMLAH]]="","",NOTA[[#This Row],[JUMLAH]]-NOTA[[#This Row],[DISC]])</f>
        <v>2361960</v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96" s="50">
        <f>IF(OR(NOTA[[#This Row],[QTY]]="",NOTA[[#This Row],[HARGA SATUAN]]="",),"",NOTA[[#This Row],[QTY]]*NOTA[[#This Row],[HARGA SATUAN]])</f>
        <v>3240000</v>
      </c>
      <c r="AI296" s="39">
        <f ca="1">IF(NOTA[ID_H]="","",INDEX(NOTA[TANGGAL],MATCH(,INDIRECT(ADDRESS(ROW(NOTA[TANGGAL]),COLUMN(NOTA[TANGGAL]))&amp;":"&amp;ADDRESS(ROW(),COLUMN(NOTA[TANGGAL]))),-1)))</f>
        <v>45299</v>
      </c>
      <c r="AJ296" s="41" t="str">
        <f ca="1">IF(NOTA[[#This Row],[NAMA BARANG]]="","",INDEX(NOTA[SUPPLIER],MATCH(,INDIRECT(ADDRESS(ROW(NOTA[ID]),COLUMN(NOTA[ID]))&amp;":"&amp;ADDRESS(ROW(),COLUMN(NOTA[ID]))),-1)))</f>
        <v>DR-ORIGINAL</v>
      </c>
      <c r="AK296" s="41" t="str">
        <f ca="1">IF(NOTA[[#This Row],[ID_H]]="","",IF(NOTA[[#This Row],[FAKTUR]]="",INDIRECT(ADDRESS(ROW()-1,COLUMN())),NOTA[[#This Row],[FAKTUR]]))</f>
        <v>UNTANA</v>
      </c>
      <c r="AL296" s="38">
        <f ca="1">IF(NOTA[[#This Row],[ID]]="","",COUNTIF(NOTA[ID_H],NOTA[[#This Row],[ID_H]]))</f>
        <v>6</v>
      </c>
      <c r="AM296" s="38">
        <f>IF(NOTA[[#This Row],[TGL.NOTA]]="",IF(NOTA[[#This Row],[SUPPLIER_H]]="","",AM295),MONTH(NOTA[[#This Row],[TGL.NOTA]]))</f>
        <v>1</v>
      </c>
      <c r="AN296" s="38" t="str">
        <f>LOWER(SUBSTITUTE(SUBSTITUTE(SUBSTITUTE(SUBSTITUTE(SUBSTITUTE(SUBSTITUTE(SUBSTITUTE(SUBSTITUTE(SUBSTITUTE(NOTA[NAMA BARANG]," ",),".",""),"-",""),"(",""),")",""),",",""),"/",""),"""",""),"+",""))</f>
        <v>guntingdr5</v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guntingdr532400000.10.1</v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guntingdr532400000.10.1</v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DR-ORIGINALUNTANA45295guntingdr5</v>
      </c>
      <c r="AR296" s="38" t="e">
        <f>IF(NOTA[[#This Row],[CONCAT4]]="","",_xlfn.IFNA(MATCH(NOTA[[#This Row],[CONCAT4]],[2]!RAW[CONCAT_H],0),FALSE))</f>
        <v>#REF!</v>
      </c>
      <c r="AS296" s="38" t="e">
        <f>IF(NOTA[[#This Row],[CONCAT1]]="","",MATCH(NOTA[[#This Row],[CONCAT1]],[3]!db[NB NOTA_C],0))</f>
        <v>#N/A</v>
      </c>
      <c r="AT296" s="38" t="b">
        <f>IF(NOTA[[#This Row],[QTY/ CTN]]="","",TRUE)</f>
        <v>1</v>
      </c>
      <c r="AU296" s="38">
        <f ca="1">IF(NOTA[[#This Row],[ID_H]]="","",IF(NOTA[[#This Row],[Column3]]=TRUE,NOTA[[#This Row],[QTY/ CTN]],INDEX([3]!db[QTY/ CTN],NOTA[[#This Row],[//DB]])))</f>
        <v>60</v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guntingdr560untana</v>
      </c>
      <c r="AW296" s="38" t="e">
        <f ca="1">IF(NOTA[[#This Row],[ID_H]]="","",MATCH(NOTA[[#This Row],[NB NOTA_C_QTY]],[4]!db[NB NOTA_C_QTY+F],0))</f>
        <v>#REF!</v>
      </c>
      <c r="AX296" s="53">
        <f ca="1">IF(NOTA[[#This Row],[NB NOTA_C_QTY]]="","",ROW()-2)</f>
        <v>294</v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>
        <f ca="1">IF(NOTA[[#This Row],[NAMA BARANG]]="","",INDEX(NOTA[ID],MATCH(,INDIRECT(ADDRESS(ROW(NOTA[ID]),COLUMN(NOTA[ID]))&amp;":"&amp;ADDRESS(ROW(),COLUMN(NOTA[ID]))),-1)))</f>
        <v>48</v>
      </c>
      <c r="E297" s="46"/>
      <c r="F297" s="37"/>
      <c r="G297" s="37"/>
      <c r="H297" s="47"/>
      <c r="I297" s="37"/>
      <c r="J297" s="39"/>
      <c r="K297" s="37"/>
      <c r="L297" s="37" t="s">
        <v>435</v>
      </c>
      <c r="M297" s="40">
        <v>1</v>
      </c>
      <c r="N297" s="38">
        <v>60</v>
      </c>
      <c r="O297" s="37" t="s">
        <v>111</v>
      </c>
      <c r="P297" s="41">
        <v>61000</v>
      </c>
      <c r="Q297" s="42"/>
      <c r="R297" s="48">
        <v>60</v>
      </c>
      <c r="S297" s="49">
        <v>0.1</v>
      </c>
      <c r="T297" s="44">
        <v>0.1</v>
      </c>
      <c r="U297" s="44">
        <v>0.1</v>
      </c>
      <c r="V297" s="50"/>
      <c r="W297" s="45"/>
      <c r="X297" s="50">
        <f>IF(NOTA[[#This Row],[HARGA/ CTN]]="",NOTA[[#This Row],[JUMLAH_H]],NOTA[[#This Row],[HARGA/ CTN]]*IF(NOTA[[#This Row],[C]]="",0,NOTA[[#This Row],[C]]))</f>
        <v>3660000</v>
      </c>
      <c r="Y297" s="50">
        <f>IF(NOTA[[#This Row],[JUMLAH]]="","",NOTA[[#This Row],[JUMLAH]]*NOTA[[#This Row],[DISC 1]])</f>
        <v>366000</v>
      </c>
      <c r="Z297" s="50">
        <f>IF(NOTA[[#This Row],[JUMLAH]]="","",(NOTA[[#This Row],[JUMLAH]]-NOTA[[#This Row],[DISC 1-]])*NOTA[[#This Row],[DISC 2]])</f>
        <v>329400</v>
      </c>
      <c r="AA297" s="50">
        <f>IF(NOTA[[#This Row],[JUMLAH]]="","",(NOTA[[#This Row],[JUMLAH]]-NOTA[[#This Row],[DISC 1-]]-NOTA[[#This Row],[DISC 2-]])*NOTA[[#This Row],[DISC 3]])</f>
        <v>296460</v>
      </c>
      <c r="AB297" s="50">
        <f>IF(NOTA[[#This Row],[JUMLAH]]="","",NOTA[[#This Row],[DISC 1-]]+NOTA[[#This Row],[DISC 2-]]+NOTA[[#This Row],[DISC 3-]])</f>
        <v>991860</v>
      </c>
      <c r="AC297" s="50">
        <f>IF(NOTA[[#This Row],[JUMLAH]]="","",NOTA[[#This Row],[JUMLAH]]-NOTA[[#This Row],[DISC]])</f>
        <v>2668140</v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3660000</v>
      </c>
      <c r="AH297" s="50">
        <f>IF(OR(NOTA[[#This Row],[QTY]]="",NOTA[[#This Row],[HARGA SATUAN]]="",),"",NOTA[[#This Row],[QTY]]*NOTA[[#This Row],[HARGA SATUAN]])</f>
        <v>3660000</v>
      </c>
      <c r="AI297" s="39">
        <f ca="1">IF(NOTA[ID_H]="","",INDEX(NOTA[TANGGAL],MATCH(,INDIRECT(ADDRESS(ROW(NOTA[TANGGAL]),COLUMN(NOTA[TANGGAL]))&amp;":"&amp;ADDRESS(ROW(),COLUMN(NOTA[TANGGAL]))),-1)))</f>
        <v>45299</v>
      </c>
      <c r="AJ297" s="41" t="str">
        <f ca="1">IF(NOTA[[#This Row],[NAMA BARANG]]="","",INDEX(NOTA[SUPPLIER],MATCH(,INDIRECT(ADDRESS(ROW(NOTA[ID]),COLUMN(NOTA[ID]))&amp;":"&amp;ADDRESS(ROW(),COLUMN(NOTA[ID]))),-1)))</f>
        <v>DR-ORIGINAL</v>
      </c>
      <c r="AK297" s="41" t="str">
        <f ca="1">IF(NOTA[[#This Row],[ID_H]]="","",IF(NOTA[[#This Row],[FAKTUR]]="",INDIRECT(ADDRESS(ROW()-1,COLUMN())),NOTA[[#This Row],[FAKTUR]]))</f>
        <v>UNTANA</v>
      </c>
      <c r="AL297" s="38" t="str">
        <f ca="1">IF(NOTA[[#This Row],[ID]]="","",COUNTIF(NOTA[ID_H],NOTA[[#This Row],[ID_H]]))</f>
        <v/>
      </c>
      <c r="AM297" s="38">
        <f ca="1">IF(NOTA[[#This Row],[TGL.NOTA]]="",IF(NOTA[[#This Row],[SUPPLIER_H]]="","",AM296),MONTH(NOTA[[#This Row],[TGL.NOTA]]))</f>
        <v>1</v>
      </c>
      <c r="AN297" s="38" t="str">
        <f>LOWER(SUBSTITUTE(SUBSTITUTE(SUBSTITUTE(SUBSTITUTE(SUBSTITUTE(SUBSTITUTE(SUBSTITUTE(SUBSTITUTE(SUBSTITUTE(NOTA[NAMA BARANG]," ",),".",""),"-",""),"(",""),")",""),",",""),"/",""),"""",""),"+",""))</f>
        <v>guntingdr6</v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guntingdr636600000.10.1</v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guntingdr636600000.10.1</v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 t="e">
        <f>IF(NOTA[[#This Row],[CONCAT1]]="","",MATCH(NOTA[[#This Row],[CONCAT1]],[3]!db[NB NOTA_C],0))</f>
        <v>#N/A</v>
      </c>
      <c r="AT297" s="38" t="b">
        <f>IF(NOTA[[#This Row],[QTY/ CTN]]="","",TRUE)</f>
        <v>1</v>
      </c>
      <c r="AU297" s="38">
        <f ca="1">IF(NOTA[[#This Row],[ID_H]]="","",IF(NOTA[[#This Row],[Column3]]=TRUE,NOTA[[#This Row],[QTY/ CTN]],INDEX([3]!db[QTY/ CTN],NOTA[[#This Row],[//DB]])))</f>
        <v>60</v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guntingdr660untana</v>
      </c>
      <c r="AW297" s="38" t="e">
        <f ca="1">IF(NOTA[[#This Row],[ID_H]]="","",MATCH(NOTA[[#This Row],[NB NOTA_C_QTY]],[4]!db[NB NOTA_C_QTY+F],0))</f>
        <v>#REF!</v>
      </c>
      <c r="AX297" s="53">
        <f ca="1">IF(NOTA[[#This Row],[NB NOTA_C_QTY]]="","",ROW()-2)</f>
        <v>295</v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48</v>
      </c>
      <c r="E298" s="46"/>
      <c r="F298" s="37"/>
      <c r="G298" s="37"/>
      <c r="H298" s="37"/>
      <c r="I298" s="39"/>
      <c r="J298" s="39"/>
      <c r="K298" s="37"/>
      <c r="L298" s="37" t="s">
        <v>436</v>
      </c>
      <c r="M298" s="40">
        <v>1</v>
      </c>
      <c r="N298" s="38">
        <v>60</v>
      </c>
      <c r="O298" s="37" t="s">
        <v>111</v>
      </c>
      <c r="P298" s="41">
        <v>73000</v>
      </c>
      <c r="Q298" s="42"/>
      <c r="R298" s="48">
        <v>60</v>
      </c>
      <c r="S298" s="49">
        <v>0.1</v>
      </c>
      <c r="T298" s="44">
        <v>0.1</v>
      </c>
      <c r="U298" s="44">
        <v>0.1</v>
      </c>
      <c r="V298" s="50"/>
      <c r="W298" s="45"/>
      <c r="X298" s="50">
        <f>IF(NOTA[[#This Row],[HARGA/ CTN]]="",NOTA[[#This Row],[JUMLAH_H]],NOTA[[#This Row],[HARGA/ CTN]]*IF(NOTA[[#This Row],[C]]="",0,NOTA[[#This Row],[C]]))</f>
        <v>4380000</v>
      </c>
      <c r="Y298" s="50">
        <f>IF(NOTA[[#This Row],[JUMLAH]]="","",NOTA[[#This Row],[JUMLAH]]*NOTA[[#This Row],[DISC 1]])</f>
        <v>438000</v>
      </c>
      <c r="Z298" s="50">
        <f>IF(NOTA[[#This Row],[JUMLAH]]="","",(NOTA[[#This Row],[JUMLAH]]-NOTA[[#This Row],[DISC 1-]])*NOTA[[#This Row],[DISC 2]])</f>
        <v>394200</v>
      </c>
      <c r="AA298" s="50">
        <f>IF(NOTA[[#This Row],[JUMLAH]]="","",(NOTA[[#This Row],[JUMLAH]]-NOTA[[#This Row],[DISC 1-]]-NOTA[[#This Row],[DISC 2-]])*NOTA[[#This Row],[DISC 3]])</f>
        <v>354780</v>
      </c>
      <c r="AB298" s="50">
        <f>IF(NOTA[[#This Row],[JUMLAH]]="","",NOTA[[#This Row],[DISC 1-]]+NOTA[[#This Row],[DISC 2-]]+NOTA[[#This Row],[DISC 3-]])</f>
        <v>1186980</v>
      </c>
      <c r="AC298" s="50">
        <f>IF(NOTA[[#This Row],[JUMLAH]]="","",NOTA[[#This Row],[JUMLAH]]-NOTA[[#This Row],[DISC]])</f>
        <v>3193020</v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4380000</v>
      </c>
      <c r="AH298" s="50">
        <f>IF(OR(NOTA[[#This Row],[QTY]]="",NOTA[[#This Row],[HARGA SATUAN]]="",),"",NOTA[[#This Row],[QTY]]*NOTA[[#This Row],[HARGA SATUAN]])</f>
        <v>4380000</v>
      </c>
      <c r="AI298" s="39">
        <f ca="1">IF(NOTA[ID_H]="","",INDEX(NOTA[TANGGAL],MATCH(,INDIRECT(ADDRESS(ROW(NOTA[TANGGAL]),COLUMN(NOTA[TANGGAL]))&amp;":"&amp;ADDRESS(ROW(),COLUMN(NOTA[TANGGAL]))),-1)))</f>
        <v>45299</v>
      </c>
      <c r="AJ298" s="41" t="str">
        <f ca="1">IF(NOTA[[#This Row],[NAMA BARANG]]="","",INDEX(NOTA[SUPPLIER],MATCH(,INDIRECT(ADDRESS(ROW(NOTA[ID]),COLUMN(NOTA[ID]))&amp;":"&amp;ADDRESS(ROW(),COLUMN(NOTA[ID]))),-1)))</f>
        <v>DR-ORIGINAL</v>
      </c>
      <c r="AK298" s="41" t="str">
        <f ca="1">IF(NOTA[[#This Row],[ID_H]]="","",IF(NOTA[[#This Row],[FAKTUR]]="",INDIRECT(ADDRESS(ROW()-1,COLUMN())),NOTA[[#This Row],[FAKTUR]]))</f>
        <v>UNTANA</v>
      </c>
      <c r="AL298" s="38" t="str">
        <f ca="1">IF(NOTA[[#This Row],[ID]]="","",COUNTIF(NOTA[ID_H],NOTA[[#This Row],[ID_H]]))</f>
        <v/>
      </c>
      <c r="AM298" s="38">
        <f ca="1">IF(NOTA[[#This Row],[TGL.NOTA]]="",IF(NOTA[[#This Row],[SUPPLIER_H]]="","",AM297),MONTH(NOTA[[#This Row],[TGL.NOTA]]))</f>
        <v>1</v>
      </c>
      <c r="AN298" s="38" t="str">
        <f>LOWER(SUBSTITUTE(SUBSTITUTE(SUBSTITUTE(SUBSTITUTE(SUBSTITUTE(SUBSTITUTE(SUBSTITUTE(SUBSTITUTE(SUBSTITUTE(NOTA[NAMA BARANG]," ",),".",""),"-",""),"(",""),")",""),",",""),"/",""),"""",""),"+",""))</f>
        <v>guntingdr7</v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guntingdr743800000.10.1</v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guntingdr743800000.10.1</v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 t="e">
        <f>IF(NOTA[[#This Row],[CONCAT1]]="","",MATCH(NOTA[[#This Row],[CONCAT1]],[3]!db[NB NOTA_C],0))</f>
        <v>#N/A</v>
      </c>
      <c r="AT298" s="38" t="b">
        <f>IF(NOTA[[#This Row],[QTY/ CTN]]="","",TRUE)</f>
        <v>1</v>
      </c>
      <c r="AU298" s="38">
        <f ca="1">IF(NOTA[[#This Row],[ID_H]]="","",IF(NOTA[[#This Row],[Column3]]=TRUE,NOTA[[#This Row],[QTY/ CTN]],INDEX([3]!db[QTY/ CTN],NOTA[[#This Row],[//DB]])))</f>
        <v>60</v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guntingdr760untana</v>
      </c>
      <c r="AW298" s="38" t="e">
        <f ca="1">IF(NOTA[[#This Row],[ID_H]]="","",MATCH(NOTA[[#This Row],[NB NOTA_C_QTY]],[4]!db[NB NOTA_C_QTY+F],0))</f>
        <v>#REF!</v>
      </c>
      <c r="AX298" s="53">
        <f ca="1">IF(NOTA[[#This Row],[NB NOTA_C_QTY]]="","",ROW()-2)</f>
        <v>296</v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48</v>
      </c>
      <c r="E299" s="46"/>
      <c r="F299" s="37"/>
      <c r="G299" s="37"/>
      <c r="H299" s="47"/>
      <c r="I299" s="37"/>
      <c r="J299" s="39"/>
      <c r="K299" s="37"/>
      <c r="L299" s="37" t="s">
        <v>437</v>
      </c>
      <c r="M299" s="40">
        <v>2</v>
      </c>
      <c r="N299" s="38">
        <v>60</v>
      </c>
      <c r="O299" s="37" t="s">
        <v>111</v>
      </c>
      <c r="P299" s="41">
        <v>109000</v>
      </c>
      <c r="Q299" s="42"/>
      <c r="R299" s="48">
        <v>30</v>
      </c>
      <c r="S299" s="49">
        <v>0.1</v>
      </c>
      <c r="T299" s="44">
        <v>0.1</v>
      </c>
      <c r="U299" s="44">
        <v>0.1</v>
      </c>
      <c r="V299" s="50"/>
      <c r="W299" s="45"/>
      <c r="X299" s="50">
        <f>IF(NOTA[[#This Row],[HARGA/ CTN]]="",NOTA[[#This Row],[JUMLAH_H]],NOTA[[#This Row],[HARGA/ CTN]]*IF(NOTA[[#This Row],[C]]="",0,NOTA[[#This Row],[C]]))</f>
        <v>6540000</v>
      </c>
      <c r="Y299" s="50">
        <f>IF(NOTA[[#This Row],[JUMLAH]]="","",NOTA[[#This Row],[JUMLAH]]*NOTA[[#This Row],[DISC 1]])</f>
        <v>654000</v>
      </c>
      <c r="Z299" s="50">
        <f>IF(NOTA[[#This Row],[JUMLAH]]="","",(NOTA[[#This Row],[JUMLAH]]-NOTA[[#This Row],[DISC 1-]])*NOTA[[#This Row],[DISC 2]])</f>
        <v>588600</v>
      </c>
      <c r="AA299" s="50">
        <f>IF(NOTA[[#This Row],[JUMLAH]]="","",(NOTA[[#This Row],[JUMLAH]]-NOTA[[#This Row],[DISC 1-]]-NOTA[[#This Row],[DISC 2-]])*NOTA[[#This Row],[DISC 3]])</f>
        <v>529740</v>
      </c>
      <c r="AB299" s="50">
        <f>IF(NOTA[[#This Row],[JUMLAH]]="","",NOTA[[#This Row],[DISC 1-]]+NOTA[[#This Row],[DISC 2-]]+NOTA[[#This Row],[DISC 3-]])</f>
        <v>1772340</v>
      </c>
      <c r="AC299" s="50">
        <f>IF(NOTA[[#This Row],[JUMLAH]]="","",NOTA[[#This Row],[JUMLAH]]-NOTA[[#This Row],[DISC]])</f>
        <v>4767660</v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3270000</v>
      </c>
      <c r="AH299" s="50">
        <f>IF(OR(NOTA[[#This Row],[QTY]]="",NOTA[[#This Row],[HARGA SATUAN]]="",),"",NOTA[[#This Row],[QTY]]*NOTA[[#This Row],[HARGA SATUAN]])</f>
        <v>6540000</v>
      </c>
      <c r="AI299" s="39">
        <f ca="1">IF(NOTA[ID_H]="","",INDEX(NOTA[TANGGAL],MATCH(,INDIRECT(ADDRESS(ROW(NOTA[TANGGAL]),COLUMN(NOTA[TANGGAL]))&amp;":"&amp;ADDRESS(ROW(),COLUMN(NOTA[TANGGAL]))),-1)))</f>
        <v>45299</v>
      </c>
      <c r="AJ299" s="41" t="str">
        <f ca="1">IF(NOTA[[#This Row],[NAMA BARANG]]="","",INDEX(NOTA[SUPPLIER],MATCH(,INDIRECT(ADDRESS(ROW(NOTA[ID]),COLUMN(NOTA[ID]))&amp;":"&amp;ADDRESS(ROW(),COLUMN(NOTA[ID]))),-1)))</f>
        <v>DR-ORIGINAL</v>
      </c>
      <c r="AK299" s="41" t="str">
        <f ca="1">IF(NOTA[[#This Row],[ID_H]]="","",IF(NOTA[[#This Row],[FAKTUR]]="",INDIRECT(ADDRESS(ROW()-1,COLUMN())),NOTA[[#This Row],[FAKTUR]]))</f>
        <v>UNTANA</v>
      </c>
      <c r="AL299" s="38" t="str">
        <f ca="1">IF(NOTA[[#This Row],[ID]]="","",COUNTIF(NOTA[ID_H],NOTA[[#This Row],[ID_H]]))</f>
        <v/>
      </c>
      <c r="AM299" s="38">
        <f ca="1">IF(NOTA[[#This Row],[TGL.NOTA]]="",IF(NOTA[[#This Row],[SUPPLIER_H]]="","",AM298),MONTH(NOTA[[#This Row],[TGL.NOTA]]))</f>
        <v>1</v>
      </c>
      <c r="AN299" s="38" t="str">
        <f>LOWER(SUBSTITUTE(SUBSTITUTE(SUBSTITUTE(SUBSTITUTE(SUBSTITUTE(SUBSTITUTE(SUBSTITUTE(SUBSTITUTE(SUBSTITUTE(NOTA[NAMA BARANG]," ",),".",""),"-",""),"(",""),")",""),",",""),"/",""),"""",""),"+",""))</f>
        <v>guntingdr8</v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guntingdr832700000.10.1</v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guntingdr832700000.10.1</v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 t="e">
        <f>IF(NOTA[[#This Row],[CONCAT1]]="","",MATCH(NOTA[[#This Row],[CONCAT1]],[3]!db[NB NOTA_C],0))</f>
        <v>#N/A</v>
      </c>
      <c r="AT299" s="38" t="b">
        <f>IF(NOTA[[#This Row],[QTY/ CTN]]="","",TRUE)</f>
        <v>1</v>
      </c>
      <c r="AU299" s="38">
        <f ca="1">IF(NOTA[[#This Row],[ID_H]]="","",IF(NOTA[[#This Row],[Column3]]=TRUE,NOTA[[#This Row],[QTY/ CTN]],INDEX([3]!db[QTY/ CTN],NOTA[[#This Row],[//DB]])))</f>
        <v>30</v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guntingdr830untana</v>
      </c>
      <c r="AW299" s="38" t="e">
        <f ca="1">IF(NOTA[[#This Row],[ID_H]]="","",MATCH(NOTA[[#This Row],[NB NOTA_C_QTY]],[4]!db[NB NOTA_C_QTY+F],0))</f>
        <v>#REF!</v>
      </c>
      <c r="AX299" s="53">
        <f ca="1">IF(NOTA[[#This Row],[NB NOTA_C_QTY]]="","",ROW()-2)</f>
        <v>297</v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48</v>
      </c>
      <c r="E300" s="46"/>
      <c r="F300" s="37"/>
      <c r="G300" s="37"/>
      <c r="H300" s="47"/>
      <c r="I300" s="37"/>
      <c r="J300" s="39"/>
      <c r="K300" s="37"/>
      <c r="L300" s="37" t="s">
        <v>438</v>
      </c>
      <c r="M300" s="40">
        <v>2</v>
      </c>
      <c r="N300" s="38">
        <v>60</v>
      </c>
      <c r="O300" s="37" t="s">
        <v>111</v>
      </c>
      <c r="P300" s="41">
        <v>116000</v>
      </c>
      <c r="Q300" s="42"/>
      <c r="R300" s="48">
        <v>30</v>
      </c>
      <c r="S300" s="49">
        <v>0.1</v>
      </c>
      <c r="T300" s="44">
        <v>0.1</v>
      </c>
      <c r="U300" s="44">
        <v>0.1</v>
      </c>
      <c r="V300" s="50"/>
      <c r="W300" s="45"/>
      <c r="X300" s="50">
        <f>IF(NOTA[[#This Row],[HARGA/ CTN]]="",NOTA[[#This Row],[JUMLAH_H]],NOTA[[#This Row],[HARGA/ CTN]]*IF(NOTA[[#This Row],[C]]="",0,NOTA[[#This Row],[C]]))</f>
        <v>6960000</v>
      </c>
      <c r="Y300" s="50">
        <f>IF(NOTA[[#This Row],[JUMLAH]]="","",NOTA[[#This Row],[JUMLAH]]*NOTA[[#This Row],[DISC 1]])</f>
        <v>696000</v>
      </c>
      <c r="Z300" s="50">
        <f>IF(NOTA[[#This Row],[JUMLAH]]="","",(NOTA[[#This Row],[JUMLAH]]-NOTA[[#This Row],[DISC 1-]])*NOTA[[#This Row],[DISC 2]])</f>
        <v>626400</v>
      </c>
      <c r="AA300" s="50">
        <f>IF(NOTA[[#This Row],[JUMLAH]]="","",(NOTA[[#This Row],[JUMLAH]]-NOTA[[#This Row],[DISC 1-]]-NOTA[[#This Row],[DISC 2-]])*NOTA[[#This Row],[DISC 3]])</f>
        <v>563760</v>
      </c>
      <c r="AB300" s="50">
        <f>IF(NOTA[[#This Row],[JUMLAH]]="","",NOTA[[#This Row],[DISC 1-]]+NOTA[[#This Row],[DISC 2-]]+NOTA[[#This Row],[DISC 3-]])</f>
        <v>1886160</v>
      </c>
      <c r="AC300" s="50">
        <f>IF(NOTA[[#This Row],[JUMLAH]]="","",NOTA[[#This Row],[JUMLAH]]-NOTA[[#This Row],[DISC]])</f>
        <v>5073840</v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3480000</v>
      </c>
      <c r="AH300" s="50">
        <f>IF(OR(NOTA[[#This Row],[QTY]]="",NOTA[[#This Row],[HARGA SATUAN]]="",),"",NOTA[[#This Row],[QTY]]*NOTA[[#This Row],[HARGA SATUAN]])</f>
        <v>6960000</v>
      </c>
      <c r="AI300" s="39">
        <f ca="1">IF(NOTA[ID_H]="","",INDEX(NOTA[TANGGAL],MATCH(,INDIRECT(ADDRESS(ROW(NOTA[TANGGAL]),COLUMN(NOTA[TANGGAL]))&amp;":"&amp;ADDRESS(ROW(),COLUMN(NOTA[TANGGAL]))),-1)))</f>
        <v>45299</v>
      </c>
      <c r="AJ300" s="41" t="str">
        <f ca="1">IF(NOTA[[#This Row],[NAMA BARANG]]="","",INDEX(NOTA[SUPPLIER],MATCH(,INDIRECT(ADDRESS(ROW(NOTA[ID]),COLUMN(NOTA[ID]))&amp;":"&amp;ADDRESS(ROW(),COLUMN(NOTA[ID]))),-1)))</f>
        <v>DR-ORIGINAL</v>
      </c>
      <c r="AK300" s="41" t="str">
        <f ca="1">IF(NOTA[[#This Row],[ID_H]]="","",IF(NOTA[[#This Row],[FAKTUR]]="",INDIRECT(ADDRESS(ROW()-1,COLUMN())),NOTA[[#This Row],[FAKTUR]]))</f>
        <v>UNTANA</v>
      </c>
      <c r="AL300" s="38" t="str">
        <f ca="1">IF(NOTA[[#This Row],[ID]]="","",COUNTIF(NOTA[ID_H],NOTA[[#This Row],[ID_H]]))</f>
        <v/>
      </c>
      <c r="AM300" s="38">
        <f ca="1">IF(NOTA[[#This Row],[TGL.NOTA]]="",IF(NOTA[[#This Row],[SUPPLIER_H]]="","",AM299),MONTH(NOTA[[#This Row],[TGL.NOTA]]))</f>
        <v>1</v>
      </c>
      <c r="AN300" s="38" t="str">
        <f>LOWER(SUBSTITUTE(SUBSTITUTE(SUBSTITUTE(SUBSTITUTE(SUBSTITUTE(SUBSTITUTE(SUBSTITUTE(SUBSTITUTE(SUBSTITUTE(NOTA[NAMA BARANG]," ",),".",""),"-",""),"(",""),")",""),",",""),"/",""),"""",""),"+",""))</f>
        <v>guntingdr9</v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guntingdr934800000.10.1</v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guntingdr934800000.10.1</v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 t="e">
        <f>IF(NOTA[[#This Row],[CONCAT1]]="","",MATCH(NOTA[[#This Row],[CONCAT1]],[3]!db[NB NOTA_C],0))</f>
        <v>#N/A</v>
      </c>
      <c r="AT300" s="38" t="b">
        <f>IF(NOTA[[#This Row],[QTY/ CTN]]="","",TRUE)</f>
        <v>1</v>
      </c>
      <c r="AU300" s="38">
        <f ca="1">IF(NOTA[[#This Row],[ID_H]]="","",IF(NOTA[[#This Row],[Column3]]=TRUE,NOTA[[#This Row],[QTY/ CTN]],INDEX([3]!db[QTY/ CTN],NOTA[[#This Row],[//DB]])))</f>
        <v>30</v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guntingdr930untana</v>
      </c>
      <c r="AW300" s="38" t="e">
        <f ca="1">IF(NOTA[[#This Row],[ID_H]]="","",MATCH(NOTA[[#This Row],[NB NOTA_C_QTY]],[4]!db[NB NOTA_C_QTY+F],0))</f>
        <v>#REF!</v>
      </c>
      <c r="AX300" s="53">
        <f ca="1">IF(NOTA[[#This Row],[NB NOTA_C_QTY]]="","",ROW()-2)</f>
        <v>298</v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48</v>
      </c>
      <c r="E301" s="46"/>
      <c r="F301" s="37"/>
      <c r="G301" s="37"/>
      <c r="H301" s="47"/>
      <c r="I301" s="37"/>
      <c r="J301" s="39"/>
      <c r="K301" s="37"/>
      <c r="L301" s="37" t="s">
        <v>434</v>
      </c>
      <c r="M301" s="40">
        <v>1</v>
      </c>
      <c r="N301" s="38">
        <v>60</v>
      </c>
      <c r="O301" s="37" t="s">
        <v>111</v>
      </c>
      <c r="P301" s="41">
        <v>54000</v>
      </c>
      <c r="Q301" s="42"/>
      <c r="R301" s="48">
        <v>60</v>
      </c>
      <c r="S301" s="49">
        <v>0.1</v>
      </c>
      <c r="T301" s="44">
        <v>0.5</v>
      </c>
      <c r="U301" s="44">
        <v>0.1</v>
      </c>
      <c r="V301" s="50"/>
      <c r="W301" s="45"/>
      <c r="X301" s="50">
        <f>IF(NOTA[[#This Row],[HARGA/ CTN]]="",NOTA[[#This Row],[JUMLAH_H]],NOTA[[#This Row],[HARGA/ CTN]]*IF(NOTA[[#This Row],[C]]="",0,NOTA[[#This Row],[C]]))</f>
        <v>3240000</v>
      </c>
      <c r="Y301" s="50">
        <f>IF(NOTA[[#This Row],[JUMLAH]]="","",NOTA[[#This Row],[JUMLAH]]*NOTA[[#This Row],[DISC 1]])</f>
        <v>324000</v>
      </c>
      <c r="Z301" s="50">
        <f>IF(NOTA[[#This Row],[JUMLAH]]="","",(NOTA[[#This Row],[JUMLAH]]-NOTA[[#This Row],[DISC 1-]])*NOTA[[#This Row],[DISC 2]])</f>
        <v>1458000</v>
      </c>
      <c r="AA301" s="50">
        <f>IF(NOTA[[#This Row],[JUMLAH]]="","",(NOTA[[#This Row],[JUMLAH]]-NOTA[[#This Row],[DISC 1-]]-NOTA[[#This Row],[DISC 2-]])*NOTA[[#This Row],[DISC 3]])</f>
        <v>145800</v>
      </c>
      <c r="AB301" s="50">
        <f>IF(NOTA[[#This Row],[JUMLAH]]="","",NOTA[[#This Row],[DISC 1-]]+NOTA[[#This Row],[DISC 2-]]+NOTA[[#This Row],[DISC 3-]])</f>
        <v>1927800</v>
      </c>
      <c r="AC301" s="50">
        <f>IF(NOTA[[#This Row],[JUMLAH]]="","",NOTA[[#This Row],[JUMLAH]]-NOTA[[#This Row],[DISC]])</f>
        <v>1312200</v>
      </c>
      <c r="AD301" s="50"/>
      <c r="AE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8643180</v>
      </c>
      <c r="AF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19376820</v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301" s="50">
        <f>IF(OR(NOTA[[#This Row],[QTY]]="",NOTA[[#This Row],[HARGA SATUAN]]="",),"",NOTA[[#This Row],[QTY]]*NOTA[[#This Row],[HARGA SATUAN]])</f>
        <v>3240000</v>
      </c>
      <c r="AI301" s="39">
        <f ca="1">IF(NOTA[ID_H]="","",INDEX(NOTA[TANGGAL],MATCH(,INDIRECT(ADDRESS(ROW(NOTA[TANGGAL]),COLUMN(NOTA[TANGGAL]))&amp;":"&amp;ADDRESS(ROW(),COLUMN(NOTA[TANGGAL]))),-1)))</f>
        <v>45299</v>
      </c>
      <c r="AJ301" s="41" t="str">
        <f ca="1">IF(NOTA[[#This Row],[NAMA BARANG]]="","",INDEX(NOTA[SUPPLIER],MATCH(,INDIRECT(ADDRESS(ROW(NOTA[ID]),COLUMN(NOTA[ID]))&amp;":"&amp;ADDRESS(ROW(),COLUMN(NOTA[ID]))),-1)))</f>
        <v>DR-ORIGINAL</v>
      </c>
      <c r="AK301" s="41" t="str">
        <f ca="1">IF(NOTA[[#This Row],[ID_H]]="","",IF(NOTA[[#This Row],[FAKTUR]]="",INDIRECT(ADDRESS(ROW()-1,COLUMN())),NOTA[[#This Row],[FAKTUR]]))</f>
        <v>UNTANA</v>
      </c>
      <c r="AL301" s="38" t="str">
        <f ca="1">IF(NOTA[[#This Row],[ID]]="","",COUNTIF(NOTA[ID_H],NOTA[[#This Row],[ID_H]]))</f>
        <v/>
      </c>
      <c r="AM301" s="38">
        <f ca="1">IF(NOTA[[#This Row],[TGL.NOTA]]="",IF(NOTA[[#This Row],[SUPPLIER_H]]="","",AM300),MONTH(NOTA[[#This Row],[TGL.NOTA]]))</f>
        <v>1</v>
      </c>
      <c r="AN301" s="38" t="str">
        <f>LOWER(SUBSTITUTE(SUBSTITUTE(SUBSTITUTE(SUBSTITUTE(SUBSTITUTE(SUBSTITUTE(SUBSTITUTE(SUBSTITUTE(SUBSTITUTE(NOTA[NAMA BARANG]," ",),".",""),"-",""),"(",""),")",""),",",""),"/",""),"""",""),"+",""))</f>
        <v>guntingdr5</v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guntingdr532400000.10.5</v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guntingdr532400000.10.5</v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 t="e">
        <f>IF(NOTA[[#This Row],[CONCAT1]]="","",MATCH(NOTA[[#This Row],[CONCAT1]],[3]!db[NB NOTA_C],0))</f>
        <v>#N/A</v>
      </c>
      <c r="AT301" s="38" t="b">
        <f>IF(NOTA[[#This Row],[QTY/ CTN]]="","",TRUE)</f>
        <v>1</v>
      </c>
      <c r="AU301" s="38">
        <f ca="1">IF(NOTA[[#This Row],[ID_H]]="","",IF(NOTA[[#This Row],[Column3]]=TRUE,NOTA[[#This Row],[QTY/ CTN]],INDEX([3]!db[QTY/ CTN],NOTA[[#This Row],[//DB]])))</f>
        <v>60</v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guntingdr560untana</v>
      </c>
      <c r="AW301" s="38" t="e">
        <f ca="1">IF(NOTA[[#This Row],[ID_H]]="","",MATCH(NOTA[[#This Row],[NB NOTA_C_QTY]],[4]!db[NB NOTA_C_QTY+F],0))</f>
        <v>#REF!</v>
      </c>
      <c r="AX301" s="53">
        <f ca="1">IF(NOTA[[#This Row],[NB NOTA_C_QTY]]="","",ROW()-2)</f>
        <v>299</v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44"/>
      <c r="V302" s="50"/>
      <c r="W302" s="45"/>
      <c r="X302" s="50" t="str">
        <f>IF(NOTA[[#This Row],[HARGA/ CTN]]="",NOTA[[#This Row],[JUMLAH_H]],NOTA[[#This Row],[HARGA/ CTN]]*IF(NOTA[[#This Row],[C]]="",0,NOTA[[#This Row],[C]]))</f>
        <v/>
      </c>
      <c r="Y302" s="50" t="str">
        <f>IF(NOTA[[#This Row],[JUMLAH]]="","",NOTA[[#This Row],[JUMLAH]]*NOTA[[#This Row],[DISC 1]])</f>
        <v/>
      </c>
      <c r="Z302" s="50" t="str">
        <f>IF(NOTA[[#This Row],[JUMLAH]]="","",(NOTA[[#This Row],[JUMLAH]]-NOTA[[#This Row],[DISC 1-]])*NOTA[[#This Row],[DISC 2]])</f>
        <v/>
      </c>
      <c r="AA302" s="50" t="str">
        <f>IF(NOTA[[#This Row],[JUMLAH]]="","",(NOTA[[#This Row],[JUMLAH]]-NOTA[[#This Row],[DISC 1-]]-NOTA[[#This Row],[DISC 2-]])*NOTA[[#This Row],[DISC 3]])</f>
        <v/>
      </c>
      <c r="AB302" s="50" t="str">
        <f>IF(NOTA[[#This Row],[JUMLAH]]="","",NOTA[[#This Row],[DISC 1-]]+NOTA[[#This Row],[DISC 2-]]+NOTA[[#This Row],[DISC 3-]])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2" s="50" t="str">
        <f>IF(OR(NOTA[[#This Row],[QTY]]="",NOTA[[#This Row],[HARGA SATUAN]]="",),"",NOTA[[#This Row],[QTY]]*NOTA[[#This Row],[HARGA SATUAN]])</f>
        <v/>
      </c>
      <c r="AI302" s="39" t="str">
        <f ca="1">IF(NOTA[ID_H]="","",INDEX(NOTA[TANGGAL],MATCH(,INDIRECT(ADDRESS(ROW(NOTA[TANGGAL]),COLUMN(NOTA[TANGGAL]))&amp;":"&amp;ADDRESS(ROW(),COLUMN(NOTA[TANGGAL]))),-1)))</f>
        <v/>
      </c>
      <c r="AJ302" s="41" t="str">
        <f ca="1">IF(NOTA[[#This Row],[NAMA BARANG]]="","",INDEX(NOTA[SUPPLIER],MATCH(,INDIRECT(ADDRESS(ROW(NOTA[ID]),COLUMN(NOTA[ID]))&amp;":"&amp;ADDRESS(ROW(),COLUMN(NOTA[ID]))),-1)))</f>
        <v/>
      </c>
      <c r="AK302" s="41" t="str">
        <f ca="1">IF(NOTA[[#This Row],[ID_H]]="","",IF(NOTA[[#This Row],[FAKTUR]]="",INDIRECT(ADDRESS(ROW()-1,COLUMN())),NOTA[[#This Row],[FAKTUR]]))</f>
        <v/>
      </c>
      <c r="AL302" s="38" t="str">
        <f ca="1">IF(NOTA[[#This Row],[ID]]="","",COUNTIF(NOTA[ID_H],NOTA[[#This Row],[ID_H]]))</f>
        <v/>
      </c>
      <c r="AM302" s="38" t="str">
        <f ca="1">IF(NOTA[[#This Row],[TGL.NOTA]]="",IF(NOTA[[#This Row],[SUPPLIER_H]]="","",AM301),MONTH(NOTA[[#This Row],[TGL.NOTA]]))</f>
        <v/>
      </c>
      <c r="AN302" s="38" t="str">
        <f>LOWER(SUBSTITUTE(SUBSTITUTE(SUBSTITUTE(SUBSTITUTE(SUBSTITUTE(SUBSTITUTE(SUBSTITUTE(SUBSTITUTE(SUBSTITUTE(NOTA[NAMA BARANG]," ",),".",""),"-",""),"(",""),")",""),",",""),"/",""),"""",""),"+",""))</f>
        <v/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 t="str">
        <f>IF(NOTA[[#This Row],[CONCAT1]]="","",MATCH(NOTA[[#This Row],[CONCAT1]],[3]!db[NB NOTA_C],0))</f>
        <v/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/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2" s="38" t="str">
        <f ca="1">IF(NOTA[[#This Row],[ID_H]]="","",MATCH(NOTA[[#This Row],[NB NOTA_C_QTY]],[4]!db[NB NOTA_C_QTY+F],0))</f>
        <v/>
      </c>
      <c r="AX302" s="53" t="str">
        <f ca="1">IF(NOTA[[#This Row],[NB NOTA_C_QTY]]="","",ROW()-2)</f>
        <v/>
      </c>
    </row>
    <row r="303" spans="1:50" s="38" customFormat="1" ht="20.100000000000001" customHeight="1" x14ac:dyDescent="0.25">
      <c r="A303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3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DR-_0801_-6</v>
      </c>
      <c r="C303" s="38" t="e">
        <f ca="1">IF(NOTA[[#This Row],[ID_P]]="","",MATCH(NOTA[[#This Row],[ID_P]],[1]!B_MSK[N_ID],0))</f>
        <v>#REF!</v>
      </c>
      <c r="D303" s="38">
        <f ca="1">IF(NOTA[[#This Row],[NAMA BARANG]]="","",INDEX(NOTA[ID],MATCH(,INDIRECT(ADDRESS(ROW(NOTA[ID]),COLUMN(NOTA[ID]))&amp;":"&amp;ADDRESS(ROW(),COLUMN(NOTA[ID]))),-1)))</f>
        <v>49</v>
      </c>
      <c r="E303" s="46"/>
      <c r="F303" s="37" t="s">
        <v>433</v>
      </c>
      <c r="G303" s="37" t="s">
        <v>110</v>
      </c>
      <c r="H303" s="47"/>
      <c r="I303" s="37"/>
      <c r="J303" s="39">
        <v>45295</v>
      </c>
      <c r="K303" s="37"/>
      <c r="L303" s="37" t="s">
        <v>439</v>
      </c>
      <c r="M303" s="40">
        <v>3</v>
      </c>
      <c r="N303" s="38">
        <f>48*3</f>
        <v>144</v>
      </c>
      <c r="O303" s="37" t="s">
        <v>111</v>
      </c>
      <c r="P303" s="41">
        <v>61000</v>
      </c>
      <c r="Q303" s="42"/>
      <c r="R303" s="48"/>
      <c r="S303" s="49">
        <v>0.1</v>
      </c>
      <c r="T303" s="44">
        <v>0.1</v>
      </c>
      <c r="U303" s="44">
        <v>0.1</v>
      </c>
      <c r="V303" s="50"/>
      <c r="W303" s="45"/>
      <c r="X303" s="50">
        <f>IF(NOTA[[#This Row],[HARGA/ CTN]]="",NOTA[[#This Row],[JUMLAH_H]],NOTA[[#This Row],[HARGA/ CTN]]*IF(NOTA[[#This Row],[C]]="",0,NOTA[[#This Row],[C]]))</f>
        <v>8784000</v>
      </c>
      <c r="Y303" s="50">
        <f>IF(NOTA[[#This Row],[JUMLAH]]="","",NOTA[[#This Row],[JUMLAH]]*NOTA[[#This Row],[DISC 1]])</f>
        <v>878400</v>
      </c>
      <c r="Z303" s="50">
        <f>IF(NOTA[[#This Row],[JUMLAH]]="","",(NOTA[[#This Row],[JUMLAH]]-NOTA[[#This Row],[DISC 1-]])*NOTA[[#This Row],[DISC 2]])</f>
        <v>790560</v>
      </c>
      <c r="AA303" s="50">
        <f>IF(NOTA[[#This Row],[JUMLAH]]="","",(NOTA[[#This Row],[JUMLAH]]-NOTA[[#This Row],[DISC 1-]]-NOTA[[#This Row],[DISC 2-]])*NOTA[[#This Row],[DISC 3]])</f>
        <v>711504</v>
      </c>
      <c r="AB303" s="50">
        <f>IF(NOTA[[#This Row],[JUMLAH]]="","",NOTA[[#This Row],[DISC 1-]]+NOTA[[#This Row],[DISC 2-]]+NOTA[[#This Row],[DISC 3-]])</f>
        <v>2380464</v>
      </c>
      <c r="AC303" s="50">
        <f>IF(NOTA[[#This Row],[JUMLAH]]="","",NOTA[[#This Row],[JUMLAH]]-NOTA[[#This Row],[DISC]])</f>
        <v>6403536</v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303" s="50">
        <f>IF(OR(NOTA[[#This Row],[QTY]]="",NOTA[[#This Row],[HARGA SATUAN]]="",),"",NOTA[[#This Row],[QTY]]*NOTA[[#This Row],[HARGA SATUAN]])</f>
        <v>8784000</v>
      </c>
      <c r="AI303" s="39">
        <f ca="1">IF(NOTA[ID_H]="","",INDEX(NOTA[TANGGAL],MATCH(,INDIRECT(ADDRESS(ROW(NOTA[TANGGAL]),COLUMN(NOTA[TANGGAL]))&amp;":"&amp;ADDRESS(ROW(),COLUMN(NOTA[TANGGAL]))),-1)))</f>
        <v>45299</v>
      </c>
      <c r="AJ303" s="41" t="str">
        <f ca="1">IF(NOTA[[#This Row],[NAMA BARANG]]="","",INDEX(NOTA[SUPPLIER],MATCH(,INDIRECT(ADDRESS(ROW(NOTA[ID]),COLUMN(NOTA[ID]))&amp;":"&amp;ADDRESS(ROW(),COLUMN(NOTA[ID]))),-1)))</f>
        <v>DR-ORIGINAL</v>
      </c>
      <c r="AK303" s="41" t="str">
        <f ca="1">IF(NOTA[[#This Row],[ID_H]]="","",IF(NOTA[[#This Row],[FAKTUR]]="",INDIRECT(ADDRESS(ROW()-1,COLUMN())),NOTA[[#This Row],[FAKTUR]]))</f>
        <v>UNTANA</v>
      </c>
      <c r="AL303" s="38">
        <f ca="1">IF(NOTA[[#This Row],[ID]]="","",COUNTIF(NOTA[ID_H],NOTA[[#This Row],[ID_H]]))</f>
        <v>6</v>
      </c>
      <c r="AM303" s="38">
        <f>IF(NOTA[[#This Row],[TGL.NOTA]]="",IF(NOTA[[#This Row],[SUPPLIER_H]]="","",AM302),MONTH(NOTA[[#This Row],[TGL.NOTA]]))</f>
        <v>1</v>
      </c>
      <c r="AN303" s="38" t="str">
        <f>LOWER(SUBSTITUTE(SUBSTITUTE(SUBSTITUTE(SUBSTITUTE(SUBSTITUTE(SUBSTITUTE(SUBSTITUTE(SUBSTITUTE(SUBSTITUTE(NOTA[NAMA BARANG]," ",),".",""),"-",""),"(",""),")",""),",",""),"/",""),"""",""),"+",""))</f>
        <v>guntingk100</v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guntingk10029280000.10.1</v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guntingk10029280000.10.1</v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DR-ORIGINALUNTANA45295guntingk100</v>
      </c>
      <c r="AR303" s="38" t="e">
        <f>IF(NOTA[[#This Row],[CONCAT4]]="","",_xlfn.IFNA(MATCH(NOTA[[#This Row],[CONCAT4]],[2]!RAW[CONCAT_H],0),FALSE))</f>
        <v>#REF!</v>
      </c>
      <c r="AS303" s="38" t="e">
        <f>IF(NOTA[[#This Row],[CONCAT1]]="","",MATCH(NOTA[[#This Row],[CONCAT1]],[3]!db[NB NOTA_C],0))</f>
        <v>#N/A</v>
      </c>
      <c r="AT303" s="38" t="str">
        <f>IF(NOTA[[#This Row],[QTY/ CTN]]="","",TRUE)</f>
        <v/>
      </c>
      <c r="AU303" s="38" t="e">
        <f ca="1">IF(NOTA[[#This Row],[ID_H]]="","",IF(NOTA[[#This Row],[Column3]]=TRUE,NOTA[[#This Row],[QTY/ CTN]],INDEX([3]!db[QTY/ CTN],NOTA[[#This Row],[//DB]])))</f>
        <v>#N/A</v>
      </c>
      <c r="AV30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3" s="38" t="e">
        <f ca="1">IF(NOTA[[#This Row],[ID_H]]="","",MATCH(NOTA[[#This Row],[NB NOTA_C_QTY]],[4]!db[NB NOTA_C_QTY+F],0))</f>
        <v>#N/A</v>
      </c>
      <c r="AX303" s="53" t="e">
        <f ca="1">IF(NOTA[[#This Row],[NB NOTA_C_QTY]]="","",ROW()-2)</f>
        <v>#N/A</v>
      </c>
    </row>
    <row r="304" spans="1:50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>
        <f ca="1">IF(NOTA[[#This Row],[NAMA BARANG]]="","",INDEX(NOTA[ID],MATCH(,INDIRECT(ADDRESS(ROW(NOTA[ID]),COLUMN(NOTA[ID]))&amp;":"&amp;ADDRESS(ROW(),COLUMN(NOTA[ID]))),-1)))</f>
        <v>49</v>
      </c>
      <c r="E304" s="46"/>
      <c r="F304" s="37"/>
      <c r="G304" s="37"/>
      <c r="H304" s="47"/>
      <c r="I304" s="37"/>
      <c r="J304" s="39"/>
      <c r="K304" s="37"/>
      <c r="L304" s="37" t="s">
        <v>440</v>
      </c>
      <c r="M304" s="40">
        <v>3</v>
      </c>
      <c r="N304" s="38">
        <v>144</v>
      </c>
      <c r="O304" s="37" t="s">
        <v>111</v>
      </c>
      <c r="P304" s="41">
        <v>68000</v>
      </c>
      <c r="Q304" s="42"/>
      <c r="R304" s="48"/>
      <c r="S304" s="49">
        <v>0.1</v>
      </c>
      <c r="T304" s="44">
        <v>0.1</v>
      </c>
      <c r="U304" s="44">
        <v>0.1</v>
      </c>
      <c r="V304" s="50"/>
      <c r="W304" s="45"/>
      <c r="X304" s="50">
        <f>IF(NOTA[[#This Row],[HARGA/ CTN]]="",NOTA[[#This Row],[JUMLAH_H]],NOTA[[#This Row],[HARGA/ CTN]]*IF(NOTA[[#This Row],[C]]="",0,NOTA[[#This Row],[C]]))</f>
        <v>9792000</v>
      </c>
      <c r="Y304" s="50">
        <f>IF(NOTA[[#This Row],[JUMLAH]]="","",NOTA[[#This Row],[JUMLAH]]*NOTA[[#This Row],[DISC 1]])</f>
        <v>979200</v>
      </c>
      <c r="Z304" s="50">
        <f>IF(NOTA[[#This Row],[JUMLAH]]="","",(NOTA[[#This Row],[JUMLAH]]-NOTA[[#This Row],[DISC 1-]])*NOTA[[#This Row],[DISC 2]])</f>
        <v>881280</v>
      </c>
      <c r="AA304" s="50">
        <f>IF(NOTA[[#This Row],[JUMLAH]]="","",(NOTA[[#This Row],[JUMLAH]]-NOTA[[#This Row],[DISC 1-]]-NOTA[[#This Row],[DISC 2-]])*NOTA[[#This Row],[DISC 3]])</f>
        <v>793152</v>
      </c>
      <c r="AB304" s="50">
        <f>IF(NOTA[[#This Row],[JUMLAH]]="","",NOTA[[#This Row],[DISC 1-]]+NOTA[[#This Row],[DISC 2-]]+NOTA[[#This Row],[DISC 3-]])</f>
        <v>2653632</v>
      </c>
      <c r="AC304" s="50">
        <f>IF(NOTA[[#This Row],[JUMLAH]]="","",NOTA[[#This Row],[JUMLAH]]-NOTA[[#This Row],[DISC]])</f>
        <v>7138368</v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>
        <f>IF(NOTA[[#This Row],[NAMA BARANG]]="","",IF(NOTA[[#This Row],[JUMLAH_H]]="",NOTA[[#This Row],[HARGA/ CTN]],NOTA[[#This Row],[QTY]]*NOTA[[#This Row],[HARGA SATUAN]]/IF(ISNUMBER(NOTA[[#This Row],[C]]),NOTA[[#This Row],[C]],1)))</f>
        <v>3264000</v>
      </c>
      <c r="AH304" s="50">
        <f>IF(OR(NOTA[[#This Row],[QTY]]="",NOTA[[#This Row],[HARGA SATUAN]]="",),"",NOTA[[#This Row],[QTY]]*NOTA[[#This Row],[HARGA SATUAN]])</f>
        <v>9792000</v>
      </c>
      <c r="AI304" s="39">
        <f ca="1">IF(NOTA[ID_H]="","",INDEX(NOTA[TANGGAL],MATCH(,INDIRECT(ADDRESS(ROW(NOTA[TANGGAL]),COLUMN(NOTA[TANGGAL]))&amp;":"&amp;ADDRESS(ROW(),COLUMN(NOTA[TANGGAL]))),-1)))</f>
        <v>45299</v>
      </c>
      <c r="AJ304" s="41" t="str">
        <f ca="1">IF(NOTA[[#This Row],[NAMA BARANG]]="","",INDEX(NOTA[SUPPLIER],MATCH(,INDIRECT(ADDRESS(ROW(NOTA[ID]),COLUMN(NOTA[ID]))&amp;":"&amp;ADDRESS(ROW(),COLUMN(NOTA[ID]))),-1)))</f>
        <v>DR-ORIGINAL</v>
      </c>
      <c r="AK304" s="41" t="str">
        <f ca="1">IF(NOTA[[#This Row],[ID_H]]="","",IF(NOTA[[#This Row],[FAKTUR]]="",INDIRECT(ADDRESS(ROW()-1,COLUMN())),NOTA[[#This Row],[FAKTUR]]))</f>
        <v>UNTANA</v>
      </c>
      <c r="AL304" s="38" t="str">
        <f ca="1">IF(NOTA[[#This Row],[ID]]="","",COUNTIF(NOTA[ID_H],NOTA[[#This Row],[ID_H]]))</f>
        <v/>
      </c>
      <c r="AM304" s="38">
        <f ca="1">IF(NOTA[[#This Row],[TGL.NOTA]]="",IF(NOTA[[#This Row],[SUPPLIER_H]]="","",AM303),MONTH(NOTA[[#This Row],[TGL.NOTA]]))</f>
        <v>1</v>
      </c>
      <c r="AN304" s="38" t="str">
        <f>LOWER(SUBSTITUTE(SUBSTITUTE(SUBSTITUTE(SUBSTITUTE(SUBSTITUTE(SUBSTITUTE(SUBSTITUTE(SUBSTITUTE(SUBSTITUTE(NOTA[NAMA BARANG]," ",),".",""),"-",""),"(",""),")",""),",",""),"/",""),"""",""),"+",""))</f>
        <v>guntingk200</v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guntingk20032640000.10.1</v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guntingk20032640000.10.1</v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38" t="str">
        <f>IF(NOTA[[#This Row],[CONCAT4]]="","",_xlfn.IFNA(MATCH(NOTA[[#This Row],[CONCAT4]],[2]!RAW[CONCAT_H],0),FALSE))</f>
        <v/>
      </c>
      <c r="AS304" s="38" t="e">
        <f>IF(NOTA[[#This Row],[CONCAT1]]="","",MATCH(NOTA[[#This Row],[CONCAT1]],[3]!db[NB NOTA_C],0))</f>
        <v>#N/A</v>
      </c>
      <c r="AT304" s="38" t="str">
        <f>IF(NOTA[[#This Row],[QTY/ CTN]]="","",TRUE)</f>
        <v/>
      </c>
      <c r="AU304" s="38" t="e">
        <f ca="1">IF(NOTA[[#This Row],[ID_H]]="","",IF(NOTA[[#This Row],[Column3]]=TRUE,NOTA[[#This Row],[QTY/ CTN]],INDEX([3]!db[QTY/ CTN],NOTA[[#This Row],[//DB]])))</f>
        <v>#N/A</v>
      </c>
      <c r="AV30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4" s="38" t="e">
        <f ca="1">IF(NOTA[[#This Row],[ID_H]]="","",MATCH(NOTA[[#This Row],[NB NOTA_C_QTY]],[4]!db[NB NOTA_C_QTY+F],0))</f>
        <v>#N/A</v>
      </c>
      <c r="AX304" s="53" t="e">
        <f ca="1">IF(NOTA[[#This Row],[NB NOTA_C_QTY]]="","",ROW()-2)</f>
        <v>#N/A</v>
      </c>
    </row>
    <row r="305" spans="1:50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49</v>
      </c>
      <c r="E305" s="46"/>
      <c r="F305" s="37"/>
      <c r="G305" s="37"/>
      <c r="H305" s="47"/>
      <c r="I305" s="37"/>
      <c r="J305" s="39"/>
      <c r="K305" s="37"/>
      <c r="L305" s="37" t="s">
        <v>441</v>
      </c>
      <c r="M305" s="40">
        <v>2</v>
      </c>
      <c r="N305" s="38">
        <v>48</v>
      </c>
      <c r="O305" s="37" t="s">
        <v>111</v>
      </c>
      <c r="P305" s="41">
        <v>85000</v>
      </c>
      <c r="Q305" s="42"/>
      <c r="R305" s="48"/>
      <c r="S305" s="49">
        <v>0.1</v>
      </c>
      <c r="T305" s="44">
        <v>0.1</v>
      </c>
      <c r="U305" s="44">
        <v>0.1</v>
      </c>
      <c r="V305" s="50"/>
      <c r="W305" s="45"/>
      <c r="X305" s="50">
        <f>IF(NOTA[[#This Row],[HARGA/ CTN]]="",NOTA[[#This Row],[JUMLAH_H]],NOTA[[#This Row],[HARGA/ CTN]]*IF(NOTA[[#This Row],[C]]="",0,NOTA[[#This Row],[C]]))</f>
        <v>4080000</v>
      </c>
      <c r="Y305" s="50">
        <f>IF(NOTA[[#This Row],[JUMLAH]]="","",NOTA[[#This Row],[JUMLAH]]*NOTA[[#This Row],[DISC 1]])</f>
        <v>408000</v>
      </c>
      <c r="Z305" s="50">
        <f>IF(NOTA[[#This Row],[JUMLAH]]="","",(NOTA[[#This Row],[JUMLAH]]-NOTA[[#This Row],[DISC 1-]])*NOTA[[#This Row],[DISC 2]])</f>
        <v>367200</v>
      </c>
      <c r="AA305" s="50">
        <f>IF(NOTA[[#This Row],[JUMLAH]]="","",(NOTA[[#This Row],[JUMLAH]]-NOTA[[#This Row],[DISC 1-]]-NOTA[[#This Row],[DISC 2-]])*NOTA[[#This Row],[DISC 3]])</f>
        <v>330480</v>
      </c>
      <c r="AB305" s="50">
        <f>IF(NOTA[[#This Row],[JUMLAH]]="","",NOTA[[#This Row],[DISC 1-]]+NOTA[[#This Row],[DISC 2-]]+NOTA[[#This Row],[DISC 3-]])</f>
        <v>1105680</v>
      </c>
      <c r="AC305" s="50">
        <f>IF(NOTA[[#This Row],[JUMLAH]]="","",NOTA[[#This Row],[JUMLAH]]-NOTA[[#This Row],[DISC]])</f>
        <v>2974320</v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305" s="50">
        <f>IF(OR(NOTA[[#This Row],[QTY]]="",NOTA[[#This Row],[HARGA SATUAN]]="",),"",NOTA[[#This Row],[QTY]]*NOTA[[#This Row],[HARGA SATUAN]])</f>
        <v>4080000</v>
      </c>
      <c r="AI305" s="39">
        <f ca="1">IF(NOTA[ID_H]="","",INDEX(NOTA[TANGGAL],MATCH(,INDIRECT(ADDRESS(ROW(NOTA[TANGGAL]),COLUMN(NOTA[TANGGAL]))&amp;":"&amp;ADDRESS(ROW(),COLUMN(NOTA[TANGGAL]))),-1)))</f>
        <v>45299</v>
      </c>
      <c r="AJ305" s="41" t="str">
        <f ca="1">IF(NOTA[[#This Row],[NAMA BARANG]]="","",INDEX(NOTA[SUPPLIER],MATCH(,INDIRECT(ADDRESS(ROW(NOTA[ID]),COLUMN(NOTA[ID]))&amp;":"&amp;ADDRESS(ROW(),COLUMN(NOTA[ID]))),-1)))</f>
        <v>DR-ORIGINAL</v>
      </c>
      <c r="AK305" s="41" t="str">
        <f ca="1">IF(NOTA[[#This Row],[ID_H]]="","",IF(NOTA[[#This Row],[FAKTUR]]="",INDIRECT(ADDRESS(ROW()-1,COLUMN())),NOTA[[#This Row],[FAKTUR]]))</f>
        <v>UNTANA</v>
      </c>
      <c r="AL305" s="38" t="str">
        <f ca="1">IF(NOTA[[#This Row],[ID]]="","",COUNTIF(NOTA[ID_H],NOTA[[#This Row],[ID_H]]))</f>
        <v/>
      </c>
      <c r="AM305" s="38">
        <f ca="1">IF(NOTA[[#This Row],[TGL.NOTA]]="",IF(NOTA[[#This Row],[SUPPLIER_H]]="","",AM304),MONTH(NOTA[[#This Row],[TGL.NOTA]]))</f>
        <v>1</v>
      </c>
      <c r="AN305" s="38" t="str">
        <f>LOWER(SUBSTITUTE(SUBSTITUTE(SUBSTITUTE(SUBSTITUTE(SUBSTITUTE(SUBSTITUTE(SUBSTITUTE(SUBSTITUTE(SUBSTITUTE(NOTA[NAMA BARANG]," ",),".",""),"-",""),"(",""),")",""),",",""),"/",""),"""",""),"+",""))</f>
        <v>guntingk300</v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guntingk30020400000.10.1</v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guntingk30020400000.10.1</v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38" t="str">
        <f>IF(NOTA[[#This Row],[CONCAT4]]="","",_xlfn.IFNA(MATCH(NOTA[[#This Row],[CONCAT4]],[2]!RAW[CONCAT_H],0),FALSE))</f>
        <v/>
      </c>
      <c r="AS305" s="38" t="e">
        <f>IF(NOTA[[#This Row],[CONCAT1]]="","",MATCH(NOTA[[#This Row],[CONCAT1]],[3]!db[NB NOTA_C],0))</f>
        <v>#N/A</v>
      </c>
      <c r="AT305" s="38" t="str">
        <f>IF(NOTA[[#This Row],[QTY/ CTN]]="","",TRUE)</f>
        <v/>
      </c>
      <c r="AU305" s="38" t="e">
        <f ca="1">IF(NOTA[[#This Row],[ID_H]]="","",IF(NOTA[[#This Row],[Column3]]=TRUE,NOTA[[#This Row],[QTY/ CTN]],INDEX([3]!db[QTY/ CTN],NOTA[[#This Row],[//DB]])))</f>
        <v>#N/A</v>
      </c>
      <c r="AV30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5" s="38" t="e">
        <f ca="1">IF(NOTA[[#This Row],[ID_H]]="","",MATCH(NOTA[[#This Row],[NB NOTA_C_QTY]],[4]!db[NB NOTA_C_QTY+F],0))</f>
        <v>#N/A</v>
      </c>
      <c r="AX305" s="53" t="e">
        <f ca="1">IF(NOTA[[#This Row],[NB NOTA_C_QTY]]="","",ROW()-2)</f>
        <v>#N/A</v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49</v>
      </c>
      <c r="E306" s="46"/>
      <c r="F306" s="37"/>
      <c r="G306" s="37"/>
      <c r="H306" s="47"/>
      <c r="I306" s="37"/>
      <c r="J306" s="39"/>
      <c r="K306" s="37"/>
      <c r="L306" s="37" t="s">
        <v>442</v>
      </c>
      <c r="M306" s="40">
        <v>3</v>
      </c>
      <c r="N306" s="38">
        <f>24*3</f>
        <v>72</v>
      </c>
      <c r="O306" s="37" t="s">
        <v>111</v>
      </c>
      <c r="P306" s="41">
        <v>98000</v>
      </c>
      <c r="Q306" s="42"/>
      <c r="R306" s="48"/>
      <c r="S306" s="49">
        <v>0.1</v>
      </c>
      <c r="T306" s="44">
        <v>0.1</v>
      </c>
      <c r="U306" s="44">
        <v>0.1</v>
      </c>
      <c r="V306" s="50"/>
      <c r="W306" s="45"/>
      <c r="X306" s="50">
        <f>IF(NOTA[[#This Row],[HARGA/ CTN]]="",NOTA[[#This Row],[JUMLAH_H]],NOTA[[#This Row],[HARGA/ CTN]]*IF(NOTA[[#This Row],[C]]="",0,NOTA[[#This Row],[C]]))</f>
        <v>7056000</v>
      </c>
      <c r="Y306" s="50">
        <f>IF(NOTA[[#This Row],[JUMLAH]]="","",NOTA[[#This Row],[JUMLAH]]*NOTA[[#This Row],[DISC 1]])</f>
        <v>705600</v>
      </c>
      <c r="Z306" s="50">
        <f>IF(NOTA[[#This Row],[JUMLAH]]="","",(NOTA[[#This Row],[JUMLAH]]-NOTA[[#This Row],[DISC 1-]])*NOTA[[#This Row],[DISC 2]])</f>
        <v>635040</v>
      </c>
      <c r="AA306" s="50">
        <f>IF(NOTA[[#This Row],[JUMLAH]]="","",(NOTA[[#This Row],[JUMLAH]]-NOTA[[#This Row],[DISC 1-]]-NOTA[[#This Row],[DISC 2-]])*NOTA[[#This Row],[DISC 3]])</f>
        <v>571536</v>
      </c>
      <c r="AB306" s="50">
        <f>IF(NOTA[[#This Row],[JUMLAH]]="","",NOTA[[#This Row],[DISC 1-]]+NOTA[[#This Row],[DISC 2-]]+NOTA[[#This Row],[DISC 3-]])</f>
        <v>1912176</v>
      </c>
      <c r="AC306" s="50">
        <f>IF(NOTA[[#This Row],[JUMLAH]]="","",NOTA[[#This Row],[JUMLAH]]-NOTA[[#This Row],[DISC]])</f>
        <v>5143824</v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306" s="50">
        <f>IF(OR(NOTA[[#This Row],[QTY]]="",NOTA[[#This Row],[HARGA SATUAN]]="",),"",NOTA[[#This Row],[QTY]]*NOTA[[#This Row],[HARGA SATUAN]])</f>
        <v>7056000</v>
      </c>
      <c r="AI306" s="39">
        <f ca="1">IF(NOTA[ID_H]="","",INDEX(NOTA[TANGGAL],MATCH(,INDIRECT(ADDRESS(ROW(NOTA[TANGGAL]),COLUMN(NOTA[TANGGAL]))&amp;":"&amp;ADDRESS(ROW(),COLUMN(NOTA[TANGGAL]))),-1)))</f>
        <v>45299</v>
      </c>
      <c r="AJ306" s="41" t="str">
        <f ca="1">IF(NOTA[[#This Row],[NAMA BARANG]]="","",INDEX(NOTA[SUPPLIER],MATCH(,INDIRECT(ADDRESS(ROW(NOTA[ID]),COLUMN(NOTA[ID]))&amp;":"&amp;ADDRESS(ROW(),COLUMN(NOTA[ID]))),-1)))</f>
        <v>DR-ORIGINAL</v>
      </c>
      <c r="AK306" s="41" t="str">
        <f ca="1">IF(NOTA[[#This Row],[ID_H]]="","",IF(NOTA[[#This Row],[FAKTUR]]="",INDIRECT(ADDRESS(ROW()-1,COLUMN())),NOTA[[#This Row],[FAKTUR]]))</f>
        <v>UNTANA</v>
      </c>
      <c r="AL306" s="38" t="str">
        <f ca="1">IF(NOTA[[#This Row],[ID]]="","",COUNTIF(NOTA[ID_H],NOTA[[#This Row],[ID_H]]))</f>
        <v/>
      </c>
      <c r="AM306" s="38">
        <f ca="1">IF(NOTA[[#This Row],[TGL.NOTA]]="",IF(NOTA[[#This Row],[SUPPLIER_H]]="","",AM305),MONTH(NOTA[[#This Row],[TGL.NOTA]]))</f>
        <v>1</v>
      </c>
      <c r="AN306" s="38" t="str">
        <f>LOWER(SUBSTITUTE(SUBSTITUTE(SUBSTITUTE(SUBSTITUTE(SUBSTITUTE(SUBSTITUTE(SUBSTITUTE(SUBSTITUTE(SUBSTITUTE(NOTA[NAMA BARANG]," ",),".",""),"-",""),"(",""),")",""),",",""),"/",""),"""",""),"+",""))</f>
        <v>guntingk400</v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guntingk40023520000.10.1</v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guntingk40023520000.10.1</v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 t="e">
        <f>IF(NOTA[[#This Row],[CONCAT1]]="","",MATCH(NOTA[[#This Row],[CONCAT1]],[3]!db[NB NOTA_C],0))</f>
        <v>#N/A</v>
      </c>
      <c r="AT306" s="38" t="str">
        <f>IF(NOTA[[#This Row],[QTY/ CTN]]="","",TRUE)</f>
        <v/>
      </c>
      <c r="AU306" s="38" t="e">
        <f ca="1">IF(NOTA[[#This Row],[ID_H]]="","",IF(NOTA[[#This Row],[Column3]]=TRUE,NOTA[[#This Row],[QTY/ CTN]],INDEX([3]!db[QTY/ CTN],NOTA[[#This Row],[//DB]])))</f>
        <v>#N/A</v>
      </c>
      <c r="AV30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6" s="38" t="e">
        <f ca="1">IF(NOTA[[#This Row],[ID_H]]="","",MATCH(NOTA[[#This Row],[NB NOTA_C_QTY]],[4]!db[NB NOTA_C_QTY+F],0))</f>
        <v>#N/A</v>
      </c>
      <c r="AX306" s="53" t="e">
        <f ca="1">IF(NOTA[[#This Row],[NB NOTA_C_QTY]]="","",ROW()-2)</f>
        <v>#N/A</v>
      </c>
    </row>
    <row r="307" spans="1:50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49</v>
      </c>
      <c r="E307" s="46"/>
      <c r="F307" s="37"/>
      <c r="G307" s="37"/>
      <c r="H307" s="47"/>
      <c r="I307" s="37"/>
      <c r="J307" s="39"/>
      <c r="K307" s="37"/>
      <c r="L307" s="37" t="s">
        <v>443</v>
      </c>
      <c r="M307" s="40">
        <v>3</v>
      </c>
      <c r="N307" s="38">
        <v>60</v>
      </c>
      <c r="O307" s="37" t="s">
        <v>111</v>
      </c>
      <c r="P307" s="41">
        <v>128000</v>
      </c>
      <c r="Q307" s="42"/>
      <c r="R307" s="48"/>
      <c r="S307" s="49">
        <v>0.1</v>
      </c>
      <c r="T307" s="44">
        <v>0.1</v>
      </c>
      <c r="U307" s="44">
        <v>0.1</v>
      </c>
      <c r="V307" s="50"/>
      <c r="W307" s="45"/>
      <c r="X307" s="50">
        <f>IF(NOTA[[#This Row],[HARGA/ CTN]]="",NOTA[[#This Row],[JUMLAH_H]],NOTA[[#This Row],[HARGA/ CTN]]*IF(NOTA[[#This Row],[C]]="",0,NOTA[[#This Row],[C]]))</f>
        <v>7680000</v>
      </c>
      <c r="Y307" s="50">
        <f>IF(NOTA[[#This Row],[JUMLAH]]="","",NOTA[[#This Row],[JUMLAH]]*NOTA[[#This Row],[DISC 1]])</f>
        <v>768000</v>
      </c>
      <c r="Z307" s="50">
        <f>IF(NOTA[[#This Row],[JUMLAH]]="","",(NOTA[[#This Row],[JUMLAH]]-NOTA[[#This Row],[DISC 1-]])*NOTA[[#This Row],[DISC 2]])</f>
        <v>691200</v>
      </c>
      <c r="AA307" s="50">
        <f>IF(NOTA[[#This Row],[JUMLAH]]="","",(NOTA[[#This Row],[JUMLAH]]-NOTA[[#This Row],[DISC 1-]]-NOTA[[#This Row],[DISC 2-]])*NOTA[[#This Row],[DISC 3]])</f>
        <v>622080</v>
      </c>
      <c r="AB307" s="50">
        <f>IF(NOTA[[#This Row],[JUMLAH]]="","",NOTA[[#This Row],[DISC 1-]]+NOTA[[#This Row],[DISC 2-]]+NOTA[[#This Row],[DISC 3-]])</f>
        <v>2081280</v>
      </c>
      <c r="AC307" s="50">
        <f>IF(NOTA[[#This Row],[JUMLAH]]="","",NOTA[[#This Row],[JUMLAH]]-NOTA[[#This Row],[DISC]])</f>
        <v>5598720</v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2560000</v>
      </c>
      <c r="AH307" s="50">
        <f>IF(OR(NOTA[[#This Row],[QTY]]="",NOTA[[#This Row],[HARGA SATUAN]]="",),"",NOTA[[#This Row],[QTY]]*NOTA[[#This Row],[HARGA SATUAN]])</f>
        <v>7680000</v>
      </c>
      <c r="AI307" s="39">
        <f ca="1">IF(NOTA[ID_H]="","",INDEX(NOTA[TANGGAL],MATCH(,INDIRECT(ADDRESS(ROW(NOTA[TANGGAL]),COLUMN(NOTA[TANGGAL]))&amp;":"&amp;ADDRESS(ROW(),COLUMN(NOTA[TANGGAL]))),-1)))</f>
        <v>45299</v>
      </c>
      <c r="AJ307" s="41" t="str">
        <f ca="1">IF(NOTA[[#This Row],[NAMA BARANG]]="","",INDEX(NOTA[SUPPLIER],MATCH(,INDIRECT(ADDRESS(ROW(NOTA[ID]),COLUMN(NOTA[ID]))&amp;":"&amp;ADDRESS(ROW(),COLUMN(NOTA[ID]))),-1)))</f>
        <v>DR-ORIGINAL</v>
      </c>
      <c r="AK307" s="41" t="str">
        <f ca="1">IF(NOTA[[#This Row],[ID_H]]="","",IF(NOTA[[#This Row],[FAKTUR]]="",INDIRECT(ADDRESS(ROW()-1,COLUMN())),NOTA[[#This Row],[FAKTUR]]))</f>
        <v>UNTANA</v>
      </c>
      <c r="AL307" s="38" t="str">
        <f ca="1">IF(NOTA[[#This Row],[ID]]="","",COUNTIF(NOTA[ID_H],NOTA[[#This Row],[ID_H]]))</f>
        <v/>
      </c>
      <c r="AM307" s="38">
        <f ca="1">IF(NOTA[[#This Row],[TGL.NOTA]]="",IF(NOTA[[#This Row],[SUPPLIER_H]]="","",AM306),MONTH(NOTA[[#This Row],[TGL.NOTA]]))</f>
        <v>1</v>
      </c>
      <c r="AN307" s="38" t="str">
        <f>LOWER(SUBSTITUTE(SUBSTITUTE(SUBSTITUTE(SUBSTITUTE(SUBSTITUTE(SUBSTITUTE(SUBSTITUTE(SUBSTITUTE(SUBSTITUTE(NOTA[NAMA BARANG]," ",),".",""),"-",""),"(",""),")",""),",",""),"/",""),"""",""),"+",""))</f>
        <v>guntingk500</v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guntingk50025600000.10.1</v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guntingk50025600000.10.1</v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38" t="str">
        <f>IF(NOTA[[#This Row],[CONCAT4]]="","",_xlfn.IFNA(MATCH(NOTA[[#This Row],[CONCAT4]],[2]!RAW[CONCAT_H],0),FALSE))</f>
        <v/>
      </c>
      <c r="AS307" s="38" t="e">
        <f>IF(NOTA[[#This Row],[CONCAT1]]="","",MATCH(NOTA[[#This Row],[CONCAT1]],[3]!db[NB NOTA_C],0))</f>
        <v>#N/A</v>
      </c>
      <c r="AT307" s="38" t="str">
        <f>IF(NOTA[[#This Row],[QTY/ CTN]]="","",TRUE)</f>
        <v/>
      </c>
      <c r="AU307" s="38" t="e">
        <f ca="1">IF(NOTA[[#This Row],[ID_H]]="","",IF(NOTA[[#This Row],[Column3]]=TRUE,NOTA[[#This Row],[QTY/ CTN]],INDEX([3]!db[QTY/ CTN],NOTA[[#This Row],[//DB]])))</f>
        <v>#N/A</v>
      </c>
      <c r="AV30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7" s="38" t="e">
        <f ca="1">IF(NOTA[[#This Row],[ID_H]]="","",MATCH(NOTA[[#This Row],[NB NOTA_C_QTY]],[4]!db[NB NOTA_C_QTY+F],0))</f>
        <v>#N/A</v>
      </c>
      <c r="AX307" s="53" t="e">
        <f ca="1">IF(NOTA[[#This Row],[NB NOTA_C_QTY]]="","",ROW()-2)</f>
        <v>#N/A</v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49</v>
      </c>
      <c r="E308" s="46"/>
      <c r="F308" s="37"/>
      <c r="G308" s="37"/>
      <c r="H308" s="47"/>
      <c r="I308" s="37"/>
      <c r="J308" s="39"/>
      <c r="K308" s="37"/>
      <c r="L308" s="37" t="s">
        <v>441</v>
      </c>
      <c r="M308" s="40">
        <v>1</v>
      </c>
      <c r="N308" s="38">
        <v>24</v>
      </c>
      <c r="O308" s="37" t="s">
        <v>111</v>
      </c>
      <c r="P308" s="41">
        <v>85000</v>
      </c>
      <c r="Q308" s="42"/>
      <c r="R308" s="48"/>
      <c r="S308" s="49">
        <v>1</v>
      </c>
      <c r="T308" s="44"/>
      <c r="U308" s="44"/>
      <c r="V308" s="50"/>
      <c r="W308" s="45"/>
      <c r="X308" s="50">
        <f>IF(NOTA[[#This Row],[HARGA/ CTN]]="",NOTA[[#This Row],[JUMLAH_H]],NOTA[[#This Row],[HARGA/ CTN]]*IF(NOTA[[#This Row],[C]]="",0,NOTA[[#This Row],[C]]))</f>
        <v>2040000</v>
      </c>
      <c r="Y308" s="50">
        <f>IF(NOTA[[#This Row],[JUMLAH]]="","",NOTA[[#This Row],[JUMLAH]]*NOTA[[#This Row],[DISC 1]])</f>
        <v>2040000</v>
      </c>
      <c r="Z308" s="50">
        <f>IF(NOTA[[#This Row],[JUMLAH]]="","",(NOTA[[#This Row],[JUMLAH]]-NOTA[[#This Row],[DISC 1-]])*NOTA[[#This Row],[DISC 2]])</f>
        <v>0</v>
      </c>
      <c r="AA308" s="50">
        <f>IF(NOTA[[#This Row],[JUMLAH]]="","",(NOTA[[#This Row],[JUMLAH]]-NOTA[[#This Row],[DISC 1-]]-NOTA[[#This Row],[DISC 2-]])*NOTA[[#This Row],[DISC 3]])</f>
        <v>0</v>
      </c>
      <c r="AB308" s="50">
        <f>IF(NOTA[[#This Row],[JUMLAH]]="","",NOTA[[#This Row],[DISC 1-]]+NOTA[[#This Row],[DISC 2-]]+NOTA[[#This Row],[DISC 3-]])</f>
        <v>2040000</v>
      </c>
      <c r="AC308" s="50">
        <f>IF(NOTA[[#This Row],[JUMLAH]]="","",NOTA[[#This Row],[JUMLAH]]-NOTA[[#This Row],[DISC]])</f>
        <v>0</v>
      </c>
      <c r="AD308" s="50"/>
      <c r="AE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12173232</v>
      </c>
      <c r="AF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27258768</v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308" s="50">
        <f>IF(OR(NOTA[[#This Row],[QTY]]="",NOTA[[#This Row],[HARGA SATUAN]]="",),"",NOTA[[#This Row],[QTY]]*NOTA[[#This Row],[HARGA SATUAN]])</f>
        <v>2040000</v>
      </c>
      <c r="AI308" s="39">
        <f ca="1">IF(NOTA[ID_H]="","",INDEX(NOTA[TANGGAL],MATCH(,INDIRECT(ADDRESS(ROW(NOTA[TANGGAL]),COLUMN(NOTA[TANGGAL]))&amp;":"&amp;ADDRESS(ROW(),COLUMN(NOTA[TANGGAL]))),-1)))</f>
        <v>45299</v>
      </c>
      <c r="AJ308" s="41" t="str">
        <f ca="1">IF(NOTA[[#This Row],[NAMA BARANG]]="","",INDEX(NOTA[SUPPLIER],MATCH(,INDIRECT(ADDRESS(ROW(NOTA[ID]),COLUMN(NOTA[ID]))&amp;":"&amp;ADDRESS(ROW(),COLUMN(NOTA[ID]))),-1)))</f>
        <v>DR-ORIGINAL</v>
      </c>
      <c r="AK308" s="41" t="str">
        <f ca="1">IF(NOTA[[#This Row],[ID_H]]="","",IF(NOTA[[#This Row],[FAKTUR]]="",INDIRECT(ADDRESS(ROW()-1,COLUMN())),NOTA[[#This Row],[FAKTUR]]))</f>
        <v>UNTANA</v>
      </c>
      <c r="AL308" s="38" t="str">
        <f ca="1">IF(NOTA[[#This Row],[ID]]="","",COUNTIF(NOTA[ID_H],NOTA[[#This Row],[ID_H]]))</f>
        <v/>
      </c>
      <c r="AM308" s="38">
        <f ca="1">IF(NOTA[[#This Row],[TGL.NOTA]]="",IF(NOTA[[#This Row],[SUPPLIER_H]]="","",AM307),MONTH(NOTA[[#This Row],[TGL.NOTA]]))</f>
        <v>1</v>
      </c>
      <c r="AN308" s="38" t="str">
        <f>LOWER(SUBSTITUTE(SUBSTITUTE(SUBSTITUTE(SUBSTITUTE(SUBSTITUTE(SUBSTITUTE(SUBSTITUTE(SUBSTITUTE(SUBSTITUTE(NOTA[NAMA BARANG]," ",),".",""),"-",""),"(",""),")",""),",",""),"/",""),"""",""),"+",""))</f>
        <v>guntingk300</v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guntingk30020400001</v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guntingk30020400001</v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 t="e">
        <f>IF(NOTA[[#This Row],[CONCAT1]]="","",MATCH(NOTA[[#This Row],[CONCAT1]],[3]!db[NB NOTA_C],0))</f>
        <v>#N/A</v>
      </c>
      <c r="AT308" s="38" t="str">
        <f>IF(NOTA[[#This Row],[QTY/ CTN]]="","",TRUE)</f>
        <v/>
      </c>
      <c r="AU308" s="38" t="e">
        <f ca="1">IF(NOTA[[#This Row],[ID_H]]="","",IF(NOTA[[#This Row],[Column3]]=TRUE,NOTA[[#This Row],[QTY/ CTN]],INDEX([3]!db[QTY/ CTN],NOTA[[#This Row],[//DB]])))</f>
        <v>#N/A</v>
      </c>
      <c r="AV30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8" s="38" t="e">
        <f ca="1">IF(NOTA[[#This Row],[ID_H]]="","",MATCH(NOTA[[#This Row],[NB NOTA_C_QTY]],[4]!db[NB NOTA_C_QTY+F],0))</f>
        <v>#N/A</v>
      </c>
      <c r="AX308" s="53" t="e">
        <f ca="1">IF(NOTA[[#This Row],[NB NOTA_C_QTY]]="","",ROW()-2)</f>
        <v>#N/A</v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 t="str">
        <f ca="1">IF(NOTA[[#This Row],[NAMA BARANG]]="","",INDEX(NOTA[ID],MATCH(,INDIRECT(ADDRESS(ROW(NOTA[ID]),COLUMN(NOTA[ID]))&amp;":"&amp;ADDRESS(ROW(),COLUMN(NOTA[ID]))),-1)))</f>
        <v/>
      </c>
      <c r="E309" s="46"/>
      <c r="F309" s="37"/>
      <c r="G309" s="37"/>
      <c r="H309" s="47"/>
      <c r="I309" s="37"/>
      <c r="J309" s="39"/>
      <c r="K309" s="37"/>
      <c r="L309" s="37"/>
      <c r="M309" s="40"/>
      <c r="O309" s="37"/>
      <c r="P309" s="41"/>
      <c r="Q309" s="42"/>
      <c r="R309" s="48"/>
      <c r="S309" s="49"/>
      <c r="T309" s="44"/>
      <c r="U309" s="44"/>
      <c r="V309" s="50"/>
      <c r="W309" s="45"/>
      <c r="X309" s="50" t="str">
        <f>IF(NOTA[[#This Row],[HARGA/ CTN]]="",NOTA[[#This Row],[JUMLAH_H]],NOTA[[#This Row],[HARGA/ CTN]]*IF(NOTA[[#This Row],[C]]="",0,NOTA[[#This Row],[C]]))</f>
        <v/>
      </c>
      <c r="Y309" s="50" t="str">
        <f>IF(NOTA[[#This Row],[JUMLAH]]="","",NOTA[[#This Row],[JUMLAH]]*NOTA[[#This Row],[DISC 1]])</f>
        <v/>
      </c>
      <c r="Z309" s="50" t="str">
        <f>IF(NOTA[[#This Row],[JUMLAH]]="","",(NOTA[[#This Row],[JUMLAH]]-NOTA[[#This Row],[DISC 1-]])*NOTA[[#This Row],[DISC 2]])</f>
        <v/>
      </c>
      <c r="AA309" s="50" t="str">
        <f>IF(NOTA[[#This Row],[JUMLAH]]="","",(NOTA[[#This Row],[JUMLAH]]-NOTA[[#This Row],[DISC 1-]]-NOTA[[#This Row],[DISC 2-]])*NOTA[[#This Row],[DISC 3]])</f>
        <v/>
      </c>
      <c r="AB309" s="50" t="str">
        <f>IF(NOTA[[#This Row],[JUMLAH]]="","",NOTA[[#This Row],[DISC 1-]]+NOTA[[#This Row],[DISC 2-]]+NOTA[[#This Row],[DISC 3-]])</f>
        <v/>
      </c>
      <c r="AC309" s="50" t="str">
        <f>IF(NOTA[[#This Row],[JUMLAH]]="","",NOTA[[#This Row],[JUMLAH]]-NOTA[[#This Row],[DISC]])</f>
        <v/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9" s="50" t="str">
        <f>IF(OR(NOTA[[#This Row],[QTY]]="",NOTA[[#This Row],[HARGA SATUAN]]="",),"",NOTA[[#This Row],[QTY]]*NOTA[[#This Row],[HARGA SATUAN]])</f>
        <v/>
      </c>
      <c r="AI309" s="39" t="str">
        <f ca="1">IF(NOTA[ID_H]="","",INDEX(NOTA[TANGGAL],MATCH(,INDIRECT(ADDRESS(ROW(NOTA[TANGGAL]),COLUMN(NOTA[TANGGAL]))&amp;":"&amp;ADDRESS(ROW(),COLUMN(NOTA[TANGGAL]))),-1)))</f>
        <v/>
      </c>
      <c r="AJ309" s="41" t="str">
        <f ca="1">IF(NOTA[[#This Row],[NAMA BARANG]]="","",INDEX(NOTA[SUPPLIER],MATCH(,INDIRECT(ADDRESS(ROW(NOTA[ID]),COLUMN(NOTA[ID]))&amp;":"&amp;ADDRESS(ROW(),COLUMN(NOTA[ID]))),-1)))</f>
        <v/>
      </c>
      <c r="AK309" s="41" t="str">
        <f ca="1">IF(NOTA[[#This Row],[ID_H]]="","",IF(NOTA[[#This Row],[FAKTUR]]="",INDIRECT(ADDRESS(ROW()-1,COLUMN())),NOTA[[#This Row],[FAKTUR]]))</f>
        <v/>
      </c>
      <c r="AL309" s="38" t="str">
        <f ca="1">IF(NOTA[[#This Row],[ID]]="","",COUNTIF(NOTA[ID_H],NOTA[[#This Row],[ID_H]]))</f>
        <v/>
      </c>
      <c r="AM309" s="38" t="str">
        <f ca="1">IF(NOTA[[#This Row],[TGL.NOTA]]="",IF(NOTA[[#This Row],[SUPPLIER_H]]="","",AM308),MONTH(NOTA[[#This Row],[TGL.NOTA]]))</f>
        <v/>
      </c>
      <c r="AN309" s="38" t="str">
        <f>LOWER(SUBSTITUTE(SUBSTITUTE(SUBSTITUTE(SUBSTITUTE(SUBSTITUTE(SUBSTITUTE(SUBSTITUTE(SUBSTITUTE(SUBSTITUTE(NOTA[NAMA BARANG]," ",),".",""),"-",""),"(",""),")",""),",",""),"/",""),"""",""),"+",""))</f>
        <v/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 t="str">
        <f>IF(NOTA[[#This Row],[CONCAT1]]="","",MATCH(NOTA[[#This Row],[CONCAT1]],[3]!db[NB NOTA_C],0))</f>
        <v/>
      </c>
      <c r="AT309" s="38" t="str">
        <f>IF(NOTA[[#This Row],[QTY/ CTN]]="","",TRUE)</f>
        <v/>
      </c>
      <c r="AU309" s="38" t="str">
        <f ca="1">IF(NOTA[[#This Row],[ID_H]]="","",IF(NOTA[[#This Row],[Column3]]=TRUE,NOTA[[#This Row],[QTY/ CTN]],INDEX([3]!db[QTY/ CTN],NOTA[[#This Row],[//DB]])))</f>
        <v/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9" s="38" t="str">
        <f ca="1">IF(NOTA[[#This Row],[ID_H]]="","",MATCH(NOTA[[#This Row],[NB NOTA_C_QTY]],[4]!db[NB NOTA_C_QTY+F],0))</f>
        <v/>
      </c>
      <c r="AX309" s="53" t="str">
        <f ca="1">IF(NOTA[[#This Row],[NB NOTA_C_QTY]]="","",ROW()-2)</f>
        <v/>
      </c>
    </row>
    <row r="310" spans="1:50" s="38" customFormat="1" ht="20.100000000000001" customHeight="1" x14ac:dyDescent="0.25">
      <c r="A310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3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DR-_0801_-5</v>
      </c>
      <c r="C310" s="38" t="e">
        <f ca="1">IF(NOTA[[#This Row],[ID_P]]="","",MATCH(NOTA[[#This Row],[ID_P]],[1]!B_MSK[N_ID],0))</f>
        <v>#REF!</v>
      </c>
      <c r="D310" s="38">
        <f ca="1">IF(NOTA[[#This Row],[NAMA BARANG]]="","",INDEX(NOTA[ID],MATCH(,INDIRECT(ADDRESS(ROW(NOTA[ID]),COLUMN(NOTA[ID]))&amp;":"&amp;ADDRESS(ROW(),COLUMN(NOTA[ID]))),-1)))</f>
        <v>50</v>
      </c>
      <c r="E310" s="46"/>
      <c r="F310" s="37" t="s">
        <v>433</v>
      </c>
      <c r="G310" s="37" t="s">
        <v>110</v>
      </c>
      <c r="H310" s="47"/>
      <c r="I310" s="37"/>
      <c r="J310" s="39">
        <v>45295</v>
      </c>
      <c r="K310" s="37"/>
      <c r="L310" s="37" t="s">
        <v>444</v>
      </c>
      <c r="M310" s="40">
        <v>36</v>
      </c>
      <c r="N310" s="38">
        <f>60*36</f>
        <v>2160</v>
      </c>
      <c r="O310" s="37" t="s">
        <v>111</v>
      </c>
      <c r="P310" s="41">
        <v>31000</v>
      </c>
      <c r="Q310" s="42"/>
      <c r="R310" s="48"/>
      <c r="S310" s="49">
        <v>0.1</v>
      </c>
      <c r="T310" s="44">
        <v>0.1</v>
      </c>
      <c r="U310" s="44">
        <v>0.1</v>
      </c>
      <c r="V310" s="50"/>
      <c r="W310" s="45"/>
      <c r="X310" s="50">
        <f>IF(NOTA[[#This Row],[HARGA/ CTN]]="",NOTA[[#This Row],[JUMLAH_H]],NOTA[[#This Row],[HARGA/ CTN]]*IF(NOTA[[#This Row],[C]]="",0,NOTA[[#This Row],[C]]))</f>
        <v>66960000</v>
      </c>
      <c r="Y310" s="50">
        <f>IF(NOTA[[#This Row],[JUMLAH]]="","",NOTA[[#This Row],[JUMLAH]]*NOTA[[#This Row],[DISC 1]])</f>
        <v>6696000</v>
      </c>
      <c r="Z310" s="50">
        <f>IF(NOTA[[#This Row],[JUMLAH]]="","",(NOTA[[#This Row],[JUMLAH]]-NOTA[[#This Row],[DISC 1-]])*NOTA[[#This Row],[DISC 2]])</f>
        <v>6026400</v>
      </c>
      <c r="AA310" s="50">
        <f>IF(NOTA[[#This Row],[JUMLAH]]="","",(NOTA[[#This Row],[JUMLAH]]-NOTA[[#This Row],[DISC 1-]]-NOTA[[#This Row],[DISC 2-]])*NOTA[[#This Row],[DISC 3]])</f>
        <v>5423760</v>
      </c>
      <c r="AB310" s="50">
        <f>IF(NOTA[[#This Row],[JUMLAH]]="","",NOTA[[#This Row],[DISC 1-]]+NOTA[[#This Row],[DISC 2-]]+NOTA[[#This Row],[DISC 3-]])</f>
        <v>18146160</v>
      </c>
      <c r="AC310" s="50">
        <f>IF(NOTA[[#This Row],[JUMLAH]]="","",NOTA[[#This Row],[JUMLAH]]-NOTA[[#This Row],[DISC]])</f>
        <v>48813840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10" s="50">
        <f>IF(OR(NOTA[[#This Row],[QTY]]="",NOTA[[#This Row],[HARGA SATUAN]]="",),"",NOTA[[#This Row],[QTY]]*NOTA[[#This Row],[HARGA SATUAN]])</f>
        <v>66960000</v>
      </c>
      <c r="AI310" s="39">
        <f ca="1">IF(NOTA[ID_H]="","",INDEX(NOTA[TANGGAL],MATCH(,INDIRECT(ADDRESS(ROW(NOTA[TANGGAL]),COLUMN(NOTA[TANGGAL]))&amp;":"&amp;ADDRESS(ROW(),COLUMN(NOTA[TANGGAL]))),-1)))</f>
        <v>45299</v>
      </c>
      <c r="AJ310" s="41" t="str">
        <f ca="1">IF(NOTA[[#This Row],[NAMA BARANG]]="","",INDEX(NOTA[SUPPLIER],MATCH(,INDIRECT(ADDRESS(ROW(NOTA[ID]),COLUMN(NOTA[ID]))&amp;":"&amp;ADDRESS(ROW(),COLUMN(NOTA[ID]))),-1)))</f>
        <v>DR-ORIGINAL</v>
      </c>
      <c r="AK310" s="41" t="str">
        <f ca="1">IF(NOTA[[#This Row],[ID_H]]="","",IF(NOTA[[#This Row],[FAKTUR]]="",INDIRECT(ADDRESS(ROW()-1,COLUMN())),NOTA[[#This Row],[FAKTUR]]))</f>
        <v>UNTANA</v>
      </c>
      <c r="AL310" s="38">
        <f ca="1">IF(NOTA[[#This Row],[ID]]="","",COUNTIF(NOTA[ID_H],NOTA[[#This Row],[ID_H]]))</f>
        <v>5</v>
      </c>
      <c r="AM310" s="38">
        <f>IF(NOTA[[#This Row],[TGL.NOTA]]="",IF(NOTA[[#This Row],[SUPPLIER_H]]="","",AM309),MONTH(NOTA[[#This Row],[TGL.NOTA]]))</f>
        <v>1</v>
      </c>
      <c r="AN310" s="38" t="str">
        <f>LOWER(SUBSTITUTE(SUBSTITUTE(SUBSTITUTE(SUBSTITUTE(SUBSTITUTE(SUBSTITUTE(SUBSTITUTE(SUBSTITUTE(SUBSTITUTE(NOTA[NAMA BARANG]," ",),".",""),"-",""),"(",""),")",""),",",""),"/",""),"""",""),"+",""))</f>
        <v>cutterbesar88taco</v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cutterbesar88taco18600000.10.1</v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cutterbesar88taco18600000.10.1</v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DR-ORIGINALUNTANA45295cutterbesar88taco</v>
      </c>
      <c r="AR310" s="38" t="e">
        <f>IF(NOTA[[#This Row],[CONCAT4]]="","",_xlfn.IFNA(MATCH(NOTA[[#This Row],[CONCAT4]],[2]!RAW[CONCAT_H],0),FALSE))</f>
        <v>#REF!</v>
      </c>
      <c r="AS310" s="38">
        <f>IF(NOTA[[#This Row],[CONCAT1]]="","",MATCH(NOTA[[#This Row],[CONCAT1]],[3]!db[NB NOTA_C],0))</f>
        <v>774</v>
      </c>
      <c r="AT310" s="38" t="str">
        <f>IF(NOTA[[#This Row],[QTY/ CTN]]="","",TRUE)</f>
        <v/>
      </c>
      <c r="AU310" s="38" t="str">
        <f ca="1">IF(NOTA[[#This Row],[ID_H]]="","",IF(NOTA[[#This Row],[Column3]]=TRUE,NOTA[[#This Row],[QTY/ CTN]],INDEX([3]!db[QTY/ CTN],NOTA[[#This Row],[//DB]])))</f>
        <v>60 LSN</v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cutterbesar88taco60lsnuntana</v>
      </c>
      <c r="AW310" s="38" t="e">
        <f ca="1">IF(NOTA[[#This Row],[ID_H]]="","",MATCH(NOTA[[#This Row],[NB NOTA_C_QTY]],[4]!db[NB NOTA_C_QTY+F],0))</f>
        <v>#REF!</v>
      </c>
      <c r="AX310" s="53">
        <f ca="1">IF(NOTA[[#This Row],[NB NOTA_C_QTY]]="","",ROW()-2)</f>
        <v>308</v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50</v>
      </c>
      <c r="E311" s="46"/>
      <c r="F311" s="37"/>
      <c r="G311" s="37"/>
      <c r="H311" s="47"/>
      <c r="I311" s="37"/>
      <c r="J311" s="39"/>
      <c r="K311" s="37"/>
      <c r="L311" s="37" t="s">
        <v>444</v>
      </c>
      <c r="M311" s="40">
        <v>3</v>
      </c>
      <c r="N311" s="38">
        <f>3*60</f>
        <v>180</v>
      </c>
      <c r="O311" s="37" t="s">
        <v>111</v>
      </c>
      <c r="P311" s="41">
        <v>31000</v>
      </c>
      <c r="Q311" s="42"/>
      <c r="R311" s="48"/>
      <c r="S311" s="49">
        <v>1</v>
      </c>
      <c r="T311" s="44"/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5580000</v>
      </c>
      <c r="Y311" s="50">
        <f>IF(NOTA[[#This Row],[JUMLAH]]="","",NOTA[[#This Row],[JUMLAH]]*NOTA[[#This Row],[DISC 1]])</f>
        <v>5580000</v>
      </c>
      <c r="Z311" s="50">
        <f>IF(NOTA[[#This Row],[JUMLAH]]="","",(NOTA[[#This Row],[JUMLAH]]-NOTA[[#This Row],[DISC 1-]])*NOTA[[#This Row],[DISC 2]])</f>
        <v>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5580000</v>
      </c>
      <c r="AC311" s="50">
        <f>IF(NOTA[[#This Row],[JUMLAH]]="","",NOTA[[#This Row],[JUMLAH]]-NOTA[[#This Row],[DISC]])</f>
        <v>0</v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11" s="50">
        <f>IF(OR(NOTA[[#This Row],[QTY]]="",NOTA[[#This Row],[HARGA SATUAN]]="",),"",NOTA[[#This Row],[QTY]]*NOTA[[#This Row],[HARGA SATUAN]])</f>
        <v>5580000</v>
      </c>
      <c r="AI311" s="39">
        <f ca="1">IF(NOTA[ID_H]="","",INDEX(NOTA[TANGGAL],MATCH(,INDIRECT(ADDRESS(ROW(NOTA[TANGGAL]),COLUMN(NOTA[TANGGAL]))&amp;":"&amp;ADDRESS(ROW(),COLUMN(NOTA[TANGGAL]))),-1)))</f>
        <v>45299</v>
      </c>
      <c r="AJ311" s="41" t="str">
        <f ca="1">IF(NOTA[[#This Row],[NAMA BARANG]]="","",INDEX(NOTA[SUPPLIER],MATCH(,INDIRECT(ADDRESS(ROW(NOTA[ID]),COLUMN(NOTA[ID]))&amp;":"&amp;ADDRESS(ROW(),COLUMN(NOTA[ID]))),-1)))</f>
        <v>DR-ORIGINAL</v>
      </c>
      <c r="AK311" s="41" t="str">
        <f ca="1">IF(NOTA[[#This Row],[ID_H]]="","",IF(NOTA[[#This Row],[FAKTUR]]="",INDIRECT(ADDRESS(ROW()-1,COLUMN())),NOTA[[#This Row],[FAKTUR]]))</f>
        <v>UNTANA</v>
      </c>
      <c r="AL311" s="38" t="str">
        <f ca="1">IF(NOTA[[#This Row],[ID]]="","",COUNTIF(NOTA[ID_H],NOTA[[#This Row],[ID_H]]))</f>
        <v/>
      </c>
      <c r="AM311" s="38">
        <f ca="1">IF(NOTA[[#This Row],[TGL.NOTA]]="",IF(NOTA[[#This Row],[SUPPLIER_H]]="","",AM310),MONTH(NOTA[[#This Row],[TGL.NOTA]]))</f>
        <v>1</v>
      </c>
      <c r="AN311" s="38" t="str">
        <f>LOWER(SUBSTITUTE(SUBSTITUTE(SUBSTITUTE(SUBSTITUTE(SUBSTITUTE(SUBSTITUTE(SUBSTITUTE(SUBSTITUTE(SUBSTITUTE(NOTA[NAMA BARANG]," ",),".",""),"-",""),"(",""),")",""),",",""),"/",""),"""",""),"+",""))</f>
        <v>cutterbesar88taco</v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cutterbesar88taco18600001</v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cutterbesar88taco18600001</v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>
        <f>IF(NOTA[[#This Row],[CONCAT1]]="","",MATCH(NOTA[[#This Row],[CONCAT1]],[3]!db[NB NOTA_C],0))</f>
        <v>774</v>
      </c>
      <c r="AT311" s="38" t="str">
        <f>IF(NOTA[[#This Row],[QTY/ CTN]]="","",TRUE)</f>
        <v/>
      </c>
      <c r="AU311" s="38" t="str">
        <f ca="1">IF(NOTA[[#This Row],[ID_H]]="","",IF(NOTA[[#This Row],[Column3]]=TRUE,NOTA[[#This Row],[QTY/ CTN]],INDEX([3]!db[QTY/ CTN],NOTA[[#This Row],[//DB]])))</f>
        <v>60 LSN</v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cutterbesar88taco60lsnuntana</v>
      </c>
      <c r="AW311" s="38" t="e">
        <f ca="1">IF(NOTA[[#This Row],[ID_H]]="","",MATCH(NOTA[[#This Row],[NB NOTA_C_QTY]],[4]!db[NB NOTA_C_QTY+F],0))</f>
        <v>#REF!</v>
      </c>
      <c r="AX311" s="53">
        <f ca="1">IF(NOTA[[#This Row],[NB NOTA_C_QTY]]="","",ROW()-2)</f>
        <v>309</v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>
        <f ca="1">IF(NOTA[[#This Row],[NAMA BARANG]]="","",INDEX(NOTA[ID],MATCH(,INDIRECT(ADDRESS(ROW(NOTA[ID]),COLUMN(NOTA[ID]))&amp;":"&amp;ADDRESS(ROW(),COLUMN(NOTA[ID]))),-1)))</f>
        <v>50</v>
      </c>
      <c r="E312" s="46"/>
      <c r="F312" s="37"/>
      <c r="G312" s="37"/>
      <c r="H312" s="47"/>
      <c r="I312" s="37"/>
      <c r="J312" s="39"/>
      <c r="K312" s="37"/>
      <c r="L312" s="37" t="s">
        <v>445</v>
      </c>
      <c r="M312" s="40">
        <v>12</v>
      </c>
      <c r="N312" s="38">
        <f>12*120</f>
        <v>1440</v>
      </c>
      <c r="O312" s="37" t="s">
        <v>111</v>
      </c>
      <c r="P312" s="41">
        <v>20000</v>
      </c>
      <c r="Q312" s="42"/>
      <c r="R312" s="48"/>
      <c r="S312" s="49">
        <v>0.1</v>
      </c>
      <c r="T312" s="44">
        <v>0.1</v>
      </c>
      <c r="U312" s="44">
        <v>0.1</v>
      </c>
      <c r="V312" s="50"/>
      <c r="W312" s="45"/>
      <c r="X312" s="50">
        <f>IF(NOTA[[#This Row],[HARGA/ CTN]]="",NOTA[[#This Row],[JUMLAH_H]],NOTA[[#This Row],[HARGA/ CTN]]*IF(NOTA[[#This Row],[C]]="",0,NOTA[[#This Row],[C]]))</f>
        <v>28800000</v>
      </c>
      <c r="Y312" s="50">
        <f>IF(NOTA[[#This Row],[JUMLAH]]="","",NOTA[[#This Row],[JUMLAH]]*NOTA[[#This Row],[DISC 1]])</f>
        <v>2880000</v>
      </c>
      <c r="Z312" s="50">
        <f>IF(NOTA[[#This Row],[JUMLAH]]="","",(NOTA[[#This Row],[JUMLAH]]-NOTA[[#This Row],[DISC 1-]])*NOTA[[#This Row],[DISC 2]])</f>
        <v>2592000</v>
      </c>
      <c r="AA312" s="50">
        <f>IF(NOTA[[#This Row],[JUMLAH]]="","",(NOTA[[#This Row],[JUMLAH]]-NOTA[[#This Row],[DISC 1-]]-NOTA[[#This Row],[DISC 2-]])*NOTA[[#This Row],[DISC 3]])</f>
        <v>2332800</v>
      </c>
      <c r="AB312" s="50">
        <f>IF(NOTA[[#This Row],[JUMLAH]]="","",NOTA[[#This Row],[DISC 1-]]+NOTA[[#This Row],[DISC 2-]]+NOTA[[#This Row],[DISC 3-]])</f>
        <v>7804800</v>
      </c>
      <c r="AC312" s="50">
        <f>IF(NOTA[[#This Row],[JUMLAH]]="","",NOTA[[#This Row],[JUMLAH]]-NOTA[[#This Row],[DISC]])</f>
        <v>20995200</v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12" s="50">
        <f>IF(OR(NOTA[[#This Row],[QTY]]="",NOTA[[#This Row],[HARGA SATUAN]]="",),"",NOTA[[#This Row],[QTY]]*NOTA[[#This Row],[HARGA SATUAN]])</f>
        <v>28800000</v>
      </c>
      <c r="AI312" s="39">
        <f ca="1">IF(NOTA[ID_H]="","",INDEX(NOTA[TANGGAL],MATCH(,INDIRECT(ADDRESS(ROW(NOTA[TANGGAL]),COLUMN(NOTA[TANGGAL]))&amp;":"&amp;ADDRESS(ROW(),COLUMN(NOTA[TANGGAL]))),-1)))</f>
        <v>45299</v>
      </c>
      <c r="AJ312" s="41" t="str">
        <f ca="1">IF(NOTA[[#This Row],[NAMA BARANG]]="","",INDEX(NOTA[SUPPLIER],MATCH(,INDIRECT(ADDRESS(ROW(NOTA[ID]),COLUMN(NOTA[ID]))&amp;":"&amp;ADDRESS(ROW(),COLUMN(NOTA[ID]))),-1)))</f>
        <v>DR-ORIGINAL</v>
      </c>
      <c r="AK312" s="41" t="str">
        <f ca="1">IF(NOTA[[#This Row],[ID_H]]="","",IF(NOTA[[#This Row],[FAKTUR]]="",INDIRECT(ADDRESS(ROW()-1,COLUMN())),NOTA[[#This Row],[FAKTUR]]))</f>
        <v>UNTANA</v>
      </c>
      <c r="AL312" s="38" t="str">
        <f ca="1">IF(NOTA[[#This Row],[ID]]="","",COUNTIF(NOTA[ID_H],NOTA[[#This Row],[ID_H]]))</f>
        <v/>
      </c>
      <c r="AM312" s="38">
        <f ca="1">IF(NOTA[[#This Row],[TGL.NOTA]]="",IF(NOTA[[#This Row],[SUPPLIER_H]]="","",AM311),MONTH(NOTA[[#This Row],[TGL.NOTA]]))</f>
        <v>1</v>
      </c>
      <c r="AN312" s="38" t="str">
        <f>LOWER(SUBSTITUTE(SUBSTITUTE(SUBSTITUTE(SUBSTITUTE(SUBSTITUTE(SUBSTITUTE(SUBSTITUTE(SUBSTITUTE(SUBSTITUTE(NOTA[NAMA BARANG]," ",),".",""),"-",""),"(",""),")",""),",",""),"/",""),"""",""),"+",""))</f>
        <v>cutterkecil78taco</v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cutterkecil78taco24000000.10.1</v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cutterkecil78taco24000000.10.1</v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>
        <f>IF(NOTA[[#This Row],[CONCAT1]]="","",MATCH(NOTA[[#This Row],[CONCAT1]],[3]!db[NB NOTA_C],0))</f>
        <v>784</v>
      </c>
      <c r="AT312" s="38" t="str">
        <f>IF(NOTA[[#This Row],[QTY/ CTN]]="","",TRUE)</f>
        <v/>
      </c>
      <c r="AU312" s="38" t="str">
        <f ca="1">IF(NOTA[[#This Row],[ID_H]]="","",IF(NOTA[[#This Row],[Column3]]=TRUE,NOTA[[#This Row],[QTY/ CTN]],INDEX([3]!db[QTY/ CTN],NOTA[[#This Row],[//DB]])))</f>
        <v>120 LSN</v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cutterkecil78taco120lsnuntana</v>
      </c>
      <c r="AW312" s="38" t="e">
        <f ca="1">IF(NOTA[[#This Row],[ID_H]]="","",MATCH(NOTA[[#This Row],[NB NOTA_C_QTY]],[4]!db[NB NOTA_C_QTY+F],0))</f>
        <v>#REF!</v>
      </c>
      <c r="AX312" s="53">
        <f ca="1">IF(NOTA[[#This Row],[NB NOTA_C_QTY]]="","",ROW()-2)</f>
        <v>310</v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>
        <f ca="1">IF(NOTA[[#This Row],[NAMA BARANG]]="","",INDEX(NOTA[ID],MATCH(,INDIRECT(ADDRESS(ROW(NOTA[ID]),COLUMN(NOTA[ID]))&amp;":"&amp;ADDRESS(ROW(),COLUMN(NOTA[ID]))),-1)))</f>
        <v>50</v>
      </c>
      <c r="E313" s="46"/>
      <c r="F313" s="37"/>
      <c r="G313" s="37"/>
      <c r="H313" s="47"/>
      <c r="I313" s="37"/>
      <c r="J313" s="39"/>
      <c r="K313" s="37"/>
      <c r="L313" s="37" t="s">
        <v>445</v>
      </c>
      <c r="M313" s="40">
        <v>1</v>
      </c>
      <c r="N313" s="38">
        <f>120</f>
        <v>120</v>
      </c>
      <c r="O313" s="37" t="s">
        <v>111</v>
      </c>
      <c r="P313" s="41">
        <v>20000</v>
      </c>
      <c r="Q313" s="42"/>
      <c r="R313" s="48"/>
      <c r="S313" s="49">
        <v>1</v>
      </c>
      <c r="T313" s="44"/>
      <c r="U313" s="44"/>
      <c r="V313" s="50"/>
      <c r="W313" s="45"/>
      <c r="X313" s="50">
        <f>IF(NOTA[[#This Row],[HARGA/ CTN]]="",NOTA[[#This Row],[JUMLAH_H]],NOTA[[#This Row],[HARGA/ CTN]]*IF(NOTA[[#This Row],[C]]="",0,NOTA[[#This Row],[C]]))</f>
        <v>2400000</v>
      </c>
      <c r="Y313" s="50">
        <f>IF(NOTA[[#This Row],[JUMLAH]]="","",NOTA[[#This Row],[JUMLAH]]*NOTA[[#This Row],[DISC 1]])</f>
        <v>2400000</v>
      </c>
      <c r="Z313" s="50">
        <f>IF(NOTA[[#This Row],[JUMLAH]]="","",(NOTA[[#This Row],[JUMLAH]]-NOTA[[#This Row],[DISC 1-]])*NOTA[[#This Row],[DISC 2]])</f>
        <v>0</v>
      </c>
      <c r="AA313" s="50">
        <f>IF(NOTA[[#This Row],[JUMLAH]]="","",(NOTA[[#This Row],[JUMLAH]]-NOTA[[#This Row],[DISC 1-]]-NOTA[[#This Row],[DISC 2-]])*NOTA[[#This Row],[DISC 3]])</f>
        <v>0</v>
      </c>
      <c r="AB313" s="50">
        <f>IF(NOTA[[#This Row],[JUMLAH]]="","",NOTA[[#This Row],[DISC 1-]]+NOTA[[#This Row],[DISC 2-]]+NOTA[[#This Row],[DISC 3-]])</f>
        <v>2400000</v>
      </c>
      <c r="AC313" s="50">
        <f>IF(NOTA[[#This Row],[JUMLAH]]="","",NOTA[[#This Row],[JUMLAH]]-NOTA[[#This Row],[DISC]])</f>
        <v>0</v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13" s="50">
        <f>IF(OR(NOTA[[#This Row],[QTY]]="",NOTA[[#This Row],[HARGA SATUAN]]="",),"",NOTA[[#This Row],[QTY]]*NOTA[[#This Row],[HARGA SATUAN]])</f>
        <v>2400000</v>
      </c>
      <c r="AI313" s="39">
        <f ca="1">IF(NOTA[ID_H]="","",INDEX(NOTA[TANGGAL],MATCH(,INDIRECT(ADDRESS(ROW(NOTA[TANGGAL]),COLUMN(NOTA[TANGGAL]))&amp;":"&amp;ADDRESS(ROW(),COLUMN(NOTA[TANGGAL]))),-1)))</f>
        <v>45299</v>
      </c>
      <c r="AJ313" s="41" t="str">
        <f ca="1">IF(NOTA[[#This Row],[NAMA BARANG]]="","",INDEX(NOTA[SUPPLIER],MATCH(,INDIRECT(ADDRESS(ROW(NOTA[ID]),COLUMN(NOTA[ID]))&amp;":"&amp;ADDRESS(ROW(),COLUMN(NOTA[ID]))),-1)))</f>
        <v>DR-ORIGINAL</v>
      </c>
      <c r="AK313" s="41" t="str">
        <f ca="1">IF(NOTA[[#This Row],[ID_H]]="","",IF(NOTA[[#This Row],[FAKTUR]]="",INDIRECT(ADDRESS(ROW()-1,COLUMN())),NOTA[[#This Row],[FAKTUR]]))</f>
        <v>UNTANA</v>
      </c>
      <c r="AL313" s="38" t="str">
        <f ca="1">IF(NOTA[[#This Row],[ID]]="","",COUNTIF(NOTA[ID_H],NOTA[[#This Row],[ID_H]]))</f>
        <v/>
      </c>
      <c r="AM313" s="38">
        <f ca="1">IF(NOTA[[#This Row],[TGL.NOTA]]="",IF(NOTA[[#This Row],[SUPPLIER_H]]="","",AM312),MONTH(NOTA[[#This Row],[TGL.NOTA]]))</f>
        <v>1</v>
      </c>
      <c r="AN313" s="38" t="str">
        <f>LOWER(SUBSTITUTE(SUBSTITUTE(SUBSTITUTE(SUBSTITUTE(SUBSTITUTE(SUBSTITUTE(SUBSTITUTE(SUBSTITUTE(SUBSTITUTE(NOTA[NAMA BARANG]," ",),".",""),"-",""),"(",""),")",""),",",""),"/",""),"""",""),"+",""))</f>
        <v>cutterkecil78taco</v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cutterkecil78taco24000001</v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cutterkecil78taco24000001</v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>
        <f>IF(NOTA[[#This Row],[CONCAT1]]="","",MATCH(NOTA[[#This Row],[CONCAT1]],[3]!db[NB NOTA_C],0))</f>
        <v>784</v>
      </c>
      <c r="AT313" s="38" t="str">
        <f>IF(NOTA[[#This Row],[QTY/ CTN]]="","",TRUE)</f>
        <v/>
      </c>
      <c r="AU313" s="38" t="str">
        <f ca="1">IF(NOTA[[#This Row],[ID_H]]="","",IF(NOTA[[#This Row],[Column3]]=TRUE,NOTA[[#This Row],[QTY/ CTN]],INDEX([3]!db[QTY/ CTN],NOTA[[#This Row],[//DB]])))</f>
        <v>120 LSN</v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cutterkecil78taco120lsnuntana</v>
      </c>
      <c r="AW313" s="38" t="e">
        <f ca="1">IF(NOTA[[#This Row],[ID_H]]="","",MATCH(NOTA[[#This Row],[NB NOTA_C_QTY]],[4]!db[NB NOTA_C_QTY+F],0))</f>
        <v>#REF!</v>
      </c>
      <c r="AX313" s="53">
        <f ca="1">IF(NOTA[[#This Row],[NB NOTA_C_QTY]]="","",ROW()-2)</f>
        <v>311</v>
      </c>
    </row>
    <row r="314" spans="1:50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50</v>
      </c>
      <c r="E314" s="46"/>
      <c r="F314" s="37"/>
      <c r="G314" s="37"/>
      <c r="H314" s="47"/>
      <c r="I314" s="37"/>
      <c r="J314" s="39"/>
      <c r="K314" s="37"/>
      <c r="L314" s="37" t="s">
        <v>446</v>
      </c>
      <c r="M314" s="40">
        <v>5</v>
      </c>
      <c r="N314" s="38">
        <f>5*24</f>
        <v>120</v>
      </c>
      <c r="O314" s="37" t="s">
        <v>111</v>
      </c>
      <c r="P314" s="41">
        <v>99000</v>
      </c>
      <c r="Q314" s="42"/>
      <c r="R314" s="48"/>
      <c r="S314" s="44">
        <v>0.1</v>
      </c>
      <c r="T314" s="44">
        <v>0.1</v>
      </c>
      <c r="U314" s="44">
        <v>0.1</v>
      </c>
      <c r="V314" s="50"/>
      <c r="W314" s="45"/>
      <c r="X314" s="50">
        <f>IF(NOTA[[#This Row],[HARGA/ CTN]]="",NOTA[[#This Row],[JUMLAH_H]],NOTA[[#This Row],[HARGA/ CTN]]*IF(NOTA[[#This Row],[C]]="",0,NOTA[[#This Row],[C]]))</f>
        <v>11880000</v>
      </c>
      <c r="Y314" s="50">
        <f>IF(NOTA[[#This Row],[JUMLAH]]="","",NOTA[[#This Row],[JUMLAH]]*NOTA[[#This Row],[DISC 1]])</f>
        <v>1188000</v>
      </c>
      <c r="Z314" s="50">
        <f>IF(NOTA[[#This Row],[JUMLAH]]="","",(NOTA[[#This Row],[JUMLAH]]-NOTA[[#This Row],[DISC 1-]])*NOTA[[#This Row],[DISC 2]])</f>
        <v>1069200</v>
      </c>
      <c r="AA314" s="50">
        <f>IF(NOTA[[#This Row],[JUMLAH]]="","",(NOTA[[#This Row],[JUMLAH]]-NOTA[[#This Row],[DISC 1-]]-NOTA[[#This Row],[DISC 2-]])*NOTA[[#This Row],[DISC 3]])</f>
        <v>962280</v>
      </c>
      <c r="AB314" s="50">
        <f>IF(NOTA[[#This Row],[JUMLAH]]="","",NOTA[[#This Row],[DISC 1-]]+NOTA[[#This Row],[DISC 2-]]+NOTA[[#This Row],[DISC 3-]])</f>
        <v>3219480</v>
      </c>
      <c r="AC314" s="50">
        <f>IF(NOTA[[#This Row],[JUMLAH]]="","",NOTA[[#This Row],[JUMLAH]]-NOTA[[#This Row],[DISC]])</f>
        <v>8660520</v>
      </c>
      <c r="AD314" s="50"/>
      <c r="AE3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37150440</v>
      </c>
      <c r="AF3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78469560</v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14" s="50">
        <f>IF(OR(NOTA[[#This Row],[QTY]]="",NOTA[[#This Row],[HARGA SATUAN]]="",),"",NOTA[[#This Row],[QTY]]*NOTA[[#This Row],[HARGA SATUAN]])</f>
        <v>11880000</v>
      </c>
      <c r="AI314" s="39">
        <f ca="1">IF(NOTA[ID_H]="","",INDEX(NOTA[TANGGAL],MATCH(,INDIRECT(ADDRESS(ROW(NOTA[TANGGAL]),COLUMN(NOTA[TANGGAL]))&amp;":"&amp;ADDRESS(ROW(),COLUMN(NOTA[TANGGAL]))),-1)))</f>
        <v>45299</v>
      </c>
      <c r="AJ314" s="41" t="str">
        <f ca="1">IF(NOTA[[#This Row],[NAMA BARANG]]="","",INDEX(NOTA[SUPPLIER],MATCH(,INDIRECT(ADDRESS(ROW(NOTA[ID]),COLUMN(NOTA[ID]))&amp;":"&amp;ADDRESS(ROW(),COLUMN(NOTA[ID]))),-1)))</f>
        <v>DR-ORIGINAL</v>
      </c>
      <c r="AK314" s="41" t="str">
        <f ca="1">IF(NOTA[[#This Row],[ID_H]]="","",IF(NOTA[[#This Row],[FAKTUR]]="",INDIRECT(ADDRESS(ROW()-1,COLUMN())),NOTA[[#This Row],[FAKTUR]]))</f>
        <v>UNTANA</v>
      </c>
      <c r="AL314" s="38" t="str">
        <f ca="1">IF(NOTA[[#This Row],[ID]]="","",COUNTIF(NOTA[ID_H],NOTA[[#This Row],[ID_H]]))</f>
        <v/>
      </c>
      <c r="AM314" s="38">
        <f ca="1">IF(NOTA[[#This Row],[TGL.NOTA]]="",IF(NOTA[[#This Row],[SUPPLIER_H]]="","",AM313),MONTH(NOTA[[#This Row],[TGL.NOTA]]))</f>
        <v>1</v>
      </c>
      <c r="AN314" s="38" t="str">
        <f>LOWER(SUBSTITUTE(SUBSTITUTE(SUBSTITUTE(SUBSTITUTE(SUBSTITUTE(SUBSTITUTE(SUBSTITUTE(SUBSTITUTE(SUBSTITUTE(NOTA[NAMA BARANG]," ",),".",""),"-",""),"(",""),")",""),",",""),"/",""),"""",""),"+",""))</f>
        <v>seruling900trend</v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seruling900trend23760000.10.1</v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seruling900trend23760000.10.1</v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4" s="38" t="str">
        <f>IF(NOTA[[#This Row],[CONCAT4]]="","",_xlfn.IFNA(MATCH(NOTA[[#This Row],[CONCAT4]],[2]!RAW[CONCAT_H],0),FALSE))</f>
        <v/>
      </c>
      <c r="AS314" s="38">
        <f>IF(NOTA[[#This Row],[CONCAT1]]="","",MATCH(NOTA[[#This Row],[CONCAT1]],[3]!db[NB NOTA_C],0))</f>
        <v>2780</v>
      </c>
      <c r="AT314" s="38" t="str">
        <f>IF(NOTA[[#This Row],[QTY/ CTN]]="","",TRUE)</f>
        <v/>
      </c>
      <c r="AU314" s="38" t="str">
        <f ca="1">IF(NOTA[[#This Row],[ID_H]]="","",IF(NOTA[[#This Row],[Column3]]=TRUE,NOTA[[#This Row],[QTY/ CTN]],INDEX([3]!db[QTY/ CTN],NOTA[[#This Row],[//DB]])))</f>
        <v>24 LSN</v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seruling900trend24lsnuntana</v>
      </c>
      <c r="AW314" s="38" t="e">
        <f ca="1">IF(NOTA[[#This Row],[ID_H]]="","",MATCH(NOTA[[#This Row],[NB NOTA_C_QTY]],[4]!db[NB NOTA_C_QTY+F],0))</f>
        <v>#REF!</v>
      </c>
      <c r="AX314" s="53">
        <f ca="1">IF(NOTA[[#This Row],[NB NOTA_C_QTY]]="","",ROW()-2)</f>
        <v>312</v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 t="str">
        <f ca="1">IF(NOTA[[#This Row],[NAMA BARANG]]="","",INDEX(NOTA[ID],MATCH(,INDIRECT(ADDRESS(ROW(NOTA[ID]),COLUMN(NOTA[ID]))&amp;":"&amp;ADDRESS(ROW(),COLUMN(NOTA[ID]))),-1)))</f>
        <v/>
      </c>
      <c r="E315" s="46"/>
      <c r="F315" s="37"/>
      <c r="G315" s="37"/>
      <c r="H315" s="47"/>
      <c r="I315" s="37"/>
      <c r="J315" s="39"/>
      <c r="K315" s="37"/>
      <c r="L315" s="37"/>
      <c r="M315" s="40"/>
      <c r="O315" s="37"/>
      <c r="P315" s="41"/>
      <c r="Q315" s="42"/>
      <c r="R315" s="48"/>
      <c r="S315" s="49"/>
      <c r="T315" s="44"/>
      <c r="U315" s="44"/>
      <c r="V315" s="50"/>
      <c r="W315" s="45"/>
      <c r="X315" s="50" t="str">
        <f>IF(NOTA[[#This Row],[HARGA/ CTN]]="",NOTA[[#This Row],[JUMLAH_H]],NOTA[[#This Row],[HARGA/ CTN]]*IF(NOTA[[#This Row],[C]]="",0,NOTA[[#This Row],[C]]))</f>
        <v/>
      </c>
      <c r="Y315" s="50" t="str">
        <f>IF(NOTA[[#This Row],[JUMLAH]]="","",NOTA[[#This Row],[JUMLAH]]*NOTA[[#This Row],[DISC 1]])</f>
        <v/>
      </c>
      <c r="Z315" s="50" t="str">
        <f>IF(NOTA[[#This Row],[JUMLAH]]="","",(NOTA[[#This Row],[JUMLAH]]-NOTA[[#This Row],[DISC 1-]])*NOTA[[#This Row],[DISC 2]])</f>
        <v/>
      </c>
      <c r="AA315" s="50" t="str">
        <f>IF(NOTA[[#This Row],[JUMLAH]]="","",(NOTA[[#This Row],[JUMLAH]]-NOTA[[#This Row],[DISC 1-]]-NOTA[[#This Row],[DISC 2-]])*NOTA[[#This Row],[DISC 3]])</f>
        <v/>
      </c>
      <c r="AB315" s="50" t="str">
        <f>IF(NOTA[[#This Row],[JUMLAH]]="","",NOTA[[#This Row],[DISC 1-]]+NOTA[[#This Row],[DISC 2-]]+NOTA[[#This Row],[DISC 3-]])</f>
        <v/>
      </c>
      <c r="AC315" s="50" t="str">
        <f>IF(NOTA[[#This Row],[JUMLAH]]="","",NOTA[[#This Row],[JUMLAH]]-NOTA[[#This Row],[DISC]])</f>
        <v/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5" s="50" t="str">
        <f>IF(OR(NOTA[[#This Row],[QTY]]="",NOTA[[#This Row],[HARGA SATUAN]]="",),"",NOTA[[#This Row],[QTY]]*NOTA[[#This Row],[HARGA SATUAN]])</f>
        <v/>
      </c>
      <c r="AI315" s="39" t="str">
        <f ca="1">IF(NOTA[ID_H]="","",INDEX(NOTA[TANGGAL],MATCH(,INDIRECT(ADDRESS(ROW(NOTA[TANGGAL]),COLUMN(NOTA[TANGGAL]))&amp;":"&amp;ADDRESS(ROW(),COLUMN(NOTA[TANGGAL]))),-1)))</f>
        <v/>
      </c>
      <c r="AJ315" s="41" t="str">
        <f ca="1">IF(NOTA[[#This Row],[NAMA BARANG]]="","",INDEX(NOTA[SUPPLIER],MATCH(,INDIRECT(ADDRESS(ROW(NOTA[ID]),COLUMN(NOTA[ID]))&amp;":"&amp;ADDRESS(ROW(),COLUMN(NOTA[ID]))),-1)))</f>
        <v/>
      </c>
      <c r="AK315" s="41" t="str">
        <f ca="1">IF(NOTA[[#This Row],[ID_H]]="","",IF(NOTA[[#This Row],[FAKTUR]]="",INDIRECT(ADDRESS(ROW()-1,COLUMN())),NOTA[[#This Row],[FAKTUR]]))</f>
        <v/>
      </c>
      <c r="AL315" s="38" t="str">
        <f ca="1">IF(NOTA[[#This Row],[ID]]="","",COUNTIF(NOTA[ID_H],NOTA[[#This Row],[ID_H]]))</f>
        <v/>
      </c>
      <c r="AM315" s="38" t="str">
        <f ca="1">IF(NOTA[[#This Row],[TGL.NOTA]]="",IF(NOTA[[#This Row],[SUPPLIER_H]]="","",AM314),MONTH(NOTA[[#This Row],[TGL.NOTA]]))</f>
        <v/>
      </c>
      <c r="AN315" s="38" t="str">
        <f>LOWER(SUBSTITUTE(SUBSTITUTE(SUBSTITUTE(SUBSTITUTE(SUBSTITUTE(SUBSTITUTE(SUBSTITUTE(SUBSTITUTE(SUBSTITUTE(NOTA[NAMA BARANG]," ",),".",""),"-",""),"(",""),")",""),",",""),"/",""),"""",""),"+",""))</f>
        <v/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 t="str">
        <f>IF(NOTA[[#This Row],[CONCAT1]]="","",MATCH(NOTA[[#This Row],[CONCAT1]],[3]!db[NB NOTA_C],0))</f>
        <v/>
      </c>
      <c r="AT315" s="38" t="str">
        <f>IF(NOTA[[#This Row],[QTY/ CTN]]="","",TRUE)</f>
        <v/>
      </c>
      <c r="AU315" s="38" t="str">
        <f ca="1">IF(NOTA[[#This Row],[ID_H]]="","",IF(NOTA[[#This Row],[Column3]]=TRUE,NOTA[[#This Row],[QTY/ CTN]],INDEX([3]!db[QTY/ CTN],NOTA[[#This Row],[//DB]])))</f>
        <v/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5" s="38" t="str">
        <f ca="1">IF(NOTA[[#This Row],[ID_H]]="","",MATCH(NOTA[[#This Row],[NB NOTA_C_QTY]],[4]!db[NB NOTA_C_QTY+F],0))</f>
        <v/>
      </c>
      <c r="AX315" s="53" t="str">
        <f ca="1">IF(NOTA[[#This Row],[NB NOTA_C_QTY]]="","",ROW()-2)</f>
        <v/>
      </c>
    </row>
    <row r="316" spans="1:50" s="38" customFormat="1" ht="20.100000000000001" customHeight="1" x14ac:dyDescent="0.25">
      <c r="A316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3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SUR_1201_170-1</v>
      </c>
      <c r="C316" s="38" t="e">
        <f ca="1">IF(NOTA[[#This Row],[ID_P]]="","",MATCH(NOTA[[#This Row],[ID_P]],[1]!B_MSK[N_ID],0))</f>
        <v>#REF!</v>
      </c>
      <c r="D316" s="38">
        <f ca="1">IF(NOTA[[#This Row],[NAMA BARANG]]="","",INDEX(NOTA[ID],MATCH(,INDIRECT(ADDRESS(ROW(NOTA[ID]),COLUMN(NOTA[ID]))&amp;":"&amp;ADDRESS(ROW(),COLUMN(NOTA[ID]))),-1)))</f>
        <v>51</v>
      </c>
      <c r="E316" s="46">
        <v>45303</v>
      </c>
      <c r="F316" s="37" t="s">
        <v>447</v>
      </c>
      <c r="G316" s="37" t="s">
        <v>110</v>
      </c>
      <c r="H316" s="47" t="s">
        <v>448</v>
      </c>
      <c r="I316" s="37"/>
      <c r="J316" s="39">
        <v>45301</v>
      </c>
      <c r="K316" s="37"/>
      <c r="L316" s="37" t="s">
        <v>490</v>
      </c>
      <c r="M316" s="40">
        <v>25</v>
      </c>
      <c r="N316" s="38">
        <f>96*25</f>
        <v>2400</v>
      </c>
      <c r="O316" s="37" t="s">
        <v>115</v>
      </c>
      <c r="P316" s="41">
        <v>18000</v>
      </c>
      <c r="Q316" s="42"/>
      <c r="R316" s="48" t="s">
        <v>449</v>
      </c>
      <c r="S316" s="49"/>
      <c r="T316" s="44"/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43200000</v>
      </c>
      <c r="Y316" s="50">
        <f>IF(NOTA[[#This Row],[JUMLAH]]="","",NOTA[[#This Row],[JUMLAH]]*NOTA[[#This Row],[DISC 1]])</f>
        <v>0</v>
      </c>
      <c r="Z316" s="50">
        <f>IF(NOTA[[#This Row],[JUMLAH]]="","",(NOTA[[#This Row],[JUMLAH]]-NOTA[[#This Row],[DISC 1-]])*NOTA[[#This Row],[DISC 2]])</f>
        <v>0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0</v>
      </c>
      <c r="AC316" s="50">
        <f>IF(NOTA[[#This Row],[JUMLAH]]="","",NOTA[[#This Row],[JUMLAH]]-NOTA[[#This Row],[DISC]])</f>
        <v>43200000</v>
      </c>
      <c r="AD316" s="50"/>
      <c r="AE3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43200000</v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316" s="50">
        <f>IF(OR(NOTA[[#This Row],[QTY]]="",NOTA[[#This Row],[HARGA SATUAN]]="",),"",NOTA[[#This Row],[QTY]]*NOTA[[#This Row],[HARGA SATUAN]])</f>
        <v>43200000</v>
      </c>
      <c r="AI316" s="39">
        <f ca="1">IF(NOTA[ID_H]="","",INDEX(NOTA[TANGGAL],MATCH(,INDIRECT(ADDRESS(ROW(NOTA[TANGGAL]),COLUMN(NOTA[TANGGAL]))&amp;":"&amp;ADDRESS(ROW(),COLUMN(NOTA[TANGGAL]))),-1)))</f>
        <v>45303</v>
      </c>
      <c r="AJ316" s="41" t="str">
        <f ca="1">IF(NOTA[[#This Row],[NAMA BARANG]]="","",INDEX(NOTA[SUPPLIER],MATCH(,INDIRECT(ADDRESS(ROW(NOTA[ID]),COLUMN(NOTA[ID]))&amp;":"&amp;ADDRESS(ROW(),COLUMN(NOTA[ID]))),-1)))</f>
        <v>SURYA PRATAMA</v>
      </c>
      <c r="AK316" s="41" t="str">
        <f ca="1">IF(NOTA[[#This Row],[ID_H]]="","",IF(NOTA[[#This Row],[FAKTUR]]="",INDIRECT(ADDRESS(ROW()-1,COLUMN())),NOTA[[#This Row],[FAKTUR]]))</f>
        <v>UNTANA</v>
      </c>
      <c r="AL316" s="38">
        <f ca="1">IF(NOTA[[#This Row],[ID]]="","",COUNTIF(NOTA[ID_H],NOTA[[#This Row],[ID_H]]))</f>
        <v>1</v>
      </c>
      <c r="AM316" s="38">
        <f>IF(NOTA[[#This Row],[TGL.NOTA]]="",IF(NOTA[[#This Row],[SUPPLIER_H]]="","",AM315),MONTH(NOTA[[#This Row],[TGL.NOTA]]))</f>
        <v>1</v>
      </c>
      <c r="AN316" s="38" t="str">
        <f>LOWER(SUBSTITUTE(SUBSTITUTE(SUBSTITUTE(SUBSTITUTE(SUBSTITUTE(SUBSTITUTE(SUBSTITUTE(SUBSTITUTE(SUBSTITUTE(NOTA[NAMA BARANG]," ",),".",""),"-",""),"(",""),")",""),",",""),"/",""),"""",""),"+",""))</f>
        <v>kotakpencildospin3itngkatsps1299</v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kotakpencildospin3itngkatsps12991728000</v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kotakpencildospin3itngkatsps12991728000</v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PRATAMAUNTANAF24AP00017045301kotakpencildospin3itngkatsps1299</v>
      </c>
      <c r="AR316" s="38" t="e">
        <f>IF(NOTA[[#This Row],[CONCAT4]]="","",_xlfn.IFNA(MATCH(NOTA[[#This Row],[CONCAT4]],[2]!RAW[CONCAT_H],0),FALSE))</f>
        <v>#REF!</v>
      </c>
      <c r="AS316" s="38" t="e">
        <f>IF(NOTA[[#This Row],[CONCAT1]]="","",MATCH(NOTA[[#This Row],[CONCAT1]],[3]!db[NB NOTA_C],0))</f>
        <v>#N/A</v>
      </c>
      <c r="AT316" s="38" t="b">
        <f>IF(NOTA[[#This Row],[QTY/ CTN]]="","",TRUE)</f>
        <v>1</v>
      </c>
      <c r="AU316" s="38" t="str">
        <f ca="1">IF(NOTA[[#This Row],[ID_H]]="","",IF(NOTA[[#This Row],[Column3]]=TRUE,NOTA[[#This Row],[QTY/ CTN]],INDEX([3]!db[QTY/ CTN],NOTA[[#This Row],[//DB]])))</f>
        <v>96 PCS</v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kotakpencildospin3itngkatsps129996pcsuntana</v>
      </c>
      <c r="AW316" s="38" t="e">
        <f ca="1">IF(NOTA[[#This Row],[ID_H]]="","",MATCH(NOTA[[#This Row],[NB NOTA_C_QTY]],[4]!db[NB NOTA_C_QTY+F],0))</f>
        <v>#REF!</v>
      </c>
      <c r="AX316" s="53">
        <f ca="1">IF(NOTA[[#This Row],[NB NOTA_C_QTY]]="","",ROW()-2)</f>
        <v>314</v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 t="str">
        <f ca="1">IF(NOTA[[#This Row],[NAMA BARANG]]="","",INDEX(NOTA[ID],MATCH(,INDIRECT(ADDRESS(ROW(NOTA[ID]),COLUMN(NOTA[ID]))&amp;":"&amp;ADDRESS(ROW(),COLUMN(NOTA[ID]))),-1)))</f>
        <v/>
      </c>
      <c r="E317" s="46"/>
      <c r="F317" s="37"/>
      <c r="G317" s="37"/>
      <c r="H317" s="47"/>
      <c r="I317" s="37"/>
      <c r="J317" s="39"/>
      <c r="K317" s="37"/>
      <c r="L317" s="37"/>
      <c r="M317" s="40"/>
      <c r="O317" s="37"/>
      <c r="P317" s="41"/>
      <c r="Q317" s="42"/>
      <c r="R317" s="48"/>
      <c r="S317" s="49"/>
      <c r="T317" s="44"/>
      <c r="U317" s="44"/>
      <c r="V317" s="50"/>
      <c r="W317" s="45"/>
      <c r="X317" s="50" t="str">
        <f>IF(NOTA[[#This Row],[HARGA/ CTN]]="",NOTA[[#This Row],[JUMLAH_H]],NOTA[[#This Row],[HARGA/ CTN]]*IF(NOTA[[#This Row],[C]]="",0,NOTA[[#This Row],[C]]))</f>
        <v/>
      </c>
      <c r="Y317" s="50" t="str">
        <f>IF(NOTA[[#This Row],[JUMLAH]]="","",NOTA[[#This Row],[JUMLAH]]*NOTA[[#This Row],[DISC 1]])</f>
        <v/>
      </c>
      <c r="Z317" s="50" t="str">
        <f>IF(NOTA[[#This Row],[JUMLAH]]="","",(NOTA[[#This Row],[JUMLAH]]-NOTA[[#This Row],[DISC 1-]])*NOTA[[#This Row],[DISC 2]])</f>
        <v/>
      </c>
      <c r="AA317" s="50" t="str">
        <f>IF(NOTA[[#This Row],[JUMLAH]]="","",(NOTA[[#This Row],[JUMLAH]]-NOTA[[#This Row],[DISC 1-]]-NOTA[[#This Row],[DISC 2-]])*NOTA[[#This Row],[DISC 3]])</f>
        <v/>
      </c>
      <c r="AB317" s="50" t="str">
        <f>IF(NOTA[[#This Row],[JUMLAH]]="","",NOTA[[#This Row],[DISC 1-]]+NOTA[[#This Row],[DISC 2-]]+NOTA[[#This Row],[DISC 3-]])</f>
        <v/>
      </c>
      <c r="AC317" s="50" t="str">
        <f>IF(NOTA[[#This Row],[JUMLAH]]="","",NOTA[[#This Row],[JUMLAH]]-NOTA[[#This Row],[DISC]])</f>
        <v/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7" s="50" t="str">
        <f>IF(OR(NOTA[[#This Row],[QTY]]="",NOTA[[#This Row],[HARGA SATUAN]]="",),"",NOTA[[#This Row],[QTY]]*NOTA[[#This Row],[HARGA SATUAN]])</f>
        <v/>
      </c>
      <c r="AI317" s="39" t="str">
        <f ca="1">IF(NOTA[ID_H]="","",INDEX(NOTA[TANGGAL],MATCH(,INDIRECT(ADDRESS(ROW(NOTA[TANGGAL]),COLUMN(NOTA[TANGGAL]))&amp;":"&amp;ADDRESS(ROW(),COLUMN(NOTA[TANGGAL]))),-1)))</f>
        <v/>
      </c>
      <c r="AJ317" s="41" t="str">
        <f ca="1">IF(NOTA[[#This Row],[NAMA BARANG]]="","",INDEX(NOTA[SUPPLIER],MATCH(,INDIRECT(ADDRESS(ROW(NOTA[ID]),COLUMN(NOTA[ID]))&amp;":"&amp;ADDRESS(ROW(),COLUMN(NOTA[ID]))),-1)))</f>
        <v/>
      </c>
      <c r="AK317" s="41" t="str">
        <f ca="1">IF(NOTA[[#This Row],[ID_H]]="","",IF(NOTA[[#This Row],[FAKTUR]]="",INDIRECT(ADDRESS(ROW()-1,COLUMN())),NOTA[[#This Row],[FAKTUR]]))</f>
        <v/>
      </c>
      <c r="AL317" s="38" t="str">
        <f ca="1">IF(NOTA[[#This Row],[ID]]="","",COUNTIF(NOTA[ID_H],NOTA[[#This Row],[ID_H]]))</f>
        <v/>
      </c>
      <c r="AM317" s="38" t="str">
        <f ca="1">IF(NOTA[[#This Row],[TGL.NOTA]]="",IF(NOTA[[#This Row],[SUPPLIER_H]]="","",AM316),MONTH(NOTA[[#This Row],[TGL.NOTA]]))</f>
        <v/>
      </c>
      <c r="AN317" s="38" t="str">
        <f>LOWER(SUBSTITUTE(SUBSTITUTE(SUBSTITUTE(SUBSTITUTE(SUBSTITUTE(SUBSTITUTE(SUBSTITUTE(SUBSTITUTE(SUBSTITUTE(NOTA[NAMA BARANG]," ",),".",""),"-",""),"(",""),")",""),",",""),"/",""),"""",""),"+",""))</f>
        <v/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 t="str">
        <f>IF(NOTA[[#This Row],[CONCAT1]]="","",MATCH(NOTA[[#This Row],[CONCAT1]],[3]!db[NB NOTA_C],0))</f>
        <v/>
      </c>
      <c r="AT317" s="38" t="str">
        <f>IF(NOTA[[#This Row],[QTY/ CTN]]="","",TRUE)</f>
        <v/>
      </c>
      <c r="AU317" s="38" t="str">
        <f ca="1">IF(NOTA[[#This Row],[ID_H]]="","",IF(NOTA[[#This Row],[Column3]]=TRUE,NOTA[[#This Row],[QTY/ CTN]],INDEX([3]!db[QTY/ CTN],NOTA[[#This Row],[//DB]])))</f>
        <v/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7" s="38" t="str">
        <f ca="1">IF(NOTA[[#This Row],[ID_H]]="","",MATCH(NOTA[[#This Row],[NB NOTA_C_QTY]],[4]!db[NB NOTA_C_QTY+F],0))</f>
        <v/>
      </c>
      <c r="AX317" s="53" t="str">
        <f ca="1">IF(NOTA[[#This Row],[NB NOTA_C_QTY]]="","",ROW()-2)</f>
        <v/>
      </c>
    </row>
    <row r="318" spans="1:50" s="38" customFormat="1" ht="20.100000000000001" customHeight="1" x14ac:dyDescent="0.25">
      <c r="A318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3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JAY_1201_071-3</v>
      </c>
      <c r="C318" s="38" t="e">
        <f ca="1">IF(NOTA[[#This Row],[ID_P]]="","",MATCH(NOTA[[#This Row],[ID_P]],[1]!B_MSK[N_ID],0))</f>
        <v>#REF!</v>
      </c>
      <c r="D318" s="38">
        <f ca="1">IF(NOTA[[#This Row],[NAMA BARANG]]="","",INDEX(NOTA[ID],MATCH(,INDIRECT(ADDRESS(ROW(NOTA[ID]),COLUMN(NOTA[ID]))&amp;":"&amp;ADDRESS(ROW(),COLUMN(NOTA[ID]))),-1)))</f>
        <v>52</v>
      </c>
      <c r="E318" s="46">
        <v>45303</v>
      </c>
      <c r="F318" s="37" t="s">
        <v>450</v>
      </c>
      <c r="G318" s="37" t="s">
        <v>110</v>
      </c>
      <c r="H318" s="47" t="s">
        <v>451</v>
      </c>
      <c r="I318" s="37"/>
      <c r="J318" s="39">
        <v>45299</v>
      </c>
      <c r="K318" s="37">
        <v>3</v>
      </c>
      <c r="L318" s="37" t="s">
        <v>454</v>
      </c>
      <c r="M318" s="40">
        <v>22</v>
      </c>
      <c r="N318" s="38">
        <v>264</v>
      </c>
      <c r="O318" s="37" t="s">
        <v>115</v>
      </c>
      <c r="P318" s="41">
        <v>130000</v>
      </c>
      <c r="Q318" s="42"/>
      <c r="R318" s="48" t="s">
        <v>395</v>
      </c>
      <c r="S318" s="49">
        <v>0.05</v>
      </c>
      <c r="T318" s="44"/>
      <c r="U318" s="44"/>
      <c r="V318" s="50"/>
      <c r="W318" s="45" t="s">
        <v>455</v>
      </c>
      <c r="X318" s="50">
        <f>IF(NOTA[[#This Row],[HARGA/ CTN]]="",NOTA[[#This Row],[JUMLAH_H]],NOTA[[#This Row],[HARGA/ CTN]]*IF(NOTA[[#This Row],[C]]="",0,NOTA[[#This Row],[C]]))</f>
        <v>34320000</v>
      </c>
      <c r="Y318" s="50">
        <f>IF(NOTA[[#This Row],[JUMLAH]]="","",NOTA[[#This Row],[JUMLAH]]*NOTA[[#This Row],[DISC 1]])</f>
        <v>1716000</v>
      </c>
      <c r="Z318" s="50">
        <f>IF(NOTA[[#This Row],[JUMLAH]]="","",(NOTA[[#This Row],[JUMLAH]]-NOTA[[#This Row],[DISC 1-]])*NOTA[[#This Row],[DISC 2]])</f>
        <v>0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1716000</v>
      </c>
      <c r="AC318" s="50">
        <f>IF(NOTA[[#This Row],[JUMLAH]]="","",NOTA[[#This Row],[JUMLAH]]-NOTA[[#This Row],[DISC]])</f>
        <v>32604000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18" s="50">
        <f>IF(OR(NOTA[[#This Row],[QTY]]="",NOTA[[#This Row],[HARGA SATUAN]]="",),"",NOTA[[#This Row],[QTY]]*NOTA[[#This Row],[HARGA SATUAN]])</f>
        <v>34320000</v>
      </c>
      <c r="AI318" s="39">
        <f ca="1">IF(NOTA[ID_H]="","",INDEX(NOTA[TANGGAL],MATCH(,INDIRECT(ADDRESS(ROW(NOTA[TANGGAL]),COLUMN(NOTA[TANGGAL]))&amp;":"&amp;ADDRESS(ROW(),COLUMN(NOTA[TANGGAL]))),-1)))</f>
        <v>45303</v>
      </c>
      <c r="AJ318" s="41" t="str">
        <f ca="1">IF(NOTA[[#This Row],[NAMA BARANG]]="","",INDEX(NOTA[SUPPLIER],MATCH(,INDIRECT(ADDRESS(ROW(NOTA[ID]),COLUMN(NOTA[ID]))&amp;":"&amp;ADDRESS(ROW(),COLUMN(NOTA[ID]))),-1)))</f>
        <v>JAYA MUSIK</v>
      </c>
      <c r="AK318" s="41" t="str">
        <f ca="1">IF(NOTA[[#This Row],[ID_H]]="","",IF(NOTA[[#This Row],[FAKTUR]]="",INDIRECT(ADDRESS(ROW()-1,COLUMN())),NOTA[[#This Row],[FAKTUR]]))</f>
        <v>UNTANA</v>
      </c>
      <c r="AL318" s="38">
        <f ca="1">IF(NOTA[[#This Row],[ID]]="","",COUNTIF(NOTA[ID_H],NOTA[[#This Row],[ID_H]]))</f>
        <v>3</v>
      </c>
      <c r="AM318" s="38">
        <f>IF(NOTA[[#This Row],[TGL.NOTA]]="",IF(NOTA[[#This Row],[SUPPLIER_H]]="","",AM317),MONTH(NOTA[[#This Row],[TGL.NOTA]]))</f>
        <v>1</v>
      </c>
      <c r="AN318" s="38" t="str">
        <f>LOWER(SUBSTITUTE(SUBSTITUTE(SUBSTITUTE(SUBSTITUTE(SUBSTITUTE(SUBSTITUTE(SUBSTITUTE(SUBSTITUTE(SUBSTITUTE(NOTA[NAMA BARANG]," ",),".",""),"-",""),"(",""),")",""),",",""),"/",""),"""",""),"+",""))</f>
        <v>pianikaaltozkoper</v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pianikaaltozkoper15600000.05</v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pianikaaltozkoper15600000.05</v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>JAYA MUSIKUNTANA407/145299pianikaaltozkoper</v>
      </c>
      <c r="AR318" s="38" t="e">
        <f>IF(NOTA[[#This Row],[CONCAT4]]="","",_xlfn.IFNA(MATCH(NOTA[[#This Row],[CONCAT4]],[2]!RAW[CONCAT_H],0),FALSE))</f>
        <v>#REF!</v>
      </c>
      <c r="AS318" s="38" t="e">
        <f>IF(NOTA[[#This Row],[CONCAT1]]="","",MATCH(NOTA[[#This Row],[CONCAT1]],[3]!db[NB NOTA_C],0))</f>
        <v>#N/A</v>
      </c>
      <c r="AT318" s="38" t="b">
        <f>IF(NOTA[[#This Row],[QTY/ CTN]]="","",TRUE)</f>
        <v>1</v>
      </c>
      <c r="AU318" s="38" t="str">
        <f ca="1">IF(NOTA[[#This Row],[ID_H]]="","",IF(NOTA[[#This Row],[Column3]]=TRUE,NOTA[[#This Row],[QTY/ CTN]],INDEX([3]!db[QTY/ CTN],NOTA[[#This Row],[//DB]])))</f>
        <v>12 PCS</v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pianikaaltozkoper12pcsuntana</v>
      </c>
      <c r="AW318" s="38" t="e">
        <f ca="1">IF(NOTA[[#This Row],[ID_H]]="","",MATCH(NOTA[[#This Row],[NB NOTA_C_QTY]],[4]!db[NB NOTA_C_QTY+F],0))</f>
        <v>#REF!</v>
      </c>
      <c r="AX318" s="53">
        <f ca="1">IF(NOTA[[#This Row],[NB NOTA_C_QTY]]="","",ROW()-2)</f>
        <v>316</v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52</v>
      </c>
      <c r="E319" s="46"/>
      <c r="F319" s="37"/>
      <c r="G319" s="37"/>
      <c r="H319" s="47"/>
      <c r="I319" s="37"/>
      <c r="J319" s="39"/>
      <c r="K319" s="37"/>
      <c r="L319" s="37" t="s">
        <v>452</v>
      </c>
      <c r="M319" s="40">
        <v>3</v>
      </c>
      <c r="N319" s="38">
        <v>36</v>
      </c>
      <c r="O319" s="37" t="s">
        <v>115</v>
      </c>
      <c r="P319" s="41">
        <v>130000</v>
      </c>
      <c r="Q319" s="42"/>
      <c r="R319" s="48" t="s">
        <v>395</v>
      </c>
      <c r="S319" s="49">
        <v>0.05</v>
      </c>
      <c r="T319" s="44"/>
      <c r="U319" s="44"/>
      <c r="V319" s="50"/>
      <c r="W319" s="45" t="s">
        <v>456</v>
      </c>
      <c r="X319" s="50">
        <f>IF(NOTA[[#This Row],[HARGA/ CTN]]="",NOTA[[#This Row],[JUMLAH_H]],NOTA[[#This Row],[HARGA/ CTN]]*IF(NOTA[[#This Row],[C]]="",0,NOTA[[#This Row],[C]]))</f>
        <v>4680000</v>
      </c>
      <c r="Y319" s="50">
        <f>IF(NOTA[[#This Row],[JUMLAH]]="","",NOTA[[#This Row],[JUMLAH]]*NOTA[[#This Row],[DISC 1]])</f>
        <v>234000</v>
      </c>
      <c r="Z319" s="50">
        <f>IF(NOTA[[#This Row],[JUMLAH]]="","",(NOTA[[#This Row],[JUMLAH]]-NOTA[[#This Row],[DISC 1-]])*NOTA[[#This Row],[DISC 2]])</f>
        <v>0</v>
      </c>
      <c r="AA319" s="50">
        <f>IF(NOTA[[#This Row],[JUMLAH]]="","",(NOTA[[#This Row],[JUMLAH]]-NOTA[[#This Row],[DISC 1-]]-NOTA[[#This Row],[DISC 2-]])*NOTA[[#This Row],[DISC 3]])</f>
        <v>0</v>
      </c>
      <c r="AB319" s="50">
        <f>IF(NOTA[[#This Row],[JUMLAH]]="","",NOTA[[#This Row],[DISC 1-]]+NOTA[[#This Row],[DISC 2-]]+NOTA[[#This Row],[DISC 3-]])</f>
        <v>234000</v>
      </c>
      <c r="AC319" s="50">
        <f>IF(NOTA[[#This Row],[JUMLAH]]="","",NOTA[[#This Row],[JUMLAH]]-NOTA[[#This Row],[DISC]])</f>
        <v>4446000</v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19" s="50">
        <f>IF(OR(NOTA[[#This Row],[QTY]]="",NOTA[[#This Row],[HARGA SATUAN]]="",),"",NOTA[[#This Row],[QTY]]*NOTA[[#This Row],[HARGA SATUAN]])</f>
        <v>4680000</v>
      </c>
      <c r="AI319" s="39">
        <f ca="1">IF(NOTA[ID_H]="","",INDEX(NOTA[TANGGAL],MATCH(,INDIRECT(ADDRESS(ROW(NOTA[TANGGAL]),COLUMN(NOTA[TANGGAL]))&amp;":"&amp;ADDRESS(ROW(),COLUMN(NOTA[TANGGAL]))),-1)))</f>
        <v>45303</v>
      </c>
      <c r="AJ319" s="41" t="str">
        <f ca="1">IF(NOTA[[#This Row],[NAMA BARANG]]="","",INDEX(NOTA[SUPPLIER],MATCH(,INDIRECT(ADDRESS(ROW(NOTA[ID]),COLUMN(NOTA[ID]))&amp;":"&amp;ADDRESS(ROW(),COLUMN(NOTA[ID]))),-1)))</f>
        <v>JAYA MUSIK</v>
      </c>
      <c r="AK319" s="41" t="str">
        <f ca="1">IF(NOTA[[#This Row],[ID_H]]="","",IF(NOTA[[#This Row],[FAKTUR]]="",INDIRECT(ADDRESS(ROW()-1,COLUMN())),NOTA[[#This Row],[FAKTUR]]))</f>
        <v>UNTANA</v>
      </c>
      <c r="AL319" s="38" t="str">
        <f ca="1">IF(NOTA[[#This Row],[ID]]="","",COUNTIF(NOTA[ID_H],NOTA[[#This Row],[ID_H]]))</f>
        <v/>
      </c>
      <c r="AM319" s="38">
        <f ca="1">IF(NOTA[[#This Row],[TGL.NOTA]]="",IF(NOTA[[#This Row],[SUPPLIER_H]]="","",AM318),MONTH(NOTA[[#This Row],[TGL.NOTA]]))</f>
        <v>1</v>
      </c>
      <c r="AN319" s="38" t="str">
        <f>LOWER(SUBSTITUTE(SUBSTITUTE(SUBSTITUTE(SUBSTITUTE(SUBSTITUTE(SUBSTITUTE(SUBSTITUTE(SUBSTITUTE(SUBSTITUTE(NOTA[NAMA BARANG]," ",),".",""),"-",""),"(",""),")",""),",",""),"/",""),"""",""),"+",""))</f>
        <v>pianikaaltozkoperbiru</v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pianikaaltozkoperbiru15600000.05</v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pianikaaltozkoperbiru15600000.05</v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 t="e">
        <f>IF(NOTA[[#This Row],[CONCAT1]]="","",MATCH(NOTA[[#This Row],[CONCAT1]],[3]!db[NB NOTA_C],0))</f>
        <v>#N/A</v>
      </c>
      <c r="AT319" s="38" t="b">
        <f>IF(NOTA[[#This Row],[QTY/ CTN]]="","",TRUE)</f>
        <v>1</v>
      </c>
      <c r="AU319" s="38" t="str">
        <f ca="1">IF(NOTA[[#This Row],[ID_H]]="","",IF(NOTA[[#This Row],[Column3]]=TRUE,NOTA[[#This Row],[QTY/ CTN]],INDEX([3]!db[QTY/ CTN],NOTA[[#This Row],[//DB]])))</f>
        <v>12 PCS</v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pianikaaltozkoperbiru12pcsuntana</v>
      </c>
      <c r="AW319" s="38" t="e">
        <f ca="1">IF(NOTA[[#This Row],[ID_H]]="","",MATCH(NOTA[[#This Row],[NB NOTA_C_QTY]],[4]!db[NB NOTA_C_QTY+F],0))</f>
        <v>#REF!</v>
      </c>
      <c r="AX319" s="53">
        <f ca="1">IF(NOTA[[#This Row],[NB NOTA_C_QTY]]="","",ROW()-2)</f>
        <v>317</v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52</v>
      </c>
      <c r="E320" s="46"/>
      <c r="F320" s="37"/>
      <c r="G320" s="37"/>
      <c r="H320" s="47"/>
      <c r="I320" s="37"/>
      <c r="J320" s="39"/>
      <c r="K320" s="37">
        <v>2</v>
      </c>
      <c r="L320" s="37" t="s">
        <v>453</v>
      </c>
      <c r="M320" s="40">
        <v>10</v>
      </c>
      <c r="N320" s="38">
        <v>120</v>
      </c>
      <c r="O320" s="37" t="s">
        <v>115</v>
      </c>
      <c r="P320" s="41">
        <v>140000</v>
      </c>
      <c r="Q320" s="42"/>
      <c r="R320" s="48" t="s">
        <v>395</v>
      </c>
      <c r="S320" s="49">
        <v>0.05</v>
      </c>
      <c r="T320" s="44"/>
      <c r="U320" s="44"/>
      <c r="V320" s="50"/>
      <c r="W320" s="45" t="s">
        <v>457</v>
      </c>
      <c r="X320" s="50">
        <f>IF(NOTA[[#This Row],[HARGA/ CTN]]="",NOTA[[#This Row],[JUMLAH_H]],NOTA[[#This Row],[HARGA/ CTN]]*IF(NOTA[[#This Row],[C]]="",0,NOTA[[#This Row],[C]]))</f>
        <v>16800000</v>
      </c>
      <c r="Y320" s="50">
        <f>IF(NOTA[[#This Row],[JUMLAH]]="","",NOTA[[#This Row],[JUMLAH]]*NOTA[[#This Row],[DISC 1]])</f>
        <v>840000</v>
      </c>
      <c r="Z320" s="50">
        <f>IF(NOTA[[#This Row],[JUMLAH]]="","",(NOTA[[#This Row],[JUMLAH]]-NOTA[[#This Row],[DISC 1-]])*NOTA[[#This Row],[DISC 2]])</f>
        <v>0</v>
      </c>
      <c r="AA320" s="50">
        <f>IF(NOTA[[#This Row],[JUMLAH]]="","",(NOTA[[#This Row],[JUMLAH]]-NOTA[[#This Row],[DISC 1-]]-NOTA[[#This Row],[DISC 2-]])*NOTA[[#This Row],[DISC 3]])</f>
        <v>0</v>
      </c>
      <c r="AB320" s="50">
        <f>IF(NOTA[[#This Row],[JUMLAH]]="","",NOTA[[#This Row],[DISC 1-]]+NOTA[[#This Row],[DISC 2-]]+NOTA[[#This Row],[DISC 3-]])</f>
        <v>840000</v>
      </c>
      <c r="AC320" s="50">
        <f>IF(NOTA[[#This Row],[JUMLAH]]="","",NOTA[[#This Row],[JUMLAH]]-NOTA[[#This Row],[DISC]])</f>
        <v>15960000</v>
      </c>
      <c r="AD320" s="50"/>
      <c r="AE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2790000</v>
      </c>
      <c r="AF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53010000</v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20" s="50">
        <f>IF(OR(NOTA[[#This Row],[QTY]]="",NOTA[[#This Row],[HARGA SATUAN]]="",),"",NOTA[[#This Row],[QTY]]*NOTA[[#This Row],[HARGA SATUAN]])</f>
        <v>16800000</v>
      </c>
      <c r="AI320" s="39">
        <f ca="1">IF(NOTA[ID_H]="","",INDEX(NOTA[TANGGAL],MATCH(,INDIRECT(ADDRESS(ROW(NOTA[TANGGAL]),COLUMN(NOTA[TANGGAL]))&amp;":"&amp;ADDRESS(ROW(),COLUMN(NOTA[TANGGAL]))),-1)))</f>
        <v>45303</v>
      </c>
      <c r="AJ320" s="41" t="str">
        <f ca="1">IF(NOTA[[#This Row],[NAMA BARANG]]="","",INDEX(NOTA[SUPPLIER],MATCH(,INDIRECT(ADDRESS(ROW(NOTA[ID]),COLUMN(NOTA[ID]))&amp;":"&amp;ADDRESS(ROW(),COLUMN(NOTA[ID]))),-1)))</f>
        <v>JAYA MUSIK</v>
      </c>
      <c r="AK320" s="41" t="str">
        <f ca="1">IF(NOTA[[#This Row],[ID_H]]="","",IF(NOTA[[#This Row],[FAKTUR]]="",INDIRECT(ADDRESS(ROW()-1,COLUMN())),NOTA[[#This Row],[FAKTUR]]))</f>
        <v>UNTANA</v>
      </c>
      <c r="AL320" s="38" t="str">
        <f ca="1">IF(NOTA[[#This Row],[ID]]="","",COUNTIF(NOTA[ID_H],NOTA[[#This Row],[ID_H]]))</f>
        <v/>
      </c>
      <c r="AM320" s="38">
        <f ca="1">IF(NOTA[[#This Row],[TGL.NOTA]]="",IF(NOTA[[#This Row],[SUPPLIER_H]]="","",AM319),MONTH(NOTA[[#This Row],[TGL.NOTA]]))</f>
        <v>1</v>
      </c>
      <c r="AN320" s="38" t="str">
        <f>LOWER(SUBSTITUTE(SUBSTITUTE(SUBSTITUTE(SUBSTITUTE(SUBSTITUTE(SUBSTITUTE(SUBSTITUTE(SUBSTITUTE(SUBSTITUTE(NOTA[NAMA BARANG]," ",),".",""),"-",""),"(",""),")",""),",",""),"/",""),"""",""),"+",""))</f>
        <v>pianikamarveltas</v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pianikamarveltas16800000.05</v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pianikamarveltas16800000.05</v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 t="e">
        <f>IF(NOTA[[#This Row],[CONCAT1]]="","",MATCH(NOTA[[#This Row],[CONCAT1]],[3]!db[NB NOTA_C],0))</f>
        <v>#N/A</v>
      </c>
      <c r="AT320" s="38" t="b">
        <f>IF(NOTA[[#This Row],[QTY/ CTN]]="","",TRUE)</f>
        <v>1</v>
      </c>
      <c r="AU320" s="38" t="str">
        <f ca="1">IF(NOTA[[#This Row],[ID_H]]="","",IF(NOTA[[#This Row],[Column3]]=TRUE,NOTA[[#This Row],[QTY/ CTN]],INDEX([3]!db[QTY/ CTN],NOTA[[#This Row],[//DB]])))</f>
        <v>12 PCS</v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pianikamarveltas12pcsuntana</v>
      </c>
      <c r="AW320" s="38" t="e">
        <f ca="1">IF(NOTA[[#This Row],[ID_H]]="","",MATCH(NOTA[[#This Row],[NB NOTA_C_QTY]],[4]!db[NB NOTA_C_QTY+F],0))</f>
        <v>#REF!</v>
      </c>
      <c r="AX320" s="53">
        <f ca="1">IF(NOTA[[#This Row],[NB NOTA_C_QTY]]="","",ROW()-2)</f>
        <v>318</v>
      </c>
    </row>
    <row r="321" spans="1:50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 t="str">
        <f ca="1">IF(NOTA[[#This Row],[NAMA BARANG]]="","",INDEX(NOTA[ID],MATCH(,INDIRECT(ADDRESS(ROW(NOTA[ID]),COLUMN(NOTA[ID]))&amp;":"&amp;ADDRESS(ROW(),COLUMN(NOTA[ID]))),-1)))</f>
        <v/>
      </c>
      <c r="E321" s="46"/>
      <c r="F321" s="37"/>
      <c r="G321" s="37"/>
      <c r="H321" s="47"/>
      <c r="I321" s="37"/>
      <c r="J321" s="39"/>
      <c r="K321" s="37"/>
      <c r="L321" s="37"/>
      <c r="M321" s="40"/>
      <c r="O321" s="37"/>
      <c r="P321" s="41"/>
      <c r="Q321" s="42"/>
      <c r="R321" s="48"/>
      <c r="S321" s="49"/>
      <c r="T321" s="44"/>
      <c r="U321" s="44"/>
      <c r="V321" s="50"/>
      <c r="W321" s="45"/>
      <c r="X321" s="50" t="str">
        <f>IF(NOTA[[#This Row],[HARGA/ CTN]]="",NOTA[[#This Row],[JUMLAH_H]],NOTA[[#This Row],[HARGA/ CTN]]*IF(NOTA[[#This Row],[C]]="",0,NOTA[[#This Row],[C]]))</f>
        <v/>
      </c>
      <c r="Y321" s="50" t="str">
        <f>IF(NOTA[[#This Row],[JUMLAH]]="","",NOTA[[#This Row],[JUMLAH]]*NOTA[[#This Row],[DISC 1]])</f>
        <v/>
      </c>
      <c r="Z321" s="50" t="str">
        <f>IF(NOTA[[#This Row],[JUMLAH]]="","",(NOTA[[#This Row],[JUMLAH]]-NOTA[[#This Row],[DISC 1-]])*NOTA[[#This Row],[DISC 2]])</f>
        <v/>
      </c>
      <c r="AA321" s="50" t="str">
        <f>IF(NOTA[[#This Row],[JUMLAH]]="","",(NOTA[[#This Row],[JUMLAH]]-NOTA[[#This Row],[DISC 1-]]-NOTA[[#This Row],[DISC 2-]])*NOTA[[#This Row],[DISC 3]])</f>
        <v/>
      </c>
      <c r="AB321" s="50" t="str">
        <f>IF(NOTA[[#This Row],[JUMLAH]]="","",NOTA[[#This Row],[DISC 1-]]+NOTA[[#This Row],[DISC 2-]]+NOTA[[#This Row],[DISC 3-]])</f>
        <v/>
      </c>
      <c r="AC321" s="50" t="str">
        <f>IF(NOTA[[#This Row],[JUMLAH]]="","",NOTA[[#This Row],[JUMLAH]]-NOTA[[#This Row],[DISC]])</f>
        <v/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1" s="50" t="str">
        <f>IF(OR(NOTA[[#This Row],[QTY]]="",NOTA[[#This Row],[HARGA SATUAN]]="",),"",NOTA[[#This Row],[QTY]]*NOTA[[#This Row],[HARGA SATUAN]])</f>
        <v/>
      </c>
      <c r="AI321" s="39" t="str">
        <f ca="1">IF(NOTA[ID_H]="","",INDEX(NOTA[TANGGAL],MATCH(,INDIRECT(ADDRESS(ROW(NOTA[TANGGAL]),COLUMN(NOTA[TANGGAL]))&amp;":"&amp;ADDRESS(ROW(),COLUMN(NOTA[TANGGAL]))),-1)))</f>
        <v/>
      </c>
      <c r="AJ321" s="41" t="str">
        <f ca="1">IF(NOTA[[#This Row],[NAMA BARANG]]="","",INDEX(NOTA[SUPPLIER],MATCH(,INDIRECT(ADDRESS(ROW(NOTA[ID]),COLUMN(NOTA[ID]))&amp;":"&amp;ADDRESS(ROW(),COLUMN(NOTA[ID]))),-1)))</f>
        <v/>
      </c>
      <c r="AK321" s="41" t="str">
        <f ca="1">IF(NOTA[[#This Row],[ID_H]]="","",IF(NOTA[[#This Row],[FAKTUR]]="",INDIRECT(ADDRESS(ROW()-1,COLUMN())),NOTA[[#This Row],[FAKTUR]]))</f>
        <v/>
      </c>
      <c r="AL321" s="38" t="str">
        <f ca="1">IF(NOTA[[#This Row],[ID]]="","",COUNTIF(NOTA[ID_H],NOTA[[#This Row],[ID_H]]))</f>
        <v/>
      </c>
      <c r="AM321" s="38" t="str">
        <f ca="1">IF(NOTA[[#This Row],[TGL.NOTA]]="",IF(NOTA[[#This Row],[SUPPLIER_H]]="","",AM320),MONTH(NOTA[[#This Row],[TGL.NOTA]]))</f>
        <v/>
      </c>
      <c r="AN321" s="38" t="str">
        <f>LOWER(SUBSTITUTE(SUBSTITUTE(SUBSTITUTE(SUBSTITUTE(SUBSTITUTE(SUBSTITUTE(SUBSTITUTE(SUBSTITUTE(SUBSTITUTE(NOTA[NAMA BARANG]," ",),".",""),"-",""),"(",""),")",""),",",""),"/",""),"""",""),"+",""))</f>
        <v/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38" t="str">
        <f>IF(NOTA[[#This Row],[CONCAT4]]="","",_xlfn.IFNA(MATCH(NOTA[[#This Row],[CONCAT4]],[2]!RAW[CONCAT_H],0),FALSE))</f>
        <v/>
      </c>
      <c r="AS321" s="38" t="str">
        <f>IF(NOTA[[#This Row],[CONCAT1]]="","",MATCH(NOTA[[#This Row],[CONCAT1]],[3]!db[NB NOTA_C],0))</f>
        <v/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CTN]],INDEX([3]!db[QTY/ CTN],NOTA[[#This Row],[//DB]])))</f>
        <v/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1" s="38" t="str">
        <f ca="1">IF(NOTA[[#This Row],[ID_H]]="","",MATCH(NOTA[[#This Row],[NB NOTA_C_QTY]],[4]!db[NB NOTA_C_QTY+F],0))</f>
        <v/>
      </c>
      <c r="AX321" s="53" t="str">
        <f ca="1">IF(NOTA[[#This Row],[NB NOTA_C_QTY]]="","",ROW()-2)</f>
        <v/>
      </c>
    </row>
    <row r="322" spans="1:50" s="38" customFormat="1" ht="20.100000000000001" customHeight="1" x14ac:dyDescent="0.25">
      <c r="A322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3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MSI_1201_115-2</v>
      </c>
      <c r="C322" s="38" t="e">
        <f ca="1">IF(NOTA[[#This Row],[ID_P]]="","",MATCH(NOTA[[#This Row],[ID_P]],[1]!B_MSK[N_ID],0))</f>
        <v>#REF!</v>
      </c>
      <c r="D322" s="38">
        <f ca="1">IF(NOTA[[#This Row],[NAMA BARANG]]="","",INDEX(NOTA[ID],MATCH(,INDIRECT(ADDRESS(ROW(NOTA[ID]),COLUMN(NOTA[ID]))&amp;":"&amp;ADDRESS(ROW(),COLUMN(NOTA[ID]))),-1)))</f>
        <v>53</v>
      </c>
      <c r="E322" s="46">
        <v>45303</v>
      </c>
      <c r="F322" s="36" t="s">
        <v>458</v>
      </c>
      <c r="G322" s="37" t="s">
        <v>110</v>
      </c>
      <c r="H322" s="47" t="s">
        <v>459</v>
      </c>
      <c r="I322" s="37"/>
      <c r="J322" s="39">
        <v>45299</v>
      </c>
      <c r="K322" s="37">
        <v>1</v>
      </c>
      <c r="L322" s="37" t="s">
        <v>460</v>
      </c>
      <c r="M322" s="40">
        <v>3</v>
      </c>
      <c r="N322" s="38">
        <v>576</v>
      </c>
      <c r="O322" s="37" t="s">
        <v>111</v>
      </c>
      <c r="P322" s="42">
        <v>10000</v>
      </c>
      <c r="Q322" s="42"/>
      <c r="R322" s="48">
        <v>192</v>
      </c>
      <c r="S322" s="49"/>
      <c r="T322" s="44"/>
      <c r="U322" s="44"/>
      <c r="V322" s="50"/>
      <c r="W322" s="45"/>
      <c r="X322" s="50">
        <f>IF(NOTA[[#This Row],[HARGA/ CTN]]="",NOTA[[#This Row],[JUMLAH_H]],NOTA[[#This Row],[HARGA/ CTN]]*IF(NOTA[[#This Row],[C]]="",0,NOTA[[#This Row],[C]]))</f>
        <v>5760000</v>
      </c>
      <c r="Y322" s="50">
        <f>IF(NOTA[[#This Row],[JUMLAH]]="","",NOTA[[#This Row],[JUMLAH]]*NOTA[[#This Row],[DISC 1]])</f>
        <v>0</v>
      </c>
      <c r="Z322" s="50">
        <f>IF(NOTA[[#This Row],[JUMLAH]]="","",(NOTA[[#This Row],[JUMLAH]]-NOTA[[#This Row],[DISC 1-]])*NOTA[[#This Row],[DISC 2]])</f>
        <v>0</v>
      </c>
      <c r="AA322" s="50">
        <f>IF(NOTA[[#This Row],[JUMLAH]]="","",(NOTA[[#This Row],[JUMLAH]]-NOTA[[#This Row],[DISC 1-]]-NOTA[[#This Row],[DISC 2-]])*NOTA[[#This Row],[DISC 3]])</f>
        <v>0</v>
      </c>
      <c r="AB322" s="50">
        <f>IF(NOTA[[#This Row],[JUMLAH]]="","",NOTA[[#This Row],[DISC 1-]]+NOTA[[#This Row],[DISC 2-]]+NOTA[[#This Row],[DISC 3-]])</f>
        <v>0</v>
      </c>
      <c r="AC322" s="50">
        <f>IF(NOTA[[#This Row],[JUMLAH]]="","",NOTA[[#This Row],[JUMLAH]]-NOTA[[#This Row],[DISC]])</f>
        <v>5760000</v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22" s="50">
        <f>IF(OR(NOTA[[#This Row],[QTY]]="",NOTA[[#This Row],[HARGA SATUAN]]="",),"",NOTA[[#This Row],[QTY]]*NOTA[[#This Row],[HARGA SATUAN]])</f>
        <v>5760000</v>
      </c>
      <c r="AI322" s="39">
        <f ca="1">IF(NOTA[ID_H]="","",INDEX(NOTA[TANGGAL],MATCH(,INDIRECT(ADDRESS(ROW(NOTA[TANGGAL]),COLUMN(NOTA[TANGGAL]))&amp;":"&amp;ADDRESS(ROW(),COLUMN(NOTA[TANGGAL]))),-1)))</f>
        <v>45303</v>
      </c>
      <c r="AJ322" s="41" t="str">
        <f ca="1">IF(NOTA[[#This Row],[NAMA BARANG]]="","",INDEX(NOTA[SUPPLIER],MATCH(,INDIRECT(ADDRESS(ROW(NOTA[ID]),COLUMN(NOTA[ID]))&amp;":"&amp;ADDRESS(ROW(),COLUMN(NOTA[ID]))),-1)))</f>
        <v>MSI</v>
      </c>
      <c r="AK322" s="41" t="str">
        <f ca="1">IF(NOTA[[#This Row],[ID_H]]="","",IF(NOTA[[#This Row],[FAKTUR]]="",INDIRECT(ADDRESS(ROW()-1,COLUMN())),NOTA[[#This Row],[FAKTUR]]))</f>
        <v>UNTANA</v>
      </c>
      <c r="AL322" s="38">
        <f ca="1">IF(NOTA[[#This Row],[ID]]="","",COUNTIF(NOTA[ID_H],NOTA[[#This Row],[ID_H]]))</f>
        <v>2</v>
      </c>
      <c r="AM322" s="38">
        <f>IF(NOTA[[#This Row],[TGL.NOTA]]="",IF(NOTA[[#This Row],[SUPPLIER_H]]="","",AM321),MONTH(NOTA[[#This Row],[TGL.NOTA]]))</f>
        <v>1</v>
      </c>
      <c r="AN322" s="38" t="str">
        <f>LOWER(SUBSTITUTE(SUBSTITUTE(SUBSTITUTE(SUBSTITUTE(SUBSTITUTE(SUBSTITUTE(SUBSTITUTE(SUBSTITUTE(SUBSTITUTE(NOTA[NAMA BARANG]," ",),".",""),"-",""),"(",""),")",""),",",""),"/",""),"""",""),"+",""))</f>
        <v>gelpenzuixuahy1020merah</v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gelpenzuixuahy1020merah1920000</v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gelpenzuixuahy1020merah1920000</v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MSIUNTANA24/I/11545299gelpenzuixuahy1020merah</v>
      </c>
      <c r="AR322" s="38" t="e">
        <f>IF(NOTA[[#This Row],[CONCAT4]]="","",_xlfn.IFNA(MATCH(NOTA[[#This Row],[CONCAT4]],[2]!RAW[CONCAT_H],0),FALSE))</f>
        <v>#REF!</v>
      </c>
      <c r="AS322" s="38" t="e">
        <f>IF(NOTA[[#This Row],[CONCAT1]]="","",MATCH(NOTA[[#This Row],[CONCAT1]],[3]!db[NB NOTA_C],0))</f>
        <v>#N/A</v>
      </c>
      <c r="AT322" s="38" t="b">
        <f>IF(NOTA[[#This Row],[QTY/ CTN]]="","",TRUE)</f>
        <v>1</v>
      </c>
      <c r="AU322" s="38">
        <f ca="1">IF(NOTA[[#This Row],[ID_H]]="","",IF(NOTA[[#This Row],[Column3]]=TRUE,NOTA[[#This Row],[QTY/ CTN]],INDEX([3]!db[QTY/ CTN],NOTA[[#This Row],[//DB]])))</f>
        <v>192</v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gelpenzuixuahy1020merah192untana</v>
      </c>
      <c r="AW322" s="38" t="e">
        <f ca="1">IF(NOTA[[#This Row],[ID_H]]="","",MATCH(NOTA[[#This Row],[NB NOTA_C_QTY]],[4]!db[NB NOTA_C_QTY+F],0))</f>
        <v>#REF!</v>
      </c>
      <c r="AX322" s="53">
        <f ca="1">IF(NOTA[[#This Row],[NB NOTA_C_QTY]]="","",ROW()-2)</f>
        <v>320</v>
      </c>
    </row>
    <row r="323" spans="1:50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53</v>
      </c>
      <c r="E323" s="46"/>
      <c r="F323" s="37"/>
      <c r="G323" s="37"/>
      <c r="H323" s="47"/>
      <c r="I323" s="37"/>
      <c r="J323" s="39"/>
      <c r="K323" s="37">
        <v>1</v>
      </c>
      <c r="L323" s="37" t="s">
        <v>461</v>
      </c>
      <c r="M323" s="40">
        <v>3</v>
      </c>
      <c r="N323" s="38">
        <v>576</v>
      </c>
      <c r="O323" s="37" t="s">
        <v>111</v>
      </c>
      <c r="P323" s="41">
        <v>10000</v>
      </c>
      <c r="Q323" s="42"/>
      <c r="R323" s="48">
        <v>192</v>
      </c>
      <c r="S323" s="49"/>
      <c r="T323" s="44"/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5760000</v>
      </c>
      <c r="Y323" s="50">
        <f>IF(NOTA[[#This Row],[JUMLAH]]="","",NOTA[[#This Row],[JUMLAH]]*NOTA[[#This Row],[DISC 1]])</f>
        <v>0</v>
      </c>
      <c r="Z323" s="50">
        <f>IF(NOTA[[#This Row],[JUMLAH]]="","",(NOTA[[#This Row],[JUMLAH]]-NOTA[[#This Row],[DISC 1-]])*NOTA[[#This Row],[DISC 2]])</f>
        <v>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0</v>
      </c>
      <c r="AC323" s="50">
        <f>IF(NOTA[[#This Row],[JUMLAH]]="","",NOTA[[#This Row],[JUMLAH]]-NOTA[[#This Row],[DISC]])</f>
        <v>5760000</v>
      </c>
      <c r="AD323" s="50"/>
      <c r="AE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11520000</v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23" s="50">
        <f>IF(OR(NOTA[[#This Row],[QTY]]="",NOTA[[#This Row],[HARGA SATUAN]]="",),"",NOTA[[#This Row],[QTY]]*NOTA[[#This Row],[HARGA SATUAN]])</f>
        <v>5760000</v>
      </c>
      <c r="AI323" s="39">
        <f ca="1">IF(NOTA[ID_H]="","",INDEX(NOTA[TANGGAL],MATCH(,INDIRECT(ADDRESS(ROW(NOTA[TANGGAL]),COLUMN(NOTA[TANGGAL]))&amp;":"&amp;ADDRESS(ROW(),COLUMN(NOTA[TANGGAL]))),-1)))</f>
        <v>45303</v>
      </c>
      <c r="AJ323" s="41" t="str">
        <f ca="1">IF(NOTA[[#This Row],[NAMA BARANG]]="","",INDEX(NOTA[SUPPLIER],MATCH(,INDIRECT(ADDRESS(ROW(NOTA[ID]),COLUMN(NOTA[ID]))&amp;":"&amp;ADDRESS(ROW(),COLUMN(NOTA[ID]))),-1)))</f>
        <v>MSI</v>
      </c>
      <c r="AK323" s="41" t="str">
        <f ca="1">IF(NOTA[[#This Row],[ID_H]]="","",IF(NOTA[[#This Row],[FAKTUR]]="",INDIRECT(ADDRESS(ROW()-1,COLUMN())),NOTA[[#This Row],[FAKTUR]]))</f>
        <v>UNTANA</v>
      </c>
      <c r="AL323" s="38" t="str">
        <f ca="1">IF(NOTA[[#This Row],[ID]]="","",COUNTIF(NOTA[ID_H],NOTA[[#This Row],[ID_H]]))</f>
        <v/>
      </c>
      <c r="AM323" s="38">
        <f ca="1">IF(NOTA[[#This Row],[TGL.NOTA]]="",IF(NOTA[[#This Row],[SUPPLIER_H]]="","",AM322),MONTH(NOTA[[#This Row],[TGL.NOTA]]))</f>
        <v>1</v>
      </c>
      <c r="AN323" s="38" t="str">
        <f>LOWER(SUBSTITUTE(SUBSTITUTE(SUBSTITUTE(SUBSTITUTE(SUBSTITUTE(SUBSTITUTE(SUBSTITUTE(SUBSTITUTE(SUBSTITUTE(NOTA[NAMA BARANG]," ",),".",""),"-",""),"(",""),")",""),",",""),"/",""),"""",""),"+",""))</f>
        <v>gelpenzuixuahy1020biru</v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gelpenzuixuahy1020biru1920000</v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gelpenzuixuahy1020biru1920000</v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38" t="str">
        <f>IF(NOTA[[#This Row],[CONCAT4]]="","",_xlfn.IFNA(MATCH(NOTA[[#This Row],[CONCAT4]],[2]!RAW[CONCAT_H],0),FALSE))</f>
        <v/>
      </c>
      <c r="AS323" s="38" t="e">
        <f>IF(NOTA[[#This Row],[CONCAT1]]="","",MATCH(NOTA[[#This Row],[CONCAT1]],[3]!db[NB NOTA_C],0))</f>
        <v>#N/A</v>
      </c>
      <c r="AT323" s="38" t="b">
        <f>IF(NOTA[[#This Row],[QTY/ CTN]]="","",TRUE)</f>
        <v>1</v>
      </c>
      <c r="AU323" s="38">
        <f ca="1">IF(NOTA[[#This Row],[ID_H]]="","",IF(NOTA[[#This Row],[Column3]]=TRUE,NOTA[[#This Row],[QTY/ CTN]],INDEX([3]!db[QTY/ CTN],NOTA[[#This Row],[//DB]])))</f>
        <v>192</v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gelpenzuixuahy1020biru192untana</v>
      </c>
      <c r="AW323" s="38" t="e">
        <f ca="1">IF(NOTA[[#This Row],[ID_H]]="","",MATCH(NOTA[[#This Row],[NB NOTA_C_QTY]],[4]!db[NB NOTA_C_QTY+F],0))</f>
        <v>#REF!</v>
      </c>
      <c r="AX323" s="53">
        <f ca="1">IF(NOTA[[#This Row],[NB NOTA_C_QTY]]="","",ROW()-2)</f>
        <v>321</v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F324" s="37"/>
      <c r="G324" s="37"/>
      <c r="H324" s="47"/>
      <c r="I324" s="37"/>
      <c r="J324" s="39"/>
      <c r="K324" s="37"/>
      <c r="L324" s="37"/>
      <c r="M324" s="40"/>
      <c r="O324" s="37"/>
      <c r="P324" s="41"/>
      <c r="Q324" s="42"/>
      <c r="R324" s="48"/>
      <c r="S324" s="49"/>
      <c r="T324" s="44"/>
      <c r="U324" s="44"/>
      <c r="V324" s="50"/>
      <c r="W324" s="45"/>
      <c r="X324" s="50" t="str">
        <f>IF(NOTA[[#This Row],[HARGA/ CTN]]="",NOTA[[#This Row],[JUMLAH_H]],NOTA[[#This Row],[HARGA/ CTN]]*IF(NOTA[[#This Row],[C]]="",0,NOTA[[#This Row],[C]]))</f>
        <v/>
      </c>
      <c r="Y324" s="50" t="str">
        <f>IF(NOTA[[#This Row],[JUMLAH]]="","",NOTA[[#This Row],[JUMLAH]]*NOTA[[#This Row],[DISC 1]])</f>
        <v/>
      </c>
      <c r="Z324" s="50" t="str">
        <f>IF(NOTA[[#This Row],[JUMLAH]]="","",(NOTA[[#This Row],[JUMLAH]]-NOTA[[#This Row],[DISC 1-]])*NOTA[[#This Row],[DISC 2]])</f>
        <v/>
      </c>
      <c r="AA324" s="50" t="str">
        <f>IF(NOTA[[#This Row],[JUMLAH]]="","",(NOTA[[#This Row],[JUMLAH]]-NOTA[[#This Row],[DISC 1-]]-NOTA[[#This Row],[DISC 2-]])*NOTA[[#This Row],[DISC 3]])</f>
        <v/>
      </c>
      <c r="AB324" s="50" t="str">
        <f>IF(NOTA[[#This Row],[JUMLAH]]="","",NOTA[[#This Row],[DISC 1-]]+NOTA[[#This Row],[DISC 2-]]+NOTA[[#This Row],[DISC 3-]])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41" t="str">
        <f ca="1">IF(NOTA[[#This Row],[NAMA BARANG]]="","",INDEX(NOTA[SUPPLIER],MATCH(,INDIRECT(ADDRESS(ROW(NOTA[ID]),COLUMN(NOTA[ID]))&amp;":"&amp;ADDRESS(ROW(),COLUMN(NOTA[ID]))),-1)))</f>
        <v/>
      </c>
      <c r="AK324" s="41" t="str">
        <f ca="1">IF(NOTA[[#This Row],[ID_H]]="","",IF(NOTA[[#This Row],[FAKTUR]]="",INDIRECT(ADDRESS(ROW()-1,COLUMN())),NOTA[[#This Row],[FAKTUR]]))</f>
        <v/>
      </c>
      <c r="AL324" s="38" t="str">
        <f ca="1">IF(NOTA[[#This Row],[ID]]="","",COUNTIF(NOTA[ID_H],NOTA[[#This Row],[ID_H]]))</f>
        <v/>
      </c>
      <c r="AM324" s="38" t="str">
        <f ca="1">IF(NOTA[[#This Row],[TGL.NOTA]]="",IF(NOTA[[#This Row],[SUPPLIER_H]]="","",AM323),MONTH(NOTA[[#This Row],[TGL.NOTA]]))</f>
        <v/>
      </c>
      <c r="AN324" s="38" t="str">
        <f>LOWER(SUBSTITUTE(SUBSTITUTE(SUBSTITUTE(SUBSTITUTE(SUBSTITUTE(SUBSTITUTE(SUBSTITUTE(SUBSTITUTE(SUBSTITUTE(NOTA[NAMA BARANG]," ",),".",""),"-",""),"(",""),")",""),",",""),"/",""),"""",""),"+",""))</f>
        <v/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 t="str">
        <f>IF(NOTA[[#This Row],[CONCAT1]]="","",MATCH(NOTA[[#This Row],[CONCAT1]],[3]!db[NB NOTA_C],0))</f>
        <v/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CTN]],INDEX([3]!db[QTY/ CTN],NOTA[[#This Row],[//DB]])))</f>
        <v/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4" s="38" t="str">
        <f ca="1">IF(NOTA[[#This Row],[ID_H]]="","",MATCH(NOTA[[#This Row],[NB NOTA_C_QTY]],[4]!db[NB NOTA_C_QTY+F],0))</f>
        <v/>
      </c>
      <c r="AX324" s="53" t="str">
        <f ca="1">IF(NOTA[[#This Row],[NB NOTA_C_QTY]]="","",ROW()-2)</f>
        <v/>
      </c>
    </row>
    <row r="325" spans="1:50" s="38" customFormat="1" ht="20.10000000000000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DBS_1101_824-14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54</v>
      </c>
      <c r="E325" s="46">
        <v>45302</v>
      </c>
      <c r="F325" s="37" t="s">
        <v>112</v>
      </c>
      <c r="G325" s="37" t="s">
        <v>110</v>
      </c>
      <c r="H325" s="47" t="s">
        <v>462</v>
      </c>
      <c r="I325" s="37"/>
      <c r="J325" s="39">
        <v>45300</v>
      </c>
      <c r="K325" s="37">
        <v>5</v>
      </c>
      <c r="L325" s="37" t="s">
        <v>463</v>
      </c>
      <c r="M325" s="40">
        <v>11</v>
      </c>
      <c r="N325" s="38">
        <v>1056</v>
      </c>
      <c r="O325" s="37" t="s">
        <v>111</v>
      </c>
      <c r="P325" s="41">
        <v>31500</v>
      </c>
      <c r="Q325" s="42"/>
      <c r="R325" s="48" t="s">
        <v>403</v>
      </c>
      <c r="S325" s="49"/>
      <c r="T325" s="44"/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33264000</v>
      </c>
      <c r="Y325" s="50">
        <f>IF(NOTA[[#This Row],[JUMLAH]]="","",NOTA[[#This Row],[JUMLAH]]*NOTA[[#This Row],[DISC 1]])</f>
        <v>0</v>
      </c>
      <c r="Z325" s="50">
        <f>IF(NOTA[[#This Row],[JUMLAH]]="","",(NOTA[[#This Row],[JUMLAH]]-NOTA[[#This Row],[DISC 1-]])*NOTA[[#This Row],[DISC 2]])</f>
        <v>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0</v>
      </c>
      <c r="AC325" s="50">
        <f>IF(NOTA[[#This Row],[JUMLAH]]="","",NOTA[[#This Row],[JUMLAH]]-NOTA[[#This Row],[DISC]])</f>
        <v>33264000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25" s="50">
        <f>IF(OR(NOTA[[#This Row],[QTY]]="",NOTA[[#This Row],[HARGA SATUAN]]="",),"",NOTA[[#This Row],[QTY]]*NOTA[[#This Row],[HARGA SATUAN]])</f>
        <v>33264000</v>
      </c>
      <c r="AI325" s="39">
        <f ca="1">IF(NOTA[ID_H]="","",INDEX(NOTA[TANGGAL],MATCH(,INDIRECT(ADDRESS(ROW(NOTA[TANGGAL]),COLUMN(NOTA[TANGGAL]))&amp;":"&amp;ADDRESS(ROW(),COLUMN(NOTA[TANGGAL]))),-1)))</f>
        <v>45302</v>
      </c>
      <c r="AJ325" s="41" t="str">
        <f ca="1">IF(NOTA[[#This Row],[NAMA BARANG]]="","",INDEX(NOTA[SUPPLIER],MATCH(,INDIRECT(ADDRESS(ROW(NOTA[ID]),COLUMN(NOTA[ID]))&amp;":"&amp;ADDRESS(ROW(),COLUMN(NOTA[ID]))),-1)))</f>
        <v>DB STATIONERY</v>
      </c>
      <c r="AK325" s="41" t="str">
        <f ca="1">IF(NOTA[[#This Row],[ID_H]]="","",IF(NOTA[[#This Row],[FAKTUR]]="",INDIRECT(ADDRESS(ROW()-1,COLUMN())),NOTA[[#This Row],[FAKTUR]]))</f>
        <v>UNTANA</v>
      </c>
      <c r="AL325" s="38">
        <f ca="1">IF(NOTA[[#This Row],[ID]]="","",COUNTIF(NOTA[ID_H],NOTA[[#This Row],[ID_H]]))</f>
        <v>14</v>
      </c>
      <c r="AM325" s="38">
        <f>IF(NOTA[[#This Row],[TGL.NOTA]]="",IF(NOTA[[#This Row],[SUPPLIER_H]]="","",AM324),MONTH(NOTA[[#This Row],[TGL.NOTA]]))</f>
        <v>1</v>
      </c>
      <c r="AN325" s="38" t="str">
        <f>LOWER(SUBSTITUTE(SUBSTITUTE(SUBSTITUTE(SUBSTITUTE(SUBSTITUTE(SUBSTITUTE(SUBSTITUTE(SUBSTITUTE(SUBSTITUTE(NOTA[NAMA BARANG]," ",),".",""),"-",""),"(",""),")",""),",",""),"/",""),"""",""),"+",""))</f>
        <v>gelpentizo10tg340</v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STATIONERYUNTANAJUA148/2445300gelpentizo10tg340</v>
      </c>
      <c r="AR325" s="38" t="e">
        <f>IF(NOTA[[#This Row],[CONCAT4]]="","",_xlfn.IFNA(MATCH(NOTA[[#This Row],[CONCAT4]],[2]!RAW[CONCAT_H],0),FALSE))</f>
        <v>#REF!</v>
      </c>
      <c r="AS325" s="38">
        <f>IF(NOTA[[#This Row],[CONCAT1]]="","",MATCH(NOTA[[#This Row],[CONCAT1]],[3]!db[NB NOTA_C],0))</f>
        <v>1088</v>
      </c>
      <c r="AT325" s="38" t="b">
        <f>IF(NOTA[[#This Row],[QTY/ CTN]]="","",TRUE)</f>
        <v>1</v>
      </c>
      <c r="AU325" s="38" t="str">
        <f ca="1">IF(NOTA[[#This Row],[ID_H]]="","",IF(NOTA[[#This Row],[Column3]]=TRUE,NOTA[[#This Row],[QTY/ CTN]],INDEX([3]!db[QTY/ CTN],NOTA[[#This Row],[//DB]])))</f>
        <v>96 LSN</v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325" s="38" t="e">
        <f ca="1">IF(NOTA[[#This Row],[ID_H]]="","",MATCH(NOTA[[#This Row],[NB NOTA_C_QTY]],[4]!db[NB NOTA_C_QTY+F],0))</f>
        <v>#REF!</v>
      </c>
      <c r="AX325" s="53">
        <f ca="1">IF(NOTA[[#This Row],[NB NOTA_C_QTY]]="","",ROW()-2)</f>
        <v>323</v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54</v>
      </c>
      <c r="E326" s="46"/>
      <c r="F326" s="37"/>
      <c r="G326" s="37"/>
      <c r="H326" s="47"/>
      <c r="I326" s="37"/>
      <c r="J326" s="39"/>
      <c r="K326" s="37">
        <v>1</v>
      </c>
      <c r="L326" s="37" t="s">
        <v>464</v>
      </c>
      <c r="M326" s="40">
        <v>4</v>
      </c>
      <c r="N326" s="38">
        <v>384</v>
      </c>
      <c r="O326" s="37" t="s">
        <v>111</v>
      </c>
      <c r="P326" s="41">
        <v>31500</v>
      </c>
      <c r="Q326" s="42"/>
      <c r="R326" s="48" t="s">
        <v>403</v>
      </c>
      <c r="S326" s="49"/>
      <c r="T326" s="44"/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12096000</v>
      </c>
      <c r="Y326" s="50">
        <f>IF(NOTA[[#This Row],[JUMLAH]]="","",NOTA[[#This Row],[JUMLAH]]*NOTA[[#This Row],[DISC 1]])</f>
        <v>0</v>
      </c>
      <c r="Z326" s="50">
        <f>IF(NOTA[[#This Row],[JUMLAH]]="","",(NOTA[[#This Row],[JUMLAH]]-NOTA[[#This Row],[DISC 1-]])*NOTA[[#This Row],[DISC 2]])</f>
        <v>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0</v>
      </c>
      <c r="AC326" s="50">
        <f>IF(NOTA[[#This Row],[JUMLAH]]="","",NOTA[[#This Row],[JUMLAH]]-NOTA[[#This Row],[DISC]])</f>
        <v>12096000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26" s="50">
        <f>IF(OR(NOTA[[#This Row],[QTY]]="",NOTA[[#This Row],[HARGA SATUAN]]="",),"",NOTA[[#This Row],[QTY]]*NOTA[[#This Row],[HARGA SATUAN]])</f>
        <v>12096000</v>
      </c>
      <c r="AI326" s="39">
        <f ca="1">IF(NOTA[ID_H]="","",INDEX(NOTA[TANGGAL],MATCH(,INDIRECT(ADDRESS(ROW(NOTA[TANGGAL]),COLUMN(NOTA[TANGGAL]))&amp;":"&amp;ADDRESS(ROW(),COLUMN(NOTA[TANGGAL]))),-1)))</f>
        <v>45302</v>
      </c>
      <c r="AJ326" s="41" t="str">
        <f ca="1">IF(NOTA[[#This Row],[NAMA BARANG]]="","",INDEX(NOTA[SUPPLIER],MATCH(,INDIRECT(ADDRESS(ROW(NOTA[ID]),COLUMN(NOTA[ID]))&amp;":"&amp;ADDRESS(ROW(),COLUMN(NOTA[ID]))),-1)))</f>
        <v>DB STATIONERY</v>
      </c>
      <c r="AK326" s="41" t="str">
        <f ca="1">IF(NOTA[[#This Row],[ID_H]]="","",IF(NOTA[[#This Row],[FAKTUR]]="",INDIRECT(ADDRESS(ROW()-1,COLUMN())),NOTA[[#This Row],[FAKTUR]]))</f>
        <v>UNTANA</v>
      </c>
      <c r="AL326" s="38" t="str">
        <f ca="1">IF(NOTA[[#This Row],[ID]]="","",COUNTIF(NOTA[ID_H],NOTA[[#This Row],[ID_H]]))</f>
        <v/>
      </c>
      <c r="AM326" s="38">
        <f ca="1">IF(NOTA[[#This Row],[TGL.NOTA]]="",IF(NOTA[[#This Row],[SUPPLIER_H]]="","",AM325),MONTH(NOTA[[#This Row],[TGL.NOTA]]))</f>
        <v>1</v>
      </c>
      <c r="AN326" s="38" t="str">
        <f>LOWER(SUBSTITUTE(SUBSTITUTE(SUBSTITUTE(SUBSTITUTE(SUBSTITUTE(SUBSTITUTE(SUBSTITUTE(SUBSTITUTE(SUBSTITUTE(NOTA[NAMA BARANG]," ",),".",""),"-",""),"(",""),")",""),",",""),"/",""),"""",""),"+",""))</f>
        <v>geltizo10birutg340bi</v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geltizo10birutg340bi3024000</v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geltizo10birutg340bi3024000</v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 t="e">
        <f>IF(NOTA[[#This Row],[CONCAT1]]="","",MATCH(NOTA[[#This Row],[CONCAT1]],[3]!db[NB NOTA_C],0))</f>
        <v>#N/A</v>
      </c>
      <c r="AT326" s="38" t="b">
        <f>IF(NOTA[[#This Row],[QTY/ CTN]]="","",TRUE)</f>
        <v>1</v>
      </c>
      <c r="AU326" s="38" t="str">
        <f ca="1">IF(NOTA[[#This Row],[ID_H]]="","",IF(NOTA[[#This Row],[Column3]]=TRUE,NOTA[[#This Row],[QTY/ CTN]],INDEX([3]!db[QTY/ CTN],NOTA[[#This Row],[//DB]])))</f>
        <v>96 LSN</v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geltizo10birutg340bi96lsnuntana</v>
      </c>
      <c r="AW326" s="38" t="e">
        <f ca="1">IF(NOTA[[#This Row],[ID_H]]="","",MATCH(NOTA[[#This Row],[NB NOTA_C_QTY]],[4]!db[NB NOTA_C_QTY+F],0))</f>
        <v>#REF!</v>
      </c>
      <c r="AX326" s="53">
        <f ca="1">IF(NOTA[[#This Row],[NB NOTA_C_QTY]]="","",ROW()-2)</f>
        <v>324</v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54</v>
      </c>
      <c r="E327" s="46"/>
      <c r="F327" s="37"/>
      <c r="G327" s="37"/>
      <c r="H327" s="47"/>
      <c r="I327" s="37"/>
      <c r="J327" s="39"/>
      <c r="K327" s="37">
        <v>0</v>
      </c>
      <c r="L327" s="37" t="s">
        <v>465</v>
      </c>
      <c r="M327" s="40">
        <v>1</v>
      </c>
      <c r="N327" s="38">
        <v>96</v>
      </c>
      <c r="O327" s="37" t="s">
        <v>111</v>
      </c>
      <c r="P327" s="41">
        <v>29000</v>
      </c>
      <c r="Q327" s="42"/>
      <c r="R327" s="48" t="s">
        <v>403</v>
      </c>
      <c r="S327" s="49"/>
      <c r="T327" s="44"/>
      <c r="U327" s="44"/>
      <c r="V327" s="50"/>
      <c r="W327" s="45"/>
      <c r="X327" s="50">
        <f>IF(NOTA[[#This Row],[HARGA/ CTN]]="",NOTA[[#This Row],[JUMLAH_H]],NOTA[[#This Row],[HARGA/ CTN]]*IF(NOTA[[#This Row],[C]]="",0,NOTA[[#This Row],[C]]))</f>
        <v>2784000</v>
      </c>
      <c r="Y327" s="50">
        <f>IF(NOTA[[#This Row],[JUMLAH]]="","",NOTA[[#This Row],[JUMLAH]]*NOTA[[#This Row],[DISC 1]])</f>
        <v>0</v>
      </c>
      <c r="Z327" s="50">
        <f>IF(NOTA[[#This Row],[JUMLAH]]="","",(NOTA[[#This Row],[JUMLAH]]-NOTA[[#This Row],[DISC 1-]])*NOTA[[#This Row],[DISC 2]])</f>
        <v>0</v>
      </c>
      <c r="AA327" s="50">
        <f>IF(NOTA[[#This Row],[JUMLAH]]="","",(NOTA[[#This Row],[JUMLAH]]-NOTA[[#This Row],[DISC 1-]]-NOTA[[#This Row],[DISC 2-]])*NOTA[[#This Row],[DISC 3]])</f>
        <v>0</v>
      </c>
      <c r="AB327" s="50">
        <f>IF(NOTA[[#This Row],[JUMLAH]]="","",NOTA[[#This Row],[DISC 1-]]+NOTA[[#This Row],[DISC 2-]]+NOTA[[#This Row],[DISC 3-]])</f>
        <v>0</v>
      </c>
      <c r="AC327" s="50">
        <f>IF(NOTA[[#This Row],[JUMLAH]]="","",NOTA[[#This Row],[JUMLAH]]-NOTA[[#This Row],[DISC]])</f>
        <v>2784000</v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327" s="50">
        <f>IF(OR(NOTA[[#This Row],[QTY]]="",NOTA[[#This Row],[HARGA SATUAN]]="",),"",NOTA[[#This Row],[QTY]]*NOTA[[#This Row],[HARGA SATUAN]])</f>
        <v>2784000</v>
      </c>
      <c r="AI327" s="39">
        <f ca="1">IF(NOTA[ID_H]="","",INDEX(NOTA[TANGGAL],MATCH(,INDIRECT(ADDRESS(ROW(NOTA[TANGGAL]),COLUMN(NOTA[TANGGAL]))&amp;":"&amp;ADDRESS(ROW(),COLUMN(NOTA[TANGGAL]))),-1)))</f>
        <v>45302</v>
      </c>
      <c r="AJ327" s="41" t="str">
        <f ca="1">IF(NOTA[[#This Row],[NAMA BARANG]]="","",INDEX(NOTA[SUPPLIER],MATCH(,INDIRECT(ADDRESS(ROW(NOTA[ID]),COLUMN(NOTA[ID]))&amp;":"&amp;ADDRESS(ROW(),COLUMN(NOTA[ID]))),-1)))</f>
        <v>DB STATIONERY</v>
      </c>
      <c r="AK327" s="41" t="str">
        <f ca="1">IF(NOTA[[#This Row],[ID_H]]="","",IF(NOTA[[#This Row],[FAKTUR]]="",INDIRECT(ADDRESS(ROW()-1,COLUMN())),NOTA[[#This Row],[FAKTUR]]))</f>
        <v>UNTANA</v>
      </c>
      <c r="AL327" s="38" t="str">
        <f ca="1">IF(NOTA[[#This Row],[ID]]="","",COUNTIF(NOTA[ID_H],NOTA[[#This Row],[ID_H]]))</f>
        <v/>
      </c>
      <c r="AM327" s="38">
        <f ca="1">IF(NOTA[[#This Row],[TGL.NOTA]]="",IF(NOTA[[#This Row],[SUPPLIER_H]]="","",AM326),MONTH(NOTA[[#This Row],[TGL.NOTA]]))</f>
        <v>1</v>
      </c>
      <c r="AN327" s="38" t="str">
        <f>LOWER(SUBSTITUTE(SUBSTITUTE(SUBSTITUTE(SUBSTITUTE(SUBSTITUTE(SUBSTITUTE(SUBSTITUTE(SUBSTITUTE(SUBSTITUTE(NOTA[NAMA BARANG]," ",),".",""),"-",""),"(",""),")",""),",",""),"/",""),"""",""),"+",""))</f>
        <v>mekpensil20tizotm030aa</v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mekpensil20tizotm030aa2784000</v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mekpensil20tizotm030aa2784000</v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 t="e">
        <f>IF(NOTA[[#This Row],[CONCAT1]]="","",MATCH(NOTA[[#This Row],[CONCAT1]],[3]!db[NB NOTA_C],0))</f>
        <v>#N/A</v>
      </c>
      <c r="AT327" s="38" t="b">
        <f>IF(NOTA[[#This Row],[QTY/ CTN]]="","",TRUE)</f>
        <v>1</v>
      </c>
      <c r="AU327" s="38" t="str">
        <f ca="1">IF(NOTA[[#This Row],[ID_H]]="","",IF(NOTA[[#This Row],[Column3]]=TRUE,NOTA[[#This Row],[QTY/ CTN]],INDEX([3]!db[QTY/ CTN],NOTA[[#This Row],[//DB]])))</f>
        <v>96 LSN</v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mekpensil20tizotm030aa96lsnuntana</v>
      </c>
      <c r="AW327" s="38" t="e">
        <f ca="1">IF(NOTA[[#This Row],[ID_H]]="","",MATCH(NOTA[[#This Row],[NB NOTA_C_QTY]],[4]!db[NB NOTA_C_QTY+F],0))</f>
        <v>#REF!</v>
      </c>
      <c r="AX327" s="53">
        <f ca="1">IF(NOTA[[#This Row],[NB NOTA_C_QTY]]="","",ROW()-2)</f>
        <v>325</v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>
        <f ca="1">IF(NOTA[[#This Row],[NAMA BARANG]]="","",INDEX(NOTA[ID],MATCH(,INDIRECT(ADDRESS(ROW(NOTA[ID]),COLUMN(NOTA[ID]))&amp;":"&amp;ADDRESS(ROW(),COLUMN(NOTA[ID]))),-1)))</f>
        <v>54</v>
      </c>
      <c r="E328" s="46"/>
      <c r="F328" s="37"/>
      <c r="G328" s="37"/>
      <c r="H328" s="47"/>
      <c r="I328" s="37"/>
      <c r="J328" s="39"/>
      <c r="K328" s="37"/>
      <c r="L328" s="37" t="s">
        <v>467</v>
      </c>
      <c r="M328" s="40">
        <v>1</v>
      </c>
      <c r="N328" s="38">
        <v>360</v>
      </c>
      <c r="O328" s="37" t="s">
        <v>111</v>
      </c>
      <c r="P328" s="41">
        <v>7700</v>
      </c>
      <c r="Q328" s="42"/>
      <c r="R328" s="48" t="s">
        <v>477</v>
      </c>
      <c r="S328" s="49"/>
      <c r="T328" s="44"/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2772000</v>
      </c>
      <c r="Y328" s="50">
        <f>IF(NOTA[[#This Row],[JUMLAH]]="","",NOTA[[#This Row],[JUMLAH]]*NOTA[[#This Row],[DISC 1]])</f>
        <v>0</v>
      </c>
      <c r="Z328" s="50">
        <f>IF(NOTA[[#This Row],[JUMLAH]]="","",(NOTA[[#This Row],[JUMLAH]]-NOTA[[#This Row],[DISC 1-]])*NOTA[[#This Row],[DISC 2]])</f>
        <v>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0</v>
      </c>
      <c r="AC328" s="50">
        <f>IF(NOTA[[#This Row],[JUMLAH]]="","",NOTA[[#This Row],[JUMLAH]]-NOTA[[#This Row],[DISC]])</f>
        <v>2772000</v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8" s="50">
        <f>IF(OR(NOTA[[#This Row],[QTY]]="",NOTA[[#This Row],[HARGA SATUAN]]="",),"",NOTA[[#This Row],[QTY]]*NOTA[[#This Row],[HARGA SATUAN]])</f>
        <v>2772000</v>
      </c>
      <c r="AI328" s="39">
        <f ca="1">IF(NOTA[ID_H]="","",INDEX(NOTA[TANGGAL],MATCH(,INDIRECT(ADDRESS(ROW(NOTA[TANGGAL]),COLUMN(NOTA[TANGGAL]))&amp;":"&amp;ADDRESS(ROW(),COLUMN(NOTA[TANGGAL]))),-1)))</f>
        <v>45302</v>
      </c>
      <c r="AJ328" s="41" t="str">
        <f ca="1">IF(NOTA[[#This Row],[NAMA BARANG]]="","",INDEX(NOTA[SUPPLIER],MATCH(,INDIRECT(ADDRESS(ROW(NOTA[ID]),COLUMN(NOTA[ID]))&amp;":"&amp;ADDRESS(ROW(),COLUMN(NOTA[ID]))),-1)))</f>
        <v>DB STATIONERY</v>
      </c>
      <c r="AK328" s="41" t="str">
        <f ca="1">IF(NOTA[[#This Row],[ID_H]]="","",IF(NOTA[[#This Row],[FAKTUR]]="",INDIRECT(ADDRESS(ROW()-1,COLUMN())),NOTA[[#This Row],[FAKTUR]]))</f>
        <v>UNTANA</v>
      </c>
      <c r="AL328" s="38" t="str">
        <f ca="1">IF(NOTA[[#This Row],[ID]]="","",COUNTIF(NOTA[ID_H],NOTA[[#This Row],[ID_H]]))</f>
        <v/>
      </c>
      <c r="AM328" s="38">
        <f ca="1">IF(NOTA[[#This Row],[TGL.NOTA]]="",IF(NOTA[[#This Row],[SUPPLIER_H]]="","",AM327),MONTH(NOTA[[#This Row],[TGL.NOTA]]))</f>
        <v>1</v>
      </c>
      <c r="AN328" s="38" t="str">
        <f>LOWER(SUBSTITUTE(SUBSTITUTE(SUBSTITUTE(SUBSTITUTE(SUBSTITUTE(SUBSTITUTE(SUBSTITUTE(SUBSTITUTE(SUBSTITUTE(NOTA[NAMA BARANG]," ",),".",""),"-",""),"(",""),")",""),",",""),"/",""),"""",""),"+",""))</f>
        <v>pensil2bkayagikypf3041</v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pensil2bkayagikypf30412772000</v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pensil2bkayagikypf30412772000</v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>
        <f>IF(NOTA[[#This Row],[CONCAT1]]="","",MATCH(NOTA[[#This Row],[CONCAT1]],[3]!db[NB NOTA_C],0))</f>
        <v>2582</v>
      </c>
      <c r="AT328" s="38" t="b">
        <f>IF(NOTA[[#This Row],[QTY/ CTN]]="","",TRUE)</f>
        <v>1</v>
      </c>
      <c r="AU328" s="38" t="str">
        <f ca="1">IF(NOTA[[#This Row],[ID_H]]="","",IF(NOTA[[#This Row],[Column3]]=TRUE,NOTA[[#This Row],[QTY/ CTN]],INDEX([3]!db[QTY/ CTN],NOTA[[#This Row],[//DB]])))</f>
        <v>360LSN</v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pensil2bkayagikypf3041360lsnuntana</v>
      </c>
      <c r="AW328" s="38" t="e">
        <f ca="1">IF(NOTA[[#This Row],[ID_H]]="","",MATCH(NOTA[[#This Row],[NB NOTA_C_QTY]],[4]!db[NB NOTA_C_QTY+F],0))</f>
        <v>#REF!</v>
      </c>
      <c r="AX328" s="53">
        <f ca="1">IF(NOTA[[#This Row],[NB NOTA_C_QTY]]="","",ROW()-2)</f>
        <v>326</v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>
        <f ca="1">IF(NOTA[[#This Row],[NAMA BARANG]]="","",INDEX(NOTA[ID],MATCH(,INDIRECT(ADDRESS(ROW(NOTA[ID]),COLUMN(NOTA[ID]))&amp;":"&amp;ADDRESS(ROW(),COLUMN(NOTA[ID]))),-1)))</f>
        <v>54</v>
      </c>
      <c r="E329" s="46"/>
      <c r="F329" s="37"/>
      <c r="G329" s="37"/>
      <c r="H329" s="47"/>
      <c r="I329" s="37"/>
      <c r="J329" s="39"/>
      <c r="K329" s="37">
        <v>0</v>
      </c>
      <c r="L329" s="37" t="s">
        <v>468</v>
      </c>
      <c r="M329" s="40">
        <v>1</v>
      </c>
      <c r="N329" s="38">
        <v>360</v>
      </c>
      <c r="O329" s="37" t="s">
        <v>111</v>
      </c>
      <c r="P329" s="41">
        <v>7700</v>
      </c>
      <c r="Q329" s="42"/>
      <c r="R329" s="48" t="s">
        <v>477</v>
      </c>
      <c r="S329" s="49"/>
      <c r="T329" s="44"/>
      <c r="U329" s="44"/>
      <c r="V329" s="50"/>
      <c r="W329" s="45"/>
      <c r="X329" s="50">
        <f>IF(NOTA[[#This Row],[HARGA/ CTN]]="",NOTA[[#This Row],[JUMLAH_H]],NOTA[[#This Row],[HARGA/ CTN]]*IF(NOTA[[#This Row],[C]]="",0,NOTA[[#This Row],[C]]))</f>
        <v>2772000</v>
      </c>
      <c r="Y329" s="50">
        <f>IF(NOTA[[#This Row],[JUMLAH]]="","",NOTA[[#This Row],[JUMLAH]]*NOTA[[#This Row],[DISC 1]])</f>
        <v>0</v>
      </c>
      <c r="Z329" s="50">
        <f>IF(NOTA[[#This Row],[JUMLAH]]="","",(NOTA[[#This Row],[JUMLAH]]-NOTA[[#This Row],[DISC 1-]])*NOTA[[#This Row],[DISC 2]])</f>
        <v>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0</v>
      </c>
      <c r="AC329" s="50">
        <f>IF(NOTA[[#This Row],[JUMLAH]]="","",NOTA[[#This Row],[JUMLAH]]-NOTA[[#This Row],[DISC]])</f>
        <v>2772000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9" s="50">
        <f>IF(OR(NOTA[[#This Row],[QTY]]="",NOTA[[#This Row],[HARGA SATUAN]]="",),"",NOTA[[#This Row],[QTY]]*NOTA[[#This Row],[HARGA SATUAN]])</f>
        <v>2772000</v>
      </c>
      <c r="AI329" s="39">
        <f ca="1">IF(NOTA[ID_H]="","",INDEX(NOTA[TANGGAL],MATCH(,INDIRECT(ADDRESS(ROW(NOTA[TANGGAL]),COLUMN(NOTA[TANGGAL]))&amp;":"&amp;ADDRESS(ROW(),COLUMN(NOTA[TANGGAL]))),-1)))</f>
        <v>45302</v>
      </c>
      <c r="AJ329" s="41" t="str">
        <f ca="1">IF(NOTA[[#This Row],[NAMA BARANG]]="","",INDEX(NOTA[SUPPLIER],MATCH(,INDIRECT(ADDRESS(ROW(NOTA[ID]),COLUMN(NOTA[ID]))&amp;":"&amp;ADDRESS(ROW(),COLUMN(NOTA[ID]))),-1)))</f>
        <v>DB STATIONERY</v>
      </c>
      <c r="AK329" s="41" t="str">
        <f ca="1">IF(NOTA[[#This Row],[ID_H]]="","",IF(NOTA[[#This Row],[FAKTUR]]="",INDIRECT(ADDRESS(ROW()-1,COLUMN())),NOTA[[#This Row],[FAKTUR]]))</f>
        <v>UNTANA</v>
      </c>
      <c r="AL329" s="38" t="str">
        <f ca="1">IF(NOTA[[#This Row],[ID]]="","",COUNTIF(NOTA[ID_H],NOTA[[#This Row],[ID_H]]))</f>
        <v/>
      </c>
      <c r="AM329" s="38">
        <f ca="1">IF(NOTA[[#This Row],[TGL.NOTA]]="",IF(NOTA[[#This Row],[SUPPLIER_H]]="","",AM328),MONTH(NOTA[[#This Row],[TGL.NOTA]]))</f>
        <v>1</v>
      </c>
      <c r="AN329" s="38" t="str">
        <f>LOWER(SUBSTITUTE(SUBSTITUTE(SUBSTITUTE(SUBSTITUTE(SUBSTITUTE(SUBSTITUTE(SUBSTITUTE(SUBSTITUTE(SUBSTITUTE(NOTA[NAMA BARANG]," ",),".",""),"-",""),"(",""),")",""),",",""),"/",""),"""",""),"+",""))</f>
        <v>pensil2bfancykypf3050</v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pensil2bfancykypf30502772000</v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pensil2bfancykypf30502772000</v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>
        <f>IF(NOTA[[#This Row],[CONCAT1]]="","",MATCH(NOTA[[#This Row],[CONCAT1]],[3]!db[NB NOTA_C],0))</f>
        <v>2562</v>
      </c>
      <c r="AT329" s="38" t="b">
        <f>IF(NOTA[[#This Row],[QTY/ CTN]]="","",TRUE)</f>
        <v>1</v>
      </c>
      <c r="AU329" s="38" t="str">
        <f ca="1">IF(NOTA[[#This Row],[ID_H]]="","",IF(NOTA[[#This Row],[Column3]]=TRUE,NOTA[[#This Row],[QTY/ CTN]],INDEX([3]!db[QTY/ CTN],NOTA[[#This Row],[//DB]])))</f>
        <v>360LSN</v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pensil2bfancykypf3050360lsnuntana</v>
      </c>
      <c r="AW329" s="38" t="e">
        <f ca="1">IF(NOTA[[#This Row],[ID_H]]="","",MATCH(NOTA[[#This Row],[NB NOTA_C_QTY]],[4]!db[NB NOTA_C_QTY+F],0))</f>
        <v>#REF!</v>
      </c>
      <c r="AX329" s="53">
        <f ca="1">IF(NOTA[[#This Row],[NB NOTA_C_QTY]]="","",ROW()-2)</f>
        <v>327</v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54</v>
      </c>
      <c r="E330" s="46"/>
      <c r="F330" s="37"/>
      <c r="G330" s="37"/>
      <c r="H330" s="47"/>
      <c r="I330" s="37"/>
      <c r="J330" s="39"/>
      <c r="K330" s="37">
        <v>0</v>
      </c>
      <c r="L330" s="37" t="s">
        <v>469</v>
      </c>
      <c r="M330" s="40">
        <v>1</v>
      </c>
      <c r="N330" s="38">
        <v>360</v>
      </c>
      <c r="O330" s="37" t="s">
        <v>111</v>
      </c>
      <c r="P330" s="41">
        <v>7700</v>
      </c>
      <c r="Q330" s="42"/>
      <c r="R330" s="48" t="s">
        <v>477</v>
      </c>
      <c r="S330" s="49"/>
      <c r="T330" s="44"/>
      <c r="U330" s="44"/>
      <c r="V330" s="50"/>
      <c r="W330" s="45"/>
      <c r="X330" s="50">
        <f>IF(NOTA[[#This Row],[HARGA/ CTN]]="",NOTA[[#This Row],[JUMLAH_H]],NOTA[[#This Row],[HARGA/ CTN]]*IF(NOTA[[#This Row],[C]]="",0,NOTA[[#This Row],[C]]))</f>
        <v>2772000</v>
      </c>
      <c r="Y330" s="50">
        <f>IF(NOTA[[#This Row],[JUMLAH]]="","",NOTA[[#This Row],[JUMLAH]]*NOTA[[#This Row],[DISC 1]])</f>
        <v>0</v>
      </c>
      <c r="Z330" s="50">
        <f>IF(NOTA[[#This Row],[JUMLAH]]="","",(NOTA[[#This Row],[JUMLAH]]-NOTA[[#This Row],[DISC 1-]])*NOTA[[#This Row],[DISC 2]])</f>
        <v>0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0</v>
      </c>
      <c r="AC330" s="50">
        <f>IF(NOTA[[#This Row],[JUMLAH]]="","",NOTA[[#This Row],[JUMLAH]]-NOTA[[#This Row],[DISC]])</f>
        <v>2772000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0" s="50">
        <f>IF(OR(NOTA[[#This Row],[QTY]]="",NOTA[[#This Row],[HARGA SATUAN]]="",),"",NOTA[[#This Row],[QTY]]*NOTA[[#This Row],[HARGA SATUAN]])</f>
        <v>2772000</v>
      </c>
      <c r="AI330" s="39">
        <f ca="1">IF(NOTA[ID_H]="","",INDEX(NOTA[TANGGAL],MATCH(,INDIRECT(ADDRESS(ROW(NOTA[TANGGAL]),COLUMN(NOTA[TANGGAL]))&amp;":"&amp;ADDRESS(ROW(),COLUMN(NOTA[TANGGAL]))),-1)))</f>
        <v>45302</v>
      </c>
      <c r="AJ330" s="41" t="str">
        <f ca="1">IF(NOTA[[#This Row],[NAMA BARANG]]="","",INDEX(NOTA[SUPPLIER],MATCH(,INDIRECT(ADDRESS(ROW(NOTA[ID]),COLUMN(NOTA[ID]))&amp;":"&amp;ADDRESS(ROW(),COLUMN(NOTA[ID]))),-1)))</f>
        <v>DB STATIONERY</v>
      </c>
      <c r="AK330" s="41" t="str">
        <f ca="1">IF(NOTA[[#This Row],[ID_H]]="","",IF(NOTA[[#This Row],[FAKTUR]]="",INDIRECT(ADDRESS(ROW()-1,COLUMN())),NOTA[[#This Row],[FAKTUR]]))</f>
        <v>UNTANA</v>
      </c>
      <c r="AL330" s="38" t="str">
        <f ca="1">IF(NOTA[[#This Row],[ID]]="","",COUNTIF(NOTA[ID_H],NOTA[[#This Row],[ID_H]]))</f>
        <v/>
      </c>
      <c r="AM330" s="38">
        <f ca="1">IF(NOTA[[#This Row],[TGL.NOTA]]="",IF(NOTA[[#This Row],[SUPPLIER_H]]="","",AM328),MONTH(NOTA[[#This Row],[TGL.NOTA]]))</f>
        <v>1</v>
      </c>
      <c r="AN330" s="38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>
        <f>IF(NOTA[[#This Row],[CONCAT1]]="","",MATCH(NOTA[[#This Row],[CONCAT1]],[3]!db[NB NOTA_C],0))</f>
        <v>2563</v>
      </c>
      <c r="AT330" s="38" t="b">
        <f>IF(NOTA[[#This Row],[QTY/ CTN]]="","",TRUE)</f>
        <v>1</v>
      </c>
      <c r="AU330" s="38" t="str">
        <f ca="1">IF(NOTA[[#This Row],[ID_H]]="","",IF(NOTA[[#This Row],[Column3]]=TRUE,NOTA[[#This Row],[QTY/ CTN]],INDEX([3]!db[QTY/ CTN],NOTA[[#This Row],[//DB]])))</f>
        <v>360LSN</v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W330" s="38" t="e">
        <f ca="1">IF(NOTA[[#This Row],[ID_H]]="","",MATCH(NOTA[[#This Row],[NB NOTA_C_QTY]],[4]!db[NB NOTA_C_QTY+F],0))</f>
        <v>#REF!</v>
      </c>
      <c r="AX330" s="53">
        <f ca="1">IF(NOTA[[#This Row],[NB NOTA_C_QTY]]="","",ROW()-2)</f>
        <v>328</v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54</v>
      </c>
      <c r="E331" s="46"/>
      <c r="F331" s="37"/>
      <c r="G331" s="37"/>
      <c r="H331" s="47"/>
      <c r="I331" s="37"/>
      <c r="J331" s="39"/>
      <c r="K331" s="37">
        <v>0</v>
      </c>
      <c r="L331" s="37" t="s">
        <v>470</v>
      </c>
      <c r="M331" s="40">
        <v>1</v>
      </c>
      <c r="N331" s="38">
        <v>360</v>
      </c>
      <c r="O331" s="37" t="s">
        <v>111</v>
      </c>
      <c r="P331" s="41">
        <v>7700</v>
      </c>
      <c r="Q331" s="42"/>
      <c r="R331" s="48" t="s">
        <v>477</v>
      </c>
      <c r="S331" s="49"/>
      <c r="T331" s="44"/>
      <c r="U331" s="44"/>
      <c r="V331" s="50"/>
      <c r="W331" s="45"/>
      <c r="X331" s="50">
        <f>IF(NOTA[[#This Row],[HARGA/ CTN]]="",NOTA[[#This Row],[JUMLAH_H]],NOTA[[#This Row],[HARGA/ CTN]]*IF(NOTA[[#This Row],[C]]="",0,NOTA[[#This Row],[C]]))</f>
        <v>2772000</v>
      </c>
      <c r="Y331" s="50">
        <f>IF(NOTA[[#This Row],[JUMLAH]]="","",NOTA[[#This Row],[JUMLAH]]*NOTA[[#This Row],[DISC 1]])</f>
        <v>0</v>
      </c>
      <c r="Z331" s="50">
        <f>IF(NOTA[[#This Row],[JUMLAH]]="","",(NOTA[[#This Row],[JUMLAH]]-NOTA[[#This Row],[DISC 1-]])*NOTA[[#This Row],[DISC 2]])</f>
        <v>0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0</v>
      </c>
      <c r="AC331" s="50">
        <f>IF(NOTA[[#This Row],[JUMLAH]]="","",NOTA[[#This Row],[JUMLAH]]-NOTA[[#This Row],[DISC]])</f>
        <v>2772000</v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1" s="50">
        <f>IF(OR(NOTA[[#This Row],[QTY]]="",NOTA[[#This Row],[HARGA SATUAN]]="",),"",NOTA[[#This Row],[QTY]]*NOTA[[#This Row],[HARGA SATUAN]])</f>
        <v>2772000</v>
      </c>
      <c r="AI331" s="39">
        <f ca="1">IF(NOTA[ID_H]="","",INDEX(NOTA[TANGGAL],MATCH(,INDIRECT(ADDRESS(ROW(NOTA[TANGGAL]),COLUMN(NOTA[TANGGAL]))&amp;":"&amp;ADDRESS(ROW(),COLUMN(NOTA[TANGGAL]))),-1)))</f>
        <v>45302</v>
      </c>
      <c r="AJ331" s="41" t="str">
        <f ca="1">IF(NOTA[[#This Row],[NAMA BARANG]]="","",INDEX(NOTA[SUPPLIER],MATCH(,INDIRECT(ADDRESS(ROW(NOTA[ID]),COLUMN(NOTA[ID]))&amp;":"&amp;ADDRESS(ROW(),COLUMN(NOTA[ID]))),-1)))</f>
        <v>DB STATIONERY</v>
      </c>
      <c r="AK331" s="41" t="str">
        <f ca="1">IF(NOTA[[#This Row],[ID_H]]="","",IF(NOTA[[#This Row],[FAKTUR]]="",INDIRECT(ADDRESS(ROW()-1,COLUMN())),NOTA[[#This Row],[FAKTUR]]))</f>
        <v>UNTANA</v>
      </c>
      <c r="AL331" s="38" t="str">
        <f ca="1">IF(NOTA[[#This Row],[ID]]="","",COUNTIF(NOTA[ID_H],NOTA[[#This Row],[ID_H]]))</f>
        <v/>
      </c>
      <c r="AM331" s="38">
        <f ca="1">IF(NOTA[[#This Row],[TGL.NOTA]]="",IF(NOTA[[#This Row],[SUPPLIER_H]]="","",AM330),MONTH(NOTA[[#This Row],[TGL.NOTA]]))</f>
        <v>1</v>
      </c>
      <c r="AN331" s="38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>
        <f>IF(NOTA[[#This Row],[CONCAT1]]="","",MATCH(NOTA[[#This Row],[CONCAT1]],[3]!db[NB NOTA_C],0))</f>
        <v>2586</v>
      </c>
      <c r="AT331" s="38" t="b">
        <f>IF(NOTA[[#This Row],[QTY/ CTN]]="","",TRUE)</f>
        <v>1</v>
      </c>
      <c r="AU331" s="38" t="str">
        <f ca="1">IF(NOTA[[#This Row],[ID_H]]="","",IF(NOTA[[#This Row],[Column3]]=TRUE,NOTA[[#This Row],[QTY/ CTN]],INDEX([3]!db[QTY/ CTN],NOTA[[#This Row],[//DB]])))</f>
        <v>360LSN</v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pensil2bkayagikypf3053360lsnuntana</v>
      </c>
      <c r="AW331" s="38" t="e">
        <f ca="1">IF(NOTA[[#This Row],[ID_H]]="","",MATCH(NOTA[[#This Row],[NB NOTA_C_QTY]],[4]!db[NB NOTA_C_QTY+F],0))</f>
        <v>#REF!</v>
      </c>
      <c r="AX331" s="53">
        <f ca="1">IF(NOTA[[#This Row],[NB NOTA_C_QTY]]="","",ROW()-2)</f>
        <v>329</v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54</v>
      </c>
      <c r="E332" s="46"/>
      <c r="F332" s="37"/>
      <c r="G332" s="37"/>
      <c r="H332" s="47"/>
      <c r="I332" s="37"/>
      <c r="J332" s="39"/>
      <c r="K332" s="37"/>
      <c r="L332" s="37" t="s">
        <v>471</v>
      </c>
      <c r="M332" s="40">
        <v>1</v>
      </c>
      <c r="N332" s="38">
        <v>360</v>
      </c>
      <c r="O332" s="37" t="s">
        <v>111</v>
      </c>
      <c r="P332" s="41">
        <v>7700</v>
      </c>
      <c r="Q332" s="42"/>
      <c r="R332" s="48" t="s">
        <v>477</v>
      </c>
      <c r="S332" s="49"/>
      <c r="T332" s="44"/>
      <c r="U332" s="44"/>
      <c r="V332" s="50"/>
      <c r="W332" s="45"/>
      <c r="X332" s="50">
        <f>IF(NOTA[[#This Row],[HARGA/ CTN]]="",NOTA[[#This Row],[JUMLAH_H]],NOTA[[#This Row],[HARGA/ CTN]]*IF(NOTA[[#This Row],[C]]="",0,NOTA[[#This Row],[C]]))</f>
        <v>2772000</v>
      </c>
      <c r="Y332" s="50">
        <f>IF(NOTA[[#This Row],[JUMLAH]]="","",NOTA[[#This Row],[JUMLAH]]*NOTA[[#This Row],[DISC 1]])</f>
        <v>0</v>
      </c>
      <c r="Z332" s="50">
        <f>IF(NOTA[[#This Row],[JUMLAH]]="","",(NOTA[[#This Row],[JUMLAH]]-NOTA[[#This Row],[DISC 1-]])*NOTA[[#This Row],[DISC 2]])</f>
        <v>0</v>
      </c>
      <c r="AA332" s="50">
        <f>IF(NOTA[[#This Row],[JUMLAH]]="","",(NOTA[[#This Row],[JUMLAH]]-NOTA[[#This Row],[DISC 1-]]-NOTA[[#This Row],[DISC 2-]])*NOTA[[#This Row],[DISC 3]])</f>
        <v>0</v>
      </c>
      <c r="AB332" s="50">
        <f>IF(NOTA[[#This Row],[JUMLAH]]="","",NOTA[[#This Row],[DISC 1-]]+NOTA[[#This Row],[DISC 2-]]+NOTA[[#This Row],[DISC 3-]])</f>
        <v>0</v>
      </c>
      <c r="AC332" s="50">
        <f>IF(NOTA[[#This Row],[JUMLAH]]="","",NOTA[[#This Row],[JUMLAH]]-NOTA[[#This Row],[DISC]])</f>
        <v>2772000</v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2" s="50">
        <f>IF(OR(NOTA[[#This Row],[QTY]]="",NOTA[[#This Row],[HARGA SATUAN]]="",),"",NOTA[[#This Row],[QTY]]*NOTA[[#This Row],[HARGA SATUAN]])</f>
        <v>2772000</v>
      </c>
      <c r="AI332" s="39">
        <f ca="1">IF(NOTA[ID_H]="","",INDEX(NOTA[TANGGAL],MATCH(,INDIRECT(ADDRESS(ROW(NOTA[TANGGAL]),COLUMN(NOTA[TANGGAL]))&amp;":"&amp;ADDRESS(ROW(),COLUMN(NOTA[TANGGAL]))),-1)))</f>
        <v>45302</v>
      </c>
      <c r="AJ332" s="41" t="str">
        <f ca="1">IF(NOTA[[#This Row],[NAMA BARANG]]="","",INDEX(NOTA[SUPPLIER],MATCH(,INDIRECT(ADDRESS(ROW(NOTA[ID]),COLUMN(NOTA[ID]))&amp;":"&amp;ADDRESS(ROW(),COLUMN(NOTA[ID]))),-1)))</f>
        <v>DB STATIONERY</v>
      </c>
      <c r="AK332" s="41" t="str">
        <f ca="1">IF(NOTA[[#This Row],[ID_H]]="","",IF(NOTA[[#This Row],[FAKTUR]]="",INDIRECT(ADDRESS(ROW()-1,COLUMN())),NOTA[[#This Row],[FAKTUR]]))</f>
        <v>UNTANA</v>
      </c>
      <c r="AL332" s="38" t="str">
        <f ca="1">IF(NOTA[[#This Row],[ID]]="","",COUNTIF(NOTA[ID_H],NOTA[[#This Row],[ID_H]]))</f>
        <v/>
      </c>
      <c r="AM332" s="38">
        <f ca="1">IF(NOTA[[#This Row],[TGL.NOTA]]="",IF(NOTA[[#This Row],[SUPPLIER_H]]="","",AM331),MONTH(NOTA[[#This Row],[TGL.NOTA]]))</f>
        <v>1</v>
      </c>
      <c r="AN332" s="38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>
        <f>IF(NOTA[[#This Row],[CONCAT1]]="","",MATCH(NOTA[[#This Row],[CONCAT1]],[3]!db[NB NOTA_C],0))</f>
        <v>2588</v>
      </c>
      <c r="AT332" s="38" t="b">
        <f>IF(NOTA[[#This Row],[QTY/ CTN]]="","",TRUE)</f>
        <v>1</v>
      </c>
      <c r="AU332" s="38" t="str">
        <f ca="1">IF(NOTA[[#This Row],[ID_H]]="","",IF(NOTA[[#This Row],[Column3]]=TRUE,NOTA[[#This Row],[QTY/ CTN]],INDEX([3]!db[QTY/ CTN],NOTA[[#This Row],[//DB]])))</f>
        <v>360LSN</v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pensil2bkayagikypf3056360lsnuntana</v>
      </c>
      <c r="AW332" s="38" t="e">
        <f ca="1">IF(NOTA[[#This Row],[ID_H]]="","",MATCH(NOTA[[#This Row],[NB NOTA_C_QTY]],[4]!db[NB NOTA_C_QTY+F],0))</f>
        <v>#REF!</v>
      </c>
      <c r="AX332" s="53">
        <f ca="1">IF(NOTA[[#This Row],[NB NOTA_C_QTY]]="","",ROW()-2)</f>
        <v>330</v>
      </c>
    </row>
    <row r="333" spans="1:50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54</v>
      </c>
      <c r="E333" s="46"/>
      <c r="F333" s="37"/>
      <c r="G333" s="37"/>
      <c r="H333" s="47"/>
      <c r="I333" s="37"/>
      <c r="J333" s="39"/>
      <c r="K333" s="37">
        <v>0</v>
      </c>
      <c r="L333" s="37" t="s">
        <v>472</v>
      </c>
      <c r="M333" s="40">
        <v>1</v>
      </c>
      <c r="N333" s="38">
        <v>360</v>
      </c>
      <c r="O333" s="37" t="s">
        <v>111</v>
      </c>
      <c r="P333" s="41">
        <v>7700</v>
      </c>
      <c r="Q333" s="42"/>
      <c r="R333" s="48" t="s">
        <v>477</v>
      </c>
      <c r="S333" s="49"/>
      <c r="T333" s="44"/>
      <c r="U333" s="44"/>
      <c r="V333" s="50"/>
      <c r="W333" s="45"/>
      <c r="X333" s="50">
        <f>IF(NOTA[[#This Row],[HARGA/ CTN]]="",NOTA[[#This Row],[JUMLAH_H]],NOTA[[#This Row],[HARGA/ CTN]]*IF(NOTA[[#This Row],[C]]="",0,NOTA[[#This Row],[C]]))</f>
        <v>2772000</v>
      </c>
      <c r="Y333" s="50">
        <f>IF(NOTA[[#This Row],[JUMLAH]]="","",NOTA[[#This Row],[JUMLAH]]*NOTA[[#This Row],[DISC 1]])</f>
        <v>0</v>
      </c>
      <c r="Z333" s="50">
        <f>IF(NOTA[[#This Row],[JUMLAH]]="","",(NOTA[[#This Row],[JUMLAH]]-NOTA[[#This Row],[DISC 1-]])*NOTA[[#This Row],[DISC 2]])</f>
        <v>0</v>
      </c>
      <c r="AA333" s="50">
        <f>IF(NOTA[[#This Row],[JUMLAH]]="","",(NOTA[[#This Row],[JUMLAH]]-NOTA[[#This Row],[DISC 1-]]-NOTA[[#This Row],[DISC 2-]])*NOTA[[#This Row],[DISC 3]])</f>
        <v>0</v>
      </c>
      <c r="AB333" s="50">
        <f>IF(NOTA[[#This Row],[JUMLAH]]="","",NOTA[[#This Row],[DISC 1-]]+NOTA[[#This Row],[DISC 2-]]+NOTA[[#This Row],[DISC 3-]])</f>
        <v>0</v>
      </c>
      <c r="AC333" s="50">
        <f>IF(NOTA[[#This Row],[JUMLAH]]="","",NOTA[[#This Row],[JUMLAH]]-NOTA[[#This Row],[DISC]])</f>
        <v>2772000</v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3" s="50">
        <f>IF(OR(NOTA[[#This Row],[QTY]]="",NOTA[[#This Row],[HARGA SATUAN]]="",),"",NOTA[[#This Row],[QTY]]*NOTA[[#This Row],[HARGA SATUAN]])</f>
        <v>2772000</v>
      </c>
      <c r="AI333" s="39">
        <f ca="1">IF(NOTA[ID_H]="","",INDEX(NOTA[TANGGAL],MATCH(,INDIRECT(ADDRESS(ROW(NOTA[TANGGAL]),COLUMN(NOTA[TANGGAL]))&amp;":"&amp;ADDRESS(ROW(),COLUMN(NOTA[TANGGAL]))),-1)))</f>
        <v>45302</v>
      </c>
      <c r="AJ333" s="41" t="str">
        <f ca="1">IF(NOTA[[#This Row],[NAMA BARANG]]="","",INDEX(NOTA[SUPPLIER],MATCH(,INDIRECT(ADDRESS(ROW(NOTA[ID]),COLUMN(NOTA[ID]))&amp;":"&amp;ADDRESS(ROW(),COLUMN(NOTA[ID]))),-1)))</f>
        <v>DB STATIONERY</v>
      </c>
      <c r="AK333" s="41" t="str">
        <f ca="1">IF(NOTA[[#This Row],[ID_H]]="","",IF(NOTA[[#This Row],[FAKTUR]]="",INDIRECT(ADDRESS(ROW()-1,COLUMN())),NOTA[[#This Row],[FAKTUR]]))</f>
        <v>UNTANA</v>
      </c>
      <c r="AL333" s="38" t="str">
        <f ca="1">IF(NOTA[[#This Row],[ID]]="","",COUNTIF(NOTA[ID_H],NOTA[[#This Row],[ID_H]]))</f>
        <v/>
      </c>
      <c r="AM333" s="38">
        <f ca="1">IF(NOTA[[#This Row],[TGL.NOTA]]="",IF(NOTA[[#This Row],[SUPPLIER_H]]="","",AM332),MONTH(NOTA[[#This Row],[TGL.NOTA]]))</f>
        <v>1</v>
      </c>
      <c r="AN333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38" t="str">
        <f>IF(NOTA[[#This Row],[CONCAT4]]="","",_xlfn.IFNA(MATCH(NOTA[[#This Row],[CONCAT4]],[2]!RAW[CONCAT_H],0),FALSE))</f>
        <v/>
      </c>
      <c r="AS333" s="38">
        <f>IF(NOTA[[#This Row],[CONCAT1]]="","",MATCH(NOTA[[#This Row],[CONCAT1]],[3]!db[NB NOTA_C],0))</f>
        <v>2590</v>
      </c>
      <c r="AT333" s="38" t="b">
        <f>IF(NOTA[[#This Row],[QTY/ CTN]]="","",TRUE)</f>
        <v>1</v>
      </c>
      <c r="AU333" s="38" t="str">
        <f ca="1">IF(NOTA[[#This Row],[ID_H]]="","",IF(NOTA[[#This Row],[Column3]]=TRUE,NOTA[[#This Row],[QTY/ CTN]],INDEX([3]!db[QTY/ CTN],NOTA[[#This Row],[//DB]])))</f>
        <v>360LSN</v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W333" s="38" t="e">
        <f ca="1">IF(NOTA[[#This Row],[ID_H]]="","",MATCH(NOTA[[#This Row],[NB NOTA_C_QTY]],[4]!db[NB NOTA_C_QTY+F],0))</f>
        <v>#REF!</v>
      </c>
      <c r="AX333" s="53">
        <f ca="1">IF(NOTA[[#This Row],[NB NOTA_C_QTY]]="","",ROW()-2)</f>
        <v>331</v>
      </c>
    </row>
    <row r="334" spans="1:50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>
        <f ca="1">IF(NOTA[[#This Row],[NAMA BARANG]]="","",INDEX(NOTA[ID],MATCH(,INDIRECT(ADDRESS(ROW(NOTA[ID]),COLUMN(NOTA[ID]))&amp;":"&amp;ADDRESS(ROW(),COLUMN(NOTA[ID]))),-1)))</f>
        <v>54</v>
      </c>
      <c r="E334" s="46"/>
      <c r="F334" s="37"/>
      <c r="G334" s="37"/>
      <c r="H334" s="47"/>
      <c r="I334" s="37"/>
      <c r="J334" s="39"/>
      <c r="K334" s="37">
        <v>0</v>
      </c>
      <c r="L334" s="37" t="s">
        <v>473</v>
      </c>
      <c r="M334" s="40">
        <v>1</v>
      </c>
      <c r="N334" s="38">
        <v>360</v>
      </c>
      <c r="O334" s="37" t="s">
        <v>111</v>
      </c>
      <c r="P334" s="41">
        <v>7700</v>
      </c>
      <c r="Q334" s="42"/>
      <c r="R334" s="48" t="s">
        <v>477</v>
      </c>
      <c r="S334" s="49"/>
      <c r="T334" s="44"/>
      <c r="U334" s="44"/>
      <c r="V334" s="50"/>
      <c r="W334" s="45"/>
      <c r="X334" s="50">
        <f>IF(NOTA[[#This Row],[HARGA/ CTN]]="",NOTA[[#This Row],[JUMLAH_H]],NOTA[[#This Row],[HARGA/ CTN]]*IF(NOTA[[#This Row],[C]]="",0,NOTA[[#This Row],[C]]))</f>
        <v>2772000</v>
      </c>
      <c r="Y334" s="50">
        <f>IF(NOTA[[#This Row],[JUMLAH]]="","",NOTA[[#This Row],[JUMLAH]]*NOTA[[#This Row],[DISC 1]])</f>
        <v>0</v>
      </c>
      <c r="Z334" s="50">
        <f>IF(NOTA[[#This Row],[JUMLAH]]="","",(NOTA[[#This Row],[JUMLAH]]-NOTA[[#This Row],[DISC 1-]])*NOTA[[#This Row],[DISC 2]])</f>
        <v>0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0</v>
      </c>
      <c r="AC334" s="50">
        <f>IF(NOTA[[#This Row],[JUMLAH]]="","",NOTA[[#This Row],[JUMLAH]]-NOTA[[#This Row],[DISC]])</f>
        <v>2772000</v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4" s="50">
        <f>IF(OR(NOTA[[#This Row],[QTY]]="",NOTA[[#This Row],[HARGA SATUAN]]="",),"",NOTA[[#This Row],[QTY]]*NOTA[[#This Row],[HARGA SATUAN]])</f>
        <v>2772000</v>
      </c>
      <c r="AI334" s="39">
        <f ca="1">IF(NOTA[ID_H]="","",INDEX(NOTA[TANGGAL],MATCH(,INDIRECT(ADDRESS(ROW(NOTA[TANGGAL]),COLUMN(NOTA[TANGGAL]))&amp;":"&amp;ADDRESS(ROW(),COLUMN(NOTA[TANGGAL]))),-1)))</f>
        <v>45302</v>
      </c>
      <c r="AJ334" s="41" t="str">
        <f ca="1">IF(NOTA[[#This Row],[NAMA BARANG]]="","",INDEX(NOTA[SUPPLIER],MATCH(,INDIRECT(ADDRESS(ROW(NOTA[ID]),COLUMN(NOTA[ID]))&amp;":"&amp;ADDRESS(ROW(),COLUMN(NOTA[ID]))),-1)))</f>
        <v>DB STATIONERY</v>
      </c>
      <c r="AK334" s="41" t="str">
        <f ca="1">IF(NOTA[[#This Row],[ID_H]]="","",IF(NOTA[[#This Row],[FAKTUR]]="",INDIRECT(ADDRESS(ROW()-1,COLUMN())),NOTA[[#This Row],[FAKTUR]]))</f>
        <v>UNTANA</v>
      </c>
      <c r="AL334" s="38" t="str">
        <f ca="1">IF(NOTA[[#This Row],[ID]]="","",COUNTIF(NOTA[ID_H],NOTA[[#This Row],[ID_H]]))</f>
        <v/>
      </c>
      <c r="AM334" s="38">
        <f ca="1">IF(NOTA[[#This Row],[TGL.NOTA]]="",IF(NOTA[[#This Row],[SUPPLIER_H]]="","",AM333),MONTH(NOTA[[#This Row],[TGL.NOTA]]))</f>
        <v>1</v>
      </c>
      <c r="AN334" s="38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Row],[CONCAT4]],[2]!RAW[CONCAT_H],0),FALSE))</f>
        <v/>
      </c>
      <c r="AS334" s="38">
        <f>IF(NOTA[[#This Row],[CONCAT1]]="","",MATCH(NOTA[[#This Row],[CONCAT1]],[3]!db[NB NOTA_C],0))</f>
        <v>2593</v>
      </c>
      <c r="AT334" s="38" t="b">
        <f>IF(NOTA[[#This Row],[QTY/ CTN]]="","",TRUE)</f>
        <v>1</v>
      </c>
      <c r="AU334" s="38" t="str">
        <f ca="1">IF(NOTA[[#This Row],[ID_H]]="","",IF(NOTA[[#This Row],[Column3]]=TRUE,NOTA[[#This Row],[QTY/ CTN]],INDEX([3]!db[QTY/ CTN],NOTA[[#This Row],[//DB]])))</f>
        <v>360LSN</v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pensil2bkayagikypf3062360lsnuntana</v>
      </c>
      <c r="AW334" s="38" t="e">
        <f ca="1">IF(NOTA[[#This Row],[ID_H]]="","",MATCH(NOTA[[#This Row],[NB NOTA_C_QTY]],[4]!db[NB NOTA_C_QTY+F],0))</f>
        <v>#REF!</v>
      </c>
      <c r="AX334" s="53">
        <f ca="1">IF(NOTA[[#This Row],[NB NOTA_C_QTY]]="","",ROW()-2)</f>
        <v>332</v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>
        <f ca="1">IF(NOTA[[#This Row],[NAMA BARANG]]="","",INDEX(NOTA[ID],MATCH(,INDIRECT(ADDRESS(ROW(NOTA[ID]),COLUMN(NOTA[ID]))&amp;":"&amp;ADDRESS(ROW(),COLUMN(NOTA[ID]))),-1)))</f>
        <v>54</v>
      </c>
      <c r="E335" s="46"/>
      <c r="F335" s="37"/>
      <c r="G335" s="37"/>
      <c r="H335" s="47"/>
      <c r="I335" s="37"/>
      <c r="J335" s="39"/>
      <c r="K335" s="37">
        <v>0</v>
      </c>
      <c r="L335" s="37" t="s">
        <v>474</v>
      </c>
      <c r="M335" s="40">
        <v>1</v>
      </c>
      <c r="N335" s="38">
        <v>360</v>
      </c>
      <c r="O335" s="37" t="s">
        <v>111</v>
      </c>
      <c r="P335" s="41">
        <v>7700</v>
      </c>
      <c r="Q335" s="42"/>
      <c r="R335" s="48" t="s">
        <v>477</v>
      </c>
      <c r="S335" s="49"/>
      <c r="T335" s="44"/>
      <c r="U335" s="44"/>
      <c r="V335" s="50"/>
      <c r="W335" s="45"/>
      <c r="X335" s="50">
        <f>IF(NOTA[[#This Row],[HARGA/ CTN]]="",NOTA[[#This Row],[JUMLAH_H]],NOTA[[#This Row],[HARGA/ CTN]]*IF(NOTA[[#This Row],[C]]="",0,NOTA[[#This Row],[C]]))</f>
        <v>2772000</v>
      </c>
      <c r="Y335" s="50">
        <f>IF(NOTA[[#This Row],[JUMLAH]]="","",NOTA[[#This Row],[JUMLAH]]*NOTA[[#This Row],[DISC 1]])</f>
        <v>0</v>
      </c>
      <c r="Z335" s="50">
        <f>IF(NOTA[[#This Row],[JUMLAH]]="","",(NOTA[[#This Row],[JUMLAH]]-NOTA[[#This Row],[DISC 1-]])*NOTA[[#This Row],[DISC 2]])</f>
        <v>0</v>
      </c>
      <c r="AA335" s="50">
        <f>IF(NOTA[[#This Row],[JUMLAH]]="","",(NOTA[[#This Row],[JUMLAH]]-NOTA[[#This Row],[DISC 1-]]-NOTA[[#This Row],[DISC 2-]])*NOTA[[#This Row],[DISC 3]])</f>
        <v>0</v>
      </c>
      <c r="AB335" s="50">
        <f>IF(NOTA[[#This Row],[JUMLAH]]="","",NOTA[[#This Row],[DISC 1-]]+NOTA[[#This Row],[DISC 2-]]+NOTA[[#This Row],[DISC 3-]])</f>
        <v>0</v>
      </c>
      <c r="AC335" s="50">
        <f>IF(NOTA[[#This Row],[JUMLAH]]="","",NOTA[[#This Row],[JUMLAH]]-NOTA[[#This Row],[DISC]])</f>
        <v>2772000</v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5" s="50">
        <f>IF(OR(NOTA[[#This Row],[QTY]]="",NOTA[[#This Row],[HARGA SATUAN]]="",),"",NOTA[[#This Row],[QTY]]*NOTA[[#This Row],[HARGA SATUAN]])</f>
        <v>2772000</v>
      </c>
      <c r="AI335" s="39">
        <f ca="1">IF(NOTA[ID_H]="","",INDEX(NOTA[TANGGAL],MATCH(,INDIRECT(ADDRESS(ROW(NOTA[TANGGAL]),COLUMN(NOTA[TANGGAL]))&amp;":"&amp;ADDRESS(ROW(),COLUMN(NOTA[TANGGAL]))),-1)))</f>
        <v>45302</v>
      </c>
      <c r="AJ335" s="41" t="str">
        <f ca="1">IF(NOTA[[#This Row],[NAMA BARANG]]="","",INDEX(NOTA[SUPPLIER],MATCH(,INDIRECT(ADDRESS(ROW(NOTA[ID]),COLUMN(NOTA[ID]))&amp;":"&amp;ADDRESS(ROW(),COLUMN(NOTA[ID]))),-1)))</f>
        <v>DB STATIONERY</v>
      </c>
      <c r="AK335" s="41" t="str">
        <f ca="1">IF(NOTA[[#This Row],[ID_H]]="","",IF(NOTA[[#This Row],[FAKTUR]]="",INDIRECT(ADDRESS(ROW()-1,COLUMN())),NOTA[[#This Row],[FAKTUR]]))</f>
        <v>UNTANA</v>
      </c>
      <c r="AL335" s="38" t="str">
        <f ca="1">IF(NOTA[[#This Row],[ID]]="","",COUNTIF(NOTA[ID_H],NOTA[[#This Row],[ID_H]]))</f>
        <v/>
      </c>
      <c r="AM335" s="38">
        <f ca="1">IF(NOTA[[#This Row],[TGL.NOTA]]="",IF(NOTA[[#This Row],[SUPPLIER_H]]="","",AM334),MONTH(NOTA[[#This Row],[TGL.NOTA]]))</f>
        <v>1</v>
      </c>
      <c r="AN335" s="38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>
        <f>IF(NOTA[[#This Row],[CONCAT1]]="","",MATCH(NOTA[[#This Row],[CONCAT1]],[3]!db[NB NOTA_C],0))</f>
        <v>2567</v>
      </c>
      <c r="AT335" s="38" t="b">
        <f>IF(NOTA[[#This Row],[QTY/ CTN]]="","",TRUE)</f>
        <v>1</v>
      </c>
      <c r="AU335" s="38" t="str">
        <f ca="1">IF(NOTA[[#This Row],[ID_H]]="","",IF(NOTA[[#This Row],[Column3]]=TRUE,NOTA[[#This Row],[QTY/ CTN]],INDEX([3]!db[QTY/ CTN],NOTA[[#This Row],[//DB]])))</f>
        <v>360LSN</v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W335" s="38" t="e">
        <f ca="1">IF(NOTA[[#This Row],[ID_H]]="","",MATCH(NOTA[[#This Row],[NB NOTA_C_QTY]],[4]!db[NB NOTA_C_QTY+F],0))</f>
        <v>#REF!</v>
      </c>
      <c r="AX335" s="53">
        <f ca="1">IF(NOTA[[#This Row],[NB NOTA_C_QTY]]="","",ROW()-2)</f>
        <v>333</v>
      </c>
    </row>
    <row r="336" spans="1:50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54</v>
      </c>
      <c r="E336" s="46"/>
      <c r="F336" s="37"/>
      <c r="G336" s="37"/>
      <c r="H336" s="47"/>
      <c r="I336" s="37"/>
      <c r="J336" s="39"/>
      <c r="K336" s="37">
        <v>0</v>
      </c>
      <c r="L336" s="37" t="s">
        <v>475</v>
      </c>
      <c r="M336" s="40">
        <v>1</v>
      </c>
      <c r="N336" s="38">
        <v>360</v>
      </c>
      <c r="O336" s="37" t="s">
        <v>111</v>
      </c>
      <c r="P336" s="41">
        <v>7700</v>
      </c>
      <c r="Q336" s="42"/>
      <c r="R336" s="48" t="s">
        <v>477</v>
      </c>
      <c r="S336" s="49"/>
      <c r="T336" s="44"/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2772000</v>
      </c>
      <c r="Y336" s="50">
        <f>IF(NOTA[[#This Row],[JUMLAH]]="","",NOTA[[#This Row],[JUMLAH]]*NOTA[[#This Row],[DISC 1]])</f>
        <v>0</v>
      </c>
      <c r="Z336" s="50">
        <f>IF(NOTA[[#This Row],[JUMLAH]]="","",(NOTA[[#This Row],[JUMLAH]]-NOTA[[#This Row],[DISC 1-]])*NOTA[[#This Row],[DISC 2]])</f>
        <v>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0</v>
      </c>
      <c r="AC336" s="50">
        <f>IF(NOTA[[#This Row],[JUMLAH]]="","",NOTA[[#This Row],[JUMLAH]]-NOTA[[#This Row],[DISC]])</f>
        <v>2772000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6" s="50">
        <f>IF(OR(NOTA[[#This Row],[QTY]]="",NOTA[[#This Row],[HARGA SATUAN]]="",),"",NOTA[[#This Row],[QTY]]*NOTA[[#This Row],[HARGA SATUAN]])</f>
        <v>2772000</v>
      </c>
      <c r="AI336" s="39">
        <f ca="1">IF(NOTA[ID_H]="","",INDEX(NOTA[TANGGAL],MATCH(,INDIRECT(ADDRESS(ROW(NOTA[TANGGAL]),COLUMN(NOTA[TANGGAL]))&amp;":"&amp;ADDRESS(ROW(),COLUMN(NOTA[TANGGAL]))),-1)))</f>
        <v>45302</v>
      </c>
      <c r="AJ336" s="41" t="str">
        <f ca="1">IF(NOTA[[#This Row],[NAMA BARANG]]="","",INDEX(NOTA[SUPPLIER],MATCH(,INDIRECT(ADDRESS(ROW(NOTA[ID]),COLUMN(NOTA[ID]))&amp;":"&amp;ADDRESS(ROW(),COLUMN(NOTA[ID]))),-1)))</f>
        <v>DB STATIONERY</v>
      </c>
      <c r="AK336" s="41" t="str">
        <f ca="1">IF(NOTA[[#This Row],[ID_H]]="","",IF(NOTA[[#This Row],[FAKTUR]]="",INDIRECT(ADDRESS(ROW()-1,COLUMN())),NOTA[[#This Row],[FAKTUR]]))</f>
        <v>UNTANA</v>
      </c>
      <c r="AL336" s="38" t="str">
        <f ca="1">IF(NOTA[[#This Row],[ID]]="","",COUNTIF(NOTA[ID_H],NOTA[[#This Row],[ID_H]]))</f>
        <v/>
      </c>
      <c r="AM336" s="38">
        <f ca="1">IF(NOTA[[#This Row],[TGL.NOTA]]="",IF(NOTA[[#This Row],[SUPPLIER_H]]="","",AM335),MONTH(NOTA[[#This Row],[TGL.NOTA]]))</f>
        <v>1</v>
      </c>
      <c r="AN336" s="38" t="str">
        <f>LOWER(SUBSTITUTE(SUBSTITUTE(SUBSTITUTE(SUBSTITUTE(SUBSTITUTE(SUBSTITUTE(SUBSTITUTE(SUBSTITUTE(SUBSTITUTE(NOTA[NAMA BARANG]," ",),".",""),"-",""),"(",""),")",""),",",""),"/",""),"""",""),"+",""))</f>
        <v>pensil2bkayagikypf3091</v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pensil2bkayagikypf30912772000</v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pensil2bkayagikypf30912772000</v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38" t="str">
        <f>IF(NOTA[[#This Row],[CONCAT4]]="","",_xlfn.IFNA(MATCH(NOTA[[#This Row],[CONCAT4]],[2]!RAW[CONCAT_H],0),FALSE))</f>
        <v/>
      </c>
      <c r="AS336" s="38">
        <f>IF(NOTA[[#This Row],[CONCAT1]]="","",MATCH(NOTA[[#This Row],[CONCAT1]],[3]!db[NB NOTA_C],0))</f>
        <v>2594</v>
      </c>
      <c r="AT336" s="38" t="b">
        <f>IF(NOTA[[#This Row],[QTY/ CTN]]="","",TRUE)</f>
        <v>1</v>
      </c>
      <c r="AU336" s="38" t="str">
        <f ca="1">IF(NOTA[[#This Row],[ID_H]]="","",IF(NOTA[[#This Row],[Column3]]=TRUE,NOTA[[#This Row],[QTY/ CTN]],INDEX([3]!db[QTY/ CTN],NOTA[[#This Row],[//DB]])))</f>
        <v>360LSN</v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pensil2bkayagikypf3091360lsnuntana</v>
      </c>
      <c r="AW336" s="38" t="e">
        <f ca="1">IF(NOTA[[#This Row],[ID_H]]="","",MATCH(NOTA[[#This Row],[NB NOTA_C_QTY]],[4]!db[NB NOTA_C_QTY+F],0))</f>
        <v>#REF!</v>
      </c>
      <c r="AX336" s="53">
        <f ca="1">IF(NOTA[[#This Row],[NB NOTA_C_QTY]]="","",ROW()-2)</f>
        <v>334</v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54</v>
      </c>
      <c r="E337" s="46"/>
      <c r="F337" s="37"/>
      <c r="G337" s="37"/>
      <c r="H337" s="47"/>
      <c r="I337" s="37"/>
      <c r="J337" s="39"/>
      <c r="K337" s="37">
        <v>0</v>
      </c>
      <c r="L337" s="37" t="s">
        <v>476</v>
      </c>
      <c r="M337" s="40">
        <v>1</v>
      </c>
      <c r="N337" s="38">
        <v>360</v>
      </c>
      <c r="O337" s="37" t="s">
        <v>111</v>
      </c>
      <c r="P337" s="41">
        <v>7700</v>
      </c>
      <c r="Q337" s="42"/>
      <c r="R337" s="48" t="s">
        <v>477</v>
      </c>
      <c r="S337" s="49"/>
      <c r="T337" s="44"/>
      <c r="U337" s="44"/>
      <c r="V337" s="50"/>
      <c r="W337" s="45"/>
      <c r="X337" s="50">
        <f>IF(NOTA[[#This Row],[HARGA/ CTN]]="",NOTA[[#This Row],[JUMLAH_H]],NOTA[[#This Row],[HARGA/ CTN]]*IF(NOTA[[#This Row],[C]]="",0,NOTA[[#This Row],[C]]))</f>
        <v>2772000</v>
      </c>
      <c r="Y337" s="50">
        <f>IF(NOTA[[#This Row],[JUMLAH]]="","",NOTA[[#This Row],[JUMLAH]]*NOTA[[#This Row],[DISC 1]])</f>
        <v>0</v>
      </c>
      <c r="Z337" s="50">
        <f>IF(NOTA[[#This Row],[JUMLAH]]="","",(NOTA[[#This Row],[JUMLAH]]-NOTA[[#This Row],[DISC 1-]])*NOTA[[#This Row],[DISC 2]])</f>
        <v>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0</v>
      </c>
      <c r="AC337" s="50">
        <f>IF(NOTA[[#This Row],[JUMLAH]]="","",NOTA[[#This Row],[JUMLAH]]-NOTA[[#This Row],[DISC]])</f>
        <v>2772000</v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7" s="50">
        <f>IF(OR(NOTA[[#This Row],[QTY]]="",NOTA[[#This Row],[HARGA SATUAN]]="",),"",NOTA[[#This Row],[QTY]]*NOTA[[#This Row],[HARGA SATUAN]])</f>
        <v>2772000</v>
      </c>
      <c r="AI337" s="39">
        <f ca="1">IF(NOTA[ID_H]="","",INDEX(NOTA[TANGGAL],MATCH(,INDIRECT(ADDRESS(ROW(NOTA[TANGGAL]),COLUMN(NOTA[TANGGAL]))&amp;":"&amp;ADDRESS(ROW(),COLUMN(NOTA[TANGGAL]))),-1)))</f>
        <v>45302</v>
      </c>
      <c r="AJ337" s="41" t="str">
        <f ca="1">IF(NOTA[[#This Row],[NAMA BARANG]]="","",INDEX(NOTA[SUPPLIER],MATCH(,INDIRECT(ADDRESS(ROW(NOTA[ID]),COLUMN(NOTA[ID]))&amp;":"&amp;ADDRESS(ROW(),COLUMN(NOTA[ID]))),-1)))</f>
        <v>DB STATIONERY</v>
      </c>
      <c r="AK337" s="41" t="str">
        <f ca="1">IF(NOTA[[#This Row],[ID_H]]="","",IF(NOTA[[#This Row],[FAKTUR]]="",INDIRECT(ADDRESS(ROW()-1,COLUMN())),NOTA[[#This Row],[FAKTUR]]))</f>
        <v>UNTANA</v>
      </c>
      <c r="AL337" s="38" t="str">
        <f ca="1">IF(NOTA[[#This Row],[ID]]="","",COUNTIF(NOTA[ID_H],NOTA[[#This Row],[ID_H]]))</f>
        <v/>
      </c>
      <c r="AM337" s="38">
        <f ca="1">IF(NOTA[[#This Row],[TGL.NOTA]]="",IF(NOTA[[#This Row],[SUPPLIER_H]]="","",AM336),MONTH(NOTA[[#This Row],[TGL.NOTA]]))</f>
        <v>1</v>
      </c>
      <c r="AN337" s="38" t="str">
        <f>LOWER(SUBSTITUTE(SUBSTITUTE(SUBSTITUTE(SUBSTITUTE(SUBSTITUTE(SUBSTITUTE(SUBSTITUTE(SUBSTITUTE(SUBSTITUTE(NOTA[NAMA BARANG]," ",),".",""),"-",""),"(",""),")",""),",",""),"/",""),"""",""),"+",""))</f>
        <v>pensil2bkayagikypf3092</v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pensil2bkayagikypf30922772000</v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pensil2bkayagikypf30922772000</v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 t="e">
        <f>IF(NOTA[[#This Row],[CONCAT1]]="","",MATCH(NOTA[[#This Row],[CONCAT1]],[3]!db[NB NOTA_C],0))</f>
        <v>#N/A</v>
      </c>
      <c r="AT337" s="38" t="b">
        <f>IF(NOTA[[#This Row],[QTY/ CTN]]="","",TRUE)</f>
        <v>1</v>
      </c>
      <c r="AU337" s="38" t="str">
        <f ca="1">IF(NOTA[[#This Row],[ID_H]]="","",IF(NOTA[[#This Row],[Column3]]=TRUE,NOTA[[#This Row],[QTY/ CTN]],INDEX([3]!db[QTY/ CTN],NOTA[[#This Row],[//DB]])))</f>
        <v>360LSN</v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pensil2bkayagikypf3092360lsnuntana</v>
      </c>
      <c r="AW337" s="38" t="e">
        <f ca="1">IF(NOTA[[#This Row],[ID_H]]="","",MATCH(NOTA[[#This Row],[NB NOTA_C_QTY]],[4]!db[NB NOTA_C_QTY+F],0))</f>
        <v>#REF!</v>
      </c>
      <c r="AX337" s="53">
        <f ca="1">IF(NOTA[[#This Row],[NB NOTA_C_QTY]]="","",ROW()-2)</f>
        <v>335</v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54</v>
      </c>
      <c r="E338" s="46"/>
      <c r="F338" s="37"/>
      <c r="G338" s="37"/>
      <c r="H338" s="47"/>
      <c r="I338" s="37"/>
      <c r="J338" s="39"/>
      <c r="K338" s="37"/>
      <c r="L338" s="37" t="s">
        <v>466</v>
      </c>
      <c r="M338" s="40">
        <v>1</v>
      </c>
      <c r="N338" s="38">
        <v>1</v>
      </c>
      <c r="O338" s="37" t="s">
        <v>115</v>
      </c>
      <c r="P338" s="41"/>
      <c r="Q338" s="42"/>
      <c r="R338" s="48"/>
      <c r="S338" s="49"/>
      <c r="T338" s="44"/>
      <c r="U338" s="44"/>
      <c r="V338" s="50"/>
      <c r="W338" s="45"/>
      <c r="X338" s="50" t="str">
        <f>IF(NOTA[[#This Row],[HARGA/ CTN]]="",NOTA[[#This Row],[JUMLAH_H]],NOTA[[#This Row],[HARGA/ CTN]]*IF(NOTA[[#This Row],[C]]="",0,NOTA[[#This Row],[C]]))</f>
        <v/>
      </c>
      <c r="Y338" s="50" t="str">
        <f>IF(NOTA[[#This Row],[JUMLAH]]="","",NOTA[[#This Row],[JUMLAH]]*NOTA[[#This Row],[DISC 1]])</f>
        <v/>
      </c>
      <c r="Z338" s="50" t="str">
        <f>IF(NOTA[[#This Row],[JUMLAH]]="","",(NOTA[[#This Row],[JUMLAH]]-NOTA[[#This Row],[DISC 1-]])*NOTA[[#This Row],[DISC 2]])</f>
        <v/>
      </c>
      <c r="AA338" s="50" t="str">
        <f>IF(NOTA[[#This Row],[JUMLAH]]="","",(NOTA[[#This Row],[JUMLAH]]-NOTA[[#This Row],[DISC 1-]]-NOTA[[#This Row],[DISC 2-]])*NOTA[[#This Row],[DISC 3]])</f>
        <v/>
      </c>
      <c r="AB338" s="50" t="str">
        <f>IF(NOTA[[#This Row],[JUMLAH]]="","",NOTA[[#This Row],[DISC 1-]]+NOTA[[#This Row],[DISC 2-]]+NOTA[[#This Row],[DISC 3-]])</f>
        <v/>
      </c>
      <c r="AC338" s="50" t="str">
        <f>IF(NOTA[[#This Row],[JUMLAH]]="","",NOTA[[#This Row],[JUMLAH]]-NOTA[[#This Row],[DISC]])</f>
        <v/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75864000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38" s="50" t="str">
        <f>IF(OR(NOTA[[#This Row],[QTY]]="",NOTA[[#This Row],[HARGA SATUAN]]="",),"",NOTA[[#This Row],[QTY]]*NOTA[[#This Row],[HARGA SATUAN]])</f>
        <v/>
      </c>
      <c r="AI338" s="39">
        <f ca="1">IF(NOTA[ID_H]="","",INDEX(NOTA[TANGGAL],MATCH(,INDIRECT(ADDRESS(ROW(NOTA[TANGGAL]),COLUMN(NOTA[TANGGAL]))&amp;":"&amp;ADDRESS(ROW(),COLUMN(NOTA[TANGGAL]))),-1)))</f>
        <v>45302</v>
      </c>
      <c r="AJ338" s="41" t="str">
        <f ca="1">IF(NOTA[[#This Row],[NAMA BARANG]]="","",INDEX(NOTA[SUPPLIER],MATCH(,INDIRECT(ADDRESS(ROW(NOTA[ID]),COLUMN(NOTA[ID]))&amp;":"&amp;ADDRESS(ROW(),COLUMN(NOTA[ID]))),-1)))</f>
        <v>DB STATIONERY</v>
      </c>
      <c r="AK338" s="41" t="str">
        <f ca="1">IF(NOTA[[#This Row],[ID_H]]="","",IF(NOTA[[#This Row],[FAKTUR]]="",INDIRECT(ADDRESS(ROW()-1,COLUMN())),NOTA[[#This Row],[FAKTUR]]))</f>
        <v>UNTANA</v>
      </c>
      <c r="AL338" s="38" t="str">
        <f ca="1">IF(NOTA[[#This Row],[ID]]="","",COUNTIF(NOTA[ID_H],NOTA[[#This Row],[ID_H]]))</f>
        <v/>
      </c>
      <c r="AM338" s="38">
        <f ca="1">IF(NOTA[[#This Row],[TGL.NOTA]]="",IF(NOTA[[#This Row],[SUPPLIER_H]]="","",AM337),MONTH(NOTA[[#This Row],[TGL.NOTA]]))</f>
        <v>1</v>
      </c>
      <c r="AN338" s="38" t="str">
        <f>LOWER(SUBSTITUTE(SUBSTITUTE(SUBSTITUTE(SUBSTITUTE(SUBSTITUTE(SUBSTITUTE(SUBSTITUTE(SUBSTITUTE(SUBSTITUTE(NOTA[NAMA BARANG]," ",),".",""),"-",""),"(",""),")",""),",",""),"/",""),"""",""),"+",""))</f>
        <v>tascabinelpidahijauefcb007hj</v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tascabinelpidahijauefcb007hj0</v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tascabinelpidahijauefcb007hj0</v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 t="e">
        <f>IF(NOTA[[#This Row],[CONCAT1]]="","",MATCH(NOTA[[#This Row],[CONCAT1]],[3]!db[NB NOTA_C],0))</f>
        <v>#N/A</v>
      </c>
      <c r="AT338" s="38" t="str">
        <f>IF(NOTA[[#This Row],[QTY/ CTN]]="","",TRUE)</f>
        <v/>
      </c>
      <c r="AU338" s="38" t="e">
        <f ca="1">IF(NOTA[[#This Row],[ID_H]]="","",IF(NOTA[[#This Row],[Column3]]=TRUE,NOTA[[#This Row],[QTY/ CTN]],INDEX([3]!db[QTY/ CTN],NOTA[[#This Row],[//DB]])))</f>
        <v>#N/A</v>
      </c>
      <c r="AV3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38" s="38" t="e">
        <f ca="1">IF(NOTA[[#This Row],[ID_H]]="","",MATCH(NOTA[[#This Row],[NB NOTA_C_QTY]],[4]!db[NB NOTA_C_QTY+F],0))</f>
        <v>#N/A</v>
      </c>
      <c r="AX338" s="53" t="e">
        <f ca="1">IF(NOTA[[#This Row],[NB NOTA_C_QTY]]="","",ROW()-2)</f>
        <v>#N/A</v>
      </c>
    </row>
    <row r="339" spans="1:50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41" t="str">
        <f ca="1">IF(NOTA[[#This Row],[NAMA BARANG]]="","",INDEX(NOTA[SUPPLIER],MATCH(,INDIRECT(ADDRESS(ROW(NOTA[ID]),COLUMN(NOTA[ID]))&amp;":"&amp;ADDRESS(ROW(),COLUMN(NOTA[ID]))),-1)))</f>
        <v/>
      </c>
      <c r="AK339" s="41" t="str">
        <f ca="1">IF(NOTA[[#This Row],[ID_H]]="","",IF(NOTA[[#This Row],[FAKTUR]]="",INDIRECT(ADDRESS(ROW()-1,COLUMN())),NOTA[[#This Row],[FAKTUR]]))</f>
        <v/>
      </c>
      <c r="AL339" s="38" t="str">
        <f ca="1">IF(NOTA[[#This Row],[ID]]="","",COUNTIF(NOTA[ID_H],NOTA[[#This Row],[ID_H]]))</f>
        <v/>
      </c>
      <c r="AM339" s="38" t="str">
        <f ca="1">IF(NOTA[[#This Row],[TGL.NOTA]]="",IF(NOTA[[#This Row],[SUPPLIER_H]]="","",AM338),MONTH(NOTA[[#This Row],[TGL.NOTA]]))</f>
        <v/>
      </c>
      <c r="AN339" s="38" t="str">
        <f>LOWER(SUBSTITUTE(SUBSTITUTE(SUBSTITUTE(SUBSTITUTE(SUBSTITUTE(SUBSTITUTE(SUBSTITUTE(SUBSTITUTE(SUBSTITUTE(NOTA[NAMA BARANG]," ",),".",""),"-",""),"(",""),")",""),",",""),"/",""),"""",""),"+",""))</f>
        <v/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38" t="str">
        <f>IF(NOTA[[#This Row],[CONCAT4]]="","",_xlfn.IFNA(MATCH(NOTA[[#This Row],[CONCAT4]],[2]!RAW[CONCAT_H],0),FALSE))</f>
        <v/>
      </c>
      <c r="AS339" s="38" t="str">
        <f>IF(NOTA[[#This Row],[CONCAT1]]="","",MATCH(NOTA[[#This Row],[CONCAT1]],[3]!db[NB NOTA_C],0))</f>
        <v/>
      </c>
      <c r="AT339" s="38" t="str">
        <f>IF(NOTA[[#This Row],[QTY/ CTN]]="","",TRUE)</f>
        <v/>
      </c>
      <c r="AU339" s="38" t="str">
        <f ca="1">IF(NOTA[[#This Row],[ID_H]]="","",IF(NOTA[[#This Row],[Column3]]=TRUE,NOTA[[#This Row],[QTY/ CTN]],INDEX([3]!db[QTY/ CTN],NOTA[[#This Row],[//DB]])))</f>
        <v/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9" s="38" t="str">
        <f ca="1">IF(NOTA[[#This Row],[ID_H]]="","",MATCH(NOTA[[#This Row],[NB NOTA_C_QTY]],[4]!db[NB NOTA_C_QTY+F],0))</f>
        <v/>
      </c>
      <c r="AX339" s="53" t="str">
        <f ca="1">IF(NOTA[[#This Row],[NB NOTA_C_QTY]]="","",ROW()-2)</f>
        <v/>
      </c>
    </row>
    <row r="340" spans="1:50" s="38" customFormat="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SAM_1201_963-4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55</v>
      </c>
      <c r="E340" s="46">
        <v>45303</v>
      </c>
      <c r="F340" s="37" t="s">
        <v>56</v>
      </c>
      <c r="G340" s="37" t="s">
        <v>23</v>
      </c>
      <c r="H340" s="47" t="s">
        <v>478</v>
      </c>
      <c r="I340" s="37"/>
      <c r="J340" s="39">
        <v>45301</v>
      </c>
      <c r="K340" s="37">
        <v>1</v>
      </c>
      <c r="L340" s="37" t="s">
        <v>480</v>
      </c>
      <c r="M340" s="40">
        <v>2</v>
      </c>
      <c r="N340" s="38">
        <v>1440</v>
      </c>
      <c r="O340" s="37" t="s">
        <v>115</v>
      </c>
      <c r="P340" s="41">
        <v>3500</v>
      </c>
      <c r="Q340" s="42"/>
      <c r="R340" s="48">
        <v>720</v>
      </c>
      <c r="S340" s="49">
        <v>7.0000000000000007E-2</v>
      </c>
      <c r="T340" s="44"/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5040000</v>
      </c>
      <c r="Y340" s="50">
        <f>IF(NOTA[[#This Row],[JUMLAH]]="","",NOTA[[#This Row],[JUMLAH]]*NOTA[[#This Row],[DISC 1]])</f>
        <v>352800.00000000006</v>
      </c>
      <c r="Z340" s="50">
        <f>IF(NOTA[[#This Row],[JUMLAH]]="","",(NOTA[[#This Row],[JUMLAH]]-NOTA[[#This Row],[DISC 1-]])*NOTA[[#This Row],[DISC 2]])</f>
        <v>0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352800.00000000006</v>
      </c>
      <c r="AC340" s="50">
        <f>IF(NOTA[[#This Row],[JUMLAH]]="","",NOTA[[#This Row],[JUMLAH]]-NOTA[[#This Row],[DISC]])</f>
        <v>4687200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340" s="50">
        <f>IF(OR(NOTA[[#This Row],[QTY]]="",NOTA[[#This Row],[HARGA SATUAN]]="",),"",NOTA[[#This Row],[QTY]]*NOTA[[#This Row],[HARGA SATUAN]])</f>
        <v>5040000</v>
      </c>
      <c r="AI340" s="39">
        <f ca="1">IF(NOTA[ID_H]="","",INDEX(NOTA[TANGGAL],MATCH(,INDIRECT(ADDRESS(ROW(NOTA[TANGGAL]),COLUMN(NOTA[TANGGAL]))&amp;":"&amp;ADDRESS(ROW(),COLUMN(NOTA[TANGGAL]))),-1)))</f>
        <v>45303</v>
      </c>
      <c r="AJ340" s="41" t="str">
        <f ca="1">IF(NOTA[[#This Row],[NAMA BARANG]]="","",INDEX(NOTA[SUPPLIER],MATCH(,INDIRECT(ADDRESS(ROW(NOTA[ID]),COLUMN(NOTA[ID]))&amp;":"&amp;ADDRESS(ROW(),COLUMN(NOTA[ID]))),-1)))</f>
        <v>SAMUDERA ANGKASA JAYA</v>
      </c>
      <c r="AK340" s="41" t="str">
        <f ca="1">IF(NOTA[[#This Row],[ID_H]]="","",IF(NOTA[[#This Row],[FAKTUR]]="",INDIRECT(ADDRESS(ROW()-1,COLUMN())),NOTA[[#This Row],[FAKTUR]]))</f>
        <v>ARTO MORO</v>
      </c>
      <c r="AL340" s="38">
        <f ca="1">IF(NOTA[[#This Row],[ID]]="","",COUNTIF(NOTA[ID_H],NOTA[[#This Row],[ID_H]]))</f>
        <v>4</v>
      </c>
      <c r="AM340" s="38">
        <f>IF(NOTA[[#This Row],[TGL.NOTA]]="",IF(NOTA[[#This Row],[SUPPLIER_H]]="","",AM339),MONTH(NOTA[[#This Row],[TGL.NOTA]]))</f>
        <v>1</v>
      </c>
      <c r="AN340" s="38" t="str">
        <f>LOWER(SUBSTITUTE(SUBSTITUTE(SUBSTITUTE(SUBSTITUTE(SUBSTITUTE(SUBSTITUTE(SUBSTITUTE(SUBSTITUTE(SUBSTITUTE(NOTA[NAMA BARANG]," ",),".",""),"-",""),"(",""),")",""),",",""),"/",""),"""",""),"+",""))</f>
        <v>docbagdll211227226momo</v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docbagdll211227226momo25200000.07</v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docbagdll211227226momo25200000.07</v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MOROJL-1696345301docbagdll211227226momo</v>
      </c>
      <c r="AR340" s="38" t="e">
        <f>IF(NOTA[[#This Row],[CONCAT4]]="","",_xlfn.IFNA(MATCH(NOTA[[#This Row],[CONCAT4]],[2]!RAW[CONCAT_H],0),FALSE))</f>
        <v>#REF!</v>
      </c>
      <c r="AS340" s="38">
        <f>IF(NOTA[[#This Row],[CONCAT1]]="","",MATCH(NOTA[[#This Row],[CONCAT1]],[3]!db[NB NOTA_C],0))</f>
        <v>823</v>
      </c>
      <c r="AT340" s="38" t="b">
        <f>IF(NOTA[[#This Row],[QTY/ CTN]]="","",TRUE)</f>
        <v>1</v>
      </c>
      <c r="AU340" s="38">
        <f ca="1">IF(NOTA[[#This Row],[ID_H]]="","",IF(NOTA[[#This Row],[Column3]]=TRUE,NOTA[[#This Row],[QTY/ CTN]],INDEX([3]!db[QTY/ CTN],NOTA[[#This Row],[//DB]])))</f>
        <v>720</v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docbagdll211227226momo720artomoro</v>
      </c>
      <c r="AW340" s="38" t="e">
        <f ca="1">IF(NOTA[[#This Row],[ID_H]]="","",MATCH(NOTA[[#This Row],[NB NOTA_C_QTY]],[4]!db[NB NOTA_C_QTY+F],0))</f>
        <v>#REF!</v>
      </c>
      <c r="AX340" s="53">
        <f ca="1">IF(NOTA[[#This Row],[NB NOTA_C_QTY]]="","",ROW()-2)</f>
        <v>338</v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55</v>
      </c>
      <c r="E341" s="46"/>
      <c r="F341" s="37"/>
      <c r="G341" s="37"/>
      <c r="H341" s="47"/>
      <c r="I341" s="37"/>
      <c r="J341" s="39"/>
      <c r="K341" s="37">
        <v>1</v>
      </c>
      <c r="L341" s="37" t="s">
        <v>479</v>
      </c>
      <c r="M341" s="40">
        <v>5</v>
      </c>
      <c r="N341" s="38">
        <v>3600</v>
      </c>
      <c r="O341" s="37" t="s">
        <v>115</v>
      </c>
      <c r="P341" s="41">
        <v>3500</v>
      </c>
      <c r="Q341" s="42"/>
      <c r="R341" s="48">
        <v>720</v>
      </c>
      <c r="S341" s="49">
        <v>7.0000000000000007E-2</v>
      </c>
      <c r="T341" s="44"/>
      <c r="U341" s="44"/>
      <c r="V341" s="50"/>
      <c r="W341" s="45"/>
      <c r="X341" s="50">
        <f>IF(NOTA[[#This Row],[HARGA/ CTN]]="",NOTA[[#This Row],[JUMLAH_H]],NOTA[[#This Row],[HARGA/ CTN]]*IF(NOTA[[#This Row],[C]]="",0,NOTA[[#This Row],[C]]))</f>
        <v>12600000</v>
      </c>
      <c r="Y341" s="50">
        <f>IF(NOTA[[#This Row],[JUMLAH]]="","",NOTA[[#This Row],[JUMLAH]]*NOTA[[#This Row],[DISC 1]])</f>
        <v>882000.00000000012</v>
      </c>
      <c r="Z341" s="50">
        <f>IF(NOTA[[#This Row],[JUMLAH]]="","",(NOTA[[#This Row],[JUMLAH]]-NOTA[[#This Row],[DISC 1-]])*NOTA[[#This Row],[DISC 2]])</f>
        <v>0</v>
      </c>
      <c r="AA341" s="50">
        <f>IF(NOTA[[#This Row],[JUMLAH]]="","",(NOTA[[#This Row],[JUMLAH]]-NOTA[[#This Row],[DISC 1-]]-NOTA[[#This Row],[DISC 2-]])*NOTA[[#This Row],[DISC 3]])</f>
        <v>0</v>
      </c>
      <c r="AB341" s="50">
        <f>IF(NOTA[[#This Row],[JUMLAH]]="","",NOTA[[#This Row],[DISC 1-]]+NOTA[[#This Row],[DISC 2-]]+NOTA[[#This Row],[DISC 3-]])</f>
        <v>882000.00000000012</v>
      </c>
      <c r="AC341" s="50">
        <f>IF(NOTA[[#This Row],[JUMLAH]]="","",NOTA[[#This Row],[JUMLAH]]-NOTA[[#This Row],[DISC]])</f>
        <v>11718000</v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341" s="50">
        <f>IF(OR(NOTA[[#This Row],[QTY]]="",NOTA[[#This Row],[HARGA SATUAN]]="",),"",NOTA[[#This Row],[QTY]]*NOTA[[#This Row],[HARGA SATUAN]])</f>
        <v>12600000</v>
      </c>
      <c r="AI341" s="39">
        <f ca="1">IF(NOTA[ID_H]="","",INDEX(NOTA[TANGGAL],MATCH(,INDIRECT(ADDRESS(ROW(NOTA[TANGGAL]),COLUMN(NOTA[TANGGAL]))&amp;":"&amp;ADDRESS(ROW(),COLUMN(NOTA[TANGGAL]))),-1)))</f>
        <v>45303</v>
      </c>
      <c r="AJ341" s="41" t="str">
        <f ca="1">IF(NOTA[[#This Row],[NAMA BARANG]]="","",INDEX(NOTA[SUPPLIER],MATCH(,INDIRECT(ADDRESS(ROW(NOTA[ID]),COLUMN(NOTA[ID]))&amp;":"&amp;ADDRESS(ROW(),COLUMN(NOTA[ID]))),-1)))</f>
        <v>SAMUDERA ANGKASA JAYA</v>
      </c>
      <c r="AK341" s="41" t="str">
        <f ca="1">IF(NOTA[[#This Row],[ID_H]]="","",IF(NOTA[[#This Row],[FAKTUR]]="",INDIRECT(ADDRESS(ROW()-1,COLUMN())),NOTA[[#This Row],[FAKTUR]]))</f>
        <v>ARTO MORO</v>
      </c>
      <c r="AL341" s="38" t="str">
        <f ca="1">IF(NOTA[[#This Row],[ID]]="","",COUNTIF(NOTA[ID_H],NOTA[[#This Row],[ID_H]]))</f>
        <v/>
      </c>
      <c r="AM341" s="38">
        <f ca="1">IF(NOTA[[#This Row],[TGL.NOTA]]="",IF(NOTA[[#This Row],[SUPPLIER_H]]="","",AM340),MONTH(NOTA[[#This Row],[TGL.NOTA]]))</f>
        <v>1</v>
      </c>
      <c r="AN341" s="38" t="str">
        <f>LOWER(SUBSTITUTE(SUBSTITUTE(SUBSTITUTE(SUBSTITUTE(SUBSTITUTE(SUBSTITUTE(SUBSTITUTE(SUBSTITUTE(SUBSTITUTE(NOTA[NAMA BARANG]," ",),".",""),"-",""),"(",""),")",""),",",""),"/",""),"""",""),"+",""))</f>
        <v>docbagdll229204saa4</v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docbagdll229204saa425200000.07</v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docbagdll229204saa425200000.07</v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>
        <f>IF(NOTA[[#This Row],[CONCAT1]]="","",MATCH(NOTA[[#This Row],[CONCAT1]],[3]!db[NB NOTA_C],0))</f>
        <v>824</v>
      </c>
      <c r="AT341" s="38" t="b">
        <f>IF(NOTA[[#This Row],[QTY/ CTN]]="","",TRUE)</f>
        <v>1</v>
      </c>
      <c r="AU341" s="38">
        <f ca="1">IF(NOTA[[#This Row],[ID_H]]="","",IF(NOTA[[#This Row],[Column3]]=TRUE,NOTA[[#This Row],[QTY/ CTN]],INDEX([3]!db[QTY/ CTN],NOTA[[#This Row],[//DB]])))</f>
        <v>720</v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docbagdll229204saa4720artomoro</v>
      </c>
      <c r="AW341" s="38" t="e">
        <f ca="1">IF(NOTA[[#This Row],[ID_H]]="","",MATCH(NOTA[[#This Row],[NB NOTA_C_QTY]],[4]!db[NB NOTA_C_QTY+F],0))</f>
        <v>#REF!</v>
      </c>
      <c r="AX341" s="53">
        <f ca="1">IF(NOTA[[#This Row],[NB NOTA_C_QTY]]="","",ROW()-2)</f>
        <v>339</v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55</v>
      </c>
      <c r="E342" s="46"/>
      <c r="F342" s="37"/>
      <c r="G342" s="37"/>
      <c r="H342" s="47"/>
      <c r="I342" s="37"/>
      <c r="J342" s="39"/>
      <c r="K342" s="37">
        <v>1</v>
      </c>
      <c r="L342" s="37" t="s">
        <v>481</v>
      </c>
      <c r="M342" s="40">
        <v>1</v>
      </c>
      <c r="N342" s="38">
        <v>96</v>
      </c>
      <c r="O342" s="37" t="s">
        <v>115</v>
      </c>
      <c r="P342" s="41">
        <v>15000</v>
      </c>
      <c r="Q342" s="42"/>
      <c r="R342" s="48" t="s">
        <v>449</v>
      </c>
      <c r="S342" s="49">
        <v>7.0000000000000007E-2</v>
      </c>
      <c r="T342" s="44"/>
      <c r="U342" s="44"/>
      <c r="V342" s="50"/>
      <c r="W342" s="45"/>
      <c r="X342" s="50">
        <f>IF(NOTA[[#This Row],[HARGA/ CTN]]="",NOTA[[#This Row],[JUMLAH_H]],NOTA[[#This Row],[HARGA/ CTN]]*IF(NOTA[[#This Row],[C]]="",0,NOTA[[#This Row],[C]]))</f>
        <v>1440000</v>
      </c>
      <c r="Y342" s="50">
        <f>IF(NOTA[[#This Row],[JUMLAH]]="","",NOTA[[#This Row],[JUMLAH]]*NOTA[[#This Row],[DISC 1]])</f>
        <v>100800.00000000001</v>
      </c>
      <c r="Z342" s="50">
        <f>IF(NOTA[[#This Row],[JUMLAH]]="","",(NOTA[[#This Row],[JUMLAH]]-NOTA[[#This Row],[DISC 1-]])*NOTA[[#This Row],[DISC 2]])</f>
        <v>0</v>
      </c>
      <c r="AA342" s="50">
        <f>IF(NOTA[[#This Row],[JUMLAH]]="","",(NOTA[[#This Row],[JUMLAH]]-NOTA[[#This Row],[DISC 1-]]-NOTA[[#This Row],[DISC 2-]])*NOTA[[#This Row],[DISC 3]])</f>
        <v>0</v>
      </c>
      <c r="AB342" s="50">
        <f>IF(NOTA[[#This Row],[JUMLAH]]="","",NOTA[[#This Row],[DISC 1-]]+NOTA[[#This Row],[DISC 2-]]+NOTA[[#This Row],[DISC 3-]])</f>
        <v>100800.00000000001</v>
      </c>
      <c r="AC342" s="50">
        <f>IF(NOTA[[#This Row],[JUMLAH]]="","",NOTA[[#This Row],[JUMLAH]]-NOTA[[#This Row],[DISC]])</f>
        <v>1339200</v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42" s="50">
        <f>IF(OR(NOTA[[#This Row],[QTY]]="",NOTA[[#This Row],[HARGA SATUAN]]="",),"",NOTA[[#This Row],[QTY]]*NOTA[[#This Row],[HARGA SATUAN]])</f>
        <v>1440000</v>
      </c>
      <c r="AI342" s="39">
        <f ca="1">IF(NOTA[ID_H]="","",INDEX(NOTA[TANGGAL],MATCH(,INDIRECT(ADDRESS(ROW(NOTA[TANGGAL]),COLUMN(NOTA[TANGGAL]))&amp;":"&amp;ADDRESS(ROW(),COLUMN(NOTA[TANGGAL]))),-1)))</f>
        <v>45303</v>
      </c>
      <c r="AJ342" s="41" t="str">
        <f ca="1">IF(NOTA[[#This Row],[NAMA BARANG]]="","",INDEX(NOTA[SUPPLIER],MATCH(,INDIRECT(ADDRESS(ROW(NOTA[ID]),COLUMN(NOTA[ID]))&amp;":"&amp;ADDRESS(ROW(),COLUMN(NOTA[ID]))),-1)))</f>
        <v>SAMUDERA ANGKASA JAYA</v>
      </c>
      <c r="AK342" s="41" t="str">
        <f ca="1">IF(NOTA[[#This Row],[ID_H]]="","",IF(NOTA[[#This Row],[FAKTUR]]="",INDIRECT(ADDRESS(ROW()-1,COLUMN())),NOTA[[#This Row],[FAKTUR]]))</f>
        <v>ARTO MORO</v>
      </c>
      <c r="AL342" s="38" t="str">
        <f ca="1">IF(NOTA[[#This Row],[ID]]="","",COUNTIF(NOTA[ID_H],NOTA[[#This Row],[ID_H]]))</f>
        <v/>
      </c>
      <c r="AM342" s="38">
        <f ca="1">IF(NOTA[[#This Row],[TGL.NOTA]]="",IF(NOTA[[#This Row],[SUPPLIER_H]]="","",AM341),MONTH(NOTA[[#This Row],[TGL.NOTA]]))</f>
        <v>1</v>
      </c>
      <c r="AN342" s="38" t="str">
        <f>LOWER(SUBSTITUTE(SUBSTITUTE(SUBSTITUTE(SUBSTITUTE(SUBSTITUTE(SUBSTITUTE(SUBSTITUTE(SUBSTITUTE(SUBSTITUTE(NOTA[NAMA BARANG]," ",),".",""),"-",""),"(",""),")",""),",",""),"/",""),"""",""),"+",""))</f>
        <v>bkkancing32k100821a5</v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bkkancing32k100821a514400000.07</v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bkkancing32k100821a514400000.07</v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>
        <f>IF(NOTA[[#This Row],[CONCAT1]]="","",MATCH(NOTA[[#This Row],[CONCAT1]],[3]!db[NB NOTA_C],0))</f>
        <v>377</v>
      </c>
      <c r="AT342" s="38" t="b">
        <f>IF(NOTA[[#This Row],[QTY/ CTN]]="","",TRUE)</f>
        <v>1</v>
      </c>
      <c r="AU342" s="38" t="str">
        <f ca="1">IF(NOTA[[#This Row],[ID_H]]="","",IF(NOTA[[#This Row],[Column3]]=TRUE,NOTA[[#This Row],[QTY/ CTN]],INDEX([3]!db[QTY/ CTN],NOTA[[#This Row],[//DB]])))</f>
        <v>96 PCS</v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bkkancing32k100821a596pcsartomoro</v>
      </c>
      <c r="AW342" s="38" t="e">
        <f ca="1">IF(NOTA[[#This Row],[ID_H]]="","",MATCH(NOTA[[#This Row],[NB NOTA_C_QTY]],[4]!db[NB NOTA_C_QTY+F],0))</f>
        <v>#REF!</v>
      </c>
      <c r="AX342" s="53">
        <f ca="1">IF(NOTA[[#This Row],[NB NOTA_C_QTY]]="","",ROW()-2)</f>
        <v>340</v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>
        <f ca="1">IF(NOTA[[#This Row],[NAMA BARANG]]="","",INDEX(NOTA[ID],MATCH(,INDIRECT(ADDRESS(ROW(NOTA[ID]),COLUMN(NOTA[ID]))&amp;":"&amp;ADDRESS(ROW(),COLUMN(NOTA[ID]))),-1)))</f>
        <v>55</v>
      </c>
      <c r="E343" s="46"/>
      <c r="F343" s="37"/>
      <c r="G343" s="37"/>
      <c r="H343" s="47"/>
      <c r="I343" s="37"/>
      <c r="J343" s="39"/>
      <c r="K343" s="37">
        <v>1</v>
      </c>
      <c r="L343" s="37" t="s">
        <v>482</v>
      </c>
      <c r="M343" s="40">
        <v>1</v>
      </c>
      <c r="N343" s="38">
        <v>96</v>
      </c>
      <c r="O343" s="37" t="s">
        <v>115</v>
      </c>
      <c r="P343" s="41">
        <v>15000</v>
      </c>
      <c r="Q343" s="42"/>
      <c r="R343" s="48" t="s">
        <v>449</v>
      </c>
      <c r="S343" s="49">
        <v>7.0000000000000007E-2</v>
      </c>
      <c r="T343" s="44"/>
      <c r="U343" s="44"/>
      <c r="V343" s="50"/>
      <c r="W343" s="45"/>
      <c r="X343" s="50">
        <f>IF(NOTA[[#This Row],[HARGA/ CTN]]="",NOTA[[#This Row],[JUMLAH_H]],NOTA[[#This Row],[HARGA/ CTN]]*IF(NOTA[[#This Row],[C]]="",0,NOTA[[#This Row],[C]]))</f>
        <v>1440000</v>
      </c>
      <c r="Y343" s="50">
        <f>IF(NOTA[[#This Row],[JUMLAH]]="","",NOTA[[#This Row],[JUMLAH]]*NOTA[[#This Row],[DISC 1]])</f>
        <v>100800.00000000001</v>
      </c>
      <c r="Z343" s="50">
        <f>IF(NOTA[[#This Row],[JUMLAH]]="","",(NOTA[[#This Row],[JUMLAH]]-NOTA[[#This Row],[DISC 1-]])*NOTA[[#This Row],[DISC 2]])</f>
        <v>0</v>
      </c>
      <c r="AA343" s="50">
        <f>IF(NOTA[[#This Row],[JUMLAH]]="","",(NOTA[[#This Row],[JUMLAH]]-NOTA[[#This Row],[DISC 1-]]-NOTA[[#This Row],[DISC 2-]])*NOTA[[#This Row],[DISC 3]])</f>
        <v>0</v>
      </c>
      <c r="AB343" s="50">
        <f>IF(NOTA[[#This Row],[JUMLAH]]="","",NOTA[[#This Row],[DISC 1-]]+NOTA[[#This Row],[DISC 2-]]+NOTA[[#This Row],[DISC 3-]])</f>
        <v>100800.00000000001</v>
      </c>
      <c r="AC343" s="50">
        <f>IF(NOTA[[#This Row],[JUMLAH]]="","",NOTA[[#This Row],[JUMLAH]]-NOTA[[#This Row],[DISC]])</f>
        <v>1339200</v>
      </c>
      <c r="AD343" s="50"/>
      <c r="AE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1436400.0000000002</v>
      </c>
      <c r="AF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19083600</v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43" s="50">
        <f>IF(OR(NOTA[[#This Row],[QTY]]="",NOTA[[#This Row],[HARGA SATUAN]]="",),"",NOTA[[#This Row],[QTY]]*NOTA[[#This Row],[HARGA SATUAN]])</f>
        <v>1440000</v>
      </c>
      <c r="AI343" s="39">
        <f ca="1">IF(NOTA[ID_H]="","",INDEX(NOTA[TANGGAL],MATCH(,INDIRECT(ADDRESS(ROW(NOTA[TANGGAL]),COLUMN(NOTA[TANGGAL]))&amp;":"&amp;ADDRESS(ROW(),COLUMN(NOTA[TANGGAL]))),-1)))</f>
        <v>45303</v>
      </c>
      <c r="AJ343" s="41" t="str">
        <f ca="1">IF(NOTA[[#This Row],[NAMA BARANG]]="","",INDEX(NOTA[SUPPLIER],MATCH(,INDIRECT(ADDRESS(ROW(NOTA[ID]),COLUMN(NOTA[ID]))&amp;":"&amp;ADDRESS(ROW(),COLUMN(NOTA[ID]))),-1)))</f>
        <v>SAMUDERA ANGKASA JAYA</v>
      </c>
      <c r="AK343" s="41" t="str">
        <f ca="1">IF(NOTA[[#This Row],[ID_H]]="","",IF(NOTA[[#This Row],[FAKTUR]]="",INDIRECT(ADDRESS(ROW()-1,COLUMN())),NOTA[[#This Row],[FAKTUR]]))</f>
        <v>ARTO MORO</v>
      </c>
      <c r="AL343" s="38" t="str">
        <f ca="1">IF(NOTA[[#This Row],[ID]]="","",COUNTIF(NOTA[ID_H],NOTA[[#This Row],[ID_H]]))</f>
        <v/>
      </c>
      <c r="AM343" s="38">
        <f ca="1">IF(NOTA[[#This Row],[TGL.NOTA]]="",IF(NOTA[[#This Row],[SUPPLIER_H]]="","",AM342),MONTH(NOTA[[#This Row],[TGL.NOTA]]))</f>
        <v>1</v>
      </c>
      <c r="AN343" s="38" t="str">
        <f>LOWER(SUBSTITUTE(SUBSTITUTE(SUBSTITUTE(SUBSTITUTE(SUBSTITUTE(SUBSTITUTE(SUBSTITUTE(SUBSTITUTE(SUBSTITUTE(NOTA[NAMA BARANG]," ",),".",""),"-",""),"(",""),")",""),",",""),"/",""),"""",""),"+",""))</f>
        <v>bkkancing32k100830a5</v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bkkancing32k100830a514400000.07</v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bkkancing32k100830a514400000.07</v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>
        <f>IF(NOTA[[#This Row],[CONCAT1]]="","",MATCH(NOTA[[#This Row],[CONCAT1]],[3]!db[NB NOTA_C],0))</f>
        <v>380</v>
      </c>
      <c r="AT343" s="38" t="b">
        <f>IF(NOTA[[#This Row],[QTY/ CTN]]="","",TRUE)</f>
        <v>1</v>
      </c>
      <c r="AU343" s="38" t="str">
        <f ca="1">IF(NOTA[[#This Row],[ID_H]]="","",IF(NOTA[[#This Row],[Column3]]=TRUE,NOTA[[#This Row],[QTY/ CTN]],INDEX([3]!db[QTY/ CTN],NOTA[[#This Row],[//DB]])))</f>
        <v>96 PCS</v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bkkancing32k100830a596pcsartomoro</v>
      </c>
      <c r="AW343" s="38" t="e">
        <f ca="1">IF(NOTA[[#This Row],[ID_H]]="","",MATCH(NOTA[[#This Row],[NB NOTA_C_QTY]],[4]!db[NB NOTA_C_QTY+F],0))</f>
        <v>#REF!</v>
      </c>
      <c r="AX343" s="53">
        <f ca="1">IF(NOTA[[#This Row],[NB NOTA_C_QTY]]="","",ROW()-2)</f>
        <v>341</v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F344" s="37"/>
      <c r="G344" s="37"/>
      <c r="H344" s="47"/>
      <c r="I344" s="37"/>
      <c r="J344" s="39"/>
      <c r="K344" s="37"/>
      <c r="L344" s="37"/>
      <c r="M344" s="40"/>
      <c r="O344" s="37"/>
      <c r="P344" s="41"/>
      <c r="Q344" s="42"/>
      <c r="R344" s="48"/>
      <c r="S344" s="49"/>
      <c r="T344" s="44"/>
      <c r="U344" s="44"/>
      <c r="V344" s="50"/>
      <c r="W344" s="45"/>
      <c r="X344" s="50" t="str">
        <f>IF(NOTA[[#This Row],[HARGA/ CTN]]="",NOTA[[#This Row],[JUMLAH_H]],NOTA[[#This Row],[HARGA/ CTN]]*IF(NOTA[[#This Row],[C]]="",0,NOTA[[#This Row],[C]]))</f>
        <v/>
      </c>
      <c r="Y344" s="50" t="str">
        <f>IF(NOTA[[#This Row],[JUMLAH]]="","",NOTA[[#This Row],[JUMLAH]]*NOTA[[#This Row],[DISC 1]])</f>
        <v/>
      </c>
      <c r="Z344" s="50" t="str">
        <f>IF(NOTA[[#This Row],[JUMLAH]]="","",(NOTA[[#This Row],[JUMLAH]]-NOTA[[#This Row],[DISC 1-]])*NOTA[[#This Row],[DISC 2]])</f>
        <v/>
      </c>
      <c r="AA344" s="50" t="str">
        <f>IF(NOTA[[#This Row],[JUMLAH]]="","",(NOTA[[#This Row],[JUMLAH]]-NOTA[[#This Row],[DISC 1-]]-NOTA[[#This Row],[DISC 2-]])*NOTA[[#This Row],[DISC 3]])</f>
        <v/>
      </c>
      <c r="AB344" s="50" t="str">
        <f>IF(NOTA[[#This Row],[JUMLAH]]="","",NOTA[[#This Row],[DISC 1-]]+NOTA[[#This Row],[DISC 2-]]+NOTA[[#This Row],[DISC 3-]])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41" t="str">
        <f ca="1">IF(NOTA[[#This Row],[NAMA BARANG]]="","",INDEX(NOTA[SUPPLIER],MATCH(,INDIRECT(ADDRESS(ROW(NOTA[ID]),COLUMN(NOTA[ID]))&amp;":"&amp;ADDRESS(ROW(),COLUMN(NOTA[ID]))),-1)))</f>
        <v/>
      </c>
      <c r="AK344" s="41" t="str">
        <f ca="1">IF(NOTA[[#This Row],[ID_H]]="","",IF(NOTA[[#This Row],[FAKTUR]]="",INDIRECT(ADDRESS(ROW()-1,COLUMN())),NOTA[[#This Row],[FAKTUR]]))</f>
        <v/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/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 t="str">
        <f>IF(NOTA[[#This Row],[CONCAT1]]="","",MATCH(NOTA[[#This Row],[CONCAT1]],[3]!db[NB NOTA_C],0))</f>
        <v/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/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4" s="38" t="str">
        <f ca="1">IF(NOTA[[#This Row],[ID_H]]="","",MATCH(NOTA[[#This Row],[NB NOTA_C_QTY]],[4]!db[NB NOTA_C_QTY+F],0))</f>
        <v/>
      </c>
      <c r="AX344" s="53" t="str">
        <f ca="1">IF(NOTA[[#This Row],[NB NOTA_C_QTY]]="","",ROW()-2)</f>
        <v/>
      </c>
    </row>
    <row r="345" spans="1:50" s="38" customFormat="1" ht="20.100000000000001" customHeight="1" x14ac:dyDescent="0.25">
      <c r="A345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3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D-R_1301_037-5</v>
      </c>
      <c r="C345" s="38" t="e">
        <f ca="1">IF(NOTA[[#This Row],[ID_P]]="","",MATCH(NOTA[[#This Row],[ID_P]],[1]!B_MSK[N_ID],0))</f>
        <v>#REF!</v>
      </c>
      <c r="D345" s="38">
        <f ca="1">IF(NOTA[[#This Row],[NAMA BARANG]]="","",INDEX(NOTA[ID],MATCH(,INDIRECT(ADDRESS(ROW(NOTA[ID]),COLUMN(NOTA[ID]))&amp;":"&amp;ADDRESS(ROW(),COLUMN(NOTA[ID]))),-1)))</f>
        <v>56</v>
      </c>
      <c r="E345" s="46">
        <v>45304</v>
      </c>
      <c r="F345" s="37" t="s">
        <v>483</v>
      </c>
      <c r="G345" s="37" t="s">
        <v>110</v>
      </c>
      <c r="H345" s="47" t="s">
        <v>484</v>
      </c>
      <c r="I345" s="37"/>
      <c r="J345" s="39">
        <v>45302</v>
      </c>
      <c r="K345" s="37"/>
      <c r="L345" s="37" t="s">
        <v>485</v>
      </c>
      <c r="M345" s="40">
        <v>5</v>
      </c>
      <c r="N345" s="38">
        <v>100</v>
      </c>
      <c r="O345" s="37" t="s">
        <v>111</v>
      </c>
      <c r="P345" s="41">
        <v>70000</v>
      </c>
      <c r="Q345" s="42"/>
      <c r="R345" s="48">
        <v>20</v>
      </c>
      <c r="S345" s="49">
        <v>0.1</v>
      </c>
      <c r="T345" s="44">
        <v>0.1</v>
      </c>
      <c r="U345" s="44">
        <v>0.1</v>
      </c>
      <c r="V345" s="50"/>
      <c r="W345" s="45"/>
      <c r="X345" s="50">
        <f>IF(NOTA[[#This Row],[HARGA/ CTN]]="",NOTA[[#This Row],[JUMLAH_H]],NOTA[[#This Row],[HARGA/ CTN]]*IF(NOTA[[#This Row],[C]]="",0,NOTA[[#This Row],[C]]))</f>
        <v>7000000</v>
      </c>
      <c r="Y345" s="50">
        <f>IF(NOTA[[#This Row],[JUMLAH]]="","",NOTA[[#This Row],[JUMLAH]]*NOTA[[#This Row],[DISC 1]])</f>
        <v>700000</v>
      </c>
      <c r="Z345" s="50">
        <f>IF(NOTA[[#This Row],[JUMLAH]]="","",(NOTA[[#This Row],[JUMLAH]]-NOTA[[#This Row],[DISC 1-]])*NOTA[[#This Row],[DISC 2]])</f>
        <v>630000</v>
      </c>
      <c r="AA345" s="50">
        <f>IF(NOTA[[#This Row],[JUMLAH]]="","",(NOTA[[#This Row],[JUMLAH]]-NOTA[[#This Row],[DISC 1-]]-NOTA[[#This Row],[DISC 2-]])*NOTA[[#This Row],[DISC 3]])</f>
        <v>567000</v>
      </c>
      <c r="AB345" s="50">
        <f>IF(NOTA[[#This Row],[JUMLAH]]="","",NOTA[[#This Row],[DISC 1-]]+NOTA[[#This Row],[DISC 2-]]+NOTA[[#This Row],[DISC 3-]])</f>
        <v>1897000</v>
      </c>
      <c r="AC345" s="50">
        <f>IF(NOTA[[#This Row],[JUMLAH]]="","",NOTA[[#This Row],[JUMLAH]]-NOTA[[#This Row],[DISC]])</f>
        <v>5103000</v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345" s="50">
        <f>IF(OR(NOTA[[#This Row],[QTY]]="",NOTA[[#This Row],[HARGA SATUAN]]="",),"",NOTA[[#This Row],[QTY]]*NOTA[[#This Row],[HARGA SATUAN]])</f>
        <v>7000000</v>
      </c>
      <c r="AI345" s="39">
        <f ca="1">IF(NOTA[ID_H]="","",INDEX(NOTA[TANGGAL],MATCH(,INDIRECT(ADDRESS(ROW(NOTA[TANGGAL]),COLUMN(NOTA[TANGGAL]))&amp;":"&amp;ADDRESS(ROW(),COLUMN(NOTA[TANGGAL]))),-1)))</f>
        <v>45304</v>
      </c>
      <c r="AJ345" s="41" t="str">
        <f ca="1">IF(NOTA[[#This Row],[NAMA BARANG]]="","",INDEX(NOTA[SUPPLIER],MATCH(,INDIRECT(ADDRESS(ROW(NOTA[ID]),COLUMN(NOTA[ID]))&amp;":"&amp;ADDRESS(ROW(),COLUMN(NOTA[ID]))),-1)))</f>
        <v>D-R ORIGINAL</v>
      </c>
      <c r="AK345" s="41" t="str">
        <f ca="1">IF(NOTA[[#This Row],[ID_H]]="","",IF(NOTA[[#This Row],[FAKTUR]]="",INDIRECT(ADDRESS(ROW()-1,COLUMN())),NOTA[[#This Row],[FAKTUR]]))</f>
        <v>UNTANA</v>
      </c>
      <c r="AL345" s="38">
        <f ca="1">IF(NOTA[[#This Row],[ID]]="","",COUNTIF(NOTA[ID_H],NOTA[[#This Row],[ID_H]]))</f>
        <v>5</v>
      </c>
      <c r="AM345" s="38">
        <f>IF(NOTA[[#This Row],[TGL.NOTA]]="",IF(NOTA[[#This Row],[SUPPLIER_H]]="","",AM344),MONTH(NOTA[[#This Row],[TGL.NOTA]]))</f>
        <v>1</v>
      </c>
      <c r="AN345" s="38" t="str">
        <f>LOWER(SUBSTITUTE(SUBSTITUTE(SUBSTITUTE(SUBSTITUTE(SUBSTITUTE(SUBSTITUTE(SUBSTITUTE(SUBSTITUTE(SUBSTITUTE(NOTA[NAMA BARANG]," ",),".",""),"-",""),"(",""),")",""),",",""),"/",""),"""",""),"+",""))</f>
        <v>guntingjuniorj500junior</v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guntingjuniorj500junior14000000.10.1</v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guntingjuniorj500junior14000000.10.1</v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>D-R ORIGINALUNTANAGP240103745302guntingjuniorj500junior</v>
      </c>
      <c r="AR345" s="38" t="e">
        <f>IF(NOTA[[#This Row],[CONCAT4]]="","",_xlfn.IFNA(MATCH(NOTA[[#This Row],[CONCAT4]],[2]!RAW[CONCAT_H],0),FALSE))</f>
        <v>#REF!</v>
      </c>
      <c r="AS345" s="38">
        <f>IF(NOTA[[#This Row],[CONCAT1]]="","",MATCH(NOTA[[#This Row],[CONCAT1]],[3]!db[NB NOTA_C],0))</f>
        <v>1369</v>
      </c>
      <c r="AT345" s="38" t="b">
        <f>IF(NOTA[[#This Row],[QTY/ CTN]]="","",TRUE)</f>
        <v>1</v>
      </c>
      <c r="AU345" s="38">
        <f ca="1">IF(NOTA[[#This Row],[ID_H]]="","",IF(NOTA[[#This Row],[Column3]]=TRUE,NOTA[[#This Row],[QTY/ CTN]],INDEX([3]!db[QTY/ CTN],NOTA[[#This Row],[//DB]])))</f>
        <v>20</v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guntingjuniorj500junior20untana</v>
      </c>
      <c r="AW345" s="38" t="e">
        <f ca="1">IF(NOTA[[#This Row],[ID_H]]="","",MATCH(NOTA[[#This Row],[NB NOTA_C_QTY]],[4]!db[NB NOTA_C_QTY+F],0))</f>
        <v>#REF!</v>
      </c>
      <c r="AX345" s="53">
        <f ca="1">IF(NOTA[[#This Row],[NB NOTA_C_QTY]]="","",ROW()-2)</f>
        <v>343</v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56</v>
      </c>
      <c r="E346" s="46"/>
      <c r="F346" s="37"/>
      <c r="G346" s="37"/>
      <c r="H346" s="47"/>
      <c r="I346" s="37"/>
      <c r="J346" s="39"/>
      <c r="K346" s="37"/>
      <c r="L346" s="37" t="s">
        <v>486</v>
      </c>
      <c r="M346" s="40">
        <v>4</v>
      </c>
      <c r="N346" s="38">
        <v>96</v>
      </c>
      <c r="O346" s="37" t="s">
        <v>111</v>
      </c>
      <c r="P346" s="41">
        <v>52000</v>
      </c>
      <c r="Q346" s="42"/>
      <c r="R346" s="48">
        <v>24</v>
      </c>
      <c r="S346" s="49">
        <v>0.1</v>
      </c>
      <c r="T346" s="44">
        <v>0.1</v>
      </c>
      <c r="U346" s="44">
        <v>0.1</v>
      </c>
      <c r="V346" s="50"/>
      <c r="W346" s="45"/>
      <c r="X346" s="50">
        <f>IF(NOTA[[#This Row],[HARGA/ CTN]]="",NOTA[[#This Row],[JUMLAH_H]],NOTA[[#This Row],[HARGA/ CTN]]*IF(NOTA[[#This Row],[C]]="",0,NOTA[[#This Row],[C]]))</f>
        <v>4992000</v>
      </c>
      <c r="Y346" s="50">
        <f>IF(NOTA[[#This Row],[JUMLAH]]="","",NOTA[[#This Row],[JUMLAH]]*NOTA[[#This Row],[DISC 1]])</f>
        <v>499200</v>
      </c>
      <c r="Z346" s="50">
        <f>IF(NOTA[[#This Row],[JUMLAH]]="","",(NOTA[[#This Row],[JUMLAH]]-NOTA[[#This Row],[DISC 1-]])*NOTA[[#This Row],[DISC 2]])</f>
        <v>449280</v>
      </c>
      <c r="AA346" s="50">
        <f>IF(NOTA[[#This Row],[JUMLAH]]="","",(NOTA[[#This Row],[JUMLAH]]-NOTA[[#This Row],[DISC 1-]]-NOTA[[#This Row],[DISC 2-]])*NOTA[[#This Row],[DISC 3]])</f>
        <v>404352</v>
      </c>
      <c r="AB346" s="50">
        <f>IF(NOTA[[#This Row],[JUMLAH]]="","",NOTA[[#This Row],[DISC 1-]]+NOTA[[#This Row],[DISC 2-]]+NOTA[[#This Row],[DISC 3-]])</f>
        <v>1352832</v>
      </c>
      <c r="AC346" s="50">
        <f>IF(NOTA[[#This Row],[JUMLAH]]="","",NOTA[[#This Row],[JUMLAH]]-NOTA[[#This Row],[DISC]])</f>
        <v>3639168</v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H346" s="50">
        <f>IF(OR(NOTA[[#This Row],[QTY]]="",NOTA[[#This Row],[HARGA SATUAN]]="",),"",NOTA[[#This Row],[QTY]]*NOTA[[#This Row],[HARGA SATUAN]])</f>
        <v>4992000</v>
      </c>
      <c r="AI346" s="39">
        <f ca="1">IF(NOTA[ID_H]="","",INDEX(NOTA[TANGGAL],MATCH(,INDIRECT(ADDRESS(ROW(NOTA[TANGGAL]),COLUMN(NOTA[TANGGAL]))&amp;":"&amp;ADDRESS(ROW(),COLUMN(NOTA[TANGGAL]))),-1)))</f>
        <v>45304</v>
      </c>
      <c r="AJ346" s="41" t="str">
        <f ca="1">IF(NOTA[[#This Row],[NAMA BARANG]]="","",INDEX(NOTA[SUPPLIER],MATCH(,INDIRECT(ADDRESS(ROW(NOTA[ID]),COLUMN(NOTA[ID]))&amp;":"&amp;ADDRESS(ROW(),COLUMN(NOTA[ID]))),-1)))</f>
        <v>D-R ORIGINAL</v>
      </c>
      <c r="AK346" s="41" t="str">
        <f ca="1">IF(NOTA[[#This Row],[ID_H]]="","",IF(NOTA[[#This Row],[FAKTUR]]="",INDIRECT(ADDRESS(ROW()-1,COLUMN())),NOTA[[#This Row],[FAKTUR]]))</f>
        <v>UNTANA</v>
      </c>
      <c r="AL346" s="38" t="str">
        <f ca="1">IF(NOTA[[#This Row],[ID]]="","",COUNTIF(NOTA[ID_H],NOTA[[#This Row],[ID_H]]))</f>
        <v/>
      </c>
      <c r="AM346" s="38">
        <f ca="1">IF(NOTA[[#This Row],[TGL.NOTA]]="",IF(NOTA[[#This Row],[SUPPLIER_H]]="","",AM345),MONTH(NOTA[[#This Row],[TGL.NOTA]]))</f>
        <v>1</v>
      </c>
      <c r="AN346" s="38" t="str">
        <f>LOWER(SUBSTITUTE(SUBSTITUTE(SUBSTITUTE(SUBSTITUTE(SUBSTITUTE(SUBSTITUTE(SUBSTITUTE(SUBSTITUTE(SUBSTITUTE(NOTA[NAMA BARANG]," ",),".",""),"-",""),"(",""),")",""),",",""),"/",""),"""",""),"+",""))</f>
        <v>guntingjuniorj400junior</v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guntingjuniorj400junior12480000.10.1</v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guntingjuniorj400junior12480000.10.1</v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>
        <f>IF(NOTA[[#This Row],[CONCAT1]]="","",MATCH(NOTA[[#This Row],[CONCAT1]],[3]!db[NB NOTA_C],0))</f>
        <v>1368</v>
      </c>
      <c r="AT346" s="38" t="b">
        <f>IF(NOTA[[#This Row],[QTY/ CTN]]="","",TRUE)</f>
        <v>1</v>
      </c>
      <c r="AU346" s="38">
        <f ca="1">IF(NOTA[[#This Row],[ID_H]]="","",IF(NOTA[[#This Row],[Column3]]=TRUE,NOTA[[#This Row],[QTY/ CTN]],INDEX([3]!db[QTY/ CTN],NOTA[[#This Row],[//DB]])))</f>
        <v>24</v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guntingjuniorj400junior24untana</v>
      </c>
      <c r="AW346" s="38" t="e">
        <f ca="1">IF(NOTA[[#This Row],[ID_H]]="","",MATCH(NOTA[[#This Row],[NB NOTA_C_QTY]],[4]!db[NB NOTA_C_QTY+F],0))</f>
        <v>#REF!</v>
      </c>
      <c r="AX346" s="53">
        <f ca="1">IF(NOTA[[#This Row],[NB NOTA_C_QTY]]="","",ROW()-2)</f>
        <v>344</v>
      </c>
    </row>
    <row r="347" spans="1:50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56</v>
      </c>
      <c r="E347" s="46"/>
      <c r="F347" s="37"/>
      <c r="G347" s="37"/>
      <c r="H347" s="47"/>
      <c r="I347" s="37"/>
      <c r="J347" s="39"/>
      <c r="K347" s="37"/>
      <c r="L347" s="37" t="s">
        <v>487</v>
      </c>
      <c r="M347" s="40">
        <v>5</v>
      </c>
      <c r="N347" s="38">
        <v>120</v>
      </c>
      <c r="O347" s="37" t="s">
        <v>111</v>
      </c>
      <c r="P347" s="41">
        <v>46000</v>
      </c>
      <c r="Q347" s="42"/>
      <c r="R347" s="48">
        <v>24</v>
      </c>
      <c r="S347" s="49">
        <v>0.1</v>
      </c>
      <c r="T347" s="44">
        <v>0.1</v>
      </c>
      <c r="U347" s="44">
        <v>0.1</v>
      </c>
      <c r="V347" s="50"/>
      <c r="W347" s="45"/>
      <c r="X347" s="50">
        <f>IF(NOTA[[#This Row],[HARGA/ CTN]]="",NOTA[[#This Row],[JUMLAH_H]],NOTA[[#This Row],[HARGA/ CTN]]*IF(NOTA[[#This Row],[C]]="",0,NOTA[[#This Row],[C]]))</f>
        <v>5520000</v>
      </c>
      <c r="Y347" s="50">
        <f>IF(NOTA[[#This Row],[JUMLAH]]="","",NOTA[[#This Row],[JUMLAH]]*NOTA[[#This Row],[DISC 1]])</f>
        <v>552000</v>
      </c>
      <c r="Z347" s="50">
        <f>IF(NOTA[[#This Row],[JUMLAH]]="","",(NOTA[[#This Row],[JUMLAH]]-NOTA[[#This Row],[DISC 1-]])*NOTA[[#This Row],[DISC 2]])</f>
        <v>496800</v>
      </c>
      <c r="AA347" s="50">
        <f>IF(NOTA[[#This Row],[JUMLAH]]="","",(NOTA[[#This Row],[JUMLAH]]-NOTA[[#This Row],[DISC 1-]]-NOTA[[#This Row],[DISC 2-]])*NOTA[[#This Row],[DISC 3]])</f>
        <v>447120</v>
      </c>
      <c r="AB347" s="50">
        <f>IF(NOTA[[#This Row],[JUMLAH]]="","",NOTA[[#This Row],[DISC 1-]]+NOTA[[#This Row],[DISC 2-]]+NOTA[[#This Row],[DISC 3-]])</f>
        <v>1495920</v>
      </c>
      <c r="AC347" s="50">
        <f>IF(NOTA[[#This Row],[JUMLAH]]="","",NOTA[[#This Row],[JUMLAH]]-NOTA[[#This Row],[DISC]])</f>
        <v>4024080</v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347" s="50">
        <f>IF(OR(NOTA[[#This Row],[QTY]]="",NOTA[[#This Row],[HARGA SATUAN]]="",),"",NOTA[[#This Row],[QTY]]*NOTA[[#This Row],[HARGA SATUAN]])</f>
        <v>5520000</v>
      </c>
      <c r="AI347" s="39">
        <f ca="1">IF(NOTA[ID_H]="","",INDEX(NOTA[TANGGAL],MATCH(,INDIRECT(ADDRESS(ROW(NOTA[TANGGAL]),COLUMN(NOTA[TANGGAL]))&amp;":"&amp;ADDRESS(ROW(),COLUMN(NOTA[TANGGAL]))),-1)))</f>
        <v>45304</v>
      </c>
      <c r="AJ347" s="41" t="str">
        <f ca="1">IF(NOTA[[#This Row],[NAMA BARANG]]="","",INDEX(NOTA[SUPPLIER],MATCH(,INDIRECT(ADDRESS(ROW(NOTA[ID]),COLUMN(NOTA[ID]))&amp;":"&amp;ADDRESS(ROW(),COLUMN(NOTA[ID]))),-1)))</f>
        <v>D-R ORIGINAL</v>
      </c>
      <c r="AK347" s="41" t="str">
        <f ca="1">IF(NOTA[[#This Row],[ID_H]]="","",IF(NOTA[[#This Row],[FAKTUR]]="",INDIRECT(ADDRESS(ROW()-1,COLUMN())),NOTA[[#This Row],[FAKTUR]]))</f>
        <v>UNTANA</v>
      </c>
      <c r="AL347" s="38" t="str">
        <f ca="1">IF(NOTA[[#This Row],[ID]]="","",COUNTIF(NOTA[ID_H],NOTA[[#This Row],[ID_H]]))</f>
        <v/>
      </c>
      <c r="AM347" s="38">
        <f ca="1">IF(NOTA[[#This Row],[TGL.NOTA]]="",IF(NOTA[[#This Row],[SUPPLIER_H]]="","",AM346),MONTH(NOTA[[#This Row],[TGL.NOTA]]))</f>
        <v>1</v>
      </c>
      <c r="AN347" s="38" t="str">
        <f>LOWER(SUBSTITUTE(SUBSTITUTE(SUBSTITUTE(SUBSTITUTE(SUBSTITUTE(SUBSTITUTE(SUBSTITUTE(SUBSTITUTE(SUBSTITUTE(NOTA[NAMA BARANG]," ",),".",""),"-",""),"(",""),")",""),",",""),"/",""),"""",""),"+",""))</f>
        <v>guntingjuniorj300junior</v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guntingjuniorj300junior11040000.10.1</v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guntingjuniorj300junior11040000.10.1</v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38" t="str">
        <f>IF(NOTA[[#This Row],[CONCAT4]]="","",_xlfn.IFNA(MATCH(NOTA[[#This Row],[CONCAT4]],[2]!RAW[CONCAT_H],0),FALSE))</f>
        <v/>
      </c>
      <c r="AS347" s="38">
        <f>IF(NOTA[[#This Row],[CONCAT1]]="","",MATCH(NOTA[[#This Row],[CONCAT1]],[3]!db[NB NOTA_C],0))</f>
        <v>1367</v>
      </c>
      <c r="AT347" s="38" t="b">
        <f>IF(NOTA[[#This Row],[QTY/ CTN]]="","",TRUE)</f>
        <v>1</v>
      </c>
      <c r="AU347" s="38">
        <f ca="1">IF(NOTA[[#This Row],[ID_H]]="","",IF(NOTA[[#This Row],[Column3]]=TRUE,NOTA[[#This Row],[QTY/ CTN]],INDEX([3]!db[QTY/ CTN],NOTA[[#This Row],[//DB]])))</f>
        <v>24</v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guntingjuniorj300junior24untana</v>
      </c>
      <c r="AW347" s="38" t="e">
        <f ca="1">IF(NOTA[[#This Row],[ID_H]]="","",MATCH(NOTA[[#This Row],[NB NOTA_C_QTY]],[4]!db[NB NOTA_C_QTY+F],0))</f>
        <v>#REF!</v>
      </c>
      <c r="AX347" s="53">
        <f ca="1">IF(NOTA[[#This Row],[NB NOTA_C_QTY]]="","",ROW()-2)</f>
        <v>345</v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56</v>
      </c>
      <c r="E348" s="46"/>
      <c r="F348" s="37"/>
      <c r="G348" s="37"/>
      <c r="H348" s="47"/>
      <c r="I348" s="37"/>
      <c r="J348" s="39"/>
      <c r="K348" s="37"/>
      <c r="L348" s="37" t="s">
        <v>488</v>
      </c>
      <c r="M348" s="40">
        <v>2</v>
      </c>
      <c r="N348" s="38">
        <v>96</v>
      </c>
      <c r="O348" s="37" t="s">
        <v>111</v>
      </c>
      <c r="P348" s="41">
        <v>38000</v>
      </c>
      <c r="Q348" s="42"/>
      <c r="R348" s="48">
        <v>48</v>
      </c>
      <c r="S348" s="49">
        <v>0.1</v>
      </c>
      <c r="T348" s="44">
        <v>0.1</v>
      </c>
      <c r="U348" s="44">
        <v>0.1</v>
      </c>
      <c r="V348" s="50"/>
      <c r="W348" s="45"/>
      <c r="X348" s="50">
        <f>IF(NOTA[[#This Row],[HARGA/ CTN]]="",NOTA[[#This Row],[JUMLAH_H]],NOTA[[#This Row],[HARGA/ CTN]]*IF(NOTA[[#This Row],[C]]="",0,NOTA[[#This Row],[C]]))</f>
        <v>3648000</v>
      </c>
      <c r="Y348" s="50">
        <f>IF(NOTA[[#This Row],[JUMLAH]]="","",NOTA[[#This Row],[JUMLAH]]*NOTA[[#This Row],[DISC 1]])</f>
        <v>364800</v>
      </c>
      <c r="Z348" s="50">
        <f>IF(NOTA[[#This Row],[JUMLAH]]="","",(NOTA[[#This Row],[JUMLAH]]-NOTA[[#This Row],[DISC 1-]])*NOTA[[#This Row],[DISC 2]])</f>
        <v>328320</v>
      </c>
      <c r="AA348" s="50">
        <f>IF(NOTA[[#This Row],[JUMLAH]]="","",(NOTA[[#This Row],[JUMLAH]]-NOTA[[#This Row],[DISC 1-]]-NOTA[[#This Row],[DISC 2-]])*NOTA[[#This Row],[DISC 3]])</f>
        <v>295488</v>
      </c>
      <c r="AB348" s="50">
        <f>IF(NOTA[[#This Row],[JUMLAH]]="","",NOTA[[#This Row],[DISC 1-]]+NOTA[[#This Row],[DISC 2-]]+NOTA[[#This Row],[DISC 3-]])</f>
        <v>988608</v>
      </c>
      <c r="AC348" s="50">
        <f>IF(NOTA[[#This Row],[JUMLAH]]="","",NOTA[[#This Row],[JUMLAH]]-NOTA[[#This Row],[DISC]])</f>
        <v>2659392</v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348" s="50">
        <f>IF(OR(NOTA[[#This Row],[QTY]]="",NOTA[[#This Row],[HARGA SATUAN]]="",),"",NOTA[[#This Row],[QTY]]*NOTA[[#This Row],[HARGA SATUAN]])</f>
        <v>3648000</v>
      </c>
      <c r="AI348" s="39">
        <f ca="1">IF(NOTA[ID_H]="","",INDEX(NOTA[TANGGAL],MATCH(,INDIRECT(ADDRESS(ROW(NOTA[TANGGAL]),COLUMN(NOTA[TANGGAL]))&amp;":"&amp;ADDRESS(ROW(),COLUMN(NOTA[TANGGAL]))),-1)))</f>
        <v>45304</v>
      </c>
      <c r="AJ348" s="41" t="str">
        <f ca="1">IF(NOTA[[#This Row],[NAMA BARANG]]="","",INDEX(NOTA[SUPPLIER],MATCH(,INDIRECT(ADDRESS(ROW(NOTA[ID]),COLUMN(NOTA[ID]))&amp;":"&amp;ADDRESS(ROW(),COLUMN(NOTA[ID]))),-1)))</f>
        <v>D-R ORIGINAL</v>
      </c>
      <c r="AK348" s="41" t="str">
        <f ca="1">IF(NOTA[[#This Row],[ID_H]]="","",IF(NOTA[[#This Row],[FAKTUR]]="",INDIRECT(ADDRESS(ROW()-1,COLUMN())),NOTA[[#This Row],[FAKTUR]]))</f>
        <v>UNTANA</v>
      </c>
      <c r="AL348" s="38" t="str">
        <f ca="1">IF(NOTA[[#This Row],[ID]]="","",COUNTIF(NOTA[ID_H],NOTA[[#This Row],[ID_H]]))</f>
        <v/>
      </c>
      <c r="AM348" s="38">
        <f ca="1">IF(NOTA[[#This Row],[TGL.NOTA]]="",IF(NOTA[[#This Row],[SUPPLIER_H]]="","",AM347),MONTH(NOTA[[#This Row],[TGL.NOTA]]))</f>
        <v>1</v>
      </c>
      <c r="AN348" s="38" t="str">
        <f>LOWER(SUBSTITUTE(SUBSTITUTE(SUBSTITUTE(SUBSTITUTE(SUBSTITUTE(SUBSTITUTE(SUBSTITUTE(SUBSTITUTE(SUBSTITUTE(NOTA[NAMA BARANG]," ",),".",""),"-",""),"(",""),")",""),",",""),"/",""),"""",""),"+",""))</f>
        <v>guntingjuniorj200junior</v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guntingjuniorj200junior18240000.10.1</v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guntingjuniorj200junior18240000.10.1</v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>
        <f>IF(NOTA[[#This Row],[CONCAT1]]="","",MATCH(NOTA[[#This Row],[CONCAT1]],[3]!db[NB NOTA_C],0))</f>
        <v>1366</v>
      </c>
      <c r="AT348" s="38" t="b">
        <f>IF(NOTA[[#This Row],[QTY/ CTN]]="","",TRUE)</f>
        <v>1</v>
      </c>
      <c r="AU348" s="38">
        <f ca="1">IF(NOTA[[#This Row],[ID_H]]="","",IF(NOTA[[#This Row],[Column3]]=TRUE,NOTA[[#This Row],[QTY/ CTN]],INDEX([3]!db[QTY/ CTN],NOTA[[#This Row],[//DB]])))</f>
        <v>48</v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guntingjuniorj200junior48untana</v>
      </c>
      <c r="AW348" s="38" t="e">
        <f ca="1">IF(NOTA[[#This Row],[ID_H]]="","",MATCH(NOTA[[#This Row],[NB NOTA_C_QTY]],[4]!db[NB NOTA_C_QTY+F],0))</f>
        <v>#REF!</v>
      </c>
      <c r="AX348" s="53">
        <f ca="1">IF(NOTA[[#This Row],[NB NOTA_C_QTY]]="","",ROW()-2)</f>
        <v>346</v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56</v>
      </c>
      <c r="E349" s="46"/>
      <c r="F349" s="37"/>
      <c r="G349" s="37"/>
      <c r="H349" s="47"/>
      <c r="I349" s="37"/>
      <c r="J349" s="39"/>
      <c r="K349" s="37"/>
      <c r="L349" s="37" t="s">
        <v>489</v>
      </c>
      <c r="M349" s="40">
        <v>5</v>
      </c>
      <c r="N349" s="38">
        <v>240</v>
      </c>
      <c r="O349" s="37" t="s">
        <v>111</v>
      </c>
      <c r="P349" s="41">
        <v>35000</v>
      </c>
      <c r="Q349" s="42"/>
      <c r="R349" s="48">
        <v>48</v>
      </c>
      <c r="S349" s="49">
        <v>0.1</v>
      </c>
      <c r="T349" s="44">
        <v>0.1</v>
      </c>
      <c r="U349" s="44">
        <v>0.1</v>
      </c>
      <c r="V349" s="50"/>
      <c r="W349" s="45"/>
      <c r="X349" s="50">
        <f>IF(NOTA[[#This Row],[HARGA/ CTN]]="",NOTA[[#This Row],[JUMLAH_H]],NOTA[[#This Row],[HARGA/ CTN]]*IF(NOTA[[#This Row],[C]]="",0,NOTA[[#This Row],[C]]))</f>
        <v>8400000</v>
      </c>
      <c r="Y349" s="50">
        <f>IF(NOTA[[#This Row],[JUMLAH]]="","",NOTA[[#This Row],[JUMLAH]]*NOTA[[#This Row],[DISC 1]])</f>
        <v>840000</v>
      </c>
      <c r="Z349" s="50">
        <f>IF(NOTA[[#This Row],[JUMLAH]]="","",(NOTA[[#This Row],[JUMLAH]]-NOTA[[#This Row],[DISC 1-]])*NOTA[[#This Row],[DISC 2]])</f>
        <v>756000</v>
      </c>
      <c r="AA349" s="50">
        <f>IF(NOTA[[#This Row],[JUMLAH]]="","",(NOTA[[#This Row],[JUMLAH]]-NOTA[[#This Row],[DISC 1-]]-NOTA[[#This Row],[DISC 2-]])*NOTA[[#This Row],[DISC 3]])</f>
        <v>680400</v>
      </c>
      <c r="AB349" s="50">
        <f>IF(NOTA[[#This Row],[JUMLAH]]="","",NOTA[[#This Row],[DISC 1-]]+NOTA[[#This Row],[DISC 2-]]+NOTA[[#This Row],[DISC 3-]])</f>
        <v>2276400</v>
      </c>
      <c r="AC349" s="50">
        <f>IF(NOTA[[#This Row],[JUMLAH]]="","",NOTA[[#This Row],[JUMLAH]]-NOTA[[#This Row],[DISC]])</f>
        <v>6123600</v>
      </c>
      <c r="AD349" s="50"/>
      <c r="AE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8010760</v>
      </c>
      <c r="AF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21549240</v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49" s="50">
        <f>IF(OR(NOTA[[#This Row],[QTY]]="",NOTA[[#This Row],[HARGA SATUAN]]="",),"",NOTA[[#This Row],[QTY]]*NOTA[[#This Row],[HARGA SATUAN]])</f>
        <v>8400000</v>
      </c>
      <c r="AI349" s="39">
        <f ca="1">IF(NOTA[ID_H]="","",INDEX(NOTA[TANGGAL],MATCH(,INDIRECT(ADDRESS(ROW(NOTA[TANGGAL]),COLUMN(NOTA[TANGGAL]))&amp;":"&amp;ADDRESS(ROW(),COLUMN(NOTA[TANGGAL]))),-1)))</f>
        <v>45304</v>
      </c>
      <c r="AJ349" s="41" t="str">
        <f ca="1">IF(NOTA[[#This Row],[NAMA BARANG]]="","",INDEX(NOTA[SUPPLIER],MATCH(,INDIRECT(ADDRESS(ROW(NOTA[ID]),COLUMN(NOTA[ID]))&amp;":"&amp;ADDRESS(ROW(),COLUMN(NOTA[ID]))),-1)))</f>
        <v>D-R ORIGINAL</v>
      </c>
      <c r="AK349" s="41" t="str">
        <f ca="1">IF(NOTA[[#This Row],[ID_H]]="","",IF(NOTA[[#This Row],[FAKTUR]]="",INDIRECT(ADDRESS(ROW()-1,COLUMN())),NOTA[[#This Row],[FAKTUR]]))</f>
        <v>UNTANA</v>
      </c>
      <c r="AL349" s="38" t="str">
        <f ca="1">IF(NOTA[[#This Row],[ID]]="","",COUNTIF(NOTA[ID_H],NOTA[[#This Row],[ID_H]]))</f>
        <v/>
      </c>
      <c r="AM349" s="38">
        <f ca="1">IF(NOTA[[#This Row],[TGL.NOTA]]="",IF(NOTA[[#This Row],[SUPPLIER_H]]="","",AM348),MONTH(NOTA[[#This Row],[TGL.NOTA]]))</f>
        <v>1</v>
      </c>
      <c r="AN349" s="38" t="str">
        <f>LOWER(SUBSTITUTE(SUBSTITUTE(SUBSTITUTE(SUBSTITUTE(SUBSTITUTE(SUBSTITUTE(SUBSTITUTE(SUBSTITUTE(SUBSTITUTE(NOTA[NAMA BARANG]," ",),".",""),"-",""),"(",""),")",""),",",""),"/",""),"""",""),"+",""))</f>
        <v>guntingjuniorj100junior</v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guntingjuniorj100junior16800000.10.1</v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guntingjuniorj100junior16800000.10.1</v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>
        <f>IF(NOTA[[#This Row],[CONCAT1]]="","",MATCH(NOTA[[#This Row],[CONCAT1]],[3]!db[NB NOTA_C],0))</f>
        <v>1365</v>
      </c>
      <c r="AT349" s="38" t="b">
        <f>IF(NOTA[[#This Row],[QTY/ CTN]]="","",TRUE)</f>
        <v>1</v>
      </c>
      <c r="AU349" s="38">
        <f ca="1">IF(NOTA[[#This Row],[ID_H]]="","",IF(NOTA[[#This Row],[Column3]]=TRUE,NOTA[[#This Row],[QTY/ CTN]],INDEX([3]!db[QTY/ CTN],NOTA[[#This Row],[//DB]])))</f>
        <v>48</v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guntingjuniorj100junior48untana</v>
      </c>
      <c r="AW349" s="38" t="e">
        <f ca="1">IF(NOTA[[#This Row],[ID_H]]="","",MATCH(NOTA[[#This Row],[NB NOTA_C_QTY]],[4]!db[NB NOTA_C_QTY+F],0))</f>
        <v>#REF!</v>
      </c>
      <c r="AX349" s="53">
        <f ca="1">IF(NOTA[[#This Row],[NB NOTA_C_QTY]]="","",ROW()-2)</f>
        <v>347</v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45"/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50" t="str">
        <f>IF(OR(NOTA[[#This Row],[QTY]]="",NOTA[[#This Row],[HARGA SATUAN]]="",),"",NOTA[[#This Row],[QTY]]*NOTA[[#This Row],[HARGA SATUAN]])</f>
        <v/>
      </c>
      <c r="AI350" s="39" t="str">
        <f ca="1">IF(NOTA[ID_H]="","",INDEX(NOTA[TANGGAL],MATCH(,INDIRECT(ADDRESS(ROW(NOTA[TANGGAL]),COLUMN(NOTA[TANGGAL]))&amp;":"&amp;ADDRESS(ROW(),COLUMN(NOTA[TANGGAL]))),-1)))</f>
        <v/>
      </c>
      <c r="AJ350" s="41" t="str">
        <f ca="1">IF(NOTA[[#This Row],[NAMA BARANG]]="","",INDEX(NOTA[SUPPLIER],MATCH(,INDIRECT(ADDRESS(ROW(NOTA[ID]),COLUMN(NOTA[ID]))&amp;":"&amp;ADDRESS(ROW(),COLUMN(NOTA[ID]))),-1)))</f>
        <v/>
      </c>
      <c r="AK350" s="41" t="str">
        <f ca="1">IF(NOTA[[#This Row],[ID_H]]="","",IF(NOTA[[#This Row],[FAKTUR]]="",INDIRECT(ADDRESS(ROW()-1,COLUMN())),NOTA[[#This Row],[FAKTUR]]))</f>
        <v/>
      </c>
      <c r="AL350" s="38" t="str">
        <f ca="1">IF(NOTA[[#This Row],[ID]]="","",COUNTIF(NOTA[ID_H],NOTA[[#This Row],[ID_H]]))</f>
        <v/>
      </c>
      <c r="AM350" s="38" t="str">
        <f ca="1">IF(NOTA[[#This Row],[TGL.NOTA]]="",IF(NOTA[[#This Row],[SUPPLIER_H]]="","",AM349),MONTH(NOTA[[#This Row],[TGL.NOTA]]))</f>
        <v/>
      </c>
      <c r="AN350" s="38" t="str">
        <f>LOWER(SUBSTITUTE(SUBSTITUTE(SUBSTITUTE(SUBSTITUTE(SUBSTITUTE(SUBSTITUTE(SUBSTITUTE(SUBSTITUTE(SUBSTITUTE(NOTA[NAMA BARANG]," ",),".",""),"-",""),"(",""),")",""),",",""),"/",""),"""",""),"+",""))</f>
        <v/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 t="str">
        <f>IF(NOTA[[#This Row],[CONCAT1]]="","",MATCH(NOTA[[#This Row],[CONCAT1]],[3]!db[NB NOTA_C],0))</f>
        <v/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/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0" s="38" t="str">
        <f ca="1">IF(NOTA[[#This Row],[ID_H]]="","",MATCH(NOTA[[#This Row],[NB NOTA_C_QTY]],[4]!db[NB NOTA_C_QTY+F],0))</f>
        <v/>
      </c>
      <c r="AX350" s="53" t="str">
        <f ca="1">IF(NOTA[[#This Row],[NB NOTA_C_QTY]]="","",ROW()-2)</f>
        <v/>
      </c>
    </row>
    <row r="351" spans="1:50" s="38" customFormat="1" ht="20.100000000000001" customHeight="1" x14ac:dyDescent="0.25">
      <c r="A351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3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COM_1201_011-1</v>
      </c>
      <c r="C351" s="38" t="e">
        <f ca="1">IF(NOTA[[#This Row],[ID_P]]="","",MATCH(NOTA[[#This Row],[ID_P]],[1]!B_MSK[N_ID],0))</f>
        <v>#REF!</v>
      </c>
      <c r="D351" s="38">
        <f ca="1">IF(NOTA[[#This Row],[NAMA BARANG]]="","",INDEX(NOTA[ID],MATCH(,INDIRECT(ADDRESS(ROW(NOTA[ID]),COLUMN(NOTA[ID]))&amp;":"&amp;ADDRESS(ROW(),COLUMN(NOTA[ID]))),-1)))</f>
        <v>57</v>
      </c>
      <c r="E351" s="46">
        <v>45303</v>
      </c>
      <c r="F351" s="37" t="s">
        <v>114</v>
      </c>
      <c r="G351" s="37" t="s">
        <v>110</v>
      </c>
      <c r="H351" s="47" t="s">
        <v>491</v>
      </c>
      <c r="I351" s="37"/>
      <c r="J351" s="39">
        <v>45303</v>
      </c>
      <c r="K351" s="37"/>
      <c r="L351" s="37" t="s">
        <v>133</v>
      </c>
      <c r="M351" s="40">
        <v>1</v>
      </c>
      <c r="N351" s="38">
        <v>8</v>
      </c>
      <c r="O351" s="37" t="s">
        <v>111</v>
      </c>
      <c r="P351" s="41">
        <v>195000</v>
      </c>
      <c r="Q351" s="42"/>
      <c r="R351" s="48"/>
      <c r="S351" s="49"/>
      <c r="T351" s="44"/>
      <c r="U351" s="44"/>
      <c r="V351" s="50"/>
      <c r="W351" s="45"/>
      <c r="X351" s="50">
        <f>IF(NOTA[[#This Row],[HARGA/ CTN]]="",NOTA[[#This Row],[JUMLAH_H]],NOTA[[#This Row],[HARGA/ CTN]]*IF(NOTA[[#This Row],[C]]="",0,NOTA[[#This Row],[C]]))</f>
        <v>1560000</v>
      </c>
      <c r="Y351" s="50">
        <f>IF(NOTA[[#This Row],[JUMLAH]]="","",NOTA[[#This Row],[JUMLAH]]*NOTA[[#This Row],[DISC 1]])</f>
        <v>0</v>
      </c>
      <c r="Z351" s="50">
        <f>IF(NOTA[[#This Row],[JUMLAH]]="","",(NOTA[[#This Row],[JUMLAH]]-NOTA[[#This Row],[DISC 1-]])*NOTA[[#This Row],[DISC 2]])</f>
        <v>0</v>
      </c>
      <c r="AA351" s="50">
        <f>IF(NOTA[[#This Row],[JUMLAH]]="","",(NOTA[[#This Row],[JUMLAH]]-NOTA[[#This Row],[DISC 1-]]-NOTA[[#This Row],[DISC 2-]])*NOTA[[#This Row],[DISC 3]])</f>
        <v>0</v>
      </c>
      <c r="AB351" s="50">
        <f>IF(NOTA[[#This Row],[JUMLAH]]="","",NOTA[[#This Row],[DISC 1-]]+NOTA[[#This Row],[DISC 2-]]+NOTA[[#This Row],[DISC 3-]])</f>
        <v>0</v>
      </c>
      <c r="AC351" s="50">
        <f>IF(NOTA[[#This Row],[JUMLAH]]="","",NOTA[[#This Row],[JUMLAH]]-NOTA[[#This Row],[DISC]])</f>
        <v>1560000</v>
      </c>
      <c r="AD351" s="50"/>
      <c r="AE3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1560000</v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51" s="50">
        <f>IF(OR(NOTA[[#This Row],[QTY]]="",NOTA[[#This Row],[HARGA SATUAN]]="",),"",NOTA[[#This Row],[QTY]]*NOTA[[#This Row],[HARGA SATUAN]])</f>
        <v>1560000</v>
      </c>
      <c r="AI351" s="39">
        <f ca="1">IF(NOTA[ID_H]="","",INDEX(NOTA[TANGGAL],MATCH(,INDIRECT(ADDRESS(ROW(NOTA[TANGGAL]),COLUMN(NOTA[TANGGAL]))&amp;":"&amp;ADDRESS(ROW(),COLUMN(NOTA[TANGGAL]))),-1)))</f>
        <v>45303</v>
      </c>
      <c r="AJ351" s="41" t="str">
        <f ca="1">IF(NOTA[[#This Row],[NAMA BARANG]]="","",INDEX(NOTA[SUPPLIER],MATCH(,INDIRECT(ADDRESS(ROW(NOTA[ID]),COLUMN(NOTA[ID]))&amp;":"&amp;ADDRESS(ROW(),COLUMN(NOTA[ID]))),-1)))</f>
        <v>COMBI</v>
      </c>
      <c r="AK351" s="41" t="str">
        <f ca="1">IF(NOTA[[#This Row],[ID_H]]="","",IF(NOTA[[#This Row],[FAKTUR]]="",INDIRECT(ADDRESS(ROW()-1,COLUMN())),NOTA[[#This Row],[FAKTUR]]))</f>
        <v>UNTANA</v>
      </c>
      <c r="AL351" s="38">
        <f ca="1">IF(NOTA[[#This Row],[ID]]="","",COUNTIF(NOTA[ID_H],NOTA[[#This Row],[ID_H]]))</f>
        <v>1</v>
      </c>
      <c r="AM351" s="38">
        <f>IF(NOTA[[#This Row],[TGL.NOTA]]="",IF(NOTA[[#This Row],[SUPPLIER_H]]="","",AM350),MONTH(NOTA[[#This Row],[TGL.NOTA]]))</f>
        <v>1</v>
      </c>
      <c r="AN351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COMBIUNTANA01145303docritprestige</v>
      </c>
      <c r="AR351" s="38" t="e">
        <f>IF(NOTA[[#This Row],[CONCAT4]]="","",_xlfn.IFNA(MATCH(NOTA[[#This Row],[CONCAT4]],[2]!RAW[CONCAT_H],0),FALSE))</f>
        <v>#REF!</v>
      </c>
      <c r="AS351" s="38">
        <f>IF(NOTA[[#This Row],[CONCAT1]]="","",MATCH(NOTA[[#This Row],[CONCAT1]],[3]!db[NB NOTA_C],0))</f>
        <v>852</v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>8 LSN</v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351" s="38" t="e">
        <f ca="1">IF(NOTA[[#This Row],[ID_H]]="","",MATCH(NOTA[[#This Row],[NB NOTA_C_QTY]],[4]!db[NB NOTA_C_QTY+F],0))</f>
        <v>#REF!</v>
      </c>
      <c r="AX351" s="53">
        <f ca="1">IF(NOTA[[#This Row],[NB NOTA_C_QTY]]="","",ROW()-2)</f>
        <v>349</v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 t="str">
        <f ca="1">IF(NOTA[[#This Row],[NAMA BARANG]]="","",INDEX(NOTA[ID],MATCH(,INDIRECT(ADDRESS(ROW(NOTA[ID]),COLUMN(NOTA[ID]))&amp;":"&amp;ADDRESS(ROW(),COLUMN(NOTA[ID]))),-1)))</f>
        <v/>
      </c>
      <c r="E352" s="46"/>
      <c r="F352" s="37"/>
      <c r="G352" s="37"/>
      <c r="H352" s="47"/>
      <c r="I352" s="37"/>
      <c r="J352" s="39"/>
      <c r="K352" s="37"/>
      <c r="L352" s="37"/>
      <c r="M352" s="40"/>
      <c r="O352" s="37"/>
      <c r="P352" s="41"/>
      <c r="Q352" s="42"/>
      <c r="R352" s="48"/>
      <c r="S352" s="49"/>
      <c r="T352" s="44"/>
      <c r="U352" s="44"/>
      <c r="V352" s="50"/>
      <c r="W352" s="45"/>
      <c r="X352" s="50" t="str">
        <f>IF(NOTA[[#This Row],[HARGA/ CTN]]="",NOTA[[#This Row],[JUMLAH_H]],NOTA[[#This Row],[HARGA/ CTN]]*IF(NOTA[[#This Row],[C]]="",0,NOTA[[#This Row],[C]]))</f>
        <v/>
      </c>
      <c r="Y352" s="50" t="str">
        <f>IF(NOTA[[#This Row],[JUMLAH]]="","",NOTA[[#This Row],[JUMLAH]]*NOTA[[#This Row],[DISC 1]])</f>
        <v/>
      </c>
      <c r="Z352" s="50" t="str">
        <f>IF(NOTA[[#This Row],[JUMLAH]]="","",(NOTA[[#This Row],[JUMLAH]]-NOTA[[#This Row],[DISC 1-]])*NOTA[[#This Row],[DISC 2]])</f>
        <v/>
      </c>
      <c r="AA352" s="50" t="str">
        <f>IF(NOTA[[#This Row],[JUMLAH]]="","",(NOTA[[#This Row],[JUMLAH]]-NOTA[[#This Row],[DISC 1-]]-NOTA[[#This Row],[DISC 2-]])*NOTA[[#This Row],[DISC 3]])</f>
        <v/>
      </c>
      <c r="AB352" s="50" t="str">
        <f>IF(NOTA[[#This Row],[JUMLAH]]="","",NOTA[[#This Row],[DISC 1-]]+NOTA[[#This Row],[DISC 2-]]+NOTA[[#This Row],[DISC 3-]])</f>
        <v/>
      </c>
      <c r="AC352" s="50" t="str">
        <f>IF(NOTA[[#This Row],[JUMLAH]]="","",NOTA[[#This Row],[JUMLAH]]-NOTA[[#This Row],[DISC]])</f>
        <v/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2" s="50" t="str">
        <f>IF(OR(NOTA[[#This Row],[QTY]]="",NOTA[[#This Row],[HARGA SATUAN]]="",),"",NOTA[[#This Row],[QTY]]*NOTA[[#This Row],[HARGA SATUAN]])</f>
        <v/>
      </c>
      <c r="AI352" s="39" t="str">
        <f ca="1">IF(NOTA[ID_H]="","",INDEX(NOTA[TANGGAL],MATCH(,INDIRECT(ADDRESS(ROW(NOTA[TANGGAL]),COLUMN(NOTA[TANGGAL]))&amp;":"&amp;ADDRESS(ROW(),COLUMN(NOTA[TANGGAL]))),-1)))</f>
        <v/>
      </c>
      <c r="AJ352" s="41" t="str">
        <f ca="1">IF(NOTA[[#This Row],[NAMA BARANG]]="","",INDEX(NOTA[SUPPLIER],MATCH(,INDIRECT(ADDRESS(ROW(NOTA[ID]),COLUMN(NOTA[ID]))&amp;":"&amp;ADDRESS(ROW(),COLUMN(NOTA[ID]))),-1)))</f>
        <v/>
      </c>
      <c r="AK352" s="41" t="str">
        <f ca="1">IF(NOTA[[#This Row],[ID_H]]="","",IF(NOTA[[#This Row],[FAKTUR]]="",INDIRECT(ADDRESS(ROW()-1,COLUMN())),NOTA[[#This Row],[FAKTUR]]))</f>
        <v/>
      </c>
      <c r="AL352" s="38" t="str">
        <f ca="1">IF(NOTA[[#This Row],[ID]]="","",COUNTIF(NOTA[ID_H],NOTA[[#This Row],[ID_H]]))</f>
        <v/>
      </c>
      <c r="AM352" s="38" t="str">
        <f ca="1">IF(NOTA[[#This Row],[TGL.NOTA]]="",IF(NOTA[[#This Row],[SUPPLIER_H]]="","",AM351),MONTH(NOTA[[#This Row],[TGL.NOTA]]))</f>
        <v/>
      </c>
      <c r="AN352" s="38" t="str">
        <f>LOWER(SUBSTITUTE(SUBSTITUTE(SUBSTITUTE(SUBSTITUTE(SUBSTITUTE(SUBSTITUTE(SUBSTITUTE(SUBSTITUTE(SUBSTITUTE(NOTA[NAMA BARANG]," ",),".",""),"-",""),"(",""),")",""),",",""),"/",""),"""",""),"+",""))</f>
        <v/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 t="str">
        <f>IF(NOTA[[#This Row],[CONCAT1]]="","",MATCH(NOTA[[#This Row],[CONCAT1]],[3]!db[NB NOTA_C],0))</f>
        <v/>
      </c>
      <c r="AT352" s="38" t="str">
        <f>IF(NOTA[[#This Row],[QTY/ CTN]]="","",TRUE)</f>
        <v/>
      </c>
      <c r="AU352" s="38" t="str">
        <f ca="1">IF(NOTA[[#This Row],[ID_H]]="","",IF(NOTA[[#This Row],[Column3]]=TRUE,NOTA[[#This Row],[QTY/ CTN]],INDEX([3]!db[QTY/ CTN],NOTA[[#This Row],[//DB]])))</f>
        <v/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2" s="38" t="str">
        <f ca="1">IF(NOTA[[#This Row],[ID_H]]="","",MATCH(NOTA[[#This Row],[NB NOTA_C_QTY]],[4]!db[NB NOTA_C_QTY+F],0))</f>
        <v/>
      </c>
      <c r="AX352" s="53" t="str">
        <f ca="1">IF(NOTA[[#This Row],[NB NOTA_C_QTY]]="","",ROW()-2)</f>
        <v/>
      </c>
    </row>
    <row r="353" spans="1:50" s="38" customFormat="1" ht="20.100000000000001" customHeight="1" x14ac:dyDescent="0.25">
      <c r="A353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3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GRA_1301_-1</v>
      </c>
      <c r="C353" s="38" t="e">
        <f ca="1">IF(NOTA[[#This Row],[ID_P]]="","",MATCH(NOTA[[#This Row],[ID_P]],[1]!B_MSK[N_ID],0))</f>
        <v>#REF!</v>
      </c>
      <c r="D353" s="38">
        <f ca="1">IF(NOTA[[#This Row],[NAMA BARANG]]="","",INDEX(NOTA[ID],MATCH(,INDIRECT(ADDRESS(ROW(NOTA[ID]),COLUMN(NOTA[ID]))&amp;":"&amp;ADDRESS(ROW(),COLUMN(NOTA[ID]))),-1)))</f>
        <v>58</v>
      </c>
      <c r="E353" s="46">
        <v>45304</v>
      </c>
      <c r="F353" s="37" t="s">
        <v>237</v>
      </c>
      <c r="G353" s="37" t="s">
        <v>110</v>
      </c>
      <c r="H353" s="47"/>
      <c r="I353" s="37"/>
      <c r="J353" s="39">
        <v>45302</v>
      </c>
      <c r="K353" s="37"/>
      <c r="L353" s="37" t="s">
        <v>492</v>
      </c>
      <c r="M353" s="40">
        <v>10</v>
      </c>
      <c r="N353" s="38">
        <v>500</v>
      </c>
      <c r="O353" s="37" t="s">
        <v>111</v>
      </c>
      <c r="P353" s="41"/>
      <c r="Q353" s="42"/>
      <c r="R353" s="48"/>
      <c r="S353" s="49"/>
      <c r="T353" s="44"/>
      <c r="U353" s="44"/>
      <c r="V353" s="50"/>
      <c r="W353" s="45"/>
      <c r="X353" s="50" t="str">
        <f>IF(NOTA[[#This Row],[HARGA/ CTN]]="",NOTA[[#This Row],[JUMLAH_H]],NOTA[[#This Row],[HARGA/ CTN]]*IF(NOTA[[#This Row],[C]]="",0,NOTA[[#This Row],[C]]))</f>
        <v/>
      </c>
      <c r="Y353" s="50" t="str">
        <f>IF(NOTA[[#This Row],[JUMLAH]]="","",NOTA[[#This Row],[JUMLAH]]*NOTA[[#This Row],[DISC 1]])</f>
        <v/>
      </c>
      <c r="Z353" s="50" t="str">
        <f>IF(NOTA[[#This Row],[JUMLAH]]="","",(NOTA[[#This Row],[JUMLAH]]-NOTA[[#This Row],[DISC 1-]])*NOTA[[#This Row],[DISC 2]])</f>
        <v/>
      </c>
      <c r="AA353" s="50" t="str">
        <f>IF(NOTA[[#This Row],[JUMLAH]]="","",(NOTA[[#This Row],[JUMLAH]]-NOTA[[#This Row],[DISC 1-]]-NOTA[[#This Row],[DISC 2-]])*NOTA[[#This Row],[DISC 3]])</f>
        <v/>
      </c>
      <c r="AB353" s="50" t="str">
        <f>IF(NOTA[[#This Row],[JUMLAH]]="","",NOTA[[#This Row],[DISC 1-]]+NOTA[[#This Row],[DISC 2-]]+NOTA[[#This Row],[DISC 3-]])</f>
        <v/>
      </c>
      <c r="AC353" s="50" t="str">
        <f>IF(NOTA[[#This Row],[JUMLAH]]="","",NOTA[[#This Row],[JUMLAH]]-NOTA[[#This Row],[DISC]])</f>
        <v/>
      </c>
      <c r="AD353" s="50"/>
      <c r="AE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53" s="50" t="str">
        <f>IF(OR(NOTA[[#This Row],[QTY]]="",NOTA[[#This Row],[HARGA SATUAN]]="",),"",NOTA[[#This Row],[QTY]]*NOTA[[#This Row],[HARGA SATUAN]])</f>
        <v/>
      </c>
      <c r="AI353" s="39">
        <f ca="1">IF(NOTA[ID_H]="","",INDEX(NOTA[TANGGAL],MATCH(,INDIRECT(ADDRESS(ROW(NOTA[TANGGAL]),COLUMN(NOTA[TANGGAL]))&amp;":"&amp;ADDRESS(ROW(),COLUMN(NOTA[TANGGAL]))),-1)))</f>
        <v>45304</v>
      </c>
      <c r="AJ353" s="41" t="str">
        <f ca="1">IF(NOTA[[#This Row],[NAMA BARANG]]="","",INDEX(NOTA[SUPPLIER],MATCH(,INDIRECT(ADDRESS(ROW(NOTA[ID]),COLUMN(NOTA[ID]))&amp;":"&amp;ADDRESS(ROW(),COLUMN(NOTA[ID]))),-1)))</f>
        <v>GRAFINDO</v>
      </c>
      <c r="AK353" s="41" t="str">
        <f ca="1">IF(NOTA[[#This Row],[ID_H]]="","",IF(NOTA[[#This Row],[FAKTUR]]="",INDIRECT(ADDRESS(ROW()-1,COLUMN())),NOTA[[#This Row],[FAKTUR]]))</f>
        <v>UNTANA</v>
      </c>
      <c r="AL353" s="38">
        <f ca="1">IF(NOTA[[#This Row],[ID]]="","",COUNTIF(NOTA[ID_H],NOTA[[#This Row],[ID_H]]))</f>
        <v>1</v>
      </c>
      <c r="AM353" s="38">
        <f>IF(NOTA[[#This Row],[TGL.NOTA]]="",IF(NOTA[[#This Row],[SUPPLIER_H]]="","",AM352),MONTH(NOTA[[#This Row],[TGL.NOTA]]))</f>
        <v>1</v>
      </c>
      <c r="AN353" s="38" t="str">
        <f>LOWER(SUBSTITUTE(SUBSTITUTE(SUBSTITUTE(SUBSTITUTE(SUBSTITUTE(SUBSTITUTE(SUBSTITUTE(SUBSTITUTE(SUBSTITUTE(NOTA[NAMA BARANG]," ",),".",""),"-",""),"(",""),")",""),",",""),"/",""),"""",""),"+",""))</f>
        <v>ac05putih</v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ac05putih0</v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ac05putih0</v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GRAFINDOUNTANA45302ac05putih</v>
      </c>
      <c r="AR353" s="38" t="e">
        <f>IF(NOTA[[#This Row],[CONCAT4]]="","",_xlfn.IFNA(MATCH(NOTA[[#This Row],[CONCAT4]],[2]!RAW[CONCAT_H],0),FALSE))</f>
        <v>#REF!</v>
      </c>
      <c r="AS353" s="38">
        <f>IF(NOTA[[#This Row],[CONCAT1]]="","",MATCH(NOTA[[#This Row],[CONCAT1]],[3]!db[NB NOTA_C],0))</f>
        <v>20</v>
      </c>
      <c r="AT353" s="38" t="str">
        <f>IF(NOTA[[#This Row],[QTY/ CTN]]="","",TRUE)</f>
        <v/>
      </c>
      <c r="AU353" s="38" t="str">
        <f ca="1">IF(NOTA[[#This Row],[ID_H]]="","",IF(NOTA[[#This Row],[Column3]]=TRUE,NOTA[[#This Row],[QTY/ CTN]],INDEX([3]!db[QTY/ CTN],NOTA[[#This Row],[//DB]])))</f>
        <v>50 LSN</v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ac05putih50lsnuntana</v>
      </c>
      <c r="AW353" s="38" t="e">
        <f ca="1">IF(NOTA[[#This Row],[ID_H]]="","",MATCH(NOTA[[#This Row],[NB NOTA_C_QTY]],[4]!db[NB NOTA_C_QTY+F],0))</f>
        <v>#REF!</v>
      </c>
      <c r="AX353" s="53">
        <f ca="1">IF(NOTA[[#This Row],[NB NOTA_C_QTY]]="","",ROW()-2)</f>
        <v>351</v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 t="str">
        <f ca="1">IF(NOTA[[#This Row],[NAMA BARANG]]="","",INDEX(NOTA[ID],MATCH(,INDIRECT(ADDRESS(ROW(NOTA[ID]),COLUMN(NOTA[ID]))&amp;":"&amp;ADDRESS(ROW(),COLUMN(NOTA[ID]))),-1)))</f>
        <v/>
      </c>
      <c r="E354" s="46"/>
      <c r="F354" s="37"/>
      <c r="G354" s="37"/>
      <c r="H354" s="47"/>
      <c r="I354" s="37"/>
      <c r="J354" s="39"/>
      <c r="K354" s="37"/>
      <c r="L354" s="37"/>
      <c r="M354" s="40"/>
      <c r="O354" s="37"/>
      <c r="P354" s="41"/>
      <c r="Q354" s="42"/>
      <c r="R354" s="48"/>
      <c r="S354" s="49"/>
      <c r="T354" s="44"/>
      <c r="U354" s="44"/>
      <c r="V354" s="50"/>
      <c r="W354" s="45"/>
      <c r="X354" s="50" t="str">
        <f>IF(NOTA[[#This Row],[HARGA/ CTN]]="",NOTA[[#This Row],[JUMLAH_H]],NOTA[[#This Row],[HARGA/ CTN]]*IF(NOTA[[#This Row],[C]]="",0,NOTA[[#This Row],[C]]))</f>
        <v/>
      </c>
      <c r="Y354" s="50" t="str">
        <f>IF(NOTA[[#This Row],[JUMLAH]]="","",NOTA[[#This Row],[JUMLAH]]*NOTA[[#This Row],[DISC 1]])</f>
        <v/>
      </c>
      <c r="Z354" s="50" t="str">
        <f>IF(NOTA[[#This Row],[JUMLAH]]="","",(NOTA[[#This Row],[JUMLAH]]-NOTA[[#This Row],[DISC 1-]])*NOTA[[#This Row],[DISC 2]])</f>
        <v/>
      </c>
      <c r="AA354" s="50" t="str">
        <f>IF(NOTA[[#This Row],[JUMLAH]]="","",(NOTA[[#This Row],[JUMLAH]]-NOTA[[#This Row],[DISC 1-]]-NOTA[[#This Row],[DISC 2-]])*NOTA[[#This Row],[DISC 3]])</f>
        <v/>
      </c>
      <c r="AB354" s="50" t="str">
        <f>IF(NOTA[[#This Row],[JUMLAH]]="","",NOTA[[#This Row],[DISC 1-]]+NOTA[[#This Row],[DISC 2-]]+NOTA[[#This Row],[DISC 3-]])</f>
        <v/>
      </c>
      <c r="AC354" s="50" t="str">
        <f>IF(NOTA[[#This Row],[JUMLAH]]="","",NOTA[[#This Row],[JUMLAH]]-NOTA[[#This Row],[DISC]])</f>
        <v/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4" s="50" t="str">
        <f>IF(OR(NOTA[[#This Row],[QTY]]="",NOTA[[#This Row],[HARGA SATUAN]]="",),"",NOTA[[#This Row],[QTY]]*NOTA[[#This Row],[HARGA SATUAN]])</f>
        <v/>
      </c>
      <c r="AI354" s="39" t="str">
        <f ca="1">IF(NOTA[ID_H]="","",INDEX(NOTA[TANGGAL],MATCH(,INDIRECT(ADDRESS(ROW(NOTA[TANGGAL]),COLUMN(NOTA[TANGGAL]))&amp;":"&amp;ADDRESS(ROW(),COLUMN(NOTA[TANGGAL]))),-1)))</f>
        <v/>
      </c>
      <c r="AJ354" s="41" t="str">
        <f ca="1">IF(NOTA[[#This Row],[NAMA BARANG]]="","",INDEX(NOTA[SUPPLIER],MATCH(,INDIRECT(ADDRESS(ROW(NOTA[ID]),COLUMN(NOTA[ID]))&amp;":"&amp;ADDRESS(ROW(),COLUMN(NOTA[ID]))),-1)))</f>
        <v/>
      </c>
      <c r="AK354" s="41" t="str">
        <f ca="1">IF(NOTA[[#This Row],[ID_H]]="","",IF(NOTA[[#This Row],[FAKTUR]]="",INDIRECT(ADDRESS(ROW()-1,COLUMN())),NOTA[[#This Row],[FAKTUR]]))</f>
        <v/>
      </c>
      <c r="AL354" s="38" t="str">
        <f ca="1">IF(NOTA[[#This Row],[ID]]="","",COUNTIF(NOTA[ID_H],NOTA[[#This Row],[ID_H]]))</f>
        <v/>
      </c>
      <c r="AM354" s="38" t="str">
        <f ca="1">IF(NOTA[[#This Row],[TGL.NOTA]]="",IF(NOTA[[#This Row],[SUPPLIER_H]]="","",AM353),MONTH(NOTA[[#This Row],[TGL.NOTA]]))</f>
        <v/>
      </c>
      <c r="AN354" s="38" t="str">
        <f>LOWER(SUBSTITUTE(SUBSTITUTE(SUBSTITUTE(SUBSTITUTE(SUBSTITUTE(SUBSTITUTE(SUBSTITUTE(SUBSTITUTE(SUBSTITUTE(NOTA[NAMA BARANG]," ",),".",""),"-",""),"(",""),")",""),",",""),"/",""),"""",""),"+",""))</f>
        <v/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 t="str">
        <f>IF(NOTA[[#This Row],[CONCAT1]]="","",MATCH(NOTA[[#This Row],[CONCAT1]],[3]!db[NB NOTA_C],0))</f>
        <v/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/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4" s="38" t="str">
        <f ca="1">IF(NOTA[[#This Row],[ID_H]]="","",MATCH(NOTA[[#This Row],[NB NOTA_C_QTY]],[4]!db[NB NOTA_C_QTY+F],0))</f>
        <v/>
      </c>
      <c r="AX354" s="53" t="str">
        <f ca="1">IF(NOTA[[#This Row],[NB NOTA_C_QTY]]="","",ROW()-2)</f>
        <v/>
      </c>
    </row>
    <row r="355" spans="1:50" s="38" customFormat="1" ht="20.100000000000001" customHeight="1" x14ac:dyDescent="0.25">
      <c r="A355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3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KEN_1301_411-8</v>
      </c>
      <c r="C355" s="38" t="e">
        <f ca="1">IF(NOTA[[#This Row],[ID_P]]="","",MATCH(NOTA[[#This Row],[ID_P]],[1]!B_MSK[N_ID],0))</f>
        <v>#REF!</v>
      </c>
      <c r="D355" s="38">
        <f ca="1">IF(NOTA[[#This Row],[NAMA BARANG]]="","",INDEX(NOTA[ID],MATCH(,INDIRECT(ADDRESS(ROW(NOTA[ID]),COLUMN(NOTA[ID]))&amp;":"&amp;ADDRESS(ROW(),COLUMN(NOTA[ID]))),-1)))</f>
        <v>59</v>
      </c>
      <c r="E355" s="46">
        <v>45304</v>
      </c>
      <c r="F355" s="37" t="s">
        <v>22</v>
      </c>
      <c r="G355" s="37" t="s">
        <v>23</v>
      </c>
      <c r="H355" s="47" t="s">
        <v>493</v>
      </c>
      <c r="I355" s="37"/>
      <c r="J355" s="39">
        <v>45301</v>
      </c>
      <c r="K355" s="37">
        <v>1</v>
      </c>
      <c r="L355" s="37" t="s">
        <v>494</v>
      </c>
      <c r="M355" s="40">
        <v>5</v>
      </c>
      <c r="O355" s="37"/>
      <c r="P355" s="41"/>
      <c r="Q355" s="42">
        <v>462000</v>
      </c>
      <c r="R355" s="48"/>
      <c r="S355" s="49">
        <v>0.17</v>
      </c>
      <c r="T355" s="44"/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2310000</v>
      </c>
      <c r="Y355" s="50">
        <f>IF(NOTA[[#This Row],[JUMLAH]]="","",NOTA[[#This Row],[JUMLAH]]*NOTA[[#This Row],[DISC 1]])</f>
        <v>392700</v>
      </c>
      <c r="Z355" s="50">
        <f>IF(NOTA[[#This Row],[JUMLAH]]="","",(NOTA[[#This Row],[JUMLAH]]-NOTA[[#This Row],[DISC 1-]])*NOTA[[#This Row],[DISC 2]])</f>
        <v>0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392700</v>
      </c>
      <c r="AC355" s="50">
        <f>IF(NOTA[[#This Row],[JUMLAH]]="","",NOTA[[#This Row],[JUMLAH]]-NOTA[[#This Row],[DISC]])</f>
        <v>1917300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55" s="50" t="str">
        <f>IF(OR(NOTA[[#This Row],[QTY]]="",NOTA[[#This Row],[HARGA SATUAN]]="",),"",NOTA[[#This Row],[QTY]]*NOTA[[#This Row],[HARGA SATUAN]])</f>
        <v/>
      </c>
      <c r="AI355" s="39">
        <f ca="1">IF(NOTA[ID_H]="","",INDEX(NOTA[TANGGAL],MATCH(,INDIRECT(ADDRESS(ROW(NOTA[TANGGAL]),COLUMN(NOTA[TANGGAL]))&amp;":"&amp;ADDRESS(ROW(),COLUMN(NOTA[TANGGAL]))),-1)))</f>
        <v>45304</v>
      </c>
      <c r="AJ355" s="41" t="str">
        <f ca="1">IF(NOTA[[#This Row],[NAMA BARANG]]="","",INDEX(NOTA[SUPPLIER],MATCH(,INDIRECT(ADDRESS(ROW(NOTA[ID]),COLUMN(NOTA[ID]))&amp;":"&amp;ADDRESS(ROW(),COLUMN(NOTA[ID]))),-1)))</f>
        <v>KENKO SINAR INDONESIA</v>
      </c>
      <c r="AK355" s="41" t="str">
        <f ca="1">IF(NOTA[[#This Row],[ID_H]]="","",IF(NOTA[[#This Row],[FAKTUR]]="",INDIRECT(ADDRESS(ROW()-1,COLUMN())),NOTA[[#This Row],[FAKTUR]]))</f>
        <v>ARTO MORO</v>
      </c>
      <c r="AL355" s="38">
        <f ca="1">IF(NOTA[[#This Row],[ID]]="","",COUNTIF(NOTA[ID_H],NOTA[[#This Row],[ID_H]]))</f>
        <v>8</v>
      </c>
      <c r="AM355" s="38">
        <f>IF(NOTA[[#This Row],[TGL.NOTA]]="",IF(NOTA[[#This Row],[SUPPLIER_H]]="","",AM354),MONTH(NOTA[[#This Row],[TGL.NOTA]]))</f>
        <v>1</v>
      </c>
      <c r="AN355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MORO2401041145301kenkotapedispensertd3231&amp;3core</v>
      </c>
      <c r="AR355" s="38" t="e">
        <f>IF(NOTA[[#This Row],[CONCAT4]]="","",_xlfn.IFNA(MATCH(NOTA[[#This Row],[CONCAT4]],[2]!RAW[CONCAT_H],0),FALSE))</f>
        <v>#REF!</v>
      </c>
      <c r="AS355" s="38">
        <f>IF(NOTA[[#This Row],[CONCAT1]]="","",MATCH(NOTA[[#This Row],[CONCAT1]],[3]!db[NB NOTA_C],0))</f>
        <v>1796</v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>24 PCS</v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55" s="38" t="e">
        <f ca="1">IF(NOTA[[#This Row],[ID_H]]="","",MATCH(NOTA[[#This Row],[NB NOTA_C_QTY]],[4]!db[NB NOTA_C_QTY+F],0))</f>
        <v>#REF!</v>
      </c>
      <c r="AX355" s="53">
        <f ca="1">IF(NOTA[[#This Row],[NB NOTA_C_QTY]]="","",ROW()-2)</f>
        <v>353</v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59</v>
      </c>
      <c r="E356" s="46"/>
      <c r="F356" s="37"/>
      <c r="G356" s="37"/>
      <c r="H356" s="47"/>
      <c r="I356" s="37"/>
      <c r="J356" s="39"/>
      <c r="K356" s="37">
        <v>0</v>
      </c>
      <c r="L356" s="37" t="s">
        <v>495</v>
      </c>
      <c r="M356" s="40">
        <v>1</v>
      </c>
      <c r="O356" s="37"/>
      <c r="P356" s="41"/>
      <c r="Q356" s="42">
        <v>1710000</v>
      </c>
      <c r="R356" s="48"/>
      <c r="S356" s="49">
        <v>0.17</v>
      </c>
      <c r="T356" s="44"/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1710000</v>
      </c>
      <c r="Y356" s="50">
        <f>IF(NOTA[[#This Row],[JUMLAH]]="","",NOTA[[#This Row],[JUMLAH]]*NOTA[[#This Row],[DISC 1]])</f>
        <v>290700</v>
      </c>
      <c r="Z356" s="50">
        <f>IF(NOTA[[#This Row],[JUMLAH]]="","",(NOTA[[#This Row],[JUMLAH]]-NOTA[[#This Row],[DISC 1-]])*NOTA[[#This Row],[DISC 2]])</f>
        <v>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290700</v>
      </c>
      <c r="AC356" s="50">
        <f>IF(NOTA[[#This Row],[JUMLAH]]="","",NOTA[[#This Row],[JUMLAH]]-NOTA[[#This Row],[DISC]])</f>
        <v>1419300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356" s="50" t="str">
        <f>IF(OR(NOTA[[#This Row],[QTY]]="",NOTA[[#This Row],[HARGA SATUAN]]="",),"",NOTA[[#This Row],[QTY]]*NOTA[[#This Row],[HARGA SATUAN]])</f>
        <v/>
      </c>
      <c r="AI356" s="39">
        <f ca="1">IF(NOTA[ID_H]="","",INDEX(NOTA[TANGGAL],MATCH(,INDIRECT(ADDRESS(ROW(NOTA[TANGGAL]),COLUMN(NOTA[TANGGAL]))&amp;":"&amp;ADDRESS(ROW(),COLUMN(NOTA[TANGGAL]))),-1)))</f>
        <v>45304</v>
      </c>
      <c r="AJ356" s="41" t="str">
        <f ca="1">IF(NOTA[[#This Row],[NAMA BARANG]]="","",INDEX(NOTA[SUPPLIER],MATCH(,INDIRECT(ADDRESS(ROW(NOTA[ID]),COLUMN(NOTA[ID]))&amp;":"&amp;ADDRESS(ROW(),COLUMN(NOTA[ID]))),-1)))</f>
        <v>KENKO SINAR INDONESIA</v>
      </c>
      <c r="AK356" s="41" t="str">
        <f ca="1">IF(NOTA[[#This Row],[ID_H]]="","",IF(NOTA[[#This Row],[FAKTUR]]="",INDIRECT(ADDRESS(ROW()-1,COLUMN())),NOTA[[#This Row],[FAKTUR]]))</f>
        <v>ARTO MORO</v>
      </c>
      <c r="AL356" s="38" t="str">
        <f ca="1">IF(NOTA[[#This Row],[ID]]="","",COUNTIF(NOTA[ID_H],NOTA[[#This Row],[ID_H]]))</f>
        <v/>
      </c>
      <c r="AM356" s="38">
        <f ca="1">IF(NOTA[[#This Row],[TGL.NOTA]]="",IF(NOTA[[#This Row],[SUPPLIER_H]]="","",AM355),MONTH(NOTA[[#This Row],[TGL.NOTA]]))</f>
        <v>1</v>
      </c>
      <c r="AN356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>
        <f>IF(NOTA[[#This Row],[CONCAT1]]="","",MATCH(NOTA[[#This Row],[CONCAT1]],[3]!db[NB NOTA_C],0))</f>
        <v>1595</v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CTN]],INDEX([3]!db[QTY/ CTN],NOTA[[#This Row],[//DB]])))</f>
        <v>30 LSN</v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356" s="38" t="e">
        <f ca="1">IF(NOTA[[#This Row],[ID_H]]="","",MATCH(NOTA[[#This Row],[NB NOTA_C_QTY]],[4]!db[NB NOTA_C_QTY+F],0))</f>
        <v>#REF!</v>
      </c>
      <c r="AX356" s="53">
        <f ca="1">IF(NOTA[[#This Row],[NB NOTA_C_QTY]]="","",ROW()-2)</f>
        <v>354</v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59</v>
      </c>
      <c r="E357" s="46"/>
      <c r="F357" s="37"/>
      <c r="G357" s="37"/>
      <c r="H357" s="47"/>
      <c r="I357" s="37"/>
      <c r="J357" s="39"/>
      <c r="K357" s="37">
        <v>0</v>
      </c>
      <c r="L357" s="37" t="s">
        <v>496</v>
      </c>
      <c r="M357" s="40">
        <v>1</v>
      </c>
      <c r="O357" s="37"/>
      <c r="P357" s="41"/>
      <c r="Q357" s="42">
        <v>990000</v>
      </c>
      <c r="R357" s="48"/>
      <c r="S357" s="49">
        <v>0.17</v>
      </c>
      <c r="T357" s="44"/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990000</v>
      </c>
      <c r="Y357" s="50">
        <f>IF(NOTA[[#This Row],[JUMLAH]]="","",NOTA[[#This Row],[JUMLAH]]*NOTA[[#This Row],[DISC 1]])</f>
        <v>168300</v>
      </c>
      <c r="Z357" s="50">
        <f>IF(NOTA[[#This Row],[JUMLAH]]="","",(NOTA[[#This Row],[JUMLAH]]-NOTA[[#This Row],[DISC 1-]])*NOTA[[#This Row],[DISC 2]])</f>
        <v>0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168300</v>
      </c>
      <c r="AC357" s="50">
        <f>IF(NOTA[[#This Row],[JUMLAH]]="","",NOTA[[#This Row],[JUMLAH]]-NOTA[[#This Row],[DISC]])</f>
        <v>821700</v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H357" s="50" t="str">
        <f>IF(OR(NOTA[[#This Row],[QTY]]="",NOTA[[#This Row],[HARGA SATUAN]]="",),"",NOTA[[#This Row],[QTY]]*NOTA[[#This Row],[HARGA SATUAN]])</f>
        <v/>
      </c>
      <c r="AI357" s="39">
        <f ca="1">IF(NOTA[ID_H]="","",INDEX(NOTA[TANGGAL],MATCH(,INDIRECT(ADDRESS(ROW(NOTA[TANGGAL]),COLUMN(NOTA[TANGGAL]))&amp;":"&amp;ADDRESS(ROW(),COLUMN(NOTA[TANGGAL]))),-1)))</f>
        <v>45304</v>
      </c>
      <c r="AJ357" s="41" t="str">
        <f ca="1">IF(NOTA[[#This Row],[NAMA BARANG]]="","",INDEX(NOTA[SUPPLIER],MATCH(,INDIRECT(ADDRESS(ROW(NOTA[ID]),COLUMN(NOTA[ID]))&amp;":"&amp;ADDRESS(ROW(),COLUMN(NOTA[ID]))),-1)))</f>
        <v>KENKO SINAR INDONESIA</v>
      </c>
      <c r="AK357" s="41" t="str">
        <f ca="1">IF(NOTA[[#This Row],[ID_H]]="","",IF(NOTA[[#This Row],[FAKTUR]]="",INDIRECT(ADDRESS(ROW()-1,COLUMN())),NOTA[[#This Row],[FAKTUR]]))</f>
        <v>ARTO MORO</v>
      </c>
      <c r="AL357" s="38" t="str">
        <f ca="1">IF(NOTA[[#This Row],[ID]]="","",COUNTIF(NOTA[ID_H],NOTA[[#This Row],[ID_H]]))</f>
        <v/>
      </c>
      <c r="AM357" s="38">
        <f ca="1">IF(NOTA[[#This Row],[TGL.NOTA]]="",IF(NOTA[[#This Row],[SUPPLIER_H]]="","",AM356),MONTH(NOTA[[#This Row],[TGL.NOTA]]))</f>
        <v>1</v>
      </c>
      <c r="AN357" s="38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>
        <f>IF(NOTA[[#This Row],[CONCAT1]]="","",MATCH(NOTA[[#This Row],[CONCAT1]],[3]!db[NB NOTA_C],0))</f>
        <v>1524</v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>5 LSN</v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kenkobukutamubt322401kembang5lsnartomoro</v>
      </c>
      <c r="AW357" s="38" t="e">
        <f ca="1">IF(NOTA[[#This Row],[ID_H]]="","",MATCH(NOTA[[#This Row],[NB NOTA_C_QTY]],[4]!db[NB NOTA_C_QTY+F],0))</f>
        <v>#REF!</v>
      </c>
      <c r="AX357" s="53">
        <f ca="1">IF(NOTA[[#This Row],[NB NOTA_C_QTY]]="","",ROW()-2)</f>
        <v>355</v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59</v>
      </c>
      <c r="E358" s="46"/>
      <c r="F358" s="37"/>
      <c r="G358" s="37"/>
      <c r="H358" s="47"/>
      <c r="I358" s="37"/>
      <c r="J358" s="39"/>
      <c r="K358" s="37">
        <v>0</v>
      </c>
      <c r="L358" s="37" t="s">
        <v>497</v>
      </c>
      <c r="M358" s="40">
        <v>1</v>
      </c>
      <c r="O358" s="37"/>
      <c r="P358" s="41"/>
      <c r="Q358" s="42">
        <v>975000</v>
      </c>
      <c r="R358" s="48"/>
      <c r="S358" s="49">
        <v>0.17</v>
      </c>
      <c r="T358" s="44"/>
      <c r="U358" s="44"/>
      <c r="V358" s="50"/>
      <c r="W358" s="45"/>
      <c r="X358" s="50">
        <f>IF(NOTA[[#This Row],[HARGA/ CTN]]="",NOTA[[#This Row],[JUMLAH_H]],NOTA[[#This Row],[HARGA/ CTN]]*IF(NOTA[[#This Row],[C]]="",0,NOTA[[#This Row],[C]]))</f>
        <v>975000</v>
      </c>
      <c r="Y358" s="50">
        <f>IF(NOTA[[#This Row],[JUMLAH]]="","",NOTA[[#This Row],[JUMLAH]]*NOTA[[#This Row],[DISC 1]])</f>
        <v>165750</v>
      </c>
      <c r="Z358" s="50">
        <f>IF(NOTA[[#This Row],[JUMLAH]]="","",(NOTA[[#This Row],[JUMLAH]]-NOTA[[#This Row],[DISC 1-]])*NOTA[[#This Row],[DISC 2]])</f>
        <v>0</v>
      </c>
      <c r="AA358" s="50">
        <f>IF(NOTA[[#This Row],[JUMLAH]]="","",(NOTA[[#This Row],[JUMLAH]]-NOTA[[#This Row],[DISC 1-]]-NOTA[[#This Row],[DISC 2-]])*NOTA[[#This Row],[DISC 3]])</f>
        <v>0</v>
      </c>
      <c r="AB358" s="50">
        <f>IF(NOTA[[#This Row],[JUMLAH]]="","",NOTA[[#This Row],[DISC 1-]]+NOTA[[#This Row],[DISC 2-]]+NOTA[[#This Row],[DISC 3-]])</f>
        <v>165750</v>
      </c>
      <c r="AC358" s="50">
        <f>IF(NOTA[[#This Row],[JUMLAH]]="","",NOTA[[#This Row],[JUMLAH]]-NOTA[[#This Row],[DISC]])</f>
        <v>809250</v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H358" s="50" t="str">
        <f>IF(OR(NOTA[[#This Row],[QTY]]="",NOTA[[#This Row],[HARGA SATUAN]]="",),"",NOTA[[#This Row],[QTY]]*NOTA[[#This Row],[HARGA SATUAN]])</f>
        <v/>
      </c>
      <c r="AI358" s="39">
        <f ca="1">IF(NOTA[ID_H]="","",INDEX(NOTA[TANGGAL],MATCH(,INDIRECT(ADDRESS(ROW(NOTA[TANGGAL]),COLUMN(NOTA[TANGGAL]))&amp;":"&amp;ADDRESS(ROW(),COLUMN(NOTA[TANGGAL]))),-1)))</f>
        <v>45304</v>
      </c>
      <c r="AJ358" s="41" t="str">
        <f ca="1">IF(NOTA[[#This Row],[NAMA BARANG]]="","",INDEX(NOTA[SUPPLIER],MATCH(,INDIRECT(ADDRESS(ROW(NOTA[ID]),COLUMN(NOTA[ID]))&amp;":"&amp;ADDRESS(ROW(),COLUMN(NOTA[ID]))),-1)))</f>
        <v>KENKO SINAR INDONESIA</v>
      </c>
      <c r="AK358" s="41" t="str">
        <f ca="1">IF(NOTA[[#This Row],[ID_H]]="","",IF(NOTA[[#This Row],[FAKTUR]]="",INDIRECT(ADDRESS(ROW()-1,COLUMN())),NOTA[[#This Row],[FAKTUR]]))</f>
        <v>ARTO MORO</v>
      </c>
      <c r="AL358" s="38" t="str">
        <f ca="1">IF(NOTA[[#This Row],[ID]]="","",COUNTIF(NOTA[ID_H],NOTA[[#This Row],[ID_H]]))</f>
        <v/>
      </c>
      <c r="AM358" s="38">
        <f ca="1">IF(NOTA[[#This Row],[TGL.NOTA]]="",IF(NOTA[[#This Row],[SUPPLIER_H]]="","",AM357),MONTH(NOTA[[#This Row],[TGL.NOTA]]))</f>
        <v>1</v>
      </c>
      <c r="AN358" s="38" t="str">
        <f>LOWER(SUBSTITUTE(SUBSTITUTE(SUBSTITUTE(SUBSTITUTE(SUBSTITUTE(SUBSTITUTE(SUBSTITUTE(SUBSTITUTE(SUBSTITUTE(NOTA[NAMA BARANG]," ",),".",""),"-",""),"(",""),")",""),",",""),"/",""),"""",""),"+",""))</f>
        <v>kenkobukutamubt3224btkbatik</v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kenkobukutamubt3224btkbatik9750000.17</v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kenkobukutamubt3224btkbatik9750000.17</v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>
        <f>IF(NOTA[[#This Row],[CONCAT1]]="","",MATCH(NOTA[[#This Row],[CONCAT1]],[3]!db[NB NOTA_C],0))</f>
        <v>1525</v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>5 LSN</v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kenkobukutamubt3224btkbatik5lsnartomoro</v>
      </c>
      <c r="AW358" s="38" t="e">
        <f ca="1">IF(NOTA[[#This Row],[ID_H]]="","",MATCH(NOTA[[#This Row],[NB NOTA_C_QTY]],[4]!db[NB NOTA_C_QTY+F],0))</f>
        <v>#REF!</v>
      </c>
      <c r="AX358" s="53">
        <f ca="1">IF(NOTA[[#This Row],[NB NOTA_C_QTY]]="","",ROW()-2)</f>
        <v>356</v>
      </c>
    </row>
    <row r="359" spans="1:50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59</v>
      </c>
      <c r="E359" s="46"/>
      <c r="F359" s="37"/>
      <c r="G359" s="37"/>
      <c r="H359" s="47"/>
      <c r="I359" s="37"/>
      <c r="J359" s="39"/>
      <c r="K359" s="37">
        <v>0</v>
      </c>
      <c r="L359" s="37" t="s">
        <v>498</v>
      </c>
      <c r="M359" s="40">
        <v>1</v>
      </c>
      <c r="O359" s="37"/>
      <c r="P359" s="41"/>
      <c r="Q359" s="42">
        <v>780000</v>
      </c>
      <c r="R359" s="48"/>
      <c r="S359" s="49">
        <v>0.17</v>
      </c>
      <c r="T359" s="44"/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780000</v>
      </c>
      <c r="Y359" s="50">
        <f>IF(NOTA[[#This Row],[JUMLAH]]="","",NOTA[[#This Row],[JUMLAH]]*NOTA[[#This Row],[DISC 1]])</f>
        <v>132600</v>
      </c>
      <c r="Z359" s="50">
        <f>IF(NOTA[[#This Row],[JUMLAH]]="","",(NOTA[[#This Row],[JUMLAH]]-NOTA[[#This Row],[DISC 1-]])*NOTA[[#This Row],[DISC 2]])</f>
        <v>0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132600</v>
      </c>
      <c r="AC359" s="50">
        <f>IF(NOTA[[#This Row],[JUMLAH]]="","",NOTA[[#This Row],[JUMLAH]]-NOTA[[#This Row],[DISC]])</f>
        <v>647400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359" s="50" t="str">
        <f>IF(OR(NOTA[[#This Row],[QTY]]="",NOTA[[#This Row],[HARGA SATUAN]]="",),"",NOTA[[#This Row],[QTY]]*NOTA[[#This Row],[HARGA SATUAN]])</f>
        <v/>
      </c>
      <c r="AI359" s="39">
        <f ca="1">IF(NOTA[ID_H]="","",INDEX(NOTA[TANGGAL],MATCH(,INDIRECT(ADDRESS(ROW(NOTA[TANGGAL]),COLUMN(NOTA[TANGGAL]))&amp;":"&amp;ADDRESS(ROW(),COLUMN(NOTA[TANGGAL]))),-1)))</f>
        <v>45304</v>
      </c>
      <c r="AJ359" s="41" t="str">
        <f ca="1">IF(NOTA[[#This Row],[NAMA BARANG]]="","",INDEX(NOTA[SUPPLIER],MATCH(,INDIRECT(ADDRESS(ROW(NOTA[ID]),COLUMN(NOTA[ID]))&amp;":"&amp;ADDRESS(ROW(),COLUMN(NOTA[ID]))),-1)))</f>
        <v>KENKO SINAR INDONESIA</v>
      </c>
      <c r="AK359" s="41" t="str">
        <f ca="1">IF(NOTA[[#This Row],[ID_H]]="","",IF(NOTA[[#This Row],[FAKTUR]]="",INDIRECT(ADDRESS(ROW()-1,COLUMN())),NOTA[[#This Row],[FAKTUR]]))</f>
        <v>ARTO MORO</v>
      </c>
      <c r="AL359" s="38" t="str">
        <f ca="1">IF(NOTA[[#This Row],[ID]]="","",COUNTIF(NOTA[ID_H],NOTA[[#This Row],[ID_H]]))</f>
        <v/>
      </c>
      <c r="AM359" s="38">
        <f ca="1">IF(NOTA[[#This Row],[TGL.NOTA]]="",IF(NOTA[[#This Row],[SUPPLIER_H]]="","",AM358),MONTH(NOTA[[#This Row],[TGL.NOTA]]))</f>
        <v>1</v>
      </c>
      <c r="AN359" s="38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38" t="str">
        <f>IF(NOTA[[#This Row],[CONCAT4]]="","",_xlfn.IFNA(MATCH(NOTA[[#This Row],[CONCAT4]],[2]!RAW[CONCAT_H],0),FALSE))</f>
        <v/>
      </c>
      <c r="AS359" s="38">
        <f>IF(NOTA[[#This Row],[CONCAT1]]="","",MATCH(NOTA[[#This Row],[CONCAT1]],[3]!db[NB NOTA_C],0))</f>
        <v>1520</v>
      </c>
      <c r="AT359" s="38" t="str">
        <f>IF(NOTA[[#This Row],[QTY/ CTN]]="","",TRUE)</f>
        <v/>
      </c>
      <c r="AU359" s="38" t="str">
        <f ca="1">IF(NOTA[[#This Row],[ID_H]]="","",IF(NOTA[[#This Row],[Column3]]=TRUE,NOTA[[#This Row],[QTY/ CTN]],INDEX([3]!db[QTY/ CTN],NOTA[[#This Row],[//DB]])))</f>
        <v>5 LSN</v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kenkobukutamubt292001kembang5lsnartomoro</v>
      </c>
      <c r="AW359" s="38" t="e">
        <f ca="1">IF(NOTA[[#This Row],[ID_H]]="","",MATCH(NOTA[[#This Row],[NB NOTA_C_QTY]],[4]!db[NB NOTA_C_QTY+F],0))</f>
        <v>#REF!</v>
      </c>
      <c r="AX359" s="53">
        <f ca="1">IF(NOTA[[#This Row],[NB NOTA_C_QTY]]="","",ROW()-2)</f>
        <v>357</v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59</v>
      </c>
      <c r="E360" s="46"/>
      <c r="F360" s="37"/>
      <c r="G360" s="37"/>
      <c r="H360" s="47"/>
      <c r="I360" s="37"/>
      <c r="J360" s="39"/>
      <c r="K360" s="37">
        <v>0</v>
      </c>
      <c r="L360" s="37" t="s">
        <v>499</v>
      </c>
      <c r="M360" s="40">
        <v>1</v>
      </c>
      <c r="O360" s="37"/>
      <c r="P360" s="41"/>
      <c r="Q360" s="42">
        <v>768000</v>
      </c>
      <c r="R360" s="48"/>
      <c r="S360" s="49">
        <v>0.17</v>
      </c>
      <c r="T360" s="44"/>
      <c r="U360" s="44"/>
      <c r="V360" s="50"/>
      <c r="W360" s="45"/>
      <c r="X360" s="50">
        <f>IF(NOTA[[#This Row],[HARGA/ CTN]]="",NOTA[[#This Row],[JUMLAH_H]],NOTA[[#This Row],[HARGA/ CTN]]*IF(NOTA[[#This Row],[C]]="",0,NOTA[[#This Row],[C]]))</f>
        <v>768000</v>
      </c>
      <c r="Y360" s="50">
        <f>IF(NOTA[[#This Row],[JUMLAH]]="","",NOTA[[#This Row],[JUMLAH]]*NOTA[[#This Row],[DISC 1]])</f>
        <v>130560.00000000001</v>
      </c>
      <c r="Z360" s="50">
        <f>IF(NOTA[[#This Row],[JUMLAH]]="","",(NOTA[[#This Row],[JUMLAH]]-NOTA[[#This Row],[DISC 1-]])*NOTA[[#This Row],[DISC 2]])</f>
        <v>0</v>
      </c>
      <c r="AA360" s="50">
        <f>IF(NOTA[[#This Row],[JUMLAH]]="","",(NOTA[[#This Row],[JUMLAH]]-NOTA[[#This Row],[DISC 1-]]-NOTA[[#This Row],[DISC 2-]])*NOTA[[#This Row],[DISC 3]])</f>
        <v>0</v>
      </c>
      <c r="AB360" s="50">
        <f>IF(NOTA[[#This Row],[JUMLAH]]="","",NOTA[[#This Row],[DISC 1-]]+NOTA[[#This Row],[DISC 2-]]+NOTA[[#This Row],[DISC 3-]])</f>
        <v>130560.00000000001</v>
      </c>
      <c r="AC360" s="50">
        <f>IF(NOTA[[#This Row],[JUMLAH]]="","",NOTA[[#This Row],[JUMLAH]]-NOTA[[#This Row],[DISC]])</f>
        <v>637440</v>
      </c>
      <c r="AD360" s="50"/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360" s="50" t="str">
        <f>IF(OR(NOTA[[#This Row],[QTY]]="",NOTA[[#This Row],[HARGA SATUAN]]="",),"",NOTA[[#This Row],[QTY]]*NOTA[[#This Row],[HARGA SATUAN]])</f>
        <v/>
      </c>
      <c r="AI360" s="39">
        <f ca="1">IF(NOTA[ID_H]="","",INDEX(NOTA[TANGGAL],MATCH(,INDIRECT(ADDRESS(ROW(NOTA[TANGGAL]),COLUMN(NOTA[TANGGAL]))&amp;":"&amp;ADDRESS(ROW(),COLUMN(NOTA[TANGGAL]))),-1)))</f>
        <v>45304</v>
      </c>
      <c r="AJ360" s="41" t="str">
        <f ca="1">IF(NOTA[[#This Row],[NAMA BARANG]]="","",INDEX(NOTA[SUPPLIER],MATCH(,INDIRECT(ADDRESS(ROW(NOTA[ID]),COLUMN(NOTA[ID]))&amp;":"&amp;ADDRESS(ROW(),COLUMN(NOTA[ID]))),-1)))</f>
        <v>KENKO SINAR INDONESIA</v>
      </c>
      <c r="AK360" s="41" t="str">
        <f ca="1">IF(NOTA[[#This Row],[ID_H]]="","",IF(NOTA[[#This Row],[FAKTUR]]="",INDIRECT(ADDRESS(ROW()-1,COLUMN())),NOTA[[#This Row],[FAKTUR]]))</f>
        <v>ARTO MORO</v>
      </c>
      <c r="AL360" s="38" t="str">
        <f ca="1">IF(NOTA[[#This Row],[ID]]="","",COUNTIF(NOTA[ID_H],NOTA[[#This Row],[ID_H]]))</f>
        <v/>
      </c>
      <c r="AM360" s="38">
        <f ca="1">IF(NOTA[[#This Row],[TGL.NOTA]]="",IF(NOTA[[#This Row],[SUPPLIER_H]]="","",AM359),MONTH(NOTA[[#This Row],[TGL.NOTA]]))</f>
        <v>1</v>
      </c>
      <c r="AN360" s="38" t="str">
        <f>LOWER(SUBSTITUTE(SUBSTITUTE(SUBSTITUTE(SUBSTITUTE(SUBSTITUTE(SUBSTITUTE(SUBSTITUTE(SUBSTITUTE(SUBSTITUTE(NOTA[NAMA BARANG]," ",),".",""),"-",""),"(",""),")",""),",",""),"/",""),"""",""),"+",""))</f>
        <v>kenkobukutamubt2920btk2batik</v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kenkobukutamubt2920btk2batik7680000.17</v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kenkobukutamubt2920btk2batik7680000.17</v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 t="e">
        <f>IF(NOTA[[#This Row],[CONCAT1]]="","",MATCH(NOTA[[#This Row],[CONCAT1]],[3]!db[NB NOTA_C],0))</f>
        <v>#N/A</v>
      </c>
      <c r="AT360" s="38" t="str">
        <f>IF(NOTA[[#This Row],[QTY/ CTN]]="","",TRUE)</f>
        <v/>
      </c>
      <c r="AU360" s="38" t="e">
        <f ca="1">IF(NOTA[[#This Row],[ID_H]]="","",IF(NOTA[[#This Row],[Column3]]=TRUE,NOTA[[#This Row],[QTY/ CTN]],INDEX([3]!db[QTY/ CTN],NOTA[[#This Row],[//DB]])))</f>
        <v>#N/A</v>
      </c>
      <c r="AV36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60" s="38" t="e">
        <f ca="1">IF(NOTA[[#This Row],[ID_H]]="","",MATCH(NOTA[[#This Row],[NB NOTA_C_QTY]],[4]!db[NB NOTA_C_QTY+F],0))</f>
        <v>#N/A</v>
      </c>
      <c r="AX360" s="53" t="e">
        <f ca="1">IF(NOTA[[#This Row],[NB NOTA_C_QTY]]="","",ROW()-2)</f>
        <v>#N/A</v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>
        <f ca="1">IF(NOTA[[#This Row],[NAMA BARANG]]="","",INDEX(NOTA[ID],MATCH(,INDIRECT(ADDRESS(ROW(NOTA[ID]),COLUMN(NOTA[ID]))&amp;":"&amp;ADDRESS(ROW(),COLUMN(NOTA[ID]))),-1)))</f>
        <v>59</v>
      </c>
      <c r="E361" s="46"/>
      <c r="F361" s="37"/>
      <c r="G361" s="37"/>
      <c r="H361" s="47"/>
      <c r="I361" s="37"/>
      <c r="J361" s="39"/>
      <c r="K361" s="37">
        <v>0</v>
      </c>
      <c r="L361" s="37" t="s">
        <v>500</v>
      </c>
      <c r="M361" s="40">
        <v>2</v>
      </c>
      <c r="O361" s="37"/>
      <c r="P361" s="41"/>
      <c r="Q361" s="42">
        <v>2980800</v>
      </c>
      <c r="R361" s="48"/>
      <c r="S361" s="49">
        <v>0.17</v>
      </c>
      <c r="T361" s="44"/>
      <c r="U361" s="44"/>
      <c r="V361" s="50"/>
      <c r="W361" s="45"/>
      <c r="X361" s="50">
        <f>IF(NOTA[[#This Row],[HARGA/ CTN]]="",NOTA[[#This Row],[JUMLAH_H]],NOTA[[#This Row],[HARGA/ CTN]]*IF(NOTA[[#This Row],[C]]="",0,NOTA[[#This Row],[C]]))</f>
        <v>5961600</v>
      </c>
      <c r="Y361" s="50">
        <f>IF(NOTA[[#This Row],[JUMLAH]]="","",NOTA[[#This Row],[JUMLAH]]*NOTA[[#This Row],[DISC 1]])</f>
        <v>1013472.0000000001</v>
      </c>
      <c r="Z361" s="50">
        <f>IF(NOTA[[#This Row],[JUMLAH]]="","",(NOTA[[#This Row],[JUMLAH]]-NOTA[[#This Row],[DISC 1-]])*NOTA[[#This Row],[DISC 2]])</f>
        <v>0</v>
      </c>
      <c r="AA361" s="50">
        <f>IF(NOTA[[#This Row],[JUMLAH]]="","",(NOTA[[#This Row],[JUMLAH]]-NOTA[[#This Row],[DISC 1-]]-NOTA[[#This Row],[DISC 2-]])*NOTA[[#This Row],[DISC 3]])</f>
        <v>0</v>
      </c>
      <c r="AB361" s="50">
        <f>IF(NOTA[[#This Row],[JUMLAH]]="","",NOTA[[#This Row],[DISC 1-]]+NOTA[[#This Row],[DISC 2-]]+NOTA[[#This Row],[DISC 3-]])</f>
        <v>1013472.0000000001</v>
      </c>
      <c r="AC361" s="50">
        <f>IF(NOTA[[#This Row],[JUMLAH]]="","",NOTA[[#This Row],[JUMLAH]]-NOTA[[#This Row],[DISC]])</f>
        <v>4948128</v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61" s="50" t="str">
        <f>IF(OR(NOTA[[#This Row],[QTY]]="",NOTA[[#This Row],[HARGA SATUAN]]="",),"",NOTA[[#This Row],[QTY]]*NOTA[[#This Row],[HARGA SATUAN]])</f>
        <v/>
      </c>
      <c r="AI361" s="39">
        <f ca="1">IF(NOTA[ID_H]="","",INDEX(NOTA[TANGGAL],MATCH(,INDIRECT(ADDRESS(ROW(NOTA[TANGGAL]),COLUMN(NOTA[TANGGAL]))&amp;":"&amp;ADDRESS(ROW(),COLUMN(NOTA[TANGGAL]))),-1)))</f>
        <v>45304</v>
      </c>
      <c r="AJ361" s="41" t="str">
        <f ca="1">IF(NOTA[[#This Row],[NAMA BARANG]]="","",INDEX(NOTA[SUPPLIER],MATCH(,INDIRECT(ADDRESS(ROW(NOTA[ID]),COLUMN(NOTA[ID]))&amp;":"&amp;ADDRESS(ROW(),COLUMN(NOTA[ID]))),-1)))</f>
        <v>KENKO SINAR INDONESIA</v>
      </c>
      <c r="AK361" s="41" t="str">
        <f ca="1">IF(NOTA[[#This Row],[ID_H]]="","",IF(NOTA[[#This Row],[FAKTUR]]="",INDIRECT(ADDRESS(ROW()-1,COLUMN())),NOTA[[#This Row],[FAKTUR]]))</f>
        <v>ARTO MORO</v>
      </c>
      <c r="AL361" s="38" t="str">
        <f ca="1">IF(NOTA[[#This Row],[ID]]="","",COUNTIF(NOTA[ID_H],NOTA[[#This Row],[ID_H]]))</f>
        <v/>
      </c>
      <c r="AM361" s="38">
        <f ca="1">IF(NOTA[[#This Row],[TGL.NOTA]]="",IF(NOTA[[#This Row],[SUPPLIER_H]]="","",AM360),MONTH(NOTA[[#This Row],[TGL.NOTA]]))</f>
        <v>1</v>
      </c>
      <c r="AN361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>
        <f>IF(NOTA[[#This Row],[CONCAT1]]="","",MATCH(NOTA[[#This Row],[CONCAT1]],[3]!db[NB NOTA_C],0))</f>
        <v>1488</v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>24 BOX (6 SET)</v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361" s="38" t="e">
        <f ca="1">IF(NOTA[[#This Row],[ID_H]]="","",MATCH(NOTA[[#This Row],[NB NOTA_C_QTY]],[4]!db[NB NOTA_C_QTY+F],0))</f>
        <v>#REF!</v>
      </c>
      <c r="AX361" s="53">
        <f ca="1">IF(NOTA[[#This Row],[NB NOTA_C_QTY]]="","",ROW()-2)</f>
        <v>359</v>
      </c>
    </row>
    <row r="362" spans="1:50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>
        <f ca="1">IF(NOTA[[#This Row],[NAMA BARANG]]="","",INDEX(NOTA[ID],MATCH(,INDIRECT(ADDRESS(ROW(NOTA[ID]),COLUMN(NOTA[ID]))&amp;":"&amp;ADDRESS(ROW(),COLUMN(NOTA[ID]))),-1)))</f>
        <v>59</v>
      </c>
      <c r="E362" s="46"/>
      <c r="F362" s="37"/>
      <c r="G362" s="37"/>
      <c r="H362" s="47"/>
      <c r="I362" s="37"/>
      <c r="J362" s="39"/>
      <c r="K362" s="37">
        <v>0</v>
      </c>
      <c r="L362" s="37" t="s">
        <v>501</v>
      </c>
      <c r="M362" s="40">
        <v>2</v>
      </c>
      <c r="O362" s="37"/>
      <c r="P362" s="41"/>
      <c r="Q362" s="42">
        <v>840000</v>
      </c>
      <c r="R362" s="48"/>
      <c r="S362" s="49">
        <v>0.17</v>
      </c>
      <c r="T362" s="44"/>
      <c r="U362" s="44"/>
      <c r="V362" s="50"/>
      <c r="W362" s="45"/>
      <c r="X362" s="50">
        <f>IF(NOTA[[#This Row],[HARGA/ CTN]]="",NOTA[[#This Row],[JUMLAH_H]],NOTA[[#This Row],[HARGA/ CTN]]*IF(NOTA[[#This Row],[C]]="",0,NOTA[[#This Row],[C]]))</f>
        <v>1680000</v>
      </c>
      <c r="Y362" s="50">
        <f>IF(NOTA[[#This Row],[JUMLAH]]="","",NOTA[[#This Row],[JUMLAH]]*NOTA[[#This Row],[DISC 1]])</f>
        <v>285600</v>
      </c>
      <c r="Z362" s="50">
        <f>IF(NOTA[[#This Row],[JUMLAH]]="","",(NOTA[[#This Row],[JUMLAH]]-NOTA[[#This Row],[DISC 1-]])*NOTA[[#This Row],[DISC 2]])</f>
        <v>0</v>
      </c>
      <c r="AA362" s="50">
        <f>IF(NOTA[[#This Row],[JUMLAH]]="","",(NOTA[[#This Row],[JUMLAH]]-NOTA[[#This Row],[DISC 1-]]-NOTA[[#This Row],[DISC 2-]])*NOTA[[#This Row],[DISC 3]])</f>
        <v>0</v>
      </c>
      <c r="AB362" s="50">
        <f>IF(NOTA[[#This Row],[JUMLAH]]="","",NOTA[[#This Row],[DISC 1-]]+NOTA[[#This Row],[DISC 2-]]+NOTA[[#This Row],[DISC 3-]])</f>
        <v>285600</v>
      </c>
      <c r="AC362" s="50">
        <f>IF(NOTA[[#This Row],[JUMLAH]]="","",NOTA[[#This Row],[JUMLAH]]-NOTA[[#This Row],[DISC]])</f>
        <v>1394400</v>
      </c>
      <c r="AD362" s="50"/>
      <c r="AE3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2579682</v>
      </c>
      <c r="AF3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12594918</v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362" s="50" t="str">
        <f>IF(OR(NOTA[[#This Row],[QTY]]="",NOTA[[#This Row],[HARGA SATUAN]]="",),"",NOTA[[#This Row],[QTY]]*NOTA[[#This Row],[HARGA SATUAN]])</f>
        <v/>
      </c>
      <c r="AI362" s="39">
        <f ca="1">IF(NOTA[ID_H]="","",INDEX(NOTA[TANGGAL],MATCH(,INDIRECT(ADDRESS(ROW(NOTA[TANGGAL]),COLUMN(NOTA[TANGGAL]))&amp;":"&amp;ADDRESS(ROW(),COLUMN(NOTA[TANGGAL]))),-1)))</f>
        <v>45304</v>
      </c>
      <c r="AJ362" s="41" t="str">
        <f ca="1">IF(NOTA[[#This Row],[NAMA BARANG]]="","",INDEX(NOTA[SUPPLIER],MATCH(,INDIRECT(ADDRESS(ROW(NOTA[ID]),COLUMN(NOTA[ID]))&amp;":"&amp;ADDRESS(ROW(),COLUMN(NOTA[ID]))),-1)))</f>
        <v>KENKO SINAR INDONESIA</v>
      </c>
      <c r="AK362" s="41" t="str">
        <f ca="1">IF(NOTA[[#This Row],[ID_H]]="","",IF(NOTA[[#This Row],[FAKTUR]]="",INDIRECT(ADDRESS(ROW()-1,COLUMN())),NOTA[[#This Row],[FAKTUR]]))</f>
        <v>ARTO MORO</v>
      </c>
      <c r="AL362" s="38" t="str">
        <f ca="1">IF(NOTA[[#This Row],[ID]]="","",COUNTIF(NOTA[ID_H],NOTA[[#This Row],[ID_H]]))</f>
        <v/>
      </c>
      <c r="AM362" s="38">
        <f ca="1">IF(NOTA[[#This Row],[TGL.NOTA]]="",IF(NOTA[[#This Row],[SUPPLIER_H]]="","",AM361),MONTH(NOTA[[#This Row],[TGL.NOTA]]))</f>
        <v>1</v>
      </c>
      <c r="AN362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2" s="38" t="str">
        <f>IF(NOTA[[#This Row],[CONCAT4]]="","",_xlfn.IFNA(MATCH(NOTA[[#This Row],[CONCAT4]],[2]!RAW[CONCAT_H],0),FALSE))</f>
        <v/>
      </c>
      <c r="AS362" s="38">
        <f>IF(NOTA[[#This Row],[CONCAT1]]="","",MATCH(NOTA[[#This Row],[CONCAT1]],[3]!db[NB NOTA_C],0))</f>
        <v>1791</v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>20 PAK (10 BOX)</v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362" s="38" t="e">
        <f ca="1">IF(NOTA[[#This Row],[ID_H]]="","",MATCH(NOTA[[#This Row],[NB NOTA_C_QTY]],[4]!db[NB NOTA_C_QTY+F],0))</f>
        <v>#REF!</v>
      </c>
      <c r="AX362" s="53">
        <f ca="1">IF(NOTA[[#This Row],[NB NOTA_C_QTY]]="","",ROW()-2)</f>
        <v>360</v>
      </c>
    </row>
    <row r="363" spans="1:50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 t="str">
        <f ca="1">IF(NOTA[[#This Row],[NAMA BARANG]]="","",INDEX(NOTA[ID],MATCH(,INDIRECT(ADDRESS(ROW(NOTA[ID]),COLUMN(NOTA[ID]))&amp;":"&amp;ADDRESS(ROW(),COLUMN(NOTA[ID]))),-1)))</f>
        <v/>
      </c>
      <c r="E363" s="46"/>
      <c r="F363" s="37"/>
      <c r="G363" s="37"/>
      <c r="H363" s="47"/>
      <c r="I363" s="37"/>
      <c r="J363" s="39"/>
      <c r="K363" s="37"/>
      <c r="L363" s="37"/>
      <c r="M363" s="40"/>
      <c r="O363" s="37"/>
      <c r="P363" s="41"/>
      <c r="Q363" s="42"/>
      <c r="R363" s="48"/>
      <c r="S363" s="49"/>
      <c r="T363" s="44"/>
      <c r="U363" s="44"/>
      <c r="V363" s="50"/>
      <c r="W363" s="45"/>
      <c r="X363" s="50" t="str">
        <f>IF(NOTA[[#This Row],[HARGA/ CTN]]="",NOTA[[#This Row],[JUMLAH_H]],NOTA[[#This Row],[HARGA/ CTN]]*IF(NOTA[[#This Row],[C]]="",0,NOTA[[#This Row],[C]]))</f>
        <v/>
      </c>
      <c r="Y363" s="50" t="str">
        <f>IF(NOTA[[#This Row],[JUMLAH]]="","",NOTA[[#This Row],[JUMLAH]]*NOTA[[#This Row],[DISC 1]])</f>
        <v/>
      </c>
      <c r="Z363" s="50" t="str">
        <f>IF(NOTA[[#This Row],[JUMLAH]]="","",(NOTA[[#This Row],[JUMLAH]]-NOTA[[#This Row],[DISC 1-]])*NOTA[[#This Row],[DISC 2]])</f>
        <v/>
      </c>
      <c r="AA363" s="50" t="str">
        <f>IF(NOTA[[#This Row],[JUMLAH]]="","",(NOTA[[#This Row],[JUMLAH]]-NOTA[[#This Row],[DISC 1-]]-NOTA[[#This Row],[DISC 2-]])*NOTA[[#This Row],[DISC 3]])</f>
        <v/>
      </c>
      <c r="AB363" s="50" t="str">
        <f>IF(NOTA[[#This Row],[JUMLAH]]="","",NOTA[[#This Row],[DISC 1-]]+NOTA[[#This Row],[DISC 2-]]+NOTA[[#This Row],[DISC 3-]])</f>
        <v/>
      </c>
      <c r="AC363" s="50" t="str">
        <f>IF(NOTA[[#This Row],[JUMLAH]]="","",NOTA[[#This Row],[JUMLAH]]-NOTA[[#This Row],[DISC]])</f>
        <v/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3" s="50" t="str">
        <f>IF(OR(NOTA[[#This Row],[QTY]]="",NOTA[[#This Row],[HARGA SATUAN]]="",),"",NOTA[[#This Row],[QTY]]*NOTA[[#This Row],[HARGA SATUAN]])</f>
        <v/>
      </c>
      <c r="AI363" s="39" t="str">
        <f ca="1">IF(NOTA[ID_H]="","",INDEX(NOTA[TANGGAL],MATCH(,INDIRECT(ADDRESS(ROW(NOTA[TANGGAL]),COLUMN(NOTA[TANGGAL]))&amp;":"&amp;ADDRESS(ROW(),COLUMN(NOTA[TANGGAL]))),-1)))</f>
        <v/>
      </c>
      <c r="AJ363" s="41" t="str">
        <f ca="1">IF(NOTA[[#This Row],[NAMA BARANG]]="","",INDEX(NOTA[SUPPLIER],MATCH(,INDIRECT(ADDRESS(ROW(NOTA[ID]),COLUMN(NOTA[ID]))&amp;":"&amp;ADDRESS(ROW(),COLUMN(NOTA[ID]))),-1)))</f>
        <v/>
      </c>
      <c r="AK363" s="41" t="str">
        <f ca="1">IF(NOTA[[#This Row],[ID_H]]="","",IF(NOTA[[#This Row],[FAKTUR]]="",INDIRECT(ADDRESS(ROW()-1,COLUMN())),NOTA[[#This Row],[FAKTUR]]))</f>
        <v/>
      </c>
      <c r="AL363" s="38" t="str">
        <f ca="1">IF(NOTA[[#This Row],[ID]]="","",COUNTIF(NOTA[ID_H],NOTA[[#This Row],[ID_H]]))</f>
        <v/>
      </c>
      <c r="AM363" s="38" t="str">
        <f ca="1">IF(NOTA[[#This Row],[TGL.NOTA]]="",IF(NOTA[[#This Row],[SUPPLIER_H]]="","",AM362),MONTH(NOTA[[#This Row],[TGL.NOTA]]))</f>
        <v/>
      </c>
      <c r="AN363" s="38" t="str">
        <f>LOWER(SUBSTITUTE(SUBSTITUTE(SUBSTITUTE(SUBSTITUTE(SUBSTITUTE(SUBSTITUTE(SUBSTITUTE(SUBSTITUTE(SUBSTITUTE(NOTA[NAMA BARANG]," ",),".",""),"-",""),"(",""),")",""),",",""),"/",""),"""",""),"+",""))</f>
        <v/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Row],[CONCAT4]],[2]!RAW[CONCAT_H],0),FALSE))</f>
        <v/>
      </c>
      <c r="AS363" s="38" t="str">
        <f>IF(NOTA[[#This Row],[CONCAT1]]="","",MATCH(NOTA[[#This Row],[CONCAT1]],[3]!db[NB NOTA_C],0))</f>
        <v/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/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3" s="38" t="str">
        <f ca="1">IF(NOTA[[#This Row],[ID_H]]="","",MATCH(NOTA[[#This Row],[NB NOTA_C_QTY]],[4]!db[NB NOTA_C_QTY+F],0))</f>
        <v/>
      </c>
      <c r="AX363" s="53" t="str">
        <f ca="1">IF(NOTA[[#This Row],[NB NOTA_C_QTY]]="","",ROW()-2)</f>
        <v/>
      </c>
    </row>
    <row r="364" spans="1:50" s="38" customFormat="1" ht="20.100000000000001" customHeight="1" x14ac:dyDescent="0.25">
      <c r="A364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ATA_1301_641-4</v>
      </c>
      <c r="C364" s="38" t="e">
        <f ca="1">IF(NOTA[[#This Row],[ID_P]]="","",MATCH(NOTA[[#This Row],[ID_P]],[1]!B_MSK[N_ID],0))</f>
        <v>#REF!</v>
      </c>
      <c r="D364" s="38">
        <f ca="1">IF(NOTA[[#This Row],[NAMA BARANG]]="","",INDEX(NOTA[ID],MATCH(,INDIRECT(ADDRESS(ROW(NOTA[ID]),COLUMN(NOTA[ID]))&amp;":"&amp;ADDRESS(ROW(),COLUMN(NOTA[ID]))),-1)))</f>
        <v>60</v>
      </c>
      <c r="E364" s="46">
        <v>45304</v>
      </c>
      <c r="F364" s="37" t="s">
        <v>24</v>
      </c>
      <c r="G364" s="37" t="s">
        <v>23</v>
      </c>
      <c r="H364" s="47" t="s">
        <v>502</v>
      </c>
      <c r="I364" s="37"/>
      <c r="J364" s="39">
        <v>45301</v>
      </c>
      <c r="K364" s="37">
        <v>1</v>
      </c>
      <c r="L364" s="37" t="s">
        <v>503</v>
      </c>
      <c r="M364" s="40">
        <v>2</v>
      </c>
      <c r="N364" s="38">
        <v>48</v>
      </c>
      <c r="O364" s="37" t="s">
        <v>115</v>
      </c>
      <c r="P364" s="41">
        <v>11100</v>
      </c>
      <c r="Q364" s="42"/>
      <c r="R364" s="48"/>
      <c r="S364" s="49">
        <v>0.125</v>
      </c>
      <c r="T364" s="44">
        <v>0.05</v>
      </c>
      <c r="U364" s="44"/>
      <c r="V364" s="50"/>
      <c r="W364" s="45"/>
      <c r="X364" s="50">
        <f>IF(NOTA[[#This Row],[HARGA/ CTN]]="",NOTA[[#This Row],[JUMLAH_H]],NOTA[[#This Row],[HARGA/ CTN]]*IF(NOTA[[#This Row],[C]]="",0,NOTA[[#This Row],[C]]))</f>
        <v>532800</v>
      </c>
      <c r="Y364" s="50">
        <f>IF(NOTA[[#This Row],[JUMLAH]]="","",NOTA[[#This Row],[JUMLAH]]*NOTA[[#This Row],[DISC 1]])</f>
        <v>66600</v>
      </c>
      <c r="Z364" s="50">
        <f>IF(NOTA[[#This Row],[JUMLAH]]="","",(NOTA[[#This Row],[JUMLAH]]-NOTA[[#This Row],[DISC 1-]])*NOTA[[#This Row],[DISC 2]])</f>
        <v>23310</v>
      </c>
      <c r="AA364" s="50">
        <f>IF(NOTA[[#This Row],[JUMLAH]]="","",(NOTA[[#This Row],[JUMLAH]]-NOTA[[#This Row],[DISC 1-]]-NOTA[[#This Row],[DISC 2-]])*NOTA[[#This Row],[DISC 3]])</f>
        <v>0</v>
      </c>
      <c r="AB364" s="50">
        <f>IF(NOTA[[#This Row],[JUMLAH]]="","",NOTA[[#This Row],[DISC 1-]]+NOTA[[#This Row],[DISC 2-]]+NOTA[[#This Row],[DISC 3-]])</f>
        <v>89910</v>
      </c>
      <c r="AC364" s="50">
        <f>IF(NOTA[[#This Row],[JUMLAH]]="","",NOTA[[#This Row],[JUMLAH]]-NOTA[[#This Row],[DISC]])</f>
        <v>442890</v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364" s="50">
        <f>IF(OR(NOTA[[#This Row],[QTY]]="",NOTA[[#This Row],[HARGA SATUAN]]="",),"",NOTA[[#This Row],[QTY]]*NOTA[[#This Row],[HARGA SATUAN]])</f>
        <v>532800</v>
      </c>
      <c r="AI364" s="39">
        <f ca="1">IF(NOTA[ID_H]="","",INDEX(NOTA[TANGGAL],MATCH(,INDIRECT(ADDRESS(ROW(NOTA[TANGGAL]),COLUMN(NOTA[TANGGAL]))&amp;":"&amp;ADDRESS(ROW(),COLUMN(NOTA[TANGGAL]))),-1)))</f>
        <v>45304</v>
      </c>
      <c r="AJ364" s="41" t="str">
        <f ca="1">IF(NOTA[[#This Row],[NAMA BARANG]]="","",INDEX(NOTA[SUPPLIER],MATCH(,INDIRECT(ADDRESS(ROW(NOTA[ID]),COLUMN(NOTA[ID]))&amp;":"&amp;ADDRESS(ROW(),COLUMN(NOTA[ID]))),-1)))</f>
        <v>ATALI MAKMUR</v>
      </c>
      <c r="AK364" s="41" t="str">
        <f ca="1">IF(NOTA[[#This Row],[ID_H]]="","",IF(NOTA[[#This Row],[FAKTUR]]="",INDIRECT(ADDRESS(ROW()-1,COLUMN())),NOTA[[#This Row],[FAKTUR]]))</f>
        <v>ARTO MORO</v>
      </c>
      <c r="AL364" s="38">
        <f ca="1">IF(NOTA[[#This Row],[ID]]="","",COUNTIF(NOTA[ID_H],NOTA[[#This Row],[ID_H]]))</f>
        <v>4</v>
      </c>
      <c r="AM364" s="38">
        <f>IF(NOTA[[#This Row],[TGL.NOTA]]="",IF(NOTA[[#This Row],[SUPPLIER_H]]="","",AM363),MONTH(NOTA[[#This Row],[TGL.NOTA]]))</f>
        <v>1</v>
      </c>
      <c r="AN364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MOROSA24010064145301tapecuttertd102jk</v>
      </c>
      <c r="AR364" s="38" t="e">
        <f>IF(NOTA[[#This Row],[CONCAT4]]="","",_xlfn.IFNA(MATCH(NOTA[[#This Row],[CONCAT4]],[2]!RAW[CONCAT_H],0),FALSE))</f>
        <v>#REF!</v>
      </c>
      <c r="AS364" s="38">
        <f>IF(NOTA[[#This Row],[CONCAT1]]="","",MATCH(NOTA[[#This Row],[CONCAT1]],[3]!db[NB NOTA_C],0))</f>
        <v>2917</v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>24 PCS</v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364" s="38" t="e">
        <f ca="1">IF(NOTA[[#This Row],[ID_H]]="","",MATCH(NOTA[[#This Row],[NB NOTA_C_QTY]],[4]!db[NB NOTA_C_QTY+F],0))</f>
        <v>#REF!</v>
      </c>
      <c r="AX364" s="53">
        <f ca="1">IF(NOTA[[#This Row],[NB NOTA_C_QTY]]="","",ROW()-2)</f>
        <v>362</v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60</v>
      </c>
      <c r="E365" s="46"/>
      <c r="F365" s="37"/>
      <c r="G365" s="37"/>
      <c r="H365" s="47"/>
      <c r="I365" s="37"/>
      <c r="J365" s="39"/>
      <c r="K365" s="37">
        <v>0</v>
      </c>
      <c r="L365" s="37" t="s">
        <v>504</v>
      </c>
      <c r="M365" s="40">
        <v>1</v>
      </c>
      <c r="N365" s="38">
        <v>24</v>
      </c>
      <c r="O365" s="37" t="s">
        <v>115</v>
      </c>
      <c r="P365" s="41">
        <v>19000</v>
      </c>
      <c r="Q365" s="42"/>
      <c r="R365" s="48"/>
      <c r="S365" s="49">
        <v>0.125</v>
      </c>
      <c r="T365" s="44">
        <v>0.05</v>
      </c>
      <c r="U365" s="44"/>
      <c r="V365" s="50"/>
      <c r="W365" s="45"/>
      <c r="X365" s="50">
        <f>IF(NOTA[[#This Row],[HARGA/ CTN]]="",NOTA[[#This Row],[JUMLAH_H]],NOTA[[#This Row],[HARGA/ CTN]]*IF(NOTA[[#This Row],[C]]="",0,NOTA[[#This Row],[C]]))</f>
        <v>456000</v>
      </c>
      <c r="Y365" s="50">
        <f>IF(NOTA[[#This Row],[JUMLAH]]="","",NOTA[[#This Row],[JUMLAH]]*NOTA[[#This Row],[DISC 1]])</f>
        <v>57000</v>
      </c>
      <c r="Z365" s="50">
        <f>IF(NOTA[[#This Row],[JUMLAH]]="","",(NOTA[[#This Row],[JUMLAH]]-NOTA[[#This Row],[DISC 1-]])*NOTA[[#This Row],[DISC 2]])</f>
        <v>19950</v>
      </c>
      <c r="AA365" s="50">
        <f>IF(NOTA[[#This Row],[JUMLAH]]="","",(NOTA[[#This Row],[JUMLAH]]-NOTA[[#This Row],[DISC 1-]]-NOTA[[#This Row],[DISC 2-]])*NOTA[[#This Row],[DISC 3]])</f>
        <v>0</v>
      </c>
      <c r="AB365" s="50">
        <f>IF(NOTA[[#This Row],[JUMLAH]]="","",NOTA[[#This Row],[DISC 1-]]+NOTA[[#This Row],[DISC 2-]]+NOTA[[#This Row],[DISC 3-]])</f>
        <v>76950</v>
      </c>
      <c r="AC365" s="50">
        <f>IF(NOTA[[#This Row],[JUMLAH]]="","",NOTA[[#This Row],[JUMLAH]]-NOTA[[#This Row],[DISC]])</f>
        <v>379050</v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65" s="50">
        <f>IF(OR(NOTA[[#This Row],[QTY]]="",NOTA[[#This Row],[HARGA SATUAN]]="",),"",NOTA[[#This Row],[QTY]]*NOTA[[#This Row],[HARGA SATUAN]])</f>
        <v>456000</v>
      </c>
      <c r="AI365" s="39">
        <f ca="1">IF(NOTA[ID_H]="","",INDEX(NOTA[TANGGAL],MATCH(,INDIRECT(ADDRESS(ROW(NOTA[TANGGAL]),COLUMN(NOTA[TANGGAL]))&amp;":"&amp;ADDRESS(ROW(),COLUMN(NOTA[TANGGAL]))),-1)))</f>
        <v>45304</v>
      </c>
      <c r="AJ365" s="41" t="str">
        <f ca="1">IF(NOTA[[#This Row],[NAMA BARANG]]="","",INDEX(NOTA[SUPPLIER],MATCH(,INDIRECT(ADDRESS(ROW(NOTA[ID]),COLUMN(NOTA[ID]))&amp;":"&amp;ADDRESS(ROW(),COLUMN(NOTA[ID]))),-1)))</f>
        <v>ATALI MAKMUR</v>
      </c>
      <c r="AK365" s="41" t="str">
        <f ca="1">IF(NOTA[[#This Row],[ID_H]]="","",IF(NOTA[[#This Row],[FAKTUR]]="",INDIRECT(ADDRESS(ROW()-1,COLUMN())),NOTA[[#This Row],[FAKTUR]]))</f>
        <v>ARTO MORO</v>
      </c>
      <c r="AL365" s="38" t="str">
        <f ca="1">IF(NOTA[[#This Row],[ID]]="","",COUNTIF(NOTA[ID_H],NOTA[[#This Row],[ID_H]]))</f>
        <v/>
      </c>
      <c r="AM365" s="38">
        <f ca="1">IF(NOTA[[#This Row],[TGL.NOTA]]="",IF(NOTA[[#This Row],[SUPPLIER_H]]="","",AM364),MONTH(NOTA[[#This Row],[TGL.NOTA]]))</f>
        <v>1</v>
      </c>
      <c r="AN365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>
        <f>IF(NOTA[[#This Row],[CONCAT1]]="","",MATCH(NOTA[[#This Row],[CONCAT1]],[3]!db[NB NOTA_C],0))</f>
        <v>2918</v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>24 PCS</v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365" s="38" t="e">
        <f ca="1">IF(NOTA[[#This Row],[ID_H]]="","",MATCH(NOTA[[#This Row],[NB NOTA_C_QTY]],[4]!db[NB NOTA_C_QTY+F],0))</f>
        <v>#REF!</v>
      </c>
      <c r="AX365" s="53">
        <f ca="1">IF(NOTA[[#This Row],[NB NOTA_C_QTY]]="","",ROW()-2)</f>
        <v>363</v>
      </c>
    </row>
    <row r="366" spans="1:50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60</v>
      </c>
      <c r="E366" s="46"/>
      <c r="F366" s="37"/>
      <c r="G366" s="37"/>
      <c r="H366" s="47"/>
      <c r="I366" s="37"/>
      <c r="J366" s="39"/>
      <c r="K366" s="37">
        <v>0</v>
      </c>
      <c r="L366" s="37" t="s">
        <v>506</v>
      </c>
      <c r="M366" s="40">
        <v>1</v>
      </c>
      <c r="N366" s="38">
        <v>24</v>
      </c>
      <c r="O366" s="37" t="s">
        <v>115</v>
      </c>
      <c r="P366" s="41">
        <v>12300</v>
      </c>
      <c r="Q366" s="42"/>
      <c r="R366" s="48"/>
      <c r="S366" s="49">
        <v>0.125</v>
      </c>
      <c r="T366" s="44">
        <v>0.05</v>
      </c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295200</v>
      </c>
      <c r="Y366" s="50">
        <f>IF(NOTA[[#This Row],[JUMLAH]]="","",NOTA[[#This Row],[JUMLAH]]*NOTA[[#This Row],[DISC 1]])</f>
        <v>36900</v>
      </c>
      <c r="Z366" s="50">
        <f>IF(NOTA[[#This Row],[JUMLAH]]="","",(NOTA[[#This Row],[JUMLAH]]-NOTA[[#This Row],[DISC 1-]])*NOTA[[#This Row],[DISC 2]])</f>
        <v>12915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49815</v>
      </c>
      <c r="AC366" s="50">
        <f>IF(NOTA[[#This Row],[JUMLAH]]="","",NOTA[[#This Row],[JUMLAH]]-NOTA[[#This Row],[DISC]])</f>
        <v>245385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H366" s="50">
        <f>IF(OR(NOTA[[#This Row],[QTY]]="",NOTA[[#This Row],[HARGA SATUAN]]="",),"",NOTA[[#This Row],[QTY]]*NOTA[[#This Row],[HARGA SATUAN]])</f>
        <v>295200</v>
      </c>
      <c r="AI366" s="39">
        <f ca="1">IF(NOTA[ID_H]="","",INDEX(NOTA[TANGGAL],MATCH(,INDIRECT(ADDRESS(ROW(NOTA[TANGGAL]),COLUMN(NOTA[TANGGAL]))&amp;":"&amp;ADDRESS(ROW(),COLUMN(NOTA[TANGGAL]))),-1)))</f>
        <v>45304</v>
      </c>
      <c r="AJ366" s="41" t="str">
        <f ca="1">IF(NOTA[[#This Row],[NAMA BARANG]]="","",INDEX(NOTA[SUPPLIER],MATCH(,INDIRECT(ADDRESS(ROW(NOTA[ID]),COLUMN(NOTA[ID]))&amp;":"&amp;ADDRESS(ROW(),COLUMN(NOTA[ID]))),-1)))</f>
        <v>ATALI MAKMUR</v>
      </c>
      <c r="AK366" s="41" t="str">
        <f ca="1">IF(NOTA[[#This Row],[ID_H]]="","",IF(NOTA[[#This Row],[FAKTUR]]="",INDIRECT(ADDRESS(ROW()-1,COLUMN())),NOTA[[#This Row],[FAKTUR]]))</f>
        <v>ARTO MORO</v>
      </c>
      <c r="AL366" s="38" t="str">
        <f ca="1">IF(NOTA[[#This Row],[ID]]="","",COUNTIF(NOTA[ID_H],NOTA[[#This Row],[ID_H]]))</f>
        <v/>
      </c>
      <c r="AM366" s="38">
        <f ca="1">IF(NOTA[[#This Row],[TGL.NOTA]]="",IF(NOTA[[#This Row],[SUPPLIER_H]]="","",AM365),MONTH(NOTA[[#This Row],[TGL.NOTA]]))</f>
        <v>1</v>
      </c>
      <c r="AN366" s="38" t="str">
        <f>LOWER(SUBSTITUTE(SUBSTITUTE(SUBSTITUTE(SUBSTITUTE(SUBSTITUTE(SUBSTITUTE(SUBSTITUTE(SUBSTITUTE(SUBSTITUTE(NOTA[NAMA BARANG]," ",),".",""),"-",""),"(",""),")",""),",",""),"/",""),"""",""),"+",""))</f>
        <v>tapecuttertc111jk</v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6" s="38" t="str">
        <f>IF(NOTA[[#This Row],[CONCAT4]]="","",_xlfn.IFNA(MATCH(NOTA[[#This Row],[CONCAT4]],[2]!RAW[CONCAT_H],0),FALSE))</f>
        <v/>
      </c>
      <c r="AS366" s="38">
        <f>IF(NOTA[[#This Row],[CONCAT1]]="","",MATCH(NOTA[[#This Row],[CONCAT1]],[3]!db[NB NOTA_C],0))</f>
        <v>2909</v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>24 PCS</v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tapecuttertc111jk24pcsartomoro</v>
      </c>
      <c r="AW366" s="38" t="e">
        <f ca="1">IF(NOTA[[#This Row],[ID_H]]="","",MATCH(NOTA[[#This Row],[NB NOTA_C_QTY]],[4]!db[NB NOTA_C_QTY+F],0))</f>
        <v>#REF!</v>
      </c>
      <c r="AX366" s="53">
        <f ca="1">IF(NOTA[[#This Row],[NB NOTA_C_QTY]]="","",ROW()-2)</f>
        <v>364</v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60</v>
      </c>
      <c r="E367" s="46"/>
      <c r="F367" s="37"/>
      <c r="G367" s="37"/>
      <c r="H367" s="47"/>
      <c r="I367" s="37"/>
      <c r="J367" s="39"/>
      <c r="K367" s="37"/>
      <c r="L367" s="37" t="s">
        <v>505</v>
      </c>
      <c r="M367" s="40">
        <v>1</v>
      </c>
      <c r="N367" s="38">
        <v>768</v>
      </c>
      <c r="O367" s="37" t="s">
        <v>115</v>
      </c>
      <c r="P367" s="41">
        <v>2100</v>
      </c>
      <c r="Q367" s="42"/>
      <c r="R367" s="48"/>
      <c r="S367" s="49">
        <v>0.125</v>
      </c>
      <c r="T367" s="44">
        <v>0.05</v>
      </c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1612800</v>
      </c>
      <c r="Y367" s="50">
        <f>IF(NOTA[[#This Row],[JUMLAH]]="","",NOTA[[#This Row],[JUMLAH]]*NOTA[[#This Row],[DISC 1]])</f>
        <v>201600</v>
      </c>
      <c r="Z367" s="50">
        <f>IF(NOTA[[#This Row],[JUMLAH]]="","",(NOTA[[#This Row],[JUMLAH]]-NOTA[[#This Row],[DISC 1-]])*NOTA[[#This Row],[DISC 2]])</f>
        <v>70560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272160</v>
      </c>
      <c r="AC367" s="50">
        <f>IF(NOTA[[#This Row],[JUMLAH]]="","",NOTA[[#This Row],[JUMLAH]]-NOTA[[#This Row],[DISC]])</f>
        <v>1340640</v>
      </c>
      <c r="AD367" s="50"/>
      <c r="AE3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488835</v>
      </c>
      <c r="AF3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2407965</v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367" s="50">
        <f>IF(OR(NOTA[[#This Row],[QTY]]="",NOTA[[#This Row],[HARGA SATUAN]]="",),"",NOTA[[#This Row],[QTY]]*NOTA[[#This Row],[HARGA SATUAN]])</f>
        <v>1612800</v>
      </c>
      <c r="AI367" s="39">
        <f ca="1">IF(NOTA[ID_H]="","",INDEX(NOTA[TANGGAL],MATCH(,INDIRECT(ADDRESS(ROW(NOTA[TANGGAL]),COLUMN(NOTA[TANGGAL]))&amp;":"&amp;ADDRESS(ROW(),COLUMN(NOTA[TANGGAL]))),-1)))</f>
        <v>45304</v>
      </c>
      <c r="AJ367" s="41" t="str">
        <f ca="1">IF(NOTA[[#This Row],[NAMA BARANG]]="","",INDEX(NOTA[SUPPLIER],MATCH(,INDIRECT(ADDRESS(ROW(NOTA[ID]),COLUMN(NOTA[ID]))&amp;":"&amp;ADDRESS(ROW(),COLUMN(NOTA[ID]))),-1)))</f>
        <v>ATALI MAKMUR</v>
      </c>
      <c r="AK367" s="41" t="str">
        <f ca="1">IF(NOTA[[#This Row],[ID_H]]="","",IF(NOTA[[#This Row],[FAKTUR]]="",INDIRECT(ADDRESS(ROW()-1,COLUMN())),NOTA[[#This Row],[FAKTUR]]))</f>
        <v>ARTO MORO</v>
      </c>
      <c r="AL367" s="38" t="str">
        <f ca="1">IF(NOTA[[#This Row],[ID]]="","",COUNTIF(NOTA[ID_H],NOTA[[#This Row],[ID_H]]))</f>
        <v/>
      </c>
      <c r="AM367" s="38">
        <f ca="1">IF(NOTA[[#This Row],[TGL.NOTA]]="",IF(NOTA[[#This Row],[SUPPLIER_H]]="","",AM366),MONTH(NOTA[[#This Row],[TGL.NOTA]]))</f>
        <v>1</v>
      </c>
      <c r="AN36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>
        <f>IF(NOTA[[#This Row],[CONCAT1]]="","",MATCH(NOTA[[#This Row],[CONCAT1]],[3]!db[NB NOTA_C],0))</f>
        <v>1328</v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>64 LSN</v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367" s="38" t="e">
        <f ca="1">IF(NOTA[[#This Row],[ID_H]]="","",MATCH(NOTA[[#This Row],[NB NOTA_C_QTY]],[4]!db[NB NOTA_C_QTY+F],0))</f>
        <v>#REF!</v>
      </c>
      <c r="AX367" s="53">
        <f ca="1">IF(NOTA[[#This Row],[NB NOTA_C_QTY]]="","",ROW()-2)</f>
        <v>365</v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 t="str">
        <f ca="1">IF(NOTA[[#This Row],[NAMA BARANG]]="","",INDEX(NOTA[ID],MATCH(,INDIRECT(ADDRESS(ROW(NOTA[ID]),COLUMN(NOTA[ID]))&amp;":"&amp;ADDRESS(ROW(),COLUMN(NOTA[ID]))),-1)))</f>
        <v/>
      </c>
      <c r="E368" s="46"/>
      <c r="F368" s="37"/>
      <c r="G368" s="37"/>
      <c r="H368" s="47"/>
      <c r="I368" s="37"/>
      <c r="J368" s="39"/>
      <c r="K368" s="37"/>
      <c r="L368" s="37"/>
      <c r="M368" s="40"/>
      <c r="O368" s="37"/>
      <c r="P368" s="41"/>
      <c r="Q368" s="42"/>
      <c r="R368" s="48"/>
      <c r="S368" s="49"/>
      <c r="T368" s="44"/>
      <c r="U368" s="44"/>
      <c r="V368" s="50"/>
      <c r="W368" s="45"/>
      <c r="X368" s="50" t="str">
        <f>IF(NOTA[[#This Row],[HARGA/ CTN]]="",NOTA[[#This Row],[JUMLAH_H]],NOTA[[#This Row],[HARGA/ CTN]]*IF(NOTA[[#This Row],[C]]="",0,NOTA[[#This Row],[C]]))</f>
        <v/>
      </c>
      <c r="Y368" s="50" t="str">
        <f>IF(NOTA[[#This Row],[JUMLAH]]="","",NOTA[[#This Row],[JUMLAH]]*NOTA[[#This Row],[DISC 1]])</f>
        <v/>
      </c>
      <c r="Z368" s="50" t="str">
        <f>IF(NOTA[[#This Row],[JUMLAH]]="","",(NOTA[[#This Row],[JUMLAH]]-NOTA[[#This Row],[DISC 1-]])*NOTA[[#This Row],[DISC 2]])</f>
        <v/>
      </c>
      <c r="AA368" s="50" t="str">
        <f>IF(NOTA[[#This Row],[JUMLAH]]="","",(NOTA[[#This Row],[JUMLAH]]-NOTA[[#This Row],[DISC 1-]]-NOTA[[#This Row],[DISC 2-]])*NOTA[[#This Row],[DISC 3]])</f>
        <v/>
      </c>
      <c r="AB368" s="50" t="str">
        <f>IF(NOTA[[#This Row],[JUMLAH]]="","",NOTA[[#This Row],[DISC 1-]]+NOTA[[#This Row],[DISC 2-]]+NOTA[[#This Row],[DISC 3-]])</f>
        <v/>
      </c>
      <c r="AC368" s="50" t="str">
        <f>IF(NOTA[[#This Row],[JUMLAH]]="","",NOTA[[#This Row],[JUMLAH]]-NOTA[[#This Row],[DISC]])</f>
        <v/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8" s="50" t="str">
        <f>IF(OR(NOTA[[#This Row],[QTY]]="",NOTA[[#This Row],[HARGA SATUAN]]="",),"",NOTA[[#This Row],[QTY]]*NOTA[[#This Row],[HARGA SATUAN]])</f>
        <v/>
      </c>
      <c r="AI368" s="39" t="str">
        <f ca="1">IF(NOTA[ID_H]="","",INDEX(NOTA[TANGGAL],MATCH(,INDIRECT(ADDRESS(ROW(NOTA[TANGGAL]),COLUMN(NOTA[TANGGAL]))&amp;":"&amp;ADDRESS(ROW(),COLUMN(NOTA[TANGGAL]))),-1)))</f>
        <v/>
      </c>
      <c r="AJ368" s="41" t="str">
        <f ca="1">IF(NOTA[[#This Row],[NAMA BARANG]]="","",INDEX(NOTA[SUPPLIER],MATCH(,INDIRECT(ADDRESS(ROW(NOTA[ID]),COLUMN(NOTA[ID]))&amp;":"&amp;ADDRESS(ROW(),COLUMN(NOTA[ID]))),-1)))</f>
        <v/>
      </c>
      <c r="AK368" s="41" t="str">
        <f ca="1">IF(NOTA[[#This Row],[ID_H]]="","",IF(NOTA[[#This Row],[FAKTUR]]="",INDIRECT(ADDRESS(ROW()-1,COLUMN())),NOTA[[#This Row],[FAKTUR]]))</f>
        <v/>
      </c>
      <c r="AL368" s="38" t="str">
        <f ca="1">IF(NOTA[[#This Row],[ID]]="","",COUNTIF(NOTA[ID_H],NOTA[[#This Row],[ID_H]]))</f>
        <v/>
      </c>
      <c r="AM368" s="38" t="str">
        <f ca="1">IF(NOTA[[#This Row],[TGL.NOTA]]="",IF(NOTA[[#This Row],[SUPPLIER_H]]="","",AM367),MONTH(NOTA[[#This Row],[TGL.NOTA]]))</f>
        <v/>
      </c>
      <c r="AN368" s="38" t="str">
        <f>LOWER(SUBSTITUTE(SUBSTITUTE(SUBSTITUTE(SUBSTITUTE(SUBSTITUTE(SUBSTITUTE(SUBSTITUTE(SUBSTITUTE(SUBSTITUTE(NOTA[NAMA BARANG]," ",),".",""),"-",""),"(",""),")",""),",",""),"/",""),"""",""),"+",""))</f>
        <v/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 t="str">
        <f>IF(NOTA[[#This Row],[CONCAT1]]="","",MATCH(NOTA[[#This Row],[CONCAT1]],[3]!db[NB NOTA_C],0))</f>
        <v/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/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8" s="38" t="str">
        <f ca="1">IF(NOTA[[#This Row],[ID_H]]="","",MATCH(NOTA[[#This Row],[NB NOTA_C_QTY]],[4]!db[NB NOTA_C_QTY+F],0))</f>
        <v/>
      </c>
      <c r="AX368" s="53" t="str">
        <f ca="1">IF(NOTA[[#This Row],[NB NOTA_C_QTY]]="","",ROW()-2)</f>
        <v/>
      </c>
    </row>
    <row r="369" spans="1:50" s="38" customFormat="1" ht="20.100000000000001" customHeight="1" x14ac:dyDescent="0.25">
      <c r="A369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6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ATA_1301_537-3</v>
      </c>
      <c r="C369" s="38" t="e">
        <f ca="1">IF(NOTA[[#This Row],[ID_P]]="","",MATCH(NOTA[[#This Row],[ID_P]],[1]!B_MSK[N_ID],0))</f>
        <v>#REF!</v>
      </c>
      <c r="D369" s="38">
        <f ca="1">IF(NOTA[[#This Row],[NAMA BARANG]]="","",INDEX(NOTA[ID],MATCH(,INDIRECT(ADDRESS(ROW(NOTA[ID]),COLUMN(NOTA[ID]))&amp;":"&amp;ADDRESS(ROW(),COLUMN(NOTA[ID]))),-1)))</f>
        <v>61</v>
      </c>
      <c r="E369" s="46"/>
      <c r="F369" s="37" t="s">
        <v>24</v>
      </c>
      <c r="G369" s="37" t="s">
        <v>23</v>
      </c>
      <c r="H369" s="47" t="s">
        <v>507</v>
      </c>
      <c r="I369" s="37"/>
      <c r="J369" s="39">
        <v>45300</v>
      </c>
      <c r="K369" s="37"/>
      <c r="L369" s="37" t="s">
        <v>508</v>
      </c>
      <c r="M369" s="40">
        <v>1</v>
      </c>
      <c r="N369" s="38">
        <v>144</v>
      </c>
      <c r="O369" s="37" t="s">
        <v>116</v>
      </c>
      <c r="P369" s="41">
        <v>23900</v>
      </c>
      <c r="Q369" s="42"/>
      <c r="R369" s="48"/>
      <c r="S369" s="49">
        <v>0.125</v>
      </c>
      <c r="T369" s="44">
        <v>0.05</v>
      </c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3441600</v>
      </c>
      <c r="Y369" s="50">
        <f>IF(NOTA[[#This Row],[JUMLAH]]="","",NOTA[[#This Row],[JUMLAH]]*NOTA[[#This Row],[DISC 1]])</f>
        <v>430200</v>
      </c>
      <c r="Z369" s="50">
        <f>IF(NOTA[[#This Row],[JUMLAH]]="","",(NOTA[[#This Row],[JUMLAH]]-NOTA[[#This Row],[DISC 1-]])*NOTA[[#This Row],[DISC 2]])</f>
        <v>150570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580770</v>
      </c>
      <c r="AC369" s="50">
        <f>IF(NOTA[[#This Row],[JUMLAH]]="","",NOTA[[#This Row],[JUMLAH]]-NOTA[[#This Row],[DISC]])</f>
        <v>2860830</v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69" s="50">
        <f>IF(OR(NOTA[[#This Row],[QTY]]="",NOTA[[#This Row],[HARGA SATUAN]]="",),"",NOTA[[#This Row],[QTY]]*NOTA[[#This Row],[HARGA SATUAN]])</f>
        <v>3441600</v>
      </c>
      <c r="AI369" s="39">
        <f ca="1">IF(NOTA[ID_H]="","",INDEX(NOTA[TANGGAL],MATCH(,INDIRECT(ADDRESS(ROW(NOTA[TANGGAL]),COLUMN(NOTA[TANGGAL]))&amp;":"&amp;ADDRESS(ROW(),COLUMN(NOTA[TANGGAL]))),-1)))</f>
        <v>45304</v>
      </c>
      <c r="AJ369" s="41" t="str">
        <f ca="1">IF(NOTA[[#This Row],[NAMA BARANG]]="","",INDEX(NOTA[SUPPLIER],MATCH(,INDIRECT(ADDRESS(ROW(NOTA[ID]),COLUMN(NOTA[ID]))&amp;":"&amp;ADDRESS(ROW(),COLUMN(NOTA[ID]))),-1)))</f>
        <v>ATALI MAKMUR</v>
      </c>
      <c r="AK369" s="41" t="str">
        <f ca="1">IF(NOTA[[#This Row],[ID_H]]="","",IF(NOTA[[#This Row],[FAKTUR]]="",INDIRECT(ADDRESS(ROW()-1,COLUMN())),NOTA[[#This Row],[FAKTUR]]))</f>
        <v>ARTO MORO</v>
      </c>
      <c r="AL369" s="38">
        <f ca="1">IF(NOTA[[#This Row],[ID]]="","",COUNTIF(NOTA[ID_H],NOTA[[#This Row],[ID_H]]))</f>
        <v>3</v>
      </c>
      <c r="AM369" s="38">
        <f>IF(NOTA[[#This Row],[TGL.NOTA]]="",IF(NOTA[[#This Row],[SUPPLIER_H]]="","",AM368),MONTH(NOTA[[#This Row],[TGL.NOTA]]))</f>
        <v>1</v>
      </c>
      <c r="AN369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MOROSA24010053745300crayonputartwcr12sjk</v>
      </c>
      <c r="AR369" s="38" t="e">
        <f>IF(NOTA[[#This Row],[CONCAT4]]="","",_xlfn.IFNA(MATCH(NOTA[[#This Row],[CONCAT4]],[2]!RAW[CONCAT_H],0),FALSE))</f>
        <v>#REF!</v>
      </c>
      <c r="AS369" s="38">
        <f>IF(NOTA[[#This Row],[CONCAT1]]="","",MATCH(NOTA[[#This Row],[CONCAT1]],[3]!db[NB NOTA_C],0))</f>
        <v>764</v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>12 LSN</v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369" s="38" t="e">
        <f ca="1">IF(NOTA[[#This Row],[ID_H]]="","",MATCH(NOTA[[#This Row],[NB NOTA_C_QTY]],[4]!db[NB NOTA_C_QTY+F],0))</f>
        <v>#REF!</v>
      </c>
      <c r="AX369" s="53">
        <f ca="1">IF(NOTA[[#This Row],[NB NOTA_C_QTY]]="","",ROW()-2)</f>
        <v>367</v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61</v>
      </c>
      <c r="E370" s="46"/>
      <c r="F370" s="37"/>
      <c r="G370" s="37"/>
      <c r="H370" s="47"/>
      <c r="I370" s="39"/>
      <c r="J370" s="39"/>
      <c r="K370" s="37"/>
      <c r="L370" s="37" t="s">
        <v>183</v>
      </c>
      <c r="M370" s="40">
        <v>1</v>
      </c>
      <c r="N370" s="38">
        <v>72</v>
      </c>
      <c r="O370" s="37" t="s">
        <v>116</v>
      </c>
      <c r="P370" s="41">
        <v>47800</v>
      </c>
      <c r="Q370" s="42"/>
      <c r="R370" s="48"/>
      <c r="S370" s="49">
        <v>0.125</v>
      </c>
      <c r="T370" s="44">
        <v>0.05</v>
      </c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3441600</v>
      </c>
      <c r="Y370" s="50">
        <f>IF(NOTA[[#This Row],[JUMLAH]]="","",NOTA[[#This Row],[JUMLAH]]*NOTA[[#This Row],[DISC 1]])</f>
        <v>430200</v>
      </c>
      <c r="Z370" s="50">
        <f>IF(NOTA[[#This Row],[JUMLAH]]="","",(NOTA[[#This Row],[JUMLAH]]-NOTA[[#This Row],[DISC 1-]])*NOTA[[#This Row],[DISC 2]])</f>
        <v>150570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580770</v>
      </c>
      <c r="AC370" s="50">
        <f>IF(NOTA[[#This Row],[JUMLAH]]="","",NOTA[[#This Row],[JUMLAH]]-NOTA[[#This Row],[DISC]])</f>
        <v>2860830</v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70" s="50">
        <f>IF(OR(NOTA[[#This Row],[QTY]]="",NOTA[[#This Row],[HARGA SATUAN]]="",),"",NOTA[[#This Row],[QTY]]*NOTA[[#This Row],[HARGA SATUAN]])</f>
        <v>3441600</v>
      </c>
      <c r="AI370" s="39">
        <f ca="1">IF(NOTA[ID_H]="","",INDEX(NOTA[TANGGAL],MATCH(,INDIRECT(ADDRESS(ROW(NOTA[TANGGAL]),COLUMN(NOTA[TANGGAL]))&amp;":"&amp;ADDRESS(ROW(),COLUMN(NOTA[TANGGAL]))),-1)))</f>
        <v>45304</v>
      </c>
      <c r="AJ370" s="41" t="str">
        <f ca="1">IF(NOTA[[#This Row],[NAMA BARANG]]="","",INDEX(NOTA[SUPPLIER],MATCH(,INDIRECT(ADDRESS(ROW(NOTA[ID]),COLUMN(NOTA[ID]))&amp;":"&amp;ADDRESS(ROW(),COLUMN(NOTA[ID]))),-1)))</f>
        <v>ATALI MAKMUR</v>
      </c>
      <c r="AK370" s="41" t="str">
        <f ca="1">IF(NOTA[[#This Row],[ID_H]]="","",IF(NOTA[[#This Row],[FAKTUR]]="",INDIRECT(ADDRESS(ROW()-1,COLUMN())),NOTA[[#This Row],[FAKTUR]]))</f>
        <v>ARTO MORO</v>
      </c>
      <c r="AL370" s="38" t="str">
        <f ca="1">IF(NOTA[[#This Row],[ID]]="","",COUNTIF(NOTA[ID_H],NOTA[[#This Row],[ID_H]]))</f>
        <v/>
      </c>
      <c r="AM370" s="38">
        <f ca="1">IF(NOTA[[#This Row],[TGL.NOTA]]="",IF(NOTA[[#This Row],[SUPPLIER_H]]="","",AM369),MONTH(NOTA[[#This Row],[TGL.NOTA]]))</f>
        <v>1</v>
      </c>
      <c r="AN370" s="38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>
        <f>IF(NOTA[[#This Row],[CONCAT1]]="","",MATCH(NOTA[[#This Row],[CONCAT1]],[3]!db[NB NOTA_C],0))</f>
        <v>766</v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>12 BOX (6 SET)</v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W370" s="38" t="e">
        <f ca="1">IF(NOTA[[#This Row],[ID_H]]="","",MATCH(NOTA[[#This Row],[NB NOTA_C_QTY]],[4]!db[NB NOTA_C_QTY+F],0))</f>
        <v>#REF!</v>
      </c>
      <c r="AX370" s="53">
        <f ca="1">IF(NOTA[[#This Row],[NB NOTA_C_QTY]]="","",ROW()-2)</f>
        <v>368</v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61</v>
      </c>
      <c r="E371" s="46"/>
      <c r="F371" s="37"/>
      <c r="G371" s="37"/>
      <c r="H371" s="47"/>
      <c r="I371" s="37"/>
      <c r="J371" s="39"/>
      <c r="K371" s="37"/>
      <c r="L371" s="37" t="s">
        <v>119</v>
      </c>
      <c r="M371" s="40"/>
      <c r="N371" s="38">
        <v>48</v>
      </c>
      <c r="O371" s="37" t="s">
        <v>115</v>
      </c>
      <c r="P371" s="41">
        <v>2300</v>
      </c>
      <c r="Q371" s="42"/>
      <c r="R371" s="48"/>
      <c r="S371" s="49">
        <v>0.125</v>
      </c>
      <c r="T371" s="44">
        <v>0.05</v>
      </c>
      <c r="U371" s="44"/>
      <c r="V371" s="50">
        <v>91770</v>
      </c>
      <c r="W371" s="45"/>
      <c r="X371" s="50">
        <f>IF(NOTA[[#This Row],[HARGA/ CTN]]="",NOTA[[#This Row],[JUMLAH_H]],NOTA[[#This Row],[HARGA/ CTN]]*IF(NOTA[[#This Row],[C]]="",0,NOTA[[#This Row],[C]]))</f>
        <v>110400</v>
      </c>
      <c r="Y371" s="50">
        <f>IF(NOTA[[#This Row],[JUMLAH]]="","",NOTA[[#This Row],[JUMLAH]]*NOTA[[#This Row],[DISC 1]])</f>
        <v>13800</v>
      </c>
      <c r="Z371" s="50">
        <f>IF(NOTA[[#This Row],[JUMLAH]]="","",(NOTA[[#This Row],[JUMLAH]]-NOTA[[#This Row],[DISC 1-]])*NOTA[[#This Row],[DISC 2]])</f>
        <v>4830</v>
      </c>
      <c r="AA371" s="50">
        <f>IF(NOTA[[#This Row],[JUMLAH]]="","",(NOTA[[#This Row],[JUMLAH]]-NOTA[[#This Row],[DISC 1-]]-NOTA[[#This Row],[DISC 2-]])*NOTA[[#This Row],[DISC 3]])</f>
        <v>0</v>
      </c>
      <c r="AB371" s="50">
        <f>IF(NOTA[[#This Row],[JUMLAH]]="","",NOTA[[#This Row],[DISC 1-]]+NOTA[[#This Row],[DISC 2-]]+NOTA[[#This Row],[DISC 3-]])</f>
        <v>18630</v>
      </c>
      <c r="AC371" s="50">
        <f>IF(NOTA[[#This Row],[JUMLAH]]="","",NOTA[[#This Row],[JUMLAH]]-NOTA[[#This Row],[DISC]])</f>
        <v>91770</v>
      </c>
      <c r="AD371" s="50"/>
      <c r="AE3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1271940</v>
      </c>
      <c r="AF3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5721660</v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371" s="50">
        <f>IF(OR(NOTA[[#This Row],[QTY]]="",NOTA[[#This Row],[HARGA SATUAN]]="",),"",NOTA[[#This Row],[QTY]]*NOTA[[#This Row],[HARGA SATUAN]])</f>
        <v>110400</v>
      </c>
      <c r="AI371" s="39">
        <f ca="1">IF(NOTA[ID_H]="","",INDEX(NOTA[TANGGAL],MATCH(,INDIRECT(ADDRESS(ROW(NOTA[TANGGAL]),COLUMN(NOTA[TANGGAL]))&amp;":"&amp;ADDRESS(ROW(),COLUMN(NOTA[TANGGAL]))),-1)))</f>
        <v>45304</v>
      </c>
      <c r="AJ371" s="41" t="str">
        <f ca="1">IF(NOTA[[#This Row],[NAMA BARANG]]="","",INDEX(NOTA[SUPPLIER],MATCH(,INDIRECT(ADDRESS(ROW(NOTA[ID]),COLUMN(NOTA[ID]))&amp;":"&amp;ADDRESS(ROW(),COLUMN(NOTA[ID]))),-1)))</f>
        <v>ATALI MAKMUR</v>
      </c>
      <c r="AK371" s="41" t="str">
        <f ca="1">IF(NOTA[[#This Row],[ID_H]]="","",IF(NOTA[[#This Row],[FAKTUR]]="",INDIRECT(ADDRESS(ROW()-1,COLUMN())),NOTA[[#This Row],[FAKTUR]]))</f>
        <v>ARTO MORO</v>
      </c>
      <c r="AL371" s="38" t="str">
        <f ca="1">IF(NOTA[[#This Row],[ID]]="","",COUNTIF(NOTA[ID_H],NOTA[[#This Row],[ID_H]]))</f>
        <v/>
      </c>
      <c r="AM371" s="38">
        <f ca="1">IF(NOTA[[#This Row],[TGL.NOTA]]="",IF(NOTA[[#This Row],[SUPPLIER_H]]="","",AM370),MONTH(NOTA[[#This Row],[TGL.NOTA]]))</f>
        <v>1</v>
      </c>
      <c r="AN371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>
        <f>IF(NOTA[[#This Row],[CONCAT1]]="","",MATCH(NOTA[[#This Row],[CONCAT1]],[3]!db[NB NOTA_C],0))</f>
        <v>3070</v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>48 LSN</v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71" s="38" t="e">
        <f ca="1">IF(NOTA[[#This Row],[ID_H]]="","",MATCH(NOTA[[#This Row],[NB NOTA_C_QTY]],[4]!db[NB NOTA_C_QTY+F],0))</f>
        <v>#REF!</v>
      </c>
      <c r="AX371" s="53">
        <f ca="1">IF(NOTA[[#This Row],[NB NOTA_C_QTY]]="","",ROW()-2)</f>
        <v>369</v>
      </c>
    </row>
    <row r="372" spans="1:50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 t="str">
        <f ca="1">IF(NOTA[[#This Row],[NAMA BARANG]]="","",INDEX(NOTA[ID],MATCH(,INDIRECT(ADDRESS(ROW(NOTA[ID]),COLUMN(NOTA[ID]))&amp;":"&amp;ADDRESS(ROW(),COLUMN(NOTA[ID]))),-1)))</f>
        <v/>
      </c>
      <c r="E372" s="46"/>
      <c r="F372" s="37"/>
      <c r="G372" s="37"/>
      <c r="H372" s="47"/>
      <c r="I372" s="37"/>
      <c r="J372" s="39"/>
      <c r="K372" s="37"/>
      <c r="L372" s="37"/>
      <c r="M372" s="40"/>
      <c r="O372" s="37"/>
      <c r="P372" s="41"/>
      <c r="Q372" s="42"/>
      <c r="R372" s="48"/>
      <c r="S372" s="49"/>
      <c r="T372" s="44"/>
      <c r="U372" s="44"/>
      <c r="V372" s="50"/>
      <c r="W372" s="45"/>
      <c r="X372" s="50" t="str">
        <f>IF(NOTA[[#This Row],[HARGA/ CTN]]="",NOTA[[#This Row],[JUMLAH_H]],NOTA[[#This Row],[HARGA/ CTN]]*IF(NOTA[[#This Row],[C]]="",0,NOTA[[#This Row],[C]]))</f>
        <v/>
      </c>
      <c r="Y372" s="50" t="str">
        <f>IF(NOTA[[#This Row],[JUMLAH]]="","",NOTA[[#This Row],[JUMLAH]]*NOTA[[#This Row],[DISC 1]])</f>
        <v/>
      </c>
      <c r="Z372" s="50" t="str">
        <f>IF(NOTA[[#This Row],[JUMLAH]]="","",(NOTA[[#This Row],[JUMLAH]]-NOTA[[#This Row],[DISC 1-]])*NOTA[[#This Row],[DISC 2]])</f>
        <v/>
      </c>
      <c r="AA372" s="50" t="str">
        <f>IF(NOTA[[#This Row],[JUMLAH]]="","",(NOTA[[#This Row],[JUMLAH]]-NOTA[[#This Row],[DISC 1-]]-NOTA[[#This Row],[DISC 2-]])*NOTA[[#This Row],[DISC 3]])</f>
        <v/>
      </c>
      <c r="AB372" s="50" t="str">
        <f>IF(NOTA[[#This Row],[JUMLAH]]="","",NOTA[[#This Row],[DISC 1-]]+NOTA[[#This Row],[DISC 2-]]+NOTA[[#This Row],[DISC 3-]])</f>
        <v/>
      </c>
      <c r="AC372" s="50" t="str">
        <f>IF(NOTA[[#This Row],[JUMLAH]]="","",NOTA[[#This Row],[JUMLAH]]-NOTA[[#This Row],[DISC]])</f>
        <v/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2" s="50" t="str">
        <f>IF(OR(NOTA[[#This Row],[QTY]]="",NOTA[[#This Row],[HARGA SATUAN]]="",),"",NOTA[[#This Row],[QTY]]*NOTA[[#This Row],[HARGA SATUAN]])</f>
        <v/>
      </c>
      <c r="AI372" s="39" t="str">
        <f ca="1">IF(NOTA[ID_H]="","",INDEX(NOTA[TANGGAL],MATCH(,INDIRECT(ADDRESS(ROW(NOTA[TANGGAL]),COLUMN(NOTA[TANGGAL]))&amp;":"&amp;ADDRESS(ROW(),COLUMN(NOTA[TANGGAL]))),-1)))</f>
        <v/>
      </c>
      <c r="AJ372" s="41" t="str">
        <f ca="1">IF(NOTA[[#This Row],[NAMA BARANG]]="","",INDEX(NOTA[SUPPLIER],MATCH(,INDIRECT(ADDRESS(ROW(NOTA[ID]),COLUMN(NOTA[ID]))&amp;":"&amp;ADDRESS(ROW(),COLUMN(NOTA[ID]))),-1)))</f>
        <v/>
      </c>
      <c r="AK372" s="41" t="str">
        <f ca="1">IF(NOTA[[#This Row],[ID_H]]="","",IF(NOTA[[#This Row],[FAKTUR]]="",INDIRECT(ADDRESS(ROW()-1,COLUMN())),NOTA[[#This Row],[FAKTUR]]))</f>
        <v/>
      </c>
      <c r="AL372" s="38" t="str">
        <f ca="1">IF(NOTA[[#This Row],[ID]]="","",COUNTIF(NOTA[ID_H],NOTA[[#This Row],[ID_H]]))</f>
        <v/>
      </c>
      <c r="AM372" s="38" t="str">
        <f ca="1">IF(NOTA[[#This Row],[TGL.NOTA]]="",IF(NOTA[[#This Row],[SUPPLIER_H]]="","",AM371),MONTH(NOTA[[#This Row],[TGL.NOTA]]))</f>
        <v/>
      </c>
      <c r="AN372" s="38" t="str">
        <f>LOWER(SUBSTITUTE(SUBSTITUTE(SUBSTITUTE(SUBSTITUTE(SUBSTITUTE(SUBSTITUTE(SUBSTITUTE(SUBSTITUTE(SUBSTITUTE(NOTA[NAMA BARANG]," ",),".",""),"-",""),"(",""),")",""),",",""),"/",""),"""",""),"+",""))</f>
        <v/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2" s="38" t="str">
        <f>IF(NOTA[[#This Row],[CONCAT4]]="","",_xlfn.IFNA(MATCH(NOTA[[#This Row],[CONCAT4]],[2]!RAW[CONCAT_H],0),FALSE))</f>
        <v/>
      </c>
      <c r="AS372" s="38" t="str">
        <f>IF(NOTA[[#This Row],[CONCAT1]]="","",MATCH(NOTA[[#This Row],[CONCAT1]],[3]!db[NB NOTA_C],0))</f>
        <v/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/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2" s="38" t="str">
        <f ca="1">IF(NOTA[[#This Row],[ID_H]]="","",MATCH(NOTA[[#This Row],[NB NOTA_C_QTY]],[4]!db[NB NOTA_C_QTY+F],0))</f>
        <v/>
      </c>
      <c r="AX372" s="53" t="str">
        <f ca="1">IF(NOTA[[#This Row],[NB NOTA_C_QTY]]="","",ROW()-2)</f>
        <v/>
      </c>
    </row>
    <row r="373" spans="1:50" s="38" customFormat="1" ht="20.100000000000001" customHeight="1" x14ac:dyDescent="0.25">
      <c r="A373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ATA_1301_565-9</v>
      </c>
      <c r="C373" s="38" t="e">
        <f ca="1">IF(NOTA[[#This Row],[ID_P]]="","",MATCH(NOTA[[#This Row],[ID_P]],[1]!B_MSK[N_ID],0))</f>
        <v>#REF!</v>
      </c>
      <c r="D373" s="38">
        <f ca="1">IF(NOTA[[#This Row],[NAMA BARANG]]="","",INDEX(NOTA[ID],MATCH(,INDIRECT(ADDRESS(ROW(NOTA[ID]),COLUMN(NOTA[ID]))&amp;":"&amp;ADDRESS(ROW(),COLUMN(NOTA[ID]))),-1)))</f>
        <v>62</v>
      </c>
      <c r="E373" s="46"/>
      <c r="F373" s="37" t="s">
        <v>24</v>
      </c>
      <c r="G373" s="37" t="s">
        <v>23</v>
      </c>
      <c r="H373" s="47" t="s">
        <v>509</v>
      </c>
      <c r="I373" s="37"/>
      <c r="J373" s="39">
        <v>45300</v>
      </c>
      <c r="K373" s="37">
        <v>0</v>
      </c>
      <c r="L373" s="37" t="s">
        <v>514</v>
      </c>
      <c r="M373" s="40">
        <v>2</v>
      </c>
      <c r="N373" s="38">
        <v>72</v>
      </c>
      <c r="O373" s="37" t="s">
        <v>116</v>
      </c>
      <c r="P373" s="41">
        <v>41500</v>
      </c>
      <c r="Q373" s="42"/>
      <c r="R373" s="48"/>
      <c r="S373" s="49">
        <v>0.125</v>
      </c>
      <c r="T373" s="44">
        <v>0.05</v>
      </c>
      <c r="U373" s="44"/>
      <c r="V373" s="50"/>
      <c r="W373" s="45"/>
      <c r="X373" s="50">
        <f>IF(NOTA[[#This Row],[HARGA/ CTN]]="",NOTA[[#This Row],[JUMLAH_H]],NOTA[[#This Row],[HARGA/ CTN]]*IF(NOTA[[#This Row],[C]]="",0,NOTA[[#This Row],[C]]))</f>
        <v>2988000</v>
      </c>
      <c r="Y373" s="50">
        <f>IF(NOTA[[#This Row],[JUMLAH]]="","",NOTA[[#This Row],[JUMLAH]]*NOTA[[#This Row],[DISC 1]])</f>
        <v>373500</v>
      </c>
      <c r="Z373" s="50">
        <f>IF(NOTA[[#This Row],[JUMLAH]]="","",(NOTA[[#This Row],[JUMLAH]]-NOTA[[#This Row],[DISC 1-]])*NOTA[[#This Row],[DISC 2]])</f>
        <v>130725</v>
      </c>
      <c r="AA373" s="50">
        <f>IF(NOTA[[#This Row],[JUMLAH]]="","",(NOTA[[#This Row],[JUMLAH]]-NOTA[[#This Row],[DISC 1-]]-NOTA[[#This Row],[DISC 2-]])*NOTA[[#This Row],[DISC 3]])</f>
        <v>0</v>
      </c>
      <c r="AB373" s="50">
        <f>IF(NOTA[[#This Row],[JUMLAH]]="","",NOTA[[#This Row],[DISC 1-]]+NOTA[[#This Row],[DISC 2-]]+NOTA[[#This Row],[DISC 3-]])</f>
        <v>504225</v>
      </c>
      <c r="AC373" s="50">
        <f>IF(NOTA[[#This Row],[JUMLAH]]="","",NOTA[[#This Row],[JUMLAH]]-NOTA[[#This Row],[DISC]])</f>
        <v>2483775</v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73" s="50">
        <f>IF(OR(NOTA[[#This Row],[QTY]]="",NOTA[[#This Row],[HARGA SATUAN]]="",),"",NOTA[[#This Row],[QTY]]*NOTA[[#This Row],[HARGA SATUAN]])</f>
        <v>2988000</v>
      </c>
      <c r="AI373" s="39">
        <f ca="1">IF(NOTA[ID_H]="","",INDEX(NOTA[TANGGAL],MATCH(,INDIRECT(ADDRESS(ROW(NOTA[TANGGAL]),COLUMN(NOTA[TANGGAL]))&amp;":"&amp;ADDRESS(ROW(),COLUMN(NOTA[TANGGAL]))),-1)))</f>
        <v>45304</v>
      </c>
      <c r="AJ373" s="41" t="str">
        <f ca="1">IF(NOTA[[#This Row],[NAMA BARANG]]="","",INDEX(NOTA[SUPPLIER],MATCH(,INDIRECT(ADDRESS(ROW(NOTA[ID]),COLUMN(NOTA[ID]))&amp;":"&amp;ADDRESS(ROW(),COLUMN(NOTA[ID]))),-1)))</f>
        <v>ATALI MAKMUR</v>
      </c>
      <c r="AK373" s="41" t="str">
        <f ca="1">IF(NOTA[[#This Row],[ID_H]]="","",IF(NOTA[[#This Row],[FAKTUR]]="",INDIRECT(ADDRESS(ROW()-1,COLUMN())),NOTA[[#This Row],[FAKTUR]]))</f>
        <v>ARTO MORO</v>
      </c>
      <c r="AL373" s="38">
        <f ca="1">IF(NOTA[[#This Row],[ID]]="","",COUNTIF(NOTA[ID_H],NOTA[[#This Row],[ID_H]]))</f>
        <v>9</v>
      </c>
      <c r="AM373" s="38">
        <f>IF(NOTA[[#This Row],[TGL.NOTA]]="",IF(NOTA[[#This Row],[SUPPLIER_H]]="","",AM372),MONTH(NOTA[[#This Row],[TGL.NOTA]]))</f>
        <v>1</v>
      </c>
      <c r="AN373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MOROSA24010056545300oilpastelop36sppcaseseaworldjk</v>
      </c>
      <c r="AR373" s="38" t="e">
        <f>IF(NOTA[[#This Row],[CONCAT4]]="","",_xlfn.IFNA(MATCH(NOTA[[#This Row],[CONCAT4]],[2]!RAW[CONCAT_H],0),FALSE))</f>
        <v>#REF!</v>
      </c>
      <c r="AS373" s="38">
        <f>IF(NOTA[[#This Row],[CONCAT1]]="","",MATCH(NOTA[[#This Row],[CONCAT1]],[3]!db[NB NOTA_C],0))</f>
        <v>2177</v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>6 BOX (6 SET)</v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73" s="38" t="e">
        <f ca="1">IF(NOTA[[#This Row],[ID_H]]="","",MATCH(NOTA[[#This Row],[NB NOTA_C_QTY]],[4]!db[NB NOTA_C_QTY+F],0))</f>
        <v>#REF!</v>
      </c>
      <c r="AX373" s="53">
        <f ca="1">IF(NOTA[[#This Row],[NB NOTA_C_QTY]]="","",ROW()-2)</f>
        <v>371</v>
      </c>
    </row>
    <row r="374" spans="1:50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62</v>
      </c>
      <c r="E374" s="46"/>
      <c r="F374" s="37"/>
      <c r="G374" s="37"/>
      <c r="H374" s="47"/>
      <c r="I374" s="37"/>
      <c r="J374" s="39"/>
      <c r="K374" s="37">
        <v>0</v>
      </c>
      <c r="L374" s="37" t="s">
        <v>515</v>
      </c>
      <c r="M374" s="40">
        <v>1</v>
      </c>
      <c r="N374" s="38">
        <v>24</v>
      </c>
      <c r="O374" s="37" t="s">
        <v>116</v>
      </c>
      <c r="P374" s="41">
        <v>58900</v>
      </c>
      <c r="Q374" s="42"/>
      <c r="R374" s="48"/>
      <c r="S374" s="49">
        <v>0.125</v>
      </c>
      <c r="T374" s="44">
        <v>0.05</v>
      </c>
      <c r="U374" s="44"/>
      <c r="V374" s="50"/>
      <c r="W374" s="45"/>
      <c r="X374" s="50">
        <f>IF(NOTA[[#This Row],[HARGA/ CTN]]="",NOTA[[#This Row],[JUMLAH_H]],NOTA[[#This Row],[HARGA/ CTN]]*IF(NOTA[[#This Row],[C]]="",0,NOTA[[#This Row],[C]]))</f>
        <v>1413600</v>
      </c>
      <c r="Y374" s="50">
        <f>IF(NOTA[[#This Row],[JUMLAH]]="","",NOTA[[#This Row],[JUMLAH]]*NOTA[[#This Row],[DISC 1]])</f>
        <v>176700</v>
      </c>
      <c r="Z374" s="50">
        <f>IF(NOTA[[#This Row],[JUMLAH]]="","",(NOTA[[#This Row],[JUMLAH]]-NOTA[[#This Row],[DISC 1-]])*NOTA[[#This Row],[DISC 2]])</f>
        <v>61845</v>
      </c>
      <c r="AA374" s="50">
        <f>IF(NOTA[[#This Row],[JUMLAH]]="","",(NOTA[[#This Row],[JUMLAH]]-NOTA[[#This Row],[DISC 1-]]-NOTA[[#This Row],[DISC 2-]])*NOTA[[#This Row],[DISC 3]])</f>
        <v>0</v>
      </c>
      <c r="AB374" s="50">
        <f>IF(NOTA[[#This Row],[JUMLAH]]="","",NOTA[[#This Row],[DISC 1-]]+NOTA[[#This Row],[DISC 2-]]+NOTA[[#This Row],[DISC 3-]])</f>
        <v>238545</v>
      </c>
      <c r="AC374" s="50">
        <f>IF(NOTA[[#This Row],[JUMLAH]]="","",NOTA[[#This Row],[JUMLAH]]-NOTA[[#This Row],[DISC]])</f>
        <v>1175055</v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374" s="50">
        <f>IF(OR(NOTA[[#This Row],[QTY]]="",NOTA[[#This Row],[HARGA SATUAN]]="",),"",NOTA[[#This Row],[QTY]]*NOTA[[#This Row],[HARGA SATUAN]])</f>
        <v>1413600</v>
      </c>
      <c r="AI374" s="39">
        <f ca="1">IF(NOTA[ID_H]="","",INDEX(NOTA[TANGGAL],MATCH(,INDIRECT(ADDRESS(ROW(NOTA[TANGGAL]),COLUMN(NOTA[TANGGAL]))&amp;":"&amp;ADDRESS(ROW(),COLUMN(NOTA[TANGGAL]))),-1)))</f>
        <v>45304</v>
      </c>
      <c r="AJ374" s="41" t="str">
        <f ca="1">IF(NOTA[[#This Row],[NAMA BARANG]]="","",INDEX(NOTA[SUPPLIER],MATCH(,INDIRECT(ADDRESS(ROW(NOTA[ID]),COLUMN(NOTA[ID]))&amp;":"&amp;ADDRESS(ROW(),COLUMN(NOTA[ID]))),-1)))</f>
        <v>ATALI MAKMUR</v>
      </c>
      <c r="AK374" s="41" t="str">
        <f ca="1">IF(NOTA[[#This Row],[ID_H]]="","",IF(NOTA[[#This Row],[FAKTUR]]="",INDIRECT(ADDRESS(ROW()-1,COLUMN())),NOTA[[#This Row],[FAKTUR]]))</f>
        <v>ARTO MORO</v>
      </c>
      <c r="AL374" s="38" t="str">
        <f ca="1">IF(NOTA[[#This Row],[ID]]="","",COUNTIF(NOTA[ID_H],NOTA[[#This Row],[ID_H]]))</f>
        <v/>
      </c>
      <c r="AM374" s="38">
        <f ca="1">IF(NOTA[[#This Row],[TGL.NOTA]]="",IF(NOTA[[#This Row],[SUPPLIER_H]]="","",AM373),MONTH(NOTA[[#This Row],[TGL.NOTA]]))</f>
        <v>1</v>
      </c>
      <c r="AN374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>
        <f>IF(NOTA[[#This Row],[CONCAT1]]="","",MATCH(NOTA[[#This Row],[CONCAT1]],[3]!db[NB NOTA_C],0))</f>
        <v>2178</v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>4 BOX (6 SET)</v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374" s="38" t="e">
        <f ca="1">IF(NOTA[[#This Row],[ID_H]]="","",MATCH(NOTA[[#This Row],[NB NOTA_C_QTY]],[4]!db[NB NOTA_C_QTY+F],0))</f>
        <v>#REF!</v>
      </c>
      <c r="AX374" s="53">
        <f ca="1">IF(NOTA[[#This Row],[NB NOTA_C_QTY]]="","",ROW()-2)</f>
        <v>372</v>
      </c>
    </row>
    <row r="375" spans="1:50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62</v>
      </c>
      <c r="E375" s="46"/>
      <c r="F375" s="37"/>
      <c r="G375" s="37"/>
      <c r="H375" s="47"/>
      <c r="I375" s="37"/>
      <c r="J375" s="39"/>
      <c r="K375" s="37">
        <v>0</v>
      </c>
      <c r="L375" s="37" t="s">
        <v>516</v>
      </c>
      <c r="M375" s="40">
        <v>1</v>
      </c>
      <c r="N375" s="38">
        <v>24</v>
      </c>
      <c r="O375" s="37" t="s">
        <v>116</v>
      </c>
      <c r="P375" s="41">
        <v>66900</v>
      </c>
      <c r="Q375" s="42"/>
      <c r="R375" s="48"/>
      <c r="S375" s="49">
        <v>0.125</v>
      </c>
      <c r="T375" s="44">
        <v>0.05</v>
      </c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1605600</v>
      </c>
      <c r="Y375" s="50">
        <f>IF(NOTA[[#This Row],[JUMLAH]]="","",NOTA[[#This Row],[JUMLAH]]*NOTA[[#This Row],[DISC 1]])</f>
        <v>200700</v>
      </c>
      <c r="Z375" s="50">
        <f>IF(NOTA[[#This Row],[JUMLAH]]="","",(NOTA[[#This Row],[JUMLAH]]-NOTA[[#This Row],[DISC 1-]])*NOTA[[#This Row],[DISC 2]])</f>
        <v>70245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270945</v>
      </c>
      <c r="AC375" s="50">
        <f>IF(NOTA[[#This Row],[JUMLAH]]="","",NOTA[[#This Row],[JUMLAH]]-NOTA[[#This Row],[DISC]])</f>
        <v>1334655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375" s="50">
        <f>IF(OR(NOTA[[#This Row],[QTY]]="",NOTA[[#This Row],[HARGA SATUAN]]="",),"",NOTA[[#This Row],[QTY]]*NOTA[[#This Row],[HARGA SATUAN]])</f>
        <v>1605600</v>
      </c>
      <c r="AI375" s="39">
        <f ca="1">IF(NOTA[ID_H]="","",INDEX(NOTA[TANGGAL],MATCH(,INDIRECT(ADDRESS(ROW(NOTA[TANGGAL]),COLUMN(NOTA[TANGGAL]))&amp;":"&amp;ADDRESS(ROW(),COLUMN(NOTA[TANGGAL]))),-1)))</f>
        <v>45304</v>
      </c>
      <c r="AJ375" s="41" t="str">
        <f ca="1">IF(NOTA[[#This Row],[NAMA BARANG]]="","",INDEX(NOTA[SUPPLIER],MATCH(,INDIRECT(ADDRESS(ROW(NOTA[ID]),COLUMN(NOTA[ID]))&amp;":"&amp;ADDRESS(ROW(),COLUMN(NOTA[ID]))),-1)))</f>
        <v>ATALI MAKMUR</v>
      </c>
      <c r="AK375" s="41" t="str">
        <f ca="1">IF(NOTA[[#This Row],[ID_H]]="","",IF(NOTA[[#This Row],[FAKTUR]]="",INDIRECT(ADDRESS(ROW()-1,COLUMN())),NOTA[[#This Row],[FAKTUR]]))</f>
        <v>ARTO MORO</v>
      </c>
      <c r="AL375" s="38" t="str">
        <f ca="1">IF(NOTA[[#This Row],[ID]]="","",COUNTIF(NOTA[ID_H],NOTA[[#This Row],[ID_H]]))</f>
        <v/>
      </c>
      <c r="AM375" s="38">
        <f ca="1">IF(NOTA[[#This Row],[TGL.NOTA]]="",IF(NOTA[[#This Row],[SUPPLIER_H]]="","",AM374),MONTH(NOTA[[#This Row],[TGL.NOTA]]))</f>
        <v>1</v>
      </c>
      <c r="AN375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Row],[CONCAT4]],[2]!RAW[CONCAT_H],0),FALSE))</f>
        <v/>
      </c>
      <c r="AS375" s="38">
        <f>IF(NOTA[[#This Row],[CONCAT1]]="","",MATCH(NOTA[[#This Row],[CONCAT1]],[3]!db[NB NOTA_C],0))</f>
        <v>2179</v>
      </c>
      <c r="AT375" s="38" t="str">
        <f>IF(NOTA[[#This Row],[QTY/ CTN]]="","",TRUE)</f>
        <v/>
      </c>
      <c r="AU375" s="38" t="str">
        <f ca="1">IF(NOTA[[#This Row],[ID_H]]="","",IF(NOTA[[#This Row],[Column3]]=TRUE,NOTA[[#This Row],[QTY/ CTN]],INDEX([3]!db[QTY/ CTN],NOTA[[#This Row],[//DB]])))</f>
        <v>4 BOX (6 SET)</v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375" s="38" t="e">
        <f ca="1">IF(NOTA[[#This Row],[ID_H]]="","",MATCH(NOTA[[#This Row],[NB NOTA_C_QTY]],[4]!db[NB NOTA_C_QTY+F],0))</f>
        <v>#REF!</v>
      </c>
      <c r="AX375" s="53">
        <f ca="1">IF(NOTA[[#This Row],[NB NOTA_C_QTY]]="","",ROW()-2)</f>
        <v>373</v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62</v>
      </c>
      <c r="E376" s="46"/>
      <c r="F376" s="37"/>
      <c r="G376" s="37"/>
      <c r="H376" s="47"/>
      <c r="I376" s="37"/>
      <c r="J376" s="39"/>
      <c r="K376" s="37"/>
      <c r="L376" s="37" t="s">
        <v>119</v>
      </c>
      <c r="M376" s="40"/>
      <c r="N376" s="38">
        <v>96</v>
      </c>
      <c r="O376" s="37" t="s">
        <v>115</v>
      </c>
      <c r="P376" s="41">
        <v>2300</v>
      </c>
      <c r="Q376" s="42"/>
      <c r="R376" s="48"/>
      <c r="S376" s="49">
        <v>0.125</v>
      </c>
      <c r="T376" s="44">
        <v>0.05</v>
      </c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220800</v>
      </c>
      <c r="Y376" s="50">
        <f>IF(NOTA[[#This Row],[JUMLAH]]="","",NOTA[[#This Row],[JUMLAH]]*NOTA[[#This Row],[DISC 1]])</f>
        <v>27600</v>
      </c>
      <c r="Z376" s="50">
        <f>IF(NOTA[[#This Row],[JUMLAH]]="","",(NOTA[[#This Row],[JUMLAH]]-NOTA[[#This Row],[DISC 1-]])*NOTA[[#This Row],[DISC 2]])</f>
        <v>9660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37260</v>
      </c>
      <c r="AC376" s="50">
        <f>IF(NOTA[[#This Row],[JUMLAH]]="","",NOTA[[#This Row],[JUMLAH]]-NOTA[[#This Row],[DISC]])</f>
        <v>183540</v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376" s="50">
        <f>IF(OR(NOTA[[#This Row],[QTY]]="",NOTA[[#This Row],[HARGA SATUAN]]="",),"",NOTA[[#This Row],[QTY]]*NOTA[[#This Row],[HARGA SATUAN]])</f>
        <v>220800</v>
      </c>
      <c r="AI376" s="39">
        <f ca="1">IF(NOTA[ID_H]="","",INDEX(NOTA[TANGGAL],MATCH(,INDIRECT(ADDRESS(ROW(NOTA[TANGGAL]),COLUMN(NOTA[TANGGAL]))&amp;":"&amp;ADDRESS(ROW(),COLUMN(NOTA[TANGGAL]))),-1)))</f>
        <v>45304</v>
      </c>
      <c r="AJ376" s="41" t="str">
        <f ca="1">IF(NOTA[[#This Row],[NAMA BARANG]]="","",INDEX(NOTA[SUPPLIER],MATCH(,INDIRECT(ADDRESS(ROW(NOTA[ID]),COLUMN(NOTA[ID]))&amp;":"&amp;ADDRESS(ROW(),COLUMN(NOTA[ID]))),-1)))</f>
        <v>ATALI MAKMUR</v>
      </c>
      <c r="AK376" s="41" t="str">
        <f ca="1">IF(NOTA[[#This Row],[ID_H]]="","",IF(NOTA[[#This Row],[FAKTUR]]="",INDIRECT(ADDRESS(ROW()-1,COLUMN())),NOTA[[#This Row],[FAKTUR]]))</f>
        <v>ARTO MORO</v>
      </c>
      <c r="AL376" s="38" t="str">
        <f ca="1">IF(NOTA[[#This Row],[ID]]="","",COUNTIF(NOTA[ID_H],NOTA[[#This Row],[ID_H]]))</f>
        <v/>
      </c>
      <c r="AM376" s="38">
        <f ca="1">IF(NOTA[[#This Row],[TGL.NOTA]]="",IF(NOTA[[#This Row],[SUPPLIER_H]]="","",AM375),MONTH(NOTA[[#This Row],[TGL.NOTA]]))</f>
        <v>1</v>
      </c>
      <c r="AN376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>
        <f>IF(NOTA[[#This Row],[CONCAT1]]="","",MATCH(NOTA[[#This Row],[CONCAT1]],[3]!db[NB NOTA_C],0))</f>
        <v>3070</v>
      </c>
      <c r="AT376" s="38" t="str">
        <f>IF(NOTA[[#This Row],[QTY/ CTN]]="","",TRUE)</f>
        <v/>
      </c>
      <c r="AU376" s="38" t="str">
        <f ca="1">IF(NOTA[[#This Row],[ID_H]]="","",IF(NOTA[[#This Row],[Column3]]=TRUE,NOTA[[#This Row],[QTY/ CTN]],INDEX([3]!db[QTY/ CTN],NOTA[[#This Row],[//DB]])))</f>
        <v>48 LSN</v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76" s="38" t="e">
        <f ca="1">IF(NOTA[[#This Row],[ID_H]]="","",MATCH(NOTA[[#This Row],[NB NOTA_C_QTY]],[4]!db[NB NOTA_C_QTY+F],0))</f>
        <v>#REF!</v>
      </c>
      <c r="AX376" s="53">
        <f ca="1">IF(NOTA[[#This Row],[NB NOTA_C_QTY]]="","",ROW()-2)</f>
        <v>374</v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>
        <f ca="1">IF(NOTA[[#This Row],[NAMA BARANG]]="","",INDEX(NOTA[ID],MATCH(,INDIRECT(ADDRESS(ROW(NOTA[ID]),COLUMN(NOTA[ID]))&amp;":"&amp;ADDRESS(ROW(),COLUMN(NOTA[ID]))),-1)))</f>
        <v>62</v>
      </c>
      <c r="E377" s="46"/>
      <c r="F377" s="37"/>
      <c r="G377" s="37"/>
      <c r="H377" s="47"/>
      <c r="I377" s="37"/>
      <c r="J377" s="39"/>
      <c r="K377" s="37">
        <v>0</v>
      </c>
      <c r="L377" s="37" t="s">
        <v>510</v>
      </c>
      <c r="M377" s="40">
        <v>1</v>
      </c>
      <c r="N377" s="38">
        <v>144</v>
      </c>
      <c r="O377" s="37" t="s">
        <v>111</v>
      </c>
      <c r="P377" s="41">
        <v>20400</v>
      </c>
      <c r="Q377" s="42"/>
      <c r="R377" s="48"/>
      <c r="S377" s="49">
        <v>0.125</v>
      </c>
      <c r="T377" s="44">
        <v>0.05</v>
      </c>
      <c r="U377" s="44"/>
      <c r="V377" s="50"/>
      <c r="W377" s="45"/>
      <c r="X377" s="50">
        <f>IF(NOTA[[#This Row],[HARGA/ CTN]]="",NOTA[[#This Row],[JUMLAH_H]],NOTA[[#This Row],[HARGA/ CTN]]*IF(NOTA[[#This Row],[C]]="",0,NOTA[[#This Row],[C]]))</f>
        <v>2937600</v>
      </c>
      <c r="Y377" s="50">
        <f>IF(NOTA[[#This Row],[JUMLAH]]="","",NOTA[[#This Row],[JUMLAH]]*NOTA[[#This Row],[DISC 1]])</f>
        <v>367200</v>
      </c>
      <c r="Z377" s="50">
        <f>IF(NOTA[[#This Row],[JUMLAH]]="","",(NOTA[[#This Row],[JUMLAH]]-NOTA[[#This Row],[DISC 1-]])*NOTA[[#This Row],[DISC 2]])</f>
        <v>128520</v>
      </c>
      <c r="AA377" s="50">
        <f>IF(NOTA[[#This Row],[JUMLAH]]="","",(NOTA[[#This Row],[JUMLAH]]-NOTA[[#This Row],[DISC 1-]]-NOTA[[#This Row],[DISC 2-]])*NOTA[[#This Row],[DISC 3]])</f>
        <v>0</v>
      </c>
      <c r="AB377" s="50">
        <f>IF(NOTA[[#This Row],[JUMLAH]]="","",NOTA[[#This Row],[DISC 1-]]+NOTA[[#This Row],[DISC 2-]]+NOTA[[#This Row],[DISC 3-]])</f>
        <v>495720</v>
      </c>
      <c r="AC377" s="50">
        <f>IF(NOTA[[#This Row],[JUMLAH]]="","",NOTA[[#This Row],[JUMLAH]]-NOTA[[#This Row],[DISC]])</f>
        <v>2441880</v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377" s="50">
        <f>IF(OR(NOTA[[#This Row],[QTY]]="",NOTA[[#This Row],[HARGA SATUAN]]="",),"",NOTA[[#This Row],[QTY]]*NOTA[[#This Row],[HARGA SATUAN]])</f>
        <v>2937600</v>
      </c>
      <c r="AI377" s="39">
        <f ca="1">IF(NOTA[ID_H]="","",INDEX(NOTA[TANGGAL],MATCH(,INDIRECT(ADDRESS(ROW(NOTA[TANGGAL]),COLUMN(NOTA[TANGGAL]))&amp;":"&amp;ADDRESS(ROW(),COLUMN(NOTA[TANGGAL]))),-1)))</f>
        <v>45304</v>
      </c>
      <c r="AJ377" s="41" t="str">
        <f ca="1">IF(NOTA[[#This Row],[NAMA BARANG]]="","",INDEX(NOTA[SUPPLIER],MATCH(,INDIRECT(ADDRESS(ROW(NOTA[ID]),COLUMN(NOTA[ID]))&amp;":"&amp;ADDRESS(ROW(),COLUMN(NOTA[ID]))),-1)))</f>
        <v>ATALI MAKMUR</v>
      </c>
      <c r="AK377" s="41" t="str">
        <f ca="1">IF(NOTA[[#This Row],[ID_H]]="","",IF(NOTA[[#This Row],[FAKTUR]]="",INDIRECT(ADDRESS(ROW()-1,COLUMN())),NOTA[[#This Row],[FAKTUR]]))</f>
        <v>ARTO MORO</v>
      </c>
      <c r="AL377" s="38" t="str">
        <f ca="1">IF(NOTA[[#This Row],[ID]]="","",COUNTIF(NOTA[ID_H],NOTA[[#This Row],[ID_H]]))</f>
        <v/>
      </c>
      <c r="AM377" s="38">
        <f ca="1">IF(NOTA[[#This Row],[TGL.NOTA]]="",IF(NOTA[[#This Row],[SUPPLIER_H]]="","",AM376),MONTH(NOTA[[#This Row],[TGL.NOTA]]))</f>
        <v>1</v>
      </c>
      <c r="AN377" s="38" t="str">
        <f>LOWER(SUBSTITUTE(SUBSTITUTE(SUBSTITUTE(SUBSTITUTE(SUBSTITUTE(SUBSTITUTE(SUBSTITUTE(SUBSTITUTE(SUBSTITUTE(NOTA[NAMA BARANG]," ",),".",""),"-",""),"(",""),")",""),",",""),"/",""),"""",""),"+",""))</f>
        <v>kingjellerjk10blackjk</v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kingjellerjk10blackjk29376000.1250.05</v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kingjellerjk10blackjk29376000.1250.05</v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 t="e">
        <f>IF(NOTA[[#This Row],[CONCAT1]]="","",MATCH(NOTA[[#This Row],[CONCAT1]],[3]!db[NB NOTA_C],0))</f>
        <v>#N/A</v>
      </c>
      <c r="AT377" s="38" t="str">
        <f>IF(NOTA[[#This Row],[QTY/ CTN]]="","",TRUE)</f>
        <v/>
      </c>
      <c r="AU377" s="38" t="e">
        <f ca="1">IF(NOTA[[#This Row],[ID_H]]="","",IF(NOTA[[#This Row],[Column3]]=TRUE,NOTA[[#This Row],[QTY/ CTN]],INDEX([3]!db[QTY/ CTN],NOTA[[#This Row],[//DB]])))</f>
        <v>#N/A</v>
      </c>
      <c r="AV37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7" s="38" t="e">
        <f ca="1">IF(NOTA[[#This Row],[ID_H]]="","",MATCH(NOTA[[#This Row],[NB NOTA_C_QTY]],[4]!db[NB NOTA_C_QTY+F],0))</f>
        <v>#N/A</v>
      </c>
      <c r="AX377" s="53" t="e">
        <f ca="1">IF(NOTA[[#This Row],[NB NOTA_C_QTY]]="","",ROW()-2)</f>
        <v>#N/A</v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>
        <f ca="1">IF(NOTA[[#This Row],[NAMA BARANG]]="","",INDEX(NOTA[ID],MATCH(,INDIRECT(ADDRESS(ROW(NOTA[ID]),COLUMN(NOTA[ID]))&amp;":"&amp;ADDRESS(ROW(),COLUMN(NOTA[ID]))),-1)))</f>
        <v>62</v>
      </c>
      <c r="E378" s="46"/>
      <c r="F378" s="37"/>
      <c r="G378" s="37"/>
      <c r="H378" s="47"/>
      <c r="I378" s="37"/>
      <c r="J378" s="39"/>
      <c r="K378" s="37">
        <v>0</v>
      </c>
      <c r="L378" s="37" t="s">
        <v>121</v>
      </c>
      <c r="M378" s="40">
        <v>1</v>
      </c>
      <c r="N378" s="38">
        <v>30</v>
      </c>
      <c r="O378" s="37" t="s">
        <v>120</v>
      </c>
      <c r="P378" s="41">
        <v>104400</v>
      </c>
      <c r="Q378" s="42"/>
      <c r="R378" s="48"/>
      <c r="S378" s="49">
        <v>0.125</v>
      </c>
      <c r="T378" s="44">
        <v>0.05</v>
      </c>
      <c r="U378" s="44"/>
      <c r="V378" s="50"/>
      <c r="W378" s="45"/>
      <c r="X378" s="50">
        <f>IF(NOTA[[#This Row],[HARGA/ CTN]]="",NOTA[[#This Row],[JUMLAH_H]],NOTA[[#This Row],[HARGA/ CTN]]*IF(NOTA[[#This Row],[C]]="",0,NOTA[[#This Row],[C]]))</f>
        <v>3132000</v>
      </c>
      <c r="Y378" s="50">
        <f>IF(NOTA[[#This Row],[JUMLAH]]="","",NOTA[[#This Row],[JUMLAH]]*NOTA[[#This Row],[DISC 1]])</f>
        <v>391500</v>
      </c>
      <c r="Z378" s="50">
        <f>IF(NOTA[[#This Row],[JUMLAH]]="","",(NOTA[[#This Row],[JUMLAH]]-NOTA[[#This Row],[DISC 1-]])*NOTA[[#This Row],[DISC 2]])</f>
        <v>137025</v>
      </c>
      <c r="AA378" s="50">
        <f>IF(NOTA[[#This Row],[JUMLAH]]="","",(NOTA[[#This Row],[JUMLAH]]-NOTA[[#This Row],[DISC 1-]]-NOTA[[#This Row],[DISC 2-]])*NOTA[[#This Row],[DISC 3]])</f>
        <v>0</v>
      </c>
      <c r="AB378" s="50">
        <f>IF(NOTA[[#This Row],[JUMLAH]]="","",NOTA[[#This Row],[DISC 1-]]+NOTA[[#This Row],[DISC 2-]]+NOTA[[#This Row],[DISC 3-]])</f>
        <v>528525</v>
      </c>
      <c r="AC378" s="50">
        <f>IF(NOTA[[#This Row],[JUMLAH]]="","",NOTA[[#This Row],[JUMLAH]]-NOTA[[#This Row],[DISC]])</f>
        <v>2603475</v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378" s="50">
        <f>IF(OR(NOTA[[#This Row],[QTY]]="",NOTA[[#This Row],[HARGA SATUAN]]="",),"",NOTA[[#This Row],[QTY]]*NOTA[[#This Row],[HARGA SATUAN]])</f>
        <v>3132000</v>
      </c>
      <c r="AI378" s="39">
        <f ca="1">IF(NOTA[ID_H]="","",INDEX(NOTA[TANGGAL],MATCH(,INDIRECT(ADDRESS(ROW(NOTA[TANGGAL]),COLUMN(NOTA[TANGGAL]))&amp;":"&amp;ADDRESS(ROW(),COLUMN(NOTA[TANGGAL]))),-1)))</f>
        <v>45304</v>
      </c>
      <c r="AJ378" s="41" t="str">
        <f ca="1">IF(NOTA[[#This Row],[NAMA BARANG]]="","",INDEX(NOTA[SUPPLIER],MATCH(,INDIRECT(ADDRESS(ROW(NOTA[ID]),COLUMN(NOTA[ID]))&amp;":"&amp;ADDRESS(ROW(),COLUMN(NOTA[ID]))),-1)))</f>
        <v>ATALI MAKMUR</v>
      </c>
      <c r="AK378" s="41" t="str">
        <f ca="1">IF(NOTA[[#This Row],[ID_H]]="","",IF(NOTA[[#This Row],[FAKTUR]]="",INDIRECT(ADDRESS(ROW()-1,COLUMN())),NOTA[[#This Row],[FAKTUR]]))</f>
        <v>ARTO MORO</v>
      </c>
      <c r="AL378" s="38" t="str">
        <f ca="1">IF(NOTA[[#This Row],[ID]]="","",COUNTIF(NOTA[ID_H],NOTA[[#This Row],[ID_H]]))</f>
        <v/>
      </c>
      <c r="AM378" s="38">
        <f ca="1">IF(NOTA[[#This Row],[TGL.NOTA]]="",IF(NOTA[[#This Row],[SUPPLIER_H]]="","",AM377),MONTH(NOTA[[#This Row],[TGL.NOTA]]))</f>
        <v>1</v>
      </c>
      <c r="AN378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>
        <f>IF(NOTA[[#This Row],[CONCAT1]]="","",MATCH(NOTA[[#This Row],[CONCAT1]],[3]!db[NB NOTA_C],0))</f>
        <v>2483</v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>30 GRS</v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378" s="38" t="e">
        <f ca="1">IF(NOTA[[#This Row],[ID_H]]="","",MATCH(NOTA[[#This Row],[NB NOTA_C_QTY]],[4]!db[NB NOTA_C_QTY+F],0))</f>
        <v>#REF!</v>
      </c>
      <c r="AX378" s="53">
        <f ca="1">IF(NOTA[[#This Row],[NB NOTA_C_QTY]]="","",ROW()-2)</f>
        <v>376</v>
      </c>
    </row>
    <row r="379" spans="1:50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62</v>
      </c>
      <c r="E379" s="46"/>
      <c r="F379" s="37"/>
      <c r="G379" s="37"/>
      <c r="H379" s="47"/>
      <c r="I379" s="37"/>
      <c r="J379" s="39"/>
      <c r="K379" s="37">
        <v>0</v>
      </c>
      <c r="L379" s="37" t="s">
        <v>512</v>
      </c>
      <c r="M379" s="40">
        <v>1</v>
      </c>
      <c r="N379" s="38">
        <v>30</v>
      </c>
      <c r="O379" s="37" t="s">
        <v>120</v>
      </c>
      <c r="P379" s="41">
        <v>109200</v>
      </c>
      <c r="Q379" s="42"/>
      <c r="R379" s="48"/>
      <c r="S379" s="49">
        <v>0.125</v>
      </c>
      <c r="T379" s="44">
        <v>0.05</v>
      </c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3276000</v>
      </c>
      <c r="Y379" s="50">
        <f>IF(NOTA[[#This Row],[JUMLAH]]="","",NOTA[[#This Row],[JUMLAH]]*NOTA[[#This Row],[DISC 1]])</f>
        <v>409500</v>
      </c>
      <c r="Z379" s="50">
        <f>IF(NOTA[[#This Row],[JUMLAH]]="","",(NOTA[[#This Row],[JUMLAH]]-NOTA[[#This Row],[DISC 1-]])*NOTA[[#This Row],[DISC 2]])</f>
        <v>143325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552825</v>
      </c>
      <c r="AC379" s="50">
        <f>IF(NOTA[[#This Row],[JUMLAH]]="","",NOTA[[#This Row],[JUMLAH]]-NOTA[[#This Row],[DISC]])</f>
        <v>2723175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3276000</v>
      </c>
      <c r="AH379" s="50">
        <f>IF(OR(NOTA[[#This Row],[QTY]]="",NOTA[[#This Row],[HARGA SATUAN]]="",),"",NOTA[[#This Row],[QTY]]*NOTA[[#This Row],[HARGA SATUAN]])</f>
        <v>3276000</v>
      </c>
      <c r="AI379" s="39">
        <f ca="1">IF(NOTA[ID_H]="","",INDEX(NOTA[TANGGAL],MATCH(,INDIRECT(ADDRESS(ROW(NOTA[TANGGAL]),COLUMN(NOTA[TANGGAL]))&amp;":"&amp;ADDRESS(ROW(),COLUMN(NOTA[TANGGAL]))),-1)))</f>
        <v>45304</v>
      </c>
      <c r="AJ379" s="41" t="str">
        <f ca="1">IF(NOTA[[#This Row],[NAMA BARANG]]="","",INDEX(NOTA[SUPPLIER],MATCH(,INDIRECT(ADDRESS(ROW(NOTA[ID]),COLUMN(NOTA[ID]))&amp;":"&amp;ADDRESS(ROW(),COLUMN(NOTA[ID]))),-1)))</f>
        <v>ATALI MAKMUR</v>
      </c>
      <c r="AK379" s="41" t="str">
        <f ca="1">IF(NOTA[[#This Row],[ID_H]]="","",IF(NOTA[[#This Row],[FAKTUR]]="",INDIRECT(ADDRESS(ROW()-1,COLUMN())),NOTA[[#This Row],[FAKTUR]]))</f>
        <v>ARTO MORO</v>
      </c>
      <c r="AL379" s="38" t="str">
        <f ca="1">IF(NOTA[[#This Row],[ID]]="","",COUNTIF(NOTA[ID_H],NOTA[[#This Row],[ID_H]]))</f>
        <v/>
      </c>
      <c r="AM379" s="38">
        <f ca="1">IF(NOTA[[#This Row],[TGL.NOTA]]="",IF(NOTA[[#This Row],[SUPPLIER_H]]="","",AM378),MONTH(NOTA[[#This Row],[TGL.NOTA]]))</f>
        <v>1</v>
      </c>
      <c r="AN379" s="38" t="str">
        <f>LOWER(SUBSTITUTE(SUBSTITUTE(SUBSTITUTE(SUBSTITUTE(SUBSTITUTE(SUBSTITUTE(SUBSTITUTE(SUBSTITUTE(SUBSTITUTE(NOTA[NAMA BARANG]," ",),".",""),"-",""),"(",""),")",""),",",""),"/",""),"""",""),"+",""))</f>
        <v>pencilp902bjk</v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pencilp902bjk32760000.1250.05</v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pencilp902bjk32760000.1250.05</v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>
        <f>IF(NOTA[[#This Row],[CONCAT1]]="","",MATCH(NOTA[[#This Row],[CONCAT1]],[3]!db[NB NOTA_C],0))</f>
        <v>2484</v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>30 GRS</v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pencilp902bjk30grsartomoro</v>
      </c>
      <c r="AW379" s="38" t="e">
        <f ca="1">IF(NOTA[[#This Row],[ID_H]]="","",MATCH(NOTA[[#This Row],[NB NOTA_C_QTY]],[4]!db[NB NOTA_C_QTY+F],0))</f>
        <v>#REF!</v>
      </c>
      <c r="AX379" s="53">
        <f ca="1">IF(NOTA[[#This Row],[NB NOTA_C_QTY]]="","",ROW()-2)</f>
        <v>377</v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62</v>
      </c>
      <c r="E380" s="46"/>
      <c r="F380" s="37"/>
      <c r="G380" s="37"/>
      <c r="H380" s="47"/>
      <c r="I380" s="37"/>
      <c r="J380" s="39"/>
      <c r="K380" s="37">
        <v>0</v>
      </c>
      <c r="L380" s="37" t="s">
        <v>511</v>
      </c>
      <c r="M380" s="40">
        <v>1</v>
      </c>
      <c r="N380" s="38">
        <v>30</v>
      </c>
      <c r="O380" s="37" t="s">
        <v>120</v>
      </c>
      <c r="P380" s="41">
        <v>139200</v>
      </c>
      <c r="Q380" s="42"/>
      <c r="R380" s="48"/>
      <c r="S380" s="49">
        <v>0.125</v>
      </c>
      <c r="T380" s="44">
        <v>0.05</v>
      </c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4176000</v>
      </c>
      <c r="Y380" s="50">
        <f>IF(NOTA[[#This Row],[JUMLAH]]="","",NOTA[[#This Row],[JUMLAH]]*NOTA[[#This Row],[DISC 1]])</f>
        <v>522000</v>
      </c>
      <c r="Z380" s="50">
        <f>IF(NOTA[[#This Row],[JUMLAH]]="","",(NOTA[[#This Row],[JUMLAH]]-NOTA[[#This Row],[DISC 1-]])*NOTA[[#This Row],[DISC 2]])</f>
        <v>182700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704700</v>
      </c>
      <c r="AC380" s="50">
        <f>IF(NOTA[[#This Row],[JUMLAH]]="","",NOTA[[#This Row],[JUMLAH]]-NOTA[[#This Row],[DISC]])</f>
        <v>3471300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380" s="50">
        <f>IF(OR(NOTA[[#This Row],[QTY]]="",NOTA[[#This Row],[HARGA SATUAN]]="",),"",NOTA[[#This Row],[QTY]]*NOTA[[#This Row],[HARGA SATUAN]])</f>
        <v>4176000</v>
      </c>
      <c r="AI380" s="39">
        <f ca="1">IF(NOTA[ID_H]="","",INDEX(NOTA[TANGGAL],MATCH(,INDIRECT(ADDRESS(ROW(NOTA[TANGGAL]),COLUMN(NOTA[TANGGAL]))&amp;":"&amp;ADDRESS(ROW(),COLUMN(NOTA[TANGGAL]))),-1)))</f>
        <v>45304</v>
      </c>
      <c r="AJ380" s="41" t="str">
        <f ca="1">IF(NOTA[[#This Row],[NAMA BARANG]]="","",INDEX(NOTA[SUPPLIER],MATCH(,INDIRECT(ADDRESS(ROW(NOTA[ID]),COLUMN(NOTA[ID]))&amp;":"&amp;ADDRESS(ROW(),COLUMN(NOTA[ID]))),-1)))</f>
        <v>ATALI MAKMUR</v>
      </c>
      <c r="AK380" s="41" t="str">
        <f ca="1">IF(NOTA[[#This Row],[ID_H]]="","",IF(NOTA[[#This Row],[FAKTUR]]="",INDIRECT(ADDRESS(ROW()-1,COLUMN())),NOTA[[#This Row],[FAKTUR]]))</f>
        <v>ARTO MORO</v>
      </c>
      <c r="AL380" s="38" t="str">
        <f ca="1">IF(NOTA[[#This Row],[ID]]="","",COUNTIF(NOTA[ID_H],NOTA[[#This Row],[ID_H]]))</f>
        <v/>
      </c>
      <c r="AM380" s="38">
        <f ca="1">IF(NOTA[[#This Row],[TGL.NOTA]]="",IF(NOTA[[#This Row],[SUPPLIER_H]]="","",AM379),MONTH(NOTA[[#This Row],[TGL.NOTA]]))</f>
        <v>1</v>
      </c>
      <c r="AN380" s="38" t="str">
        <f>LOWER(SUBSTITUTE(SUBSTITUTE(SUBSTITUTE(SUBSTITUTE(SUBSTITUTE(SUBSTITUTE(SUBSTITUTE(SUBSTITUTE(SUBSTITUTE(NOTA[NAMA BARANG]," ",),".",""),"-",""),"(",""),")",""),",",""),"/",""),"""",""),"+",""))</f>
        <v>pencilp922bblackwoodjk</v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>
        <f>IF(NOTA[[#This Row],[CONCAT1]]="","",MATCH(NOTA[[#This Row],[CONCAT1]],[3]!db[NB NOTA_C],0))</f>
        <v>2486</v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>30 GRS</v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pencilp922bblackwoodjk30grsartomoro</v>
      </c>
      <c r="AW380" s="38" t="e">
        <f ca="1">IF(NOTA[[#This Row],[ID_H]]="","",MATCH(NOTA[[#This Row],[NB NOTA_C_QTY]],[4]!db[NB NOTA_C_QTY+F],0))</f>
        <v>#REF!</v>
      </c>
      <c r="AX380" s="53">
        <f ca="1">IF(NOTA[[#This Row],[NB NOTA_C_QTY]]="","",ROW()-2)</f>
        <v>378</v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62</v>
      </c>
      <c r="E381" s="46"/>
      <c r="F381" s="37"/>
      <c r="G381" s="37"/>
      <c r="H381" s="47"/>
      <c r="I381" s="37"/>
      <c r="J381" s="39"/>
      <c r="K381" s="37">
        <v>0</v>
      </c>
      <c r="L381" s="37" t="s">
        <v>513</v>
      </c>
      <c r="M381" s="40">
        <v>1</v>
      </c>
      <c r="N381" s="38">
        <v>30</v>
      </c>
      <c r="O381" s="37" t="s">
        <v>120</v>
      </c>
      <c r="P381" s="41">
        <v>96000</v>
      </c>
      <c r="Q381" s="42"/>
      <c r="R381" s="48"/>
      <c r="S381" s="49">
        <v>0.125</v>
      </c>
      <c r="T381" s="44">
        <v>0.05</v>
      </c>
      <c r="U381" s="44"/>
      <c r="V381" s="50"/>
      <c r="W381" s="45"/>
      <c r="X381" s="50">
        <f>IF(NOTA[[#This Row],[HARGA/ CTN]]="",NOTA[[#This Row],[JUMLAH_H]],NOTA[[#This Row],[HARGA/ CTN]]*IF(NOTA[[#This Row],[C]]="",0,NOTA[[#This Row],[C]]))</f>
        <v>2880000</v>
      </c>
      <c r="Y381" s="50">
        <f>IF(NOTA[[#This Row],[JUMLAH]]="","",NOTA[[#This Row],[JUMLAH]]*NOTA[[#This Row],[DISC 1]])</f>
        <v>360000</v>
      </c>
      <c r="Z381" s="50">
        <f>IF(NOTA[[#This Row],[JUMLAH]]="","",(NOTA[[#This Row],[JUMLAH]]-NOTA[[#This Row],[DISC 1-]])*NOTA[[#This Row],[DISC 2]])</f>
        <v>126000</v>
      </c>
      <c r="AA381" s="50">
        <f>IF(NOTA[[#This Row],[JUMLAH]]="","",(NOTA[[#This Row],[JUMLAH]]-NOTA[[#This Row],[DISC 1-]]-NOTA[[#This Row],[DISC 2-]])*NOTA[[#This Row],[DISC 3]])</f>
        <v>0</v>
      </c>
      <c r="AB381" s="50">
        <f>IF(NOTA[[#This Row],[JUMLAH]]="","",NOTA[[#This Row],[DISC 1-]]+NOTA[[#This Row],[DISC 2-]]+NOTA[[#This Row],[DISC 3-]])</f>
        <v>486000</v>
      </c>
      <c r="AC381" s="50">
        <f>IF(NOTA[[#This Row],[JUMLAH]]="","",NOTA[[#This Row],[JUMLAH]]-NOTA[[#This Row],[DISC]])</f>
        <v>2394000</v>
      </c>
      <c r="AD381" s="50"/>
      <c r="AE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3818745</v>
      </c>
      <c r="AF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18810855</v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381" s="50">
        <f>IF(OR(NOTA[[#This Row],[QTY]]="",NOTA[[#This Row],[HARGA SATUAN]]="",),"",NOTA[[#This Row],[QTY]]*NOTA[[#This Row],[HARGA SATUAN]])</f>
        <v>2880000</v>
      </c>
      <c r="AI381" s="39">
        <f ca="1">IF(NOTA[ID_H]="","",INDEX(NOTA[TANGGAL],MATCH(,INDIRECT(ADDRESS(ROW(NOTA[TANGGAL]),COLUMN(NOTA[TANGGAL]))&amp;":"&amp;ADDRESS(ROW(),COLUMN(NOTA[TANGGAL]))),-1)))</f>
        <v>45304</v>
      </c>
      <c r="AJ381" s="41" t="str">
        <f ca="1">IF(NOTA[[#This Row],[NAMA BARANG]]="","",INDEX(NOTA[SUPPLIER],MATCH(,INDIRECT(ADDRESS(ROW(NOTA[ID]),COLUMN(NOTA[ID]))&amp;":"&amp;ADDRESS(ROW(),COLUMN(NOTA[ID]))),-1)))</f>
        <v>ATALI MAKMUR</v>
      </c>
      <c r="AK381" s="41" t="str">
        <f ca="1">IF(NOTA[[#This Row],[ID_H]]="","",IF(NOTA[[#This Row],[FAKTUR]]="",INDIRECT(ADDRESS(ROW()-1,COLUMN())),NOTA[[#This Row],[FAKTUR]]))</f>
        <v>ARTO MORO</v>
      </c>
      <c r="AL381" s="38" t="str">
        <f ca="1">IF(NOTA[[#This Row],[ID]]="","",COUNTIF(NOTA[ID_H],NOTA[[#This Row],[ID_H]]))</f>
        <v/>
      </c>
      <c r="AM381" s="38">
        <f ca="1">IF(NOTA[[#This Row],[TGL.NOTA]]="",IF(NOTA[[#This Row],[SUPPLIER_H]]="","",AM380),MONTH(NOTA[[#This Row],[TGL.NOTA]]))</f>
        <v>1</v>
      </c>
      <c r="AN381" s="38" t="str">
        <f>LOWER(SUBSTITUTE(SUBSTITUTE(SUBSTITUTE(SUBSTITUTE(SUBSTITUTE(SUBSTITUTE(SUBSTITUTE(SUBSTITUTE(SUBSTITUTE(NOTA[NAMA BARANG]," ",),".",""),"-",""),"(",""),")",""),",",""),"/",""),"""",""),"+",""))</f>
        <v>pencilp932bjk</v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>
        <f>IF(NOTA[[#This Row],[CONCAT1]]="","",MATCH(NOTA[[#This Row],[CONCAT1]],[3]!db[NB NOTA_C],0))</f>
        <v>2487</v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>30 GRS</v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pencilp932bjk30grsartomoro</v>
      </c>
      <c r="AW381" s="38" t="e">
        <f ca="1">IF(NOTA[[#This Row],[ID_H]]="","",MATCH(NOTA[[#This Row],[NB NOTA_C_QTY]],[4]!db[NB NOTA_C_QTY+F],0))</f>
        <v>#REF!</v>
      </c>
      <c r="AX381" s="53">
        <f ca="1">IF(NOTA[[#This Row],[NB NOTA_C_QTY]]="","",ROW()-2)</f>
        <v>379</v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2" s="50" t="str">
        <f>IF(OR(NOTA[[#This Row],[QTY]]="",NOTA[[#This Row],[HARGA SATUAN]]="",),"",NOTA[[#This Row],[QTY]]*NOTA[[#This Row],[HARGA SATUAN]])</f>
        <v/>
      </c>
      <c r="AI382" s="39" t="str">
        <f ca="1">IF(NOTA[ID_H]="","",INDEX(NOTA[TANGGAL],MATCH(,INDIRECT(ADDRESS(ROW(NOTA[TANGGAL]),COLUMN(NOTA[TANGGAL]))&amp;":"&amp;ADDRESS(ROW(),COLUMN(NOTA[TANGGAL]))),-1)))</f>
        <v/>
      </c>
      <c r="AJ382" s="41" t="str">
        <f ca="1">IF(NOTA[[#This Row],[NAMA BARANG]]="","",INDEX(NOTA[SUPPLIER],MATCH(,INDIRECT(ADDRESS(ROW(NOTA[ID]),COLUMN(NOTA[ID]))&amp;":"&amp;ADDRESS(ROW(),COLUMN(NOTA[ID]))),-1)))</f>
        <v/>
      </c>
      <c r="AK382" s="41" t="str">
        <f ca="1">IF(NOTA[[#This Row],[ID_H]]="","",IF(NOTA[[#This Row],[FAKTUR]]="",INDIRECT(ADDRESS(ROW()-1,COLUMN())),NOTA[[#This Row],[FAKTUR]]))</f>
        <v/>
      </c>
      <c r="AL382" s="38" t="str">
        <f ca="1">IF(NOTA[[#This Row],[ID]]="","",COUNTIF(NOTA[ID_H],NOTA[[#This Row],[ID_H]]))</f>
        <v/>
      </c>
      <c r="AM382" s="38" t="str">
        <f ca="1">IF(NOTA[[#This Row],[TGL.NOTA]]="",IF(NOTA[[#This Row],[SUPPLIER_H]]="","",AM381),MONTH(NOTA[[#This Row],[TGL.NOTA]]))</f>
        <v/>
      </c>
      <c r="AN382" s="38" t="str">
        <f>LOWER(SUBSTITUTE(SUBSTITUTE(SUBSTITUTE(SUBSTITUTE(SUBSTITUTE(SUBSTITUTE(SUBSTITUTE(SUBSTITUTE(SUBSTITUTE(NOTA[NAMA BARANG]," ",),".",""),"-",""),"(",""),")",""),",",""),"/",""),"""",""),"+",""))</f>
        <v/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 t="str">
        <f>IF(NOTA[[#This Row],[CONCAT1]]="","",MATCH(NOTA[[#This Row],[CONCAT1]],[3]!db[NB NOTA_C],0))</f>
        <v/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CTN]],INDEX([3]!db[QTY/ CTN],NOTA[[#This Row],[//DB]])))</f>
        <v/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2" s="38" t="str">
        <f ca="1">IF(NOTA[[#This Row],[ID_H]]="","",MATCH(NOTA[[#This Row],[NB NOTA_C_QTY]],[4]!db[NB NOTA_C_QTY+F],0))</f>
        <v/>
      </c>
      <c r="AX382" s="53" t="str">
        <f ca="1">IF(NOTA[[#This Row],[NB NOTA_C_QTY]]="","",ROW()-2)</f>
        <v/>
      </c>
    </row>
    <row r="383" spans="1:50" s="38" customFormat="1" ht="20.100000000000001" customHeight="1" x14ac:dyDescent="0.25">
      <c r="A383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KEN_1501_519-11</v>
      </c>
      <c r="C383" s="38" t="e">
        <f ca="1">IF(NOTA[[#This Row],[ID_P]]="","",MATCH(NOTA[[#This Row],[ID_P]],[1]!B_MSK[N_ID],0))</f>
        <v>#REF!</v>
      </c>
      <c r="D383" s="38">
        <f ca="1">IF(NOTA[[#This Row],[NAMA BARANG]]="","",INDEX(NOTA[ID],MATCH(,INDIRECT(ADDRESS(ROW(NOTA[ID]),COLUMN(NOTA[ID]))&amp;":"&amp;ADDRESS(ROW(),COLUMN(NOTA[ID]))),-1)))</f>
        <v>63</v>
      </c>
      <c r="E383" s="46">
        <v>45306</v>
      </c>
      <c r="F383" s="37" t="s">
        <v>22</v>
      </c>
      <c r="G383" s="37" t="s">
        <v>23</v>
      </c>
      <c r="H383" s="47" t="s">
        <v>517</v>
      </c>
      <c r="I383" s="37"/>
      <c r="J383" s="39">
        <v>45302</v>
      </c>
      <c r="K383" s="37">
        <v>0</v>
      </c>
      <c r="L383" s="37" t="s">
        <v>125</v>
      </c>
      <c r="M383" s="40">
        <v>13</v>
      </c>
      <c r="O383" s="37"/>
      <c r="P383" s="41"/>
      <c r="Q383" s="42">
        <v>1954800</v>
      </c>
      <c r="R383" s="48"/>
      <c r="S383" s="49">
        <v>0.17</v>
      </c>
      <c r="T383" s="44"/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25412400</v>
      </c>
      <c r="Y383" s="50">
        <f>IF(NOTA[[#This Row],[JUMLAH]]="","",NOTA[[#This Row],[JUMLAH]]*NOTA[[#This Row],[DISC 1]])</f>
        <v>4320108</v>
      </c>
      <c r="Z383" s="50">
        <f>IF(NOTA[[#This Row],[JUMLAH]]="","",(NOTA[[#This Row],[JUMLAH]]-NOTA[[#This Row],[DISC 1-]])*NOTA[[#This Row],[DISC 2]])</f>
        <v>0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4320108</v>
      </c>
      <c r="AC383" s="50">
        <f>IF(NOTA[[#This Row],[JUMLAH]]="","",NOTA[[#This Row],[JUMLAH]]-NOTA[[#This Row],[DISC]])</f>
        <v>21092292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83" s="50" t="str">
        <f>IF(OR(NOTA[[#This Row],[QTY]]="",NOTA[[#This Row],[HARGA SATUAN]]="",),"",NOTA[[#This Row],[QTY]]*NOTA[[#This Row],[HARGA SATUAN]])</f>
        <v/>
      </c>
      <c r="AI383" s="39">
        <f ca="1">IF(NOTA[ID_H]="","",INDEX(NOTA[TANGGAL],MATCH(,INDIRECT(ADDRESS(ROW(NOTA[TANGGAL]),COLUMN(NOTA[TANGGAL]))&amp;":"&amp;ADDRESS(ROW(),COLUMN(NOTA[TANGGAL]))),-1)))</f>
        <v>45306</v>
      </c>
      <c r="AJ383" s="41" t="str">
        <f ca="1">IF(NOTA[[#This Row],[NAMA BARANG]]="","",INDEX(NOTA[SUPPLIER],MATCH(,INDIRECT(ADDRESS(ROW(NOTA[ID]),COLUMN(NOTA[ID]))&amp;":"&amp;ADDRESS(ROW(),COLUMN(NOTA[ID]))),-1)))</f>
        <v>KENKO SINAR INDONESIA</v>
      </c>
      <c r="AK383" s="41" t="str">
        <f ca="1">IF(NOTA[[#This Row],[ID_H]]="","",IF(NOTA[[#This Row],[FAKTUR]]="",INDIRECT(ADDRESS(ROW()-1,COLUMN())),NOTA[[#This Row],[FAKTUR]]))</f>
        <v>ARTO MORO</v>
      </c>
      <c r="AL383" s="38">
        <f ca="1">IF(NOTA[[#This Row],[ID]]="","",COUNTIF(NOTA[ID_H],NOTA[[#This Row],[ID_H]]))</f>
        <v>11</v>
      </c>
      <c r="AM383" s="38">
        <f>IF(NOTA[[#This Row],[TGL.NOTA]]="",IF(NOTA[[#This Row],[SUPPLIER_H]]="","",AM382),MONTH(NOTA[[#This Row],[TGL.NOTA]]))</f>
        <v>1</v>
      </c>
      <c r="AN38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MORO2401051945302kenkocorrectionfluidke01</v>
      </c>
      <c r="AR383" s="38" t="e">
        <f>IF(NOTA[[#This Row],[CONCAT4]]="","",_xlfn.IFNA(MATCH(NOTA[[#This Row],[CONCAT4]],[2]!RAW[CONCAT_H],0),FALSE))</f>
        <v>#REF!</v>
      </c>
      <c r="AS383" s="38">
        <f>IF(NOTA[[#This Row],[CONCAT1]]="","",MATCH(NOTA[[#This Row],[CONCAT1]],[3]!db[NB NOTA_C],0))</f>
        <v>1558</v>
      </c>
      <c r="AT383" s="38" t="str">
        <f>IF(NOTA[[#This Row],[QTY/ CTN]]="","",TRUE)</f>
        <v/>
      </c>
      <c r="AU383" s="38" t="str">
        <f ca="1">IF(NOTA[[#This Row],[ID_H]]="","",IF(NOTA[[#This Row],[Column3]]=TRUE,NOTA[[#This Row],[QTY/ CTN]],INDEX([3]!db[QTY/ CTN],NOTA[[#This Row],[//DB]])))</f>
        <v>36 LSN</v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83" s="38" t="e">
        <f ca="1">IF(NOTA[[#This Row],[ID_H]]="","",MATCH(NOTA[[#This Row],[NB NOTA_C_QTY]],[4]!db[NB NOTA_C_QTY+F],0))</f>
        <v>#REF!</v>
      </c>
      <c r="AX383" s="53">
        <f ca="1">IF(NOTA[[#This Row],[NB NOTA_C_QTY]]="","",ROW()-2)</f>
        <v>381</v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63</v>
      </c>
      <c r="E384" s="46"/>
      <c r="F384" s="37"/>
      <c r="G384" s="37"/>
      <c r="H384" s="47"/>
      <c r="I384" s="37"/>
      <c r="J384" s="39"/>
      <c r="K384" s="37">
        <v>0</v>
      </c>
      <c r="L384" s="37" t="s">
        <v>518</v>
      </c>
      <c r="M384" s="40">
        <v>1</v>
      </c>
      <c r="O384" s="37"/>
      <c r="P384" s="41"/>
      <c r="Q384" s="42">
        <v>850000</v>
      </c>
      <c r="R384" s="48"/>
      <c r="S384" s="49">
        <v>0.17</v>
      </c>
      <c r="T384" s="44"/>
      <c r="U384" s="44"/>
      <c r="V384" s="50"/>
      <c r="W384" s="45"/>
      <c r="X384" s="50">
        <f>IF(NOTA[[#This Row],[HARGA/ CTN]]="",NOTA[[#This Row],[JUMLAH_H]],NOTA[[#This Row],[HARGA/ CTN]]*IF(NOTA[[#This Row],[C]]="",0,NOTA[[#This Row],[C]]))</f>
        <v>850000</v>
      </c>
      <c r="Y384" s="50">
        <f>IF(NOTA[[#This Row],[JUMLAH]]="","",NOTA[[#This Row],[JUMLAH]]*NOTA[[#This Row],[DISC 1]])</f>
        <v>144500</v>
      </c>
      <c r="Z384" s="50">
        <f>IF(NOTA[[#This Row],[JUMLAH]]="","",(NOTA[[#This Row],[JUMLAH]]-NOTA[[#This Row],[DISC 1-]])*NOTA[[#This Row],[DISC 2]])</f>
        <v>0</v>
      </c>
      <c r="AA384" s="50">
        <f>IF(NOTA[[#This Row],[JUMLAH]]="","",(NOTA[[#This Row],[JUMLAH]]-NOTA[[#This Row],[DISC 1-]]-NOTA[[#This Row],[DISC 2-]])*NOTA[[#This Row],[DISC 3]])</f>
        <v>0</v>
      </c>
      <c r="AB384" s="50">
        <f>IF(NOTA[[#This Row],[JUMLAH]]="","",NOTA[[#This Row],[DISC 1-]]+NOTA[[#This Row],[DISC 2-]]+NOTA[[#This Row],[DISC 3-]])</f>
        <v>144500</v>
      </c>
      <c r="AC384" s="50">
        <f>IF(NOTA[[#This Row],[JUMLAH]]="","",NOTA[[#This Row],[JUMLAH]]-NOTA[[#This Row],[DISC]])</f>
        <v>705500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84" s="50" t="str">
        <f>IF(OR(NOTA[[#This Row],[QTY]]="",NOTA[[#This Row],[HARGA SATUAN]]="",),"",NOTA[[#This Row],[QTY]]*NOTA[[#This Row],[HARGA SATUAN]])</f>
        <v/>
      </c>
      <c r="AI384" s="39">
        <f ca="1">IF(NOTA[ID_H]="","",INDEX(NOTA[TANGGAL],MATCH(,INDIRECT(ADDRESS(ROW(NOTA[TANGGAL]),COLUMN(NOTA[TANGGAL]))&amp;":"&amp;ADDRESS(ROW(),COLUMN(NOTA[TANGGAL]))),-1)))</f>
        <v>45306</v>
      </c>
      <c r="AJ384" s="41" t="str">
        <f ca="1">IF(NOTA[[#This Row],[NAMA BARANG]]="","",INDEX(NOTA[SUPPLIER],MATCH(,INDIRECT(ADDRESS(ROW(NOTA[ID]),COLUMN(NOTA[ID]))&amp;":"&amp;ADDRESS(ROW(),COLUMN(NOTA[ID]))),-1)))</f>
        <v>KENKO SINAR INDONESIA</v>
      </c>
      <c r="AK384" s="41" t="str">
        <f ca="1">IF(NOTA[[#This Row],[ID_H]]="","",IF(NOTA[[#This Row],[FAKTUR]]="",INDIRECT(ADDRESS(ROW()-1,COLUMN())),NOTA[[#This Row],[FAKTUR]]))</f>
        <v>ARTO MORO</v>
      </c>
      <c r="AL384" s="38" t="str">
        <f ca="1">IF(NOTA[[#This Row],[ID]]="","",COUNTIF(NOTA[ID_H],NOTA[[#This Row],[ID_H]]))</f>
        <v/>
      </c>
      <c r="AM384" s="38">
        <f ca="1">IF(NOTA[[#This Row],[TGL.NOTA]]="",IF(NOTA[[#This Row],[SUPPLIER_H]]="","",AM383),MONTH(NOTA[[#This Row],[TGL.NOTA]]))</f>
        <v>1</v>
      </c>
      <c r="AN384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>
        <f>IF(NOTA[[#This Row],[CONCAT1]]="","",MATCH(NOTA[[#This Row],[CONCAT1]],[3]!db[NB NOTA_C],0))</f>
        <v>1802</v>
      </c>
      <c r="AT384" s="38" t="str">
        <f>IF(NOTA[[#This Row],[QTY/ CTN]]="","",TRUE)</f>
        <v/>
      </c>
      <c r="AU384" s="38" t="str">
        <f ca="1">IF(NOTA[[#This Row],[ID_H]]="","",IF(NOTA[[#This Row],[Column3]]=TRUE,NOTA[[#This Row],[QTY/ CTN]],INDEX([3]!db[QTY/ CTN],NOTA[[#This Row],[//DB]])))</f>
        <v>500 BOX</v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384" s="38" t="e">
        <f ca="1">IF(NOTA[[#This Row],[ID_H]]="","",MATCH(NOTA[[#This Row],[NB NOTA_C_QTY]],[4]!db[NB NOTA_C_QTY+F],0))</f>
        <v>#REF!</v>
      </c>
      <c r="AX384" s="53">
        <f ca="1">IF(NOTA[[#This Row],[NB NOTA_C_QTY]]="","",ROW()-2)</f>
        <v>382</v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63</v>
      </c>
      <c r="E385" s="46"/>
      <c r="F385" s="37"/>
      <c r="G385" s="37"/>
      <c r="H385" s="47"/>
      <c r="I385" s="37"/>
      <c r="J385" s="39"/>
      <c r="K385" s="37">
        <v>0</v>
      </c>
      <c r="L385" s="37" t="s">
        <v>146</v>
      </c>
      <c r="M385" s="40">
        <v>1</v>
      </c>
      <c r="O385" s="37"/>
      <c r="P385" s="41"/>
      <c r="Q385" s="42">
        <v>800000</v>
      </c>
      <c r="R385" s="48"/>
      <c r="S385" s="49">
        <v>0.17</v>
      </c>
      <c r="T385" s="44"/>
      <c r="U385" s="44"/>
      <c r="V385" s="50"/>
      <c r="W385" s="45"/>
      <c r="X385" s="50">
        <f>IF(NOTA[[#This Row],[HARGA/ CTN]]="",NOTA[[#This Row],[JUMLAH_H]],NOTA[[#This Row],[HARGA/ CTN]]*IF(NOTA[[#This Row],[C]]="",0,NOTA[[#This Row],[C]]))</f>
        <v>800000</v>
      </c>
      <c r="Y385" s="50">
        <f>IF(NOTA[[#This Row],[JUMLAH]]="","",NOTA[[#This Row],[JUMLAH]]*NOTA[[#This Row],[DISC 1]])</f>
        <v>136000</v>
      </c>
      <c r="Z385" s="50">
        <f>IF(NOTA[[#This Row],[JUMLAH]]="","",(NOTA[[#This Row],[JUMLAH]]-NOTA[[#This Row],[DISC 1-]])*NOTA[[#This Row],[DISC 2]])</f>
        <v>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136000</v>
      </c>
      <c r="AC385" s="50">
        <f>IF(NOTA[[#This Row],[JUMLAH]]="","",NOTA[[#This Row],[JUMLAH]]-NOTA[[#This Row],[DISC]])</f>
        <v>664000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85" s="50" t="str">
        <f>IF(OR(NOTA[[#This Row],[QTY]]="",NOTA[[#This Row],[HARGA SATUAN]]="",),"",NOTA[[#This Row],[QTY]]*NOTA[[#This Row],[HARGA SATUAN]])</f>
        <v/>
      </c>
      <c r="AI385" s="39">
        <f ca="1">IF(NOTA[ID_H]="","",INDEX(NOTA[TANGGAL],MATCH(,INDIRECT(ADDRESS(ROW(NOTA[TANGGAL]),COLUMN(NOTA[TANGGAL]))&amp;":"&amp;ADDRESS(ROW(),COLUMN(NOTA[TANGGAL]))),-1)))</f>
        <v>45306</v>
      </c>
      <c r="AJ385" s="41" t="str">
        <f ca="1">IF(NOTA[[#This Row],[NAMA BARANG]]="","",INDEX(NOTA[SUPPLIER],MATCH(,INDIRECT(ADDRESS(ROW(NOTA[ID]),COLUMN(NOTA[ID]))&amp;":"&amp;ADDRESS(ROW(),COLUMN(NOTA[ID]))),-1)))</f>
        <v>KENKO SINAR INDONESIA</v>
      </c>
      <c r="AK385" s="41" t="str">
        <f ca="1">IF(NOTA[[#This Row],[ID_H]]="","",IF(NOTA[[#This Row],[FAKTUR]]="",INDIRECT(ADDRESS(ROW()-1,COLUMN())),NOTA[[#This Row],[FAKTUR]]))</f>
        <v>ARTO MORO</v>
      </c>
      <c r="AL385" s="38" t="str">
        <f ca="1">IF(NOTA[[#This Row],[ID]]="","",COUNTIF(NOTA[ID_H],NOTA[[#This Row],[ID_H]]))</f>
        <v/>
      </c>
      <c r="AM385" s="38">
        <f ca="1">IF(NOTA[[#This Row],[TGL.NOTA]]="",IF(NOTA[[#This Row],[SUPPLIER_H]]="","",AM384),MONTH(NOTA[[#This Row],[TGL.NOTA]]))</f>
        <v>1</v>
      </c>
      <c r="AN385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>
        <f>IF(NOTA[[#This Row],[CONCAT1]]="","",MATCH(NOTA[[#This Row],[CONCAT1]],[3]!db[NB NOTA_C],0))</f>
        <v>1801</v>
      </c>
      <c r="AT385" s="38" t="str">
        <f>IF(NOTA[[#This Row],[QTY/ CTN]]="","",TRUE)</f>
        <v/>
      </c>
      <c r="AU385" s="38" t="str">
        <f ca="1">IF(NOTA[[#This Row],[ID_H]]="","",IF(NOTA[[#This Row],[Column3]]=TRUE,NOTA[[#This Row],[QTY/ CTN]],INDEX([3]!db[QTY/ CTN],NOTA[[#This Row],[//DB]])))</f>
        <v>500 BOX</v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385" s="38" t="e">
        <f ca="1">IF(NOTA[[#This Row],[ID_H]]="","",MATCH(NOTA[[#This Row],[NB NOTA_C_QTY]],[4]!db[NB NOTA_C_QTY+F],0))</f>
        <v>#REF!</v>
      </c>
      <c r="AX385" s="53">
        <f ca="1">IF(NOTA[[#This Row],[NB NOTA_C_QTY]]="","",ROW()-2)</f>
        <v>383</v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63</v>
      </c>
      <c r="E386" s="46"/>
      <c r="F386" s="37"/>
      <c r="G386" s="37"/>
      <c r="H386" s="47"/>
      <c r="I386" s="37"/>
      <c r="J386" s="39"/>
      <c r="K386" s="37">
        <v>0</v>
      </c>
      <c r="L386" s="37" t="s">
        <v>132</v>
      </c>
      <c r="M386" s="40">
        <v>1</v>
      </c>
      <c r="O386" s="37"/>
      <c r="P386" s="41"/>
      <c r="Q386" s="42">
        <v>2008800</v>
      </c>
      <c r="R386" s="48"/>
      <c r="S386" s="49">
        <v>0.17</v>
      </c>
      <c r="T386" s="44"/>
      <c r="U386" s="44"/>
      <c r="V386" s="50"/>
      <c r="W386" s="45"/>
      <c r="X386" s="50">
        <f>IF(NOTA[[#This Row],[HARGA/ CTN]]="",NOTA[[#This Row],[JUMLAH_H]],NOTA[[#This Row],[HARGA/ CTN]]*IF(NOTA[[#This Row],[C]]="",0,NOTA[[#This Row],[C]]))</f>
        <v>2008800</v>
      </c>
      <c r="Y386" s="50">
        <f>IF(NOTA[[#This Row],[JUMLAH]]="","",NOTA[[#This Row],[JUMLAH]]*NOTA[[#This Row],[DISC 1]])</f>
        <v>341496</v>
      </c>
      <c r="Z386" s="50">
        <f>IF(NOTA[[#This Row],[JUMLAH]]="","",(NOTA[[#This Row],[JUMLAH]]-NOTA[[#This Row],[DISC 1-]])*NOTA[[#This Row],[DISC 2]])</f>
        <v>0</v>
      </c>
      <c r="AA386" s="50">
        <f>IF(NOTA[[#This Row],[JUMLAH]]="","",(NOTA[[#This Row],[JUMLAH]]-NOTA[[#This Row],[DISC 1-]]-NOTA[[#This Row],[DISC 2-]])*NOTA[[#This Row],[DISC 3]])</f>
        <v>0</v>
      </c>
      <c r="AB386" s="50">
        <f>IF(NOTA[[#This Row],[JUMLAH]]="","",NOTA[[#This Row],[DISC 1-]]+NOTA[[#This Row],[DISC 2-]]+NOTA[[#This Row],[DISC 3-]])</f>
        <v>341496</v>
      </c>
      <c r="AC386" s="50">
        <f>IF(NOTA[[#This Row],[JUMLAH]]="","",NOTA[[#This Row],[JUMLAH]]-NOTA[[#This Row],[DISC]])</f>
        <v>1667304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386" s="50" t="str">
        <f>IF(OR(NOTA[[#This Row],[QTY]]="",NOTA[[#This Row],[HARGA SATUAN]]="",),"",NOTA[[#This Row],[QTY]]*NOTA[[#This Row],[HARGA SATUAN]])</f>
        <v/>
      </c>
      <c r="AI386" s="39">
        <f ca="1">IF(NOTA[ID_H]="","",INDEX(NOTA[TANGGAL],MATCH(,INDIRECT(ADDRESS(ROW(NOTA[TANGGAL]),COLUMN(NOTA[TANGGAL]))&amp;":"&amp;ADDRESS(ROW(),COLUMN(NOTA[TANGGAL]))),-1)))</f>
        <v>45306</v>
      </c>
      <c r="AJ386" s="41" t="str">
        <f ca="1">IF(NOTA[[#This Row],[NAMA BARANG]]="","",INDEX(NOTA[SUPPLIER],MATCH(,INDIRECT(ADDRESS(ROW(NOTA[ID]),COLUMN(NOTA[ID]))&amp;":"&amp;ADDRESS(ROW(),COLUMN(NOTA[ID]))),-1)))</f>
        <v>KENKO SINAR INDONESIA</v>
      </c>
      <c r="AK386" s="41" t="str">
        <f ca="1">IF(NOTA[[#This Row],[ID_H]]="","",IF(NOTA[[#This Row],[FAKTUR]]="",INDIRECT(ADDRESS(ROW()-1,COLUMN())),NOTA[[#This Row],[FAKTUR]]))</f>
        <v>ARTO MORO</v>
      </c>
      <c r="AL386" s="38" t="str">
        <f ca="1">IF(NOTA[[#This Row],[ID]]="","",COUNTIF(NOTA[ID_H],NOTA[[#This Row],[ID_H]]))</f>
        <v/>
      </c>
      <c r="AM386" s="38">
        <f ca="1">IF(NOTA[[#This Row],[TGL.NOTA]]="",IF(NOTA[[#This Row],[SUPPLIER_H]]="","",AM385),MONTH(NOTA[[#This Row],[TGL.NOTA]]))</f>
        <v>1</v>
      </c>
      <c r="AN386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>
        <f>IF(NOTA[[#This Row],[CONCAT1]]="","",MATCH(NOTA[[#This Row],[CONCAT1]],[3]!db[NB NOTA_C],0))</f>
        <v>1559</v>
      </c>
      <c r="AT386" s="38" t="str">
        <f>IF(NOTA[[#This Row],[QTY/ CTN]]="","",TRUE)</f>
        <v/>
      </c>
      <c r="AU386" s="38" t="str">
        <f ca="1">IF(NOTA[[#This Row],[ID_H]]="","",IF(NOTA[[#This Row],[Column3]]=TRUE,NOTA[[#This Row],[QTY/ CTN]],INDEX([3]!db[QTY/ CTN],NOTA[[#This Row],[//DB]])))</f>
        <v>36 LSN</v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386" s="38" t="e">
        <f ca="1">IF(NOTA[[#This Row],[ID_H]]="","",MATCH(NOTA[[#This Row],[NB NOTA_C_QTY]],[4]!db[NB NOTA_C_QTY+F],0))</f>
        <v>#REF!</v>
      </c>
      <c r="AX386" s="53">
        <f ca="1">IF(NOTA[[#This Row],[NB NOTA_C_QTY]]="","",ROW()-2)</f>
        <v>384</v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63</v>
      </c>
      <c r="E387" s="46"/>
      <c r="F387" s="37"/>
      <c r="G387" s="37"/>
      <c r="H387" s="47"/>
      <c r="I387" s="37"/>
      <c r="J387" s="39"/>
      <c r="K387" s="37"/>
      <c r="L387" s="37" t="s">
        <v>494</v>
      </c>
      <c r="M387" s="40">
        <v>1</v>
      </c>
      <c r="O387" s="37"/>
      <c r="P387" s="41"/>
      <c r="Q387" s="42">
        <v>462000</v>
      </c>
      <c r="R387" s="48"/>
      <c r="S387" s="49">
        <v>0.17</v>
      </c>
      <c r="T387" s="44"/>
      <c r="U387" s="44"/>
      <c r="V387" s="50"/>
      <c r="W387" s="45"/>
      <c r="X387" s="50">
        <f>IF(NOTA[[#This Row],[HARGA/ CTN]]="",NOTA[[#This Row],[JUMLAH_H]],NOTA[[#This Row],[HARGA/ CTN]]*IF(NOTA[[#This Row],[C]]="",0,NOTA[[#This Row],[C]]))</f>
        <v>462000</v>
      </c>
      <c r="Y387" s="50">
        <f>IF(NOTA[[#This Row],[JUMLAH]]="","",NOTA[[#This Row],[JUMLAH]]*NOTA[[#This Row],[DISC 1]])</f>
        <v>78540</v>
      </c>
      <c r="Z387" s="50">
        <f>IF(NOTA[[#This Row],[JUMLAH]]="","",(NOTA[[#This Row],[JUMLAH]]-NOTA[[#This Row],[DISC 1-]])*NOTA[[#This Row],[DISC 2]])</f>
        <v>0</v>
      </c>
      <c r="AA387" s="50">
        <f>IF(NOTA[[#This Row],[JUMLAH]]="","",(NOTA[[#This Row],[JUMLAH]]-NOTA[[#This Row],[DISC 1-]]-NOTA[[#This Row],[DISC 2-]])*NOTA[[#This Row],[DISC 3]])</f>
        <v>0</v>
      </c>
      <c r="AB387" s="50">
        <f>IF(NOTA[[#This Row],[JUMLAH]]="","",NOTA[[#This Row],[DISC 1-]]+NOTA[[#This Row],[DISC 2-]]+NOTA[[#This Row],[DISC 3-]])</f>
        <v>78540</v>
      </c>
      <c r="AC387" s="50">
        <f>IF(NOTA[[#This Row],[JUMLAH]]="","",NOTA[[#This Row],[JUMLAH]]-NOTA[[#This Row],[DISC]])</f>
        <v>383460</v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87" s="50" t="str">
        <f>IF(OR(NOTA[[#This Row],[QTY]]="",NOTA[[#This Row],[HARGA SATUAN]]="",),"",NOTA[[#This Row],[QTY]]*NOTA[[#This Row],[HARGA SATUAN]])</f>
        <v/>
      </c>
      <c r="AI387" s="39">
        <f ca="1">IF(NOTA[ID_H]="","",INDEX(NOTA[TANGGAL],MATCH(,INDIRECT(ADDRESS(ROW(NOTA[TANGGAL]),COLUMN(NOTA[TANGGAL]))&amp;":"&amp;ADDRESS(ROW(),COLUMN(NOTA[TANGGAL]))),-1)))</f>
        <v>45306</v>
      </c>
      <c r="AJ387" s="41" t="str">
        <f ca="1">IF(NOTA[[#This Row],[NAMA BARANG]]="","",INDEX(NOTA[SUPPLIER],MATCH(,INDIRECT(ADDRESS(ROW(NOTA[ID]),COLUMN(NOTA[ID]))&amp;":"&amp;ADDRESS(ROW(),COLUMN(NOTA[ID]))),-1)))</f>
        <v>KENKO SINAR INDONESIA</v>
      </c>
      <c r="AK387" s="41" t="str">
        <f ca="1">IF(NOTA[[#This Row],[ID_H]]="","",IF(NOTA[[#This Row],[FAKTUR]]="",INDIRECT(ADDRESS(ROW()-1,COLUMN())),NOTA[[#This Row],[FAKTUR]]))</f>
        <v>ARTO MORO</v>
      </c>
      <c r="AL387" s="38" t="str">
        <f ca="1">IF(NOTA[[#This Row],[ID]]="","",COUNTIF(NOTA[ID_H],NOTA[[#This Row],[ID_H]]))</f>
        <v/>
      </c>
      <c r="AM387" s="38">
        <f ca="1">IF(NOTA[[#This Row],[TGL.NOTA]]="",IF(NOTA[[#This Row],[SUPPLIER_H]]="","",AM386),MONTH(NOTA[[#This Row],[TGL.NOTA]]))</f>
        <v>1</v>
      </c>
      <c r="AN38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>
        <f>IF(NOTA[[#This Row],[CONCAT1]]="","",MATCH(NOTA[[#This Row],[CONCAT1]],[3]!db[NB NOTA_C],0))</f>
        <v>1796</v>
      </c>
      <c r="AT387" s="38" t="str">
        <f>IF(NOTA[[#This Row],[QTY/ CTN]]="","",TRUE)</f>
        <v/>
      </c>
      <c r="AU387" s="38" t="str">
        <f ca="1">IF(NOTA[[#This Row],[ID_H]]="","",IF(NOTA[[#This Row],[Column3]]=TRUE,NOTA[[#This Row],[QTY/ CTN]],INDEX([3]!db[QTY/ CTN],NOTA[[#This Row],[//DB]])))</f>
        <v>24 PCS</v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87" s="38" t="e">
        <f ca="1">IF(NOTA[[#This Row],[ID_H]]="","",MATCH(NOTA[[#This Row],[NB NOTA_C_QTY]],[4]!db[NB NOTA_C_QTY+F],0))</f>
        <v>#REF!</v>
      </c>
      <c r="AX387" s="53">
        <f ca="1">IF(NOTA[[#This Row],[NB NOTA_C_QTY]]="","",ROW()-2)</f>
        <v>385</v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>
        <f ca="1">IF(NOTA[[#This Row],[NAMA BARANG]]="","",INDEX(NOTA[ID],MATCH(,INDIRECT(ADDRESS(ROW(NOTA[ID]),COLUMN(NOTA[ID]))&amp;":"&amp;ADDRESS(ROW(),COLUMN(NOTA[ID]))),-1)))</f>
        <v>63</v>
      </c>
      <c r="E388" s="46"/>
      <c r="F388" s="37"/>
      <c r="G388" s="37"/>
      <c r="H388" s="47"/>
      <c r="I388" s="37"/>
      <c r="J388" s="39"/>
      <c r="K388" s="37">
        <v>0</v>
      </c>
      <c r="L388" s="37" t="s">
        <v>519</v>
      </c>
      <c r="M388" s="40">
        <v>1</v>
      </c>
      <c r="O388" s="37"/>
      <c r="P388" s="41"/>
      <c r="Q388" s="42">
        <v>1590000</v>
      </c>
      <c r="R388" s="48"/>
      <c r="S388" s="49">
        <v>0.17</v>
      </c>
      <c r="T388" s="44"/>
      <c r="U388" s="44"/>
      <c r="V388" s="50"/>
      <c r="W388" s="45"/>
      <c r="X388" s="50">
        <f>IF(NOTA[[#This Row],[HARGA/ CTN]]="",NOTA[[#This Row],[JUMLAH_H]],NOTA[[#This Row],[HARGA/ CTN]]*IF(NOTA[[#This Row],[C]]="",0,NOTA[[#This Row],[C]]))</f>
        <v>1590000</v>
      </c>
      <c r="Y388" s="50">
        <f>IF(NOTA[[#This Row],[JUMLAH]]="","",NOTA[[#This Row],[JUMLAH]]*NOTA[[#This Row],[DISC 1]])</f>
        <v>270300</v>
      </c>
      <c r="Z388" s="50">
        <f>IF(NOTA[[#This Row],[JUMLAH]]="","",(NOTA[[#This Row],[JUMLAH]]-NOTA[[#This Row],[DISC 1-]])*NOTA[[#This Row],[DISC 2]])</f>
        <v>0</v>
      </c>
      <c r="AA388" s="50">
        <f>IF(NOTA[[#This Row],[JUMLAH]]="","",(NOTA[[#This Row],[JUMLAH]]-NOTA[[#This Row],[DISC 1-]]-NOTA[[#This Row],[DISC 2-]])*NOTA[[#This Row],[DISC 3]])</f>
        <v>0</v>
      </c>
      <c r="AB388" s="50">
        <f>IF(NOTA[[#This Row],[JUMLAH]]="","",NOTA[[#This Row],[DISC 1-]]+NOTA[[#This Row],[DISC 2-]]+NOTA[[#This Row],[DISC 3-]])</f>
        <v>270300</v>
      </c>
      <c r="AC388" s="50">
        <f>IF(NOTA[[#This Row],[JUMLAH]]="","",NOTA[[#This Row],[JUMLAH]]-NOTA[[#This Row],[DISC]])</f>
        <v>1319700</v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388" s="50" t="str">
        <f>IF(OR(NOTA[[#This Row],[QTY]]="",NOTA[[#This Row],[HARGA SATUAN]]="",),"",NOTA[[#This Row],[QTY]]*NOTA[[#This Row],[HARGA SATUAN]])</f>
        <v/>
      </c>
      <c r="AI388" s="39">
        <f ca="1">IF(NOTA[ID_H]="","",INDEX(NOTA[TANGGAL],MATCH(,INDIRECT(ADDRESS(ROW(NOTA[TANGGAL]),COLUMN(NOTA[TANGGAL]))&amp;":"&amp;ADDRESS(ROW(),COLUMN(NOTA[TANGGAL]))),-1)))</f>
        <v>45306</v>
      </c>
      <c r="AJ388" s="41" t="str">
        <f ca="1">IF(NOTA[[#This Row],[NAMA BARANG]]="","",INDEX(NOTA[SUPPLIER],MATCH(,INDIRECT(ADDRESS(ROW(NOTA[ID]),COLUMN(NOTA[ID]))&amp;":"&amp;ADDRESS(ROW(),COLUMN(NOTA[ID]))),-1)))</f>
        <v>KENKO SINAR INDONESIA</v>
      </c>
      <c r="AK388" s="41" t="str">
        <f ca="1">IF(NOTA[[#This Row],[ID_H]]="","",IF(NOTA[[#This Row],[FAKTUR]]="",INDIRECT(ADDRESS(ROW()-1,COLUMN())),NOTA[[#This Row],[FAKTUR]]))</f>
        <v>ARTO MORO</v>
      </c>
      <c r="AL388" s="38" t="str">
        <f ca="1">IF(NOTA[[#This Row],[ID]]="","",COUNTIF(NOTA[ID_H],NOTA[[#This Row],[ID_H]]))</f>
        <v/>
      </c>
      <c r="AM388" s="38">
        <f ca="1">IF(NOTA[[#This Row],[TGL.NOTA]]="",IF(NOTA[[#This Row],[SUPPLIER_H]]="","",AM387),MONTH(NOTA[[#This Row],[TGL.NOTA]]))</f>
        <v>1</v>
      </c>
      <c r="AN388" s="38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>
        <f>IF(NOTA[[#This Row],[CONCAT1]]="","",MATCH(NOTA[[#This Row],[CONCAT1]],[3]!db[NB NOTA_C],0))</f>
        <v>1498</v>
      </c>
      <c r="AT388" s="38" t="str">
        <f>IF(NOTA[[#This Row],[QTY/ CTN]]="","",TRUE)</f>
        <v/>
      </c>
      <c r="AU388" s="38" t="str">
        <f ca="1">IF(NOTA[[#This Row],[ID_H]]="","",IF(NOTA[[#This Row],[Column3]]=TRUE,NOTA[[#This Row],[QTY/ CTN]],INDEX([3]!db[QTY/ CTN],NOTA[[#This Row],[//DB]])))</f>
        <v>50 GRS</v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W388" s="38" t="e">
        <f ca="1">IF(NOTA[[#This Row],[ID_H]]="","",MATCH(NOTA[[#This Row],[NB NOTA_C_QTY]],[4]!db[NB NOTA_C_QTY+F],0))</f>
        <v>#REF!</v>
      </c>
      <c r="AX388" s="53">
        <f ca="1">IF(NOTA[[#This Row],[NB NOTA_C_QTY]]="","",ROW()-2)</f>
        <v>386</v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63</v>
      </c>
      <c r="E389" s="46"/>
      <c r="F389" s="37"/>
      <c r="G389" s="37"/>
      <c r="H389" s="47"/>
      <c r="I389" s="37"/>
      <c r="J389" s="39"/>
      <c r="K389" s="37">
        <v>0</v>
      </c>
      <c r="L389" s="37" t="s">
        <v>520</v>
      </c>
      <c r="M389" s="40">
        <v>1</v>
      </c>
      <c r="O389" s="37"/>
      <c r="P389" s="41"/>
      <c r="Q389" s="42">
        <v>7430400</v>
      </c>
      <c r="R389" s="48"/>
      <c r="S389" s="49">
        <v>0.17</v>
      </c>
      <c r="T389" s="44"/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7430400</v>
      </c>
      <c r="Y389" s="50">
        <f>IF(NOTA[[#This Row],[JUMLAH]]="","",NOTA[[#This Row],[JUMLAH]]*NOTA[[#This Row],[DISC 1]])</f>
        <v>1263168</v>
      </c>
      <c r="Z389" s="50">
        <f>IF(NOTA[[#This Row],[JUMLAH]]="","",(NOTA[[#This Row],[JUMLAH]]-NOTA[[#This Row],[DISC 1-]])*NOTA[[#This Row],[DISC 2]])</f>
        <v>0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1263168</v>
      </c>
      <c r="AC389" s="50">
        <f>IF(NOTA[[#This Row],[JUMLAH]]="","",NOTA[[#This Row],[JUMLAH]]-NOTA[[#This Row],[DISC]])</f>
        <v>6167232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7430400</v>
      </c>
      <c r="AH389" s="50" t="str">
        <f>IF(OR(NOTA[[#This Row],[QTY]]="",NOTA[[#This Row],[HARGA SATUAN]]="",),"",NOTA[[#This Row],[QTY]]*NOTA[[#This Row],[HARGA SATUAN]])</f>
        <v/>
      </c>
      <c r="AI389" s="39">
        <f ca="1">IF(NOTA[ID_H]="","",INDEX(NOTA[TANGGAL],MATCH(,INDIRECT(ADDRESS(ROW(NOTA[TANGGAL]),COLUMN(NOTA[TANGGAL]))&amp;":"&amp;ADDRESS(ROW(),COLUMN(NOTA[TANGGAL]))),-1)))</f>
        <v>45306</v>
      </c>
      <c r="AJ389" s="41" t="str">
        <f ca="1">IF(NOTA[[#This Row],[NAMA BARANG]]="","",INDEX(NOTA[SUPPLIER],MATCH(,INDIRECT(ADDRESS(ROW(NOTA[ID]),COLUMN(NOTA[ID]))&amp;":"&amp;ADDRESS(ROW(),COLUMN(NOTA[ID]))),-1)))</f>
        <v>KENKO SINAR INDONESIA</v>
      </c>
      <c r="AK389" s="41" t="str">
        <f ca="1">IF(NOTA[[#This Row],[ID_H]]="","",IF(NOTA[[#This Row],[FAKTUR]]="",INDIRECT(ADDRESS(ROW()-1,COLUMN())),NOTA[[#This Row],[FAKTUR]]))</f>
        <v>ARTO MORO</v>
      </c>
      <c r="AL389" s="38" t="str">
        <f ca="1">IF(NOTA[[#This Row],[ID]]="","",COUNTIF(NOTA[ID_H],NOTA[[#This Row],[ID_H]]))</f>
        <v/>
      </c>
      <c r="AM389" s="38">
        <f ca="1">IF(NOTA[[#This Row],[TGL.NOTA]]="",IF(NOTA[[#This Row],[SUPPLIER_H]]="","",AM388),MONTH(NOTA[[#This Row],[TGL.NOTA]]))</f>
        <v>1</v>
      </c>
      <c r="AN389" s="38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kenkomechanicalpencilmp0105mm74304000.17</v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kenkomechanicalpencilmp0105mm74304000.17</v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>
        <f>IF(NOTA[[#This Row],[CONCAT1]]="","",MATCH(NOTA[[#This Row],[CONCAT1]],[3]!db[NB NOTA_C],0))</f>
        <v>1694</v>
      </c>
      <c r="AT389" s="38" t="str">
        <f>IF(NOTA[[#This Row],[QTY/ CTN]]="","",TRUE)</f>
        <v/>
      </c>
      <c r="AU389" s="38" t="str">
        <f ca="1">IF(NOTA[[#This Row],[ID_H]]="","",IF(NOTA[[#This Row],[Column3]]=TRUE,NOTA[[#This Row],[QTY/ CTN]],INDEX([3]!db[QTY/ CTN],NOTA[[#This Row],[//DB]])))</f>
        <v>144 LSN</v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kenkomechanicalpencilmp0105mm144lsnartomoro</v>
      </c>
      <c r="AW389" s="38" t="e">
        <f ca="1">IF(NOTA[[#This Row],[ID_H]]="","",MATCH(NOTA[[#This Row],[NB NOTA_C_QTY]],[4]!db[NB NOTA_C_QTY+F],0))</f>
        <v>#REF!</v>
      </c>
      <c r="AX389" s="53">
        <f ca="1">IF(NOTA[[#This Row],[NB NOTA_C_QTY]]="","",ROW()-2)</f>
        <v>387</v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63</v>
      </c>
      <c r="E390" s="46"/>
      <c r="F390" s="37"/>
      <c r="G390" s="37"/>
      <c r="H390" s="47"/>
      <c r="I390" s="37"/>
      <c r="J390" s="39"/>
      <c r="K390" s="37">
        <v>0</v>
      </c>
      <c r="L390" s="37" t="s">
        <v>521</v>
      </c>
      <c r="M390" s="40">
        <v>1</v>
      </c>
      <c r="O390" s="37"/>
      <c r="P390" s="41"/>
      <c r="Q390" s="42">
        <v>1740000</v>
      </c>
      <c r="R390" s="48"/>
      <c r="S390" s="49">
        <v>0.17</v>
      </c>
      <c r="T390" s="44"/>
      <c r="U390" s="44"/>
      <c r="V390" s="50"/>
      <c r="W390" s="45"/>
      <c r="X390" s="50">
        <f>IF(NOTA[[#This Row],[HARGA/ CTN]]="",NOTA[[#This Row],[JUMLAH_H]],NOTA[[#This Row],[HARGA/ CTN]]*IF(NOTA[[#This Row],[C]]="",0,NOTA[[#This Row],[C]]))</f>
        <v>1740000</v>
      </c>
      <c r="Y390" s="50">
        <f>IF(NOTA[[#This Row],[JUMLAH]]="","",NOTA[[#This Row],[JUMLAH]]*NOTA[[#This Row],[DISC 1]])</f>
        <v>295800</v>
      </c>
      <c r="Z390" s="50">
        <f>IF(NOTA[[#This Row],[JUMLAH]]="","",(NOTA[[#This Row],[JUMLAH]]-NOTA[[#This Row],[DISC 1-]])*NOTA[[#This Row],[DISC 2]])</f>
        <v>0</v>
      </c>
      <c r="AA390" s="50">
        <f>IF(NOTA[[#This Row],[JUMLAH]]="","",(NOTA[[#This Row],[JUMLAH]]-NOTA[[#This Row],[DISC 1-]]-NOTA[[#This Row],[DISC 2-]])*NOTA[[#This Row],[DISC 3]])</f>
        <v>0</v>
      </c>
      <c r="AB390" s="50">
        <f>IF(NOTA[[#This Row],[JUMLAH]]="","",NOTA[[#This Row],[DISC 1-]]+NOTA[[#This Row],[DISC 2-]]+NOTA[[#This Row],[DISC 3-]])</f>
        <v>295800</v>
      </c>
      <c r="AC390" s="50">
        <f>IF(NOTA[[#This Row],[JUMLAH]]="","",NOTA[[#This Row],[JUMLAH]]-NOTA[[#This Row],[DISC]])</f>
        <v>1444200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390" s="50" t="str">
        <f>IF(OR(NOTA[[#This Row],[QTY]]="",NOTA[[#This Row],[HARGA SATUAN]]="",),"",NOTA[[#This Row],[QTY]]*NOTA[[#This Row],[HARGA SATUAN]])</f>
        <v/>
      </c>
      <c r="AI390" s="39">
        <f ca="1">IF(NOTA[ID_H]="","",INDEX(NOTA[TANGGAL],MATCH(,INDIRECT(ADDRESS(ROW(NOTA[TANGGAL]),COLUMN(NOTA[TANGGAL]))&amp;":"&amp;ADDRESS(ROW(),COLUMN(NOTA[TANGGAL]))),-1)))</f>
        <v>45306</v>
      </c>
      <c r="AJ390" s="41" t="str">
        <f ca="1">IF(NOTA[[#This Row],[NAMA BARANG]]="","",INDEX(NOTA[SUPPLIER],MATCH(,INDIRECT(ADDRESS(ROW(NOTA[ID]),COLUMN(NOTA[ID]))&amp;":"&amp;ADDRESS(ROW(),COLUMN(NOTA[ID]))),-1)))</f>
        <v>KENKO SINAR INDONESIA</v>
      </c>
      <c r="AK390" s="41" t="str">
        <f ca="1">IF(NOTA[[#This Row],[ID_H]]="","",IF(NOTA[[#This Row],[FAKTUR]]="",INDIRECT(ADDRESS(ROW()-1,COLUMN())),NOTA[[#This Row],[FAKTUR]]))</f>
        <v>ARTO MORO</v>
      </c>
      <c r="AL390" s="38" t="str">
        <f ca="1">IF(NOTA[[#This Row],[ID]]="","",COUNTIF(NOTA[ID_H],NOTA[[#This Row],[ID_H]]))</f>
        <v/>
      </c>
      <c r="AM390" s="38">
        <f ca="1">IF(NOTA[[#This Row],[TGL.NOTA]]="",IF(NOTA[[#This Row],[SUPPLIER_H]]="","",AM389),MONTH(NOTA[[#This Row],[TGL.NOTA]]))</f>
        <v>1</v>
      </c>
      <c r="AN390" s="38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>
        <f>IF(NOTA[[#This Row],[CONCAT1]]="","",MATCH(NOTA[[#This Row],[CONCAT1]],[3]!db[NB NOTA_C],0))</f>
        <v>1784</v>
      </c>
      <c r="AT390" s="38" t="str">
        <f>IF(NOTA[[#This Row],[QTY/ CTN]]="","",TRUE)</f>
        <v/>
      </c>
      <c r="AU390" s="38" t="str">
        <f ca="1">IF(NOTA[[#This Row],[ID_H]]="","",IF(NOTA[[#This Row],[Column3]]=TRUE,NOTA[[#This Row],[QTY/ CTN]],INDEX([3]!db[QTY/ CTN],NOTA[[#This Row],[//DB]])))</f>
        <v>25 LSN</v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W390" s="38" t="e">
        <f ca="1">IF(NOTA[[#This Row],[ID_H]]="","",MATCH(NOTA[[#This Row],[NB NOTA_C_QTY]],[4]!db[NB NOTA_C_QTY+F],0))</f>
        <v>#REF!</v>
      </c>
      <c r="AX390" s="53">
        <f ca="1">IF(NOTA[[#This Row],[NB NOTA_C_QTY]]="","",ROW()-2)</f>
        <v>388</v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63</v>
      </c>
      <c r="E391" s="46"/>
      <c r="F391" s="37"/>
      <c r="G391" s="37"/>
      <c r="H391" s="47"/>
      <c r="I391" s="37"/>
      <c r="J391" s="39"/>
      <c r="K391" s="37">
        <v>0</v>
      </c>
      <c r="L391" s="37" t="s">
        <v>522</v>
      </c>
      <c r="M391" s="40">
        <v>1</v>
      </c>
      <c r="O391" s="37"/>
      <c r="P391" s="41"/>
      <c r="Q391" s="42">
        <v>2160000</v>
      </c>
      <c r="R391" s="48"/>
      <c r="S391" s="49">
        <v>0.17</v>
      </c>
      <c r="T391" s="44"/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2160000</v>
      </c>
      <c r="Y391" s="50">
        <f>IF(NOTA[[#This Row],[JUMLAH]]="","",NOTA[[#This Row],[JUMLAH]]*NOTA[[#This Row],[DISC 1]])</f>
        <v>367200</v>
      </c>
      <c r="Z391" s="50">
        <f>IF(NOTA[[#This Row],[JUMLAH]]="","",(NOTA[[#This Row],[JUMLAH]]-NOTA[[#This Row],[DISC 1-]])*NOTA[[#This Row],[DISC 2]])</f>
        <v>0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367200</v>
      </c>
      <c r="AC391" s="50">
        <f>IF(NOTA[[#This Row],[JUMLAH]]="","",NOTA[[#This Row],[JUMLAH]]-NOTA[[#This Row],[DISC]])</f>
        <v>1792800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391" s="50" t="str">
        <f>IF(OR(NOTA[[#This Row],[QTY]]="",NOTA[[#This Row],[HARGA SATUAN]]="",),"",NOTA[[#This Row],[QTY]]*NOTA[[#This Row],[HARGA SATUAN]])</f>
        <v/>
      </c>
      <c r="AI391" s="39">
        <f ca="1">IF(NOTA[ID_H]="","",INDEX(NOTA[TANGGAL],MATCH(,INDIRECT(ADDRESS(ROW(NOTA[TANGGAL]),COLUMN(NOTA[TANGGAL]))&amp;":"&amp;ADDRESS(ROW(),COLUMN(NOTA[TANGGAL]))),-1)))</f>
        <v>45306</v>
      </c>
      <c r="AJ391" s="41" t="str">
        <f ca="1">IF(NOTA[[#This Row],[NAMA BARANG]]="","",INDEX(NOTA[SUPPLIER],MATCH(,INDIRECT(ADDRESS(ROW(NOTA[ID]),COLUMN(NOTA[ID]))&amp;":"&amp;ADDRESS(ROW(),COLUMN(NOTA[ID]))),-1)))</f>
        <v>KENKO SINAR INDONESIA</v>
      </c>
      <c r="AK391" s="41" t="str">
        <f ca="1">IF(NOTA[[#This Row],[ID_H]]="","",IF(NOTA[[#This Row],[FAKTUR]]="",INDIRECT(ADDRESS(ROW()-1,COLUMN())),NOTA[[#This Row],[FAKTUR]]))</f>
        <v>ARTO MORO</v>
      </c>
      <c r="AL391" s="38" t="str">
        <f ca="1">IF(NOTA[[#This Row],[ID]]="","",COUNTIF(NOTA[ID_H],NOTA[[#This Row],[ID_H]]))</f>
        <v/>
      </c>
      <c r="AM391" s="38">
        <f ca="1">IF(NOTA[[#This Row],[TGL.NOTA]]="",IF(NOTA[[#This Row],[SUPPLIER_H]]="","",AM390),MONTH(NOTA[[#This Row],[TGL.NOTA]]))</f>
        <v>1</v>
      </c>
      <c r="AN391" s="38" t="str">
        <f>LOWER(SUBSTITUTE(SUBSTITUTE(SUBSTITUTE(SUBSTITUTE(SUBSTITUTE(SUBSTITUTE(SUBSTITUTE(SUBSTITUTE(SUBSTITUTE(NOTA[NAMA BARANG]," ",),".",""),"-",""),"(",""),")",""),",",""),"/",""),"""",""),"+",""))</f>
        <v>kenkoheavydutystaplerhd12l24</v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kenkoheavydutystaplerhd12l2421600000.17</v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kenkoheavydutystaplerhd12l2421600000.17</v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>
        <f>IF(NOTA[[#This Row],[CONCAT1]]="","",MATCH(NOTA[[#This Row],[CONCAT1]],[3]!db[NB NOTA_C],0))</f>
        <v>1670</v>
      </c>
      <c r="AT391" s="38" t="str">
        <f>IF(NOTA[[#This Row],[QTY/ CTN]]="","",TRUE)</f>
        <v/>
      </c>
      <c r="AU391" s="38" t="str">
        <f ca="1">IF(NOTA[[#This Row],[ID_H]]="","",IF(NOTA[[#This Row],[Column3]]=TRUE,NOTA[[#This Row],[QTY/ CTN]],INDEX([3]!db[QTY/ CTN],NOTA[[#This Row],[//DB]])))</f>
        <v>6 PCS</v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kenkoheavydutystaplerhd12l246pcsartomoro</v>
      </c>
      <c r="AW391" s="38" t="e">
        <f ca="1">IF(NOTA[[#This Row],[ID_H]]="","",MATCH(NOTA[[#This Row],[NB NOTA_C_QTY]],[4]!db[NB NOTA_C_QTY+F],0))</f>
        <v>#REF!</v>
      </c>
      <c r="AX391" s="53">
        <f ca="1">IF(NOTA[[#This Row],[NB NOTA_C_QTY]]="","",ROW()-2)</f>
        <v>389</v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63</v>
      </c>
      <c r="E392" s="46"/>
      <c r="F392" s="37"/>
      <c r="G392" s="37"/>
      <c r="H392" s="47"/>
      <c r="I392" s="37"/>
      <c r="J392" s="39"/>
      <c r="K392" s="37">
        <v>0</v>
      </c>
      <c r="L392" s="37" t="s">
        <v>523</v>
      </c>
      <c r="M392" s="40">
        <v>5</v>
      </c>
      <c r="O392" s="37"/>
      <c r="P392" s="41"/>
      <c r="Q392" s="42">
        <v>3758400</v>
      </c>
      <c r="R392" s="48"/>
      <c r="S392" s="49">
        <v>0.17</v>
      </c>
      <c r="T392" s="44"/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18792000</v>
      </c>
      <c r="Y392" s="50">
        <f>IF(NOTA[[#This Row],[JUMLAH]]="","",NOTA[[#This Row],[JUMLAH]]*NOTA[[#This Row],[DISC 1]])</f>
        <v>3194640</v>
      </c>
      <c r="Z392" s="50">
        <f>IF(NOTA[[#This Row],[JUMLAH]]="","",(NOTA[[#This Row],[JUMLAH]]-NOTA[[#This Row],[DISC 1-]])*NOTA[[#This Row],[DISC 2]])</f>
        <v>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3194640</v>
      </c>
      <c r="AC392" s="50">
        <f>IF(NOTA[[#This Row],[JUMLAH]]="","",NOTA[[#This Row],[JUMLAH]]-NOTA[[#This Row],[DISC]])</f>
        <v>15597360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92" s="50" t="str">
        <f>IF(OR(NOTA[[#This Row],[QTY]]="",NOTA[[#This Row],[HARGA SATUAN]]="",),"",NOTA[[#This Row],[QTY]]*NOTA[[#This Row],[HARGA SATUAN]])</f>
        <v/>
      </c>
      <c r="AI392" s="39">
        <f ca="1">IF(NOTA[ID_H]="","",INDEX(NOTA[TANGGAL],MATCH(,INDIRECT(ADDRESS(ROW(NOTA[TANGGAL]),COLUMN(NOTA[TANGGAL]))&amp;":"&amp;ADDRESS(ROW(),COLUMN(NOTA[TANGGAL]))),-1)))</f>
        <v>45306</v>
      </c>
      <c r="AJ392" s="41" t="str">
        <f ca="1">IF(NOTA[[#This Row],[NAMA BARANG]]="","",INDEX(NOTA[SUPPLIER],MATCH(,INDIRECT(ADDRESS(ROW(NOTA[ID]),COLUMN(NOTA[ID]))&amp;":"&amp;ADDRESS(ROW(),COLUMN(NOTA[ID]))),-1)))</f>
        <v>KENKO SINAR INDONESIA</v>
      </c>
      <c r="AK392" s="41" t="str">
        <f ca="1">IF(NOTA[[#This Row],[ID_H]]="","",IF(NOTA[[#This Row],[FAKTUR]]="",INDIRECT(ADDRESS(ROW()-1,COLUMN())),NOTA[[#This Row],[FAKTUR]]))</f>
        <v>ARTO MORO</v>
      </c>
      <c r="AL392" s="38" t="str">
        <f ca="1">IF(NOTA[[#This Row],[ID]]="","",COUNTIF(NOTA[ID_H],NOTA[[#This Row],[ID_H]]))</f>
        <v/>
      </c>
      <c r="AM392" s="38">
        <f ca="1">IF(NOTA[[#This Row],[TGL.NOTA]]="",IF(NOTA[[#This Row],[SUPPLIER_H]]="","",AM391),MONTH(NOTA[[#This Row],[TGL.NOTA]]))</f>
        <v>1</v>
      </c>
      <c r="AN392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>
        <f>IF(NOTA[[#This Row],[CONCAT1]]="","",MATCH(NOTA[[#This Row],[CONCAT1]],[3]!db[NB NOTA_C],0))</f>
        <v>1615</v>
      </c>
      <c r="AT392" s="38" t="str">
        <f>IF(NOTA[[#This Row],[QTY/ CTN]]="","",TRUE)</f>
        <v/>
      </c>
      <c r="AU392" s="38" t="str">
        <f ca="1">IF(NOTA[[#This Row],[ID_H]]="","",IF(NOTA[[#This Row],[Column3]]=TRUE,NOTA[[#This Row],[QTY/ CTN]],INDEX([3]!db[QTY/ CTN],NOTA[[#This Row],[//DB]])))</f>
        <v>144 LSN</v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392" s="38" t="e">
        <f ca="1">IF(NOTA[[#This Row],[ID_H]]="","",MATCH(NOTA[[#This Row],[NB NOTA_C_QTY]],[4]!db[NB NOTA_C_QTY+F],0))</f>
        <v>#REF!</v>
      </c>
      <c r="AX392" s="53">
        <f ca="1">IF(NOTA[[#This Row],[NB NOTA_C_QTY]]="","",ROW()-2)</f>
        <v>390</v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63</v>
      </c>
      <c r="E393" s="46"/>
      <c r="F393" s="37"/>
      <c r="G393" s="37"/>
      <c r="H393" s="47"/>
      <c r="I393" s="37"/>
      <c r="J393" s="39"/>
      <c r="K393" s="37">
        <v>0</v>
      </c>
      <c r="L393" s="37" t="s">
        <v>524</v>
      </c>
      <c r="M393" s="40">
        <v>1</v>
      </c>
      <c r="O393" s="37"/>
      <c r="P393" s="41"/>
      <c r="Q393" s="42">
        <v>3758400</v>
      </c>
      <c r="R393" s="48"/>
      <c r="S393" s="49">
        <v>0.17</v>
      </c>
      <c r="T393" s="44"/>
      <c r="U393" s="44"/>
      <c r="V393" s="50"/>
      <c r="W393" s="45"/>
      <c r="X393" s="50">
        <f>IF(NOTA[[#This Row],[HARGA/ CTN]]="",NOTA[[#This Row],[JUMLAH_H]],NOTA[[#This Row],[HARGA/ CTN]]*IF(NOTA[[#This Row],[C]]="",0,NOTA[[#This Row],[C]]))</f>
        <v>3758400</v>
      </c>
      <c r="Y393" s="50">
        <f>IF(NOTA[[#This Row],[JUMLAH]]="","",NOTA[[#This Row],[JUMLAH]]*NOTA[[#This Row],[DISC 1]])</f>
        <v>638928</v>
      </c>
      <c r="Z393" s="50">
        <f>IF(NOTA[[#This Row],[JUMLAH]]="","",(NOTA[[#This Row],[JUMLAH]]-NOTA[[#This Row],[DISC 1-]])*NOTA[[#This Row],[DISC 2]])</f>
        <v>0</v>
      </c>
      <c r="AA393" s="50">
        <f>IF(NOTA[[#This Row],[JUMLAH]]="","",(NOTA[[#This Row],[JUMLAH]]-NOTA[[#This Row],[DISC 1-]]-NOTA[[#This Row],[DISC 2-]])*NOTA[[#This Row],[DISC 3]])</f>
        <v>0</v>
      </c>
      <c r="AB393" s="50">
        <f>IF(NOTA[[#This Row],[JUMLAH]]="","",NOTA[[#This Row],[DISC 1-]]+NOTA[[#This Row],[DISC 2-]]+NOTA[[#This Row],[DISC 3-]])</f>
        <v>638928</v>
      </c>
      <c r="AC393" s="50">
        <f>IF(NOTA[[#This Row],[JUMLAH]]="","",NOTA[[#This Row],[JUMLAH]]-NOTA[[#This Row],[DISC]])</f>
        <v>3119472</v>
      </c>
      <c r="AD393" s="50"/>
      <c r="AE3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11050680</v>
      </c>
      <c r="AF3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53953320</v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93" s="50" t="str">
        <f>IF(OR(NOTA[[#This Row],[QTY]]="",NOTA[[#This Row],[HARGA SATUAN]]="",),"",NOTA[[#This Row],[QTY]]*NOTA[[#This Row],[HARGA SATUAN]])</f>
        <v/>
      </c>
      <c r="AI393" s="39">
        <f ca="1">IF(NOTA[ID_H]="","",INDEX(NOTA[TANGGAL],MATCH(,INDIRECT(ADDRESS(ROW(NOTA[TANGGAL]),COLUMN(NOTA[TANGGAL]))&amp;":"&amp;ADDRESS(ROW(),COLUMN(NOTA[TANGGAL]))),-1)))</f>
        <v>45306</v>
      </c>
      <c r="AJ393" s="41" t="str">
        <f ca="1">IF(NOTA[[#This Row],[NAMA BARANG]]="","",INDEX(NOTA[SUPPLIER],MATCH(,INDIRECT(ADDRESS(ROW(NOTA[ID]),COLUMN(NOTA[ID]))&amp;":"&amp;ADDRESS(ROW(),COLUMN(NOTA[ID]))),-1)))</f>
        <v>KENKO SINAR INDONESIA</v>
      </c>
      <c r="AK393" s="41" t="str">
        <f ca="1">IF(NOTA[[#This Row],[ID_H]]="","",IF(NOTA[[#This Row],[FAKTUR]]="",INDIRECT(ADDRESS(ROW()-1,COLUMN())),NOTA[[#This Row],[FAKTUR]]))</f>
        <v>ARTO MORO</v>
      </c>
      <c r="AL393" s="38" t="str">
        <f ca="1">IF(NOTA[[#This Row],[ID]]="","",COUNTIF(NOTA[ID_H],NOTA[[#This Row],[ID_H]]))</f>
        <v/>
      </c>
      <c r="AM393" s="38">
        <f ca="1">IF(NOTA[[#This Row],[TGL.NOTA]]="",IF(NOTA[[#This Row],[SUPPLIER_H]]="","",AM392),MONTH(NOTA[[#This Row],[TGL.NOTA]]))</f>
        <v>1</v>
      </c>
      <c r="AN393" s="38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kenkogelpeneasygelblue37584000.17</v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kenkogelpeneasygelblue37584000.17</v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>
        <f>IF(NOTA[[#This Row],[CONCAT1]]="","",MATCH(NOTA[[#This Row],[CONCAT1]],[3]!db[NB NOTA_C],0))</f>
        <v>1616</v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>144 LSN</v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kenkogelpeneasygelblue144lsnartomoro</v>
      </c>
      <c r="AW393" s="38" t="e">
        <f ca="1">IF(NOTA[[#This Row],[ID_H]]="","",MATCH(NOTA[[#This Row],[NB NOTA_C_QTY]],[4]!db[NB NOTA_C_QTY+F],0))</f>
        <v>#REF!</v>
      </c>
      <c r="AX393" s="53">
        <f ca="1">IF(NOTA[[#This Row],[NB NOTA_C_QTY]]="","",ROW()-2)</f>
        <v>391</v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 t="str">
        <f ca="1">IF(NOTA[[#This Row],[NAMA BARANG]]="","",INDEX(NOTA[ID],MATCH(,INDIRECT(ADDRESS(ROW(NOTA[ID]),COLUMN(NOTA[ID]))&amp;":"&amp;ADDRESS(ROW(),COLUMN(NOTA[ID]))),-1)))</f>
        <v/>
      </c>
      <c r="E394" s="46"/>
      <c r="F394" s="37"/>
      <c r="G394" s="37"/>
      <c r="H394" s="47"/>
      <c r="I394" s="37"/>
      <c r="J394" s="39"/>
      <c r="K394" s="37"/>
      <c r="L394" s="37"/>
      <c r="M394" s="40"/>
      <c r="O394" s="37"/>
      <c r="P394" s="41"/>
      <c r="Q394" s="42"/>
      <c r="R394" s="48"/>
      <c r="S394" s="49"/>
      <c r="T394" s="44"/>
      <c r="U394" s="44"/>
      <c r="V394" s="50"/>
      <c r="W394" s="45"/>
      <c r="X394" s="50" t="str">
        <f>IF(NOTA[[#This Row],[HARGA/ CTN]]="",NOTA[[#This Row],[JUMLAH_H]],NOTA[[#This Row],[HARGA/ CTN]]*IF(NOTA[[#This Row],[C]]="",0,NOTA[[#This Row],[C]]))</f>
        <v/>
      </c>
      <c r="Y394" s="50" t="str">
        <f>IF(NOTA[[#This Row],[JUMLAH]]="","",NOTA[[#This Row],[JUMLAH]]*NOTA[[#This Row],[DISC 1]])</f>
        <v/>
      </c>
      <c r="Z394" s="50" t="str">
        <f>IF(NOTA[[#This Row],[JUMLAH]]="","",(NOTA[[#This Row],[JUMLAH]]-NOTA[[#This Row],[DISC 1-]])*NOTA[[#This Row],[DISC 2]])</f>
        <v/>
      </c>
      <c r="AA394" s="50" t="str">
        <f>IF(NOTA[[#This Row],[JUMLAH]]="","",(NOTA[[#This Row],[JUMLAH]]-NOTA[[#This Row],[DISC 1-]]-NOTA[[#This Row],[DISC 2-]])*NOTA[[#This Row],[DISC 3]])</f>
        <v/>
      </c>
      <c r="AB394" s="50" t="str">
        <f>IF(NOTA[[#This Row],[JUMLAH]]="","",NOTA[[#This Row],[DISC 1-]]+NOTA[[#This Row],[DISC 2-]]+NOTA[[#This Row],[DISC 3-]])</f>
        <v/>
      </c>
      <c r="AC394" s="50" t="str">
        <f>IF(NOTA[[#This Row],[JUMLAH]]="","",NOTA[[#This Row],[JUMLAH]]-NOTA[[#This Row],[DISC]])</f>
        <v/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4" s="50" t="str">
        <f>IF(OR(NOTA[[#This Row],[QTY]]="",NOTA[[#This Row],[HARGA SATUAN]]="",),"",NOTA[[#This Row],[QTY]]*NOTA[[#This Row],[HARGA SATUAN]])</f>
        <v/>
      </c>
      <c r="AI394" s="39" t="str">
        <f ca="1">IF(NOTA[ID_H]="","",INDEX(NOTA[TANGGAL],MATCH(,INDIRECT(ADDRESS(ROW(NOTA[TANGGAL]),COLUMN(NOTA[TANGGAL]))&amp;":"&amp;ADDRESS(ROW(),COLUMN(NOTA[TANGGAL]))),-1)))</f>
        <v/>
      </c>
      <c r="AJ394" s="41" t="str">
        <f ca="1">IF(NOTA[[#This Row],[NAMA BARANG]]="","",INDEX(NOTA[SUPPLIER],MATCH(,INDIRECT(ADDRESS(ROW(NOTA[ID]),COLUMN(NOTA[ID]))&amp;":"&amp;ADDRESS(ROW(),COLUMN(NOTA[ID]))),-1)))</f>
        <v/>
      </c>
      <c r="AK394" s="41" t="str">
        <f ca="1">IF(NOTA[[#This Row],[ID_H]]="","",IF(NOTA[[#This Row],[FAKTUR]]="",INDIRECT(ADDRESS(ROW()-1,COLUMN())),NOTA[[#This Row],[FAKTUR]]))</f>
        <v/>
      </c>
      <c r="AL394" s="38" t="str">
        <f ca="1">IF(NOTA[[#This Row],[ID]]="","",COUNTIF(NOTA[ID_H],NOTA[[#This Row],[ID_H]]))</f>
        <v/>
      </c>
      <c r="AM394" s="38" t="str">
        <f ca="1">IF(NOTA[[#This Row],[TGL.NOTA]]="",IF(NOTA[[#This Row],[SUPPLIER_H]]="","",AM393),MONTH(NOTA[[#This Row],[TGL.NOTA]]))</f>
        <v/>
      </c>
      <c r="AN394" s="38" t="str">
        <f>LOWER(SUBSTITUTE(SUBSTITUTE(SUBSTITUTE(SUBSTITUTE(SUBSTITUTE(SUBSTITUTE(SUBSTITUTE(SUBSTITUTE(SUBSTITUTE(NOTA[NAMA BARANG]," ",),".",""),"-",""),"(",""),")",""),",",""),"/",""),"""",""),"+",""))</f>
        <v/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 t="str">
        <f>IF(NOTA[[#This Row],[CONCAT1]]="","",MATCH(NOTA[[#This Row],[CONCAT1]],[3]!db[NB NOTA_C],0))</f>
        <v/>
      </c>
      <c r="AT394" s="38" t="str">
        <f>IF(NOTA[[#This Row],[QTY/ CTN]]="","",TRUE)</f>
        <v/>
      </c>
      <c r="AU394" s="38" t="str">
        <f ca="1">IF(NOTA[[#This Row],[ID_H]]="","",IF(NOTA[[#This Row],[Column3]]=TRUE,NOTA[[#This Row],[QTY/ CTN]],INDEX([3]!db[QTY/ CTN],NOTA[[#This Row],[//DB]])))</f>
        <v/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4" s="38" t="str">
        <f ca="1">IF(NOTA[[#This Row],[ID_H]]="","",MATCH(NOTA[[#This Row],[NB NOTA_C_QTY]],[4]!db[NB NOTA_C_QTY+F],0))</f>
        <v/>
      </c>
      <c r="AX394" s="53" t="str">
        <f ca="1">IF(NOTA[[#This Row],[NB NOTA_C_QTY]]="","",ROW()-2)</f>
        <v/>
      </c>
    </row>
    <row r="395" spans="1:50" s="38" customFormat="1" ht="20.100000000000001" customHeight="1" x14ac:dyDescent="0.25">
      <c r="A395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KEN_1501_711-10</v>
      </c>
      <c r="C395" s="38" t="e">
        <f ca="1">IF(NOTA[[#This Row],[ID_P]]="","",MATCH(NOTA[[#This Row],[ID_P]],[1]!B_MSK[N_ID],0))</f>
        <v>#REF!</v>
      </c>
      <c r="D395" s="38">
        <f ca="1">IF(NOTA[[#This Row],[NAMA BARANG]]="","",INDEX(NOTA[ID],MATCH(,INDIRECT(ADDRESS(ROW(NOTA[ID]),COLUMN(NOTA[ID]))&amp;":"&amp;ADDRESS(ROW(),COLUMN(NOTA[ID]))),-1)))</f>
        <v>64</v>
      </c>
      <c r="E395" s="46">
        <v>45306</v>
      </c>
      <c r="F395" s="37" t="s">
        <v>22</v>
      </c>
      <c r="G395" s="37" t="s">
        <v>23</v>
      </c>
      <c r="H395" s="47" t="s">
        <v>533</v>
      </c>
      <c r="I395" s="37"/>
      <c r="J395" s="39">
        <v>45304</v>
      </c>
      <c r="K395" s="37">
        <v>0</v>
      </c>
      <c r="L395" s="37" t="s">
        <v>525</v>
      </c>
      <c r="M395" s="40">
        <v>1</v>
      </c>
      <c r="O395" s="37"/>
      <c r="P395" s="41"/>
      <c r="Q395" s="42">
        <v>2980800</v>
      </c>
      <c r="R395" s="48"/>
      <c r="S395" s="49">
        <v>0.17</v>
      </c>
      <c r="T395" s="44"/>
      <c r="U395" s="44"/>
      <c r="V395" s="50"/>
      <c r="W395" s="45"/>
      <c r="X395" s="50">
        <f>IF(NOTA[[#This Row],[HARGA/ CTN]]="",NOTA[[#This Row],[JUMLAH_H]],NOTA[[#This Row],[HARGA/ CTN]]*IF(NOTA[[#This Row],[C]]="",0,NOTA[[#This Row],[C]]))</f>
        <v>2980800</v>
      </c>
      <c r="Y395" s="50">
        <f>IF(NOTA[[#This Row],[JUMLAH]]="","",NOTA[[#This Row],[JUMLAH]]*NOTA[[#This Row],[DISC 1]])</f>
        <v>506736.00000000006</v>
      </c>
      <c r="Z395" s="50">
        <f>IF(NOTA[[#This Row],[JUMLAH]]="","",(NOTA[[#This Row],[JUMLAH]]-NOTA[[#This Row],[DISC 1-]])*NOTA[[#This Row],[DISC 2]])</f>
        <v>0</v>
      </c>
      <c r="AA395" s="50">
        <f>IF(NOTA[[#This Row],[JUMLAH]]="","",(NOTA[[#This Row],[JUMLAH]]-NOTA[[#This Row],[DISC 1-]]-NOTA[[#This Row],[DISC 2-]])*NOTA[[#This Row],[DISC 3]])</f>
        <v>0</v>
      </c>
      <c r="AB395" s="50">
        <f>IF(NOTA[[#This Row],[JUMLAH]]="","",NOTA[[#This Row],[DISC 1-]]+NOTA[[#This Row],[DISC 2-]]+NOTA[[#This Row],[DISC 3-]])</f>
        <v>506736.00000000006</v>
      </c>
      <c r="AC395" s="50">
        <f>IF(NOTA[[#This Row],[JUMLAH]]="","",NOTA[[#This Row],[JUMLAH]]-NOTA[[#This Row],[DISC]])</f>
        <v>2474064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95" s="50" t="str">
        <f>IF(OR(NOTA[[#This Row],[QTY]]="",NOTA[[#This Row],[HARGA SATUAN]]="",),"",NOTA[[#This Row],[QTY]]*NOTA[[#This Row],[HARGA SATUAN]])</f>
        <v/>
      </c>
      <c r="AI395" s="39">
        <f ca="1">IF(NOTA[ID_H]="","",INDEX(NOTA[TANGGAL],MATCH(,INDIRECT(ADDRESS(ROW(NOTA[TANGGAL]),COLUMN(NOTA[TANGGAL]))&amp;":"&amp;ADDRESS(ROW(),COLUMN(NOTA[TANGGAL]))),-1)))</f>
        <v>45306</v>
      </c>
      <c r="AJ395" s="41" t="str">
        <f ca="1">IF(NOTA[[#This Row],[NAMA BARANG]]="","",INDEX(NOTA[SUPPLIER],MATCH(,INDIRECT(ADDRESS(ROW(NOTA[ID]),COLUMN(NOTA[ID]))&amp;":"&amp;ADDRESS(ROW(),COLUMN(NOTA[ID]))),-1)))</f>
        <v>KENKO SINAR INDONESIA</v>
      </c>
      <c r="AK395" s="41" t="str">
        <f ca="1">IF(NOTA[[#This Row],[ID_H]]="","",IF(NOTA[[#This Row],[FAKTUR]]="",INDIRECT(ADDRESS(ROW()-1,COLUMN())),NOTA[[#This Row],[FAKTUR]]))</f>
        <v>ARTO MORO</v>
      </c>
      <c r="AL395" s="38">
        <f ca="1">IF(NOTA[[#This Row],[ID]]="","",COUNTIF(NOTA[ID_H],NOTA[[#This Row],[ID_H]]))</f>
        <v>10</v>
      </c>
      <c r="AM395" s="38">
        <f>IF(NOTA[[#This Row],[TGL.NOTA]]="",IF(NOTA[[#This Row],[SUPPLIER_H]]="","",AM394),MONTH(NOTA[[#This Row],[TGL.NOTA]]))</f>
        <v>1</v>
      </c>
      <c r="AN395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MORO2401071145304kenko24colorpencilcp24fclassic</v>
      </c>
      <c r="AR395" s="38" t="e">
        <f>IF(NOTA[[#This Row],[CONCAT4]]="","",_xlfn.IFNA(MATCH(NOTA[[#This Row],[CONCAT4]],[2]!RAW[CONCAT_H],0),FALSE))</f>
        <v>#REF!</v>
      </c>
      <c r="AS395" s="38">
        <f>IF(NOTA[[#This Row],[CONCAT1]]="","",MATCH(NOTA[[#This Row],[CONCAT1]],[3]!db[NB NOTA_C],0))</f>
        <v>1488</v>
      </c>
      <c r="AT395" s="38" t="str">
        <f>IF(NOTA[[#This Row],[QTY/ CTN]]="","",TRUE)</f>
        <v/>
      </c>
      <c r="AU395" s="38" t="str">
        <f ca="1">IF(NOTA[[#This Row],[ID_H]]="","",IF(NOTA[[#This Row],[Column3]]=TRUE,NOTA[[#This Row],[QTY/ CTN]],INDEX([3]!db[QTY/ CTN],NOTA[[#This Row],[//DB]])))</f>
        <v>24 BOX (6 SET)</v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395" s="38" t="e">
        <f ca="1">IF(NOTA[[#This Row],[ID_H]]="","",MATCH(NOTA[[#This Row],[NB NOTA_C_QTY]],[4]!db[NB NOTA_C_QTY+F],0))</f>
        <v>#REF!</v>
      </c>
      <c r="AX395" s="53">
        <f ca="1">IF(NOTA[[#This Row],[NB NOTA_C_QTY]]="","",ROW()-2)</f>
        <v>393</v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64</v>
      </c>
      <c r="E396" s="46"/>
      <c r="F396" s="37"/>
      <c r="G396" s="37"/>
      <c r="H396" s="47"/>
      <c r="I396" s="37"/>
      <c r="J396" s="39"/>
      <c r="K396" s="37">
        <v>6</v>
      </c>
      <c r="L396" s="37" t="s">
        <v>527</v>
      </c>
      <c r="M396" s="40">
        <v>15</v>
      </c>
      <c r="O396" s="37"/>
      <c r="P396" s="41"/>
      <c r="Q396" s="42">
        <v>5616000</v>
      </c>
      <c r="R396" s="48"/>
      <c r="S396" s="49">
        <v>0.17</v>
      </c>
      <c r="T396" s="44"/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84240000</v>
      </c>
      <c r="Y396" s="50">
        <f>IF(NOTA[[#This Row],[JUMLAH]]="","",NOTA[[#This Row],[JUMLAH]]*NOTA[[#This Row],[DISC 1]])</f>
        <v>14320800.000000002</v>
      </c>
      <c r="Z396" s="50">
        <f>IF(NOTA[[#This Row],[JUMLAH]]="","",(NOTA[[#This Row],[JUMLAH]]-NOTA[[#This Row],[DISC 1-]])*NOTA[[#This Row],[DISC 2]])</f>
        <v>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14320800.000000002</v>
      </c>
      <c r="AC396" s="50">
        <f>IF(NOTA[[#This Row],[JUMLAH]]="","",NOTA[[#This Row],[JUMLAH]]-NOTA[[#This Row],[DISC]])</f>
        <v>69919200</v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396" s="50" t="str">
        <f>IF(OR(NOTA[[#This Row],[QTY]]="",NOTA[[#This Row],[HARGA SATUAN]]="",),"",NOTA[[#This Row],[QTY]]*NOTA[[#This Row],[HARGA SATUAN]])</f>
        <v/>
      </c>
      <c r="AI396" s="39">
        <f ca="1">IF(NOTA[ID_H]="","",INDEX(NOTA[TANGGAL],MATCH(,INDIRECT(ADDRESS(ROW(NOTA[TANGGAL]),COLUMN(NOTA[TANGGAL]))&amp;":"&amp;ADDRESS(ROW(),COLUMN(NOTA[TANGGAL]))),-1)))</f>
        <v>45306</v>
      </c>
      <c r="AJ396" s="41" t="str">
        <f ca="1">IF(NOTA[[#This Row],[NAMA BARANG]]="","",INDEX(NOTA[SUPPLIER],MATCH(,INDIRECT(ADDRESS(ROW(NOTA[ID]),COLUMN(NOTA[ID]))&amp;":"&amp;ADDRESS(ROW(),COLUMN(NOTA[ID]))),-1)))</f>
        <v>KENKO SINAR INDONESIA</v>
      </c>
      <c r="AK396" s="41" t="str">
        <f ca="1">IF(NOTA[[#This Row],[ID_H]]="","",IF(NOTA[[#This Row],[FAKTUR]]="",INDIRECT(ADDRESS(ROW()-1,COLUMN())),NOTA[[#This Row],[FAKTUR]]))</f>
        <v>ARTO MORO</v>
      </c>
      <c r="AL396" s="38" t="str">
        <f ca="1">IF(NOTA[[#This Row],[ID]]="","",COUNTIF(NOTA[ID_H],NOTA[[#This Row],[ID_H]]))</f>
        <v/>
      </c>
      <c r="AM396" s="38">
        <f ca="1">IF(NOTA[[#This Row],[TGL.NOTA]]="",IF(NOTA[[#This Row],[SUPPLIER_H]]="","",AM395),MONTH(NOTA[[#This Row],[TGL.NOTA]]))</f>
        <v>1</v>
      </c>
      <c r="AN39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>
        <f>IF(NOTA[[#This Row],[CONCAT1]]="","",MATCH(NOTA[[#This Row],[CONCAT1]],[3]!db[NB NOTA_C],0))</f>
        <v>1621</v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>144 LSN</v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396" s="38" t="e">
        <f ca="1">IF(NOTA[[#This Row],[ID_H]]="","",MATCH(NOTA[[#This Row],[NB NOTA_C_QTY]],[4]!db[NB NOTA_C_QTY+F],0))</f>
        <v>#REF!</v>
      </c>
      <c r="AX396" s="53">
        <f ca="1">IF(NOTA[[#This Row],[NB NOTA_C_QTY]]="","",ROW()-2)</f>
        <v>394</v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64</v>
      </c>
      <c r="E397" s="46"/>
      <c r="F397" s="37"/>
      <c r="G397" s="37"/>
      <c r="H397" s="47"/>
      <c r="I397" s="37"/>
      <c r="J397" s="39"/>
      <c r="K397" s="37">
        <v>0</v>
      </c>
      <c r="L397" s="37" t="s">
        <v>526</v>
      </c>
      <c r="M397" s="40">
        <v>4</v>
      </c>
      <c r="O397" s="37"/>
      <c r="P397" s="41"/>
      <c r="Q397" s="42">
        <v>5616000</v>
      </c>
      <c r="R397" s="48"/>
      <c r="S397" s="49">
        <v>0.17</v>
      </c>
      <c r="T397" s="44"/>
      <c r="U397" s="44"/>
      <c r="V397" s="50"/>
      <c r="W397" s="45"/>
      <c r="X397" s="50">
        <f>IF(NOTA[[#This Row],[HARGA/ CTN]]="",NOTA[[#This Row],[JUMLAH_H]],NOTA[[#This Row],[HARGA/ CTN]]*IF(NOTA[[#This Row],[C]]="",0,NOTA[[#This Row],[C]]))</f>
        <v>22464000</v>
      </c>
      <c r="Y397" s="50">
        <f>IF(NOTA[[#This Row],[JUMLAH]]="","",NOTA[[#This Row],[JUMLAH]]*NOTA[[#This Row],[DISC 1]])</f>
        <v>3818880.0000000005</v>
      </c>
      <c r="Z397" s="50">
        <f>IF(NOTA[[#This Row],[JUMLAH]]="","",(NOTA[[#This Row],[JUMLAH]]-NOTA[[#This Row],[DISC 1-]])*NOTA[[#This Row],[DISC 2]])</f>
        <v>0</v>
      </c>
      <c r="AA397" s="50">
        <f>IF(NOTA[[#This Row],[JUMLAH]]="","",(NOTA[[#This Row],[JUMLAH]]-NOTA[[#This Row],[DISC 1-]]-NOTA[[#This Row],[DISC 2-]])*NOTA[[#This Row],[DISC 3]])</f>
        <v>0</v>
      </c>
      <c r="AB397" s="50">
        <f>IF(NOTA[[#This Row],[JUMLAH]]="","",NOTA[[#This Row],[DISC 1-]]+NOTA[[#This Row],[DISC 2-]]+NOTA[[#This Row],[DISC 3-]])</f>
        <v>3818880.0000000005</v>
      </c>
      <c r="AC397" s="50">
        <f>IF(NOTA[[#This Row],[JUMLAH]]="","",NOTA[[#This Row],[JUMLAH]]-NOTA[[#This Row],[DISC]])</f>
        <v>18645120</v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397" s="50" t="str">
        <f>IF(OR(NOTA[[#This Row],[QTY]]="",NOTA[[#This Row],[HARGA SATUAN]]="",),"",NOTA[[#This Row],[QTY]]*NOTA[[#This Row],[HARGA SATUAN]])</f>
        <v/>
      </c>
      <c r="AI397" s="39">
        <f ca="1">IF(NOTA[ID_H]="","",INDEX(NOTA[TANGGAL],MATCH(,INDIRECT(ADDRESS(ROW(NOTA[TANGGAL]),COLUMN(NOTA[TANGGAL]))&amp;":"&amp;ADDRESS(ROW(),COLUMN(NOTA[TANGGAL]))),-1)))</f>
        <v>45306</v>
      </c>
      <c r="AJ397" s="41" t="str">
        <f ca="1">IF(NOTA[[#This Row],[NAMA BARANG]]="","",INDEX(NOTA[SUPPLIER],MATCH(,INDIRECT(ADDRESS(ROW(NOTA[ID]),COLUMN(NOTA[ID]))&amp;":"&amp;ADDRESS(ROW(),COLUMN(NOTA[ID]))),-1)))</f>
        <v>KENKO SINAR INDONESIA</v>
      </c>
      <c r="AK397" s="41" t="str">
        <f ca="1">IF(NOTA[[#This Row],[ID_H]]="","",IF(NOTA[[#This Row],[FAKTUR]]="",INDIRECT(ADDRESS(ROW()-1,COLUMN())),NOTA[[#This Row],[FAKTUR]]))</f>
        <v>ARTO MORO</v>
      </c>
      <c r="AL397" s="38" t="str">
        <f ca="1">IF(NOTA[[#This Row],[ID]]="","",COUNTIF(NOTA[ID_H],NOTA[[#This Row],[ID_H]]))</f>
        <v/>
      </c>
      <c r="AM397" s="38">
        <f ca="1">IF(NOTA[[#This Row],[TGL.NOTA]]="",IF(NOTA[[#This Row],[SUPPLIER_H]]="","",AM396),MONTH(NOTA[[#This Row],[TGL.NOTA]]))</f>
        <v>1</v>
      </c>
      <c r="AN397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>
        <f>IF(NOTA[[#This Row],[CONCAT1]]="","",MATCH(NOTA[[#This Row],[CONCAT1]],[3]!db[NB NOTA_C],0))</f>
        <v>1622</v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>144 LSN</v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397" s="38" t="e">
        <f ca="1">IF(NOTA[[#This Row],[ID_H]]="","",MATCH(NOTA[[#This Row],[NB NOTA_C_QTY]],[4]!db[NB NOTA_C_QTY+F],0))</f>
        <v>#REF!</v>
      </c>
      <c r="AX397" s="53">
        <f ca="1">IF(NOTA[[#This Row],[NB NOTA_C_QTY]]="","",ROW()-2)</f>
        <v>395</v>
      </c>
    </row>
    <row r="398" spans="1:50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64</v>
      </c>
      <c r="E398" s="46"/>
      <c r="F398" s="37"/>
      <c r="G398" s="37"/>
      <c r="H398" s="47"/>
      <c r="I398" s="37"/>
      <c r="J398" s="39"/>
      <c r="K398" s="37">
        <v>0</v>
      </c>
      <c r="L398" s="37" t="s">
        <v>528</v>
      </c>
      <c r="M398" s="40">
        <v>2</v>
      </c>
      <c r="O398" s="37"/>
      <c r="P398" s="41"/>
      <c r="Q398" s="42">
        <v>1380000</v>
      </c>
      <c r="R398" s="48"/>
      <c r="S398" s="49">
        <v>0.17</v>
      </c>
      <c r="T398" s="44"/>
      <c r="U398" s="44"/>
      <c r="V398" s="50"/>
      <c r="W398" s="45"/>
      <c r="X398" s="50">
        <f>IF(NOTA[[#This Row],[HARGA/ CTN]]="",NOTA[[#This Row],[JUMLAH_H]],NOTA[[#This Row],[HARGA/ CTN]]*IF(NOTA[[#This Row],[C]]="",0,NOTA[[#This Row],[C]]))</f>
        <v>2760000</v>
      </c>
      <c r="Y398" s="50">
        <f>IF(NOTA[[#This Row],[JUMLAH]]="","",NOTA[[#This Row],[JUMLAH]]*NOTA[[#This Row],[DISC 1]])</f>
        <v>469200.00000000006</v>
      </c>
      <c r="Z398" s="50">
        <f>IF(NOTA[[#This Row],[JUMLAH]]="","",(NOTA[[#This Row],[JUMLAH]]-NOTA[[#This Row],[DISC 1-]])*NOTA[[#This Row],[DISC 2]])</f>
        <v>0</v>
      </c>
      <c r="AA398" s="50">
        <f>IF(NOTA[[#This Row],[JUMLAH]]="","",(NOTA[[#This Row],[JUMLAH]]-NOTA[[#This Row],[DISC 1-]]-NOTA[[#This Row],[DISC 2-]])*NOTA[[#This Row],[DISC 3]])</f>
        <v>0</v>
      </c>
      <c r="AB398" s="50">
        <f>IF(NOTA[[#This Row],[JUMLAH]]="","",NOTA[[#This Row],[DISC 1-]]+NOTA[[#This Row],[DISC 2-]]+NOTA[[#This Row],[DISC 3-]])</f>
        <v>469200.00000000006</v>
      </c>
      <c r="AC398" s="50">
        <f>IF(NOTA[[#This Row],[JUMLAH]]="","",NOTA[[#This Row],[JUMLAH]]-NOTA[[#This Row],[DISC]])</f>
        <v>2290800</v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398" s="50" t="str">
        <f>IF(OR(NOTA[[#This Row],[QTY]]="",NOTA[[#This Row],[HARGA SATUAN]]="",),"",NOTA[[#This Row],[QTY]]*NOTA[[#This Row],[HARGA SATUAN]])</f>
        <v/>
      </c>
      <c r="AI398" s="39">
        <f ca="1">IF(NOTA[ID_H]="","",INDEX(NOTA[TANGGAL],MATCH(,INDIRECT(ADDRESS(ROW(NOTA[TANGGAL]),COLUMN(NOTA[TANGGAL]))&amp;":"&amp;ADDRESS(ROW(),COLUMN(NOTA[TANGGAL]))),-1)))</f>
        <v>45306</v>
      </c>
      <c r="AJ398" s="41" t="str">
        <f ca="1">IF(NOTA[[#This Row],[NAMA BARANG]]="","",INDEX(NOTA[SUPPLIER],MATCH(,INDIRECT(ADDRESS(ROW(NOTA[ID]),COLUMN(NOTA[ID]))&amp;":"&amp;ADDRESS(ROW(),COLUMN(NOTA[ID]))),-1)))</f>
        <v>KENKO SINAR INDONESIA</v>
      </c>
      <c r="AK398" s="41" t="str">
        <f ca="1">IF(NOTA[[#This Row],[ID_H]]="","",IF(NOTA[[#This Row],[FAKTUR]]="",INDIRECT(ADDRESS(ROW()-1,COLUMN())),NOTA[[#This Row],[FAKTUR]]))</f>
        <v>ARTO MORO</v>
      </c>
      <c r="AL398" s="38" t="str">
        <f ca="1">IF(NOTA[[#This Row],[ID]]="","",COUNTIF(NOTA[ID_H],NOTA[[#This Row],[ID_H]]))</f>
        <v/>
      </c>
      <c r="AM398" s="38">
        <f ca="1">IF(NOTA[[#This Row],[TGL.NOTA]]="",IF(NOTA[[#This Row],[SUPPLIER_H]]="","",AM397),MONTH(NOTA[[#This Row],[TGL.NOTA]]))</f>
        <v>1</v>
      </c>
      <c r="AN398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38" t="str">
        <f>IF(NOTA[[#This Row],[CONCAT4]]="","",_xlfn.IFNA(MATCH(NOTA[[#This Row],[CONCAT4]],[2]!RAW[CONCAT_H],0),FALSE))</f>
        <v/>
      </c>
      <c r="AS398" s="38">
        <f>IF(NOTA[[#This Row],[CONCAT1]]="","",MATCH(NOTA[[#This Row],[CONCAT1]],[3]!db[NB NOTA_C],0))</f>
        <v>1500</v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>20 GRS</v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398" s="38" t="e">
        <f ca="1">IF(NOTA[[#This Row],[ID_H]]="","",MATCH(NOTA[[#This Row],[NB NOTA_C_QTY]],[4]!db[NB NOTA_C_QTY+F],0))</f>
        <v>#REF!</v>
      </c>
      <c r="AX398" s="53">
        <f ca="1">IF(NOTA[[#This Row],[NB NOTA_C_QTY]]="","",ROW()-2)</f>
        <v>396</v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64</v>
      </c>
      <c r="E399" s="46"/>
      <c r="F399" s="37"/>
      <c r="G399" s="37"/>
      <c r="H399" s="47"/>
      <c r="I399" s="37"/>
      <c r="J399" s="39"/>
      <c r="K399" s="37">
        <v>0</v>
      </c>
      <c r="L399" s="37" t="s">
        <v>125</v>
      </c>
      <c r="M399" s="40">
        <v>4</v>
      </c>
      <c r="O399" s="37"/>
      <c r="P399" s="41"/>
      <c r="Q399" s="42">
        <v>1954800</v>
      </c>
      <c r="R399" s="48"/>
      <c r="S399" s="49">
        <v>0.17</v>
      </c>
      <c r="T399" s="44"/>
      <c r="U399" s="44"/>
      <c r="V399" s="50"/>
      <c r="W399" s="45"/>
      <c r="X399" s="50">
        <f>IF(NOTA[[#This Row],[HARGA/ CTN]]="",NOTA[[#This Row],[JUMLAH_H]],NOTA[[#This Row],[HARGA/ CTN]]*IF(NOTA[[#This Row],[C]]="",0,NOTA[[#This Row],[C]]))</f>
        <v>7819200</v>
      </c>
      <c r="Y399" s="50">
        <f>IF(NOTA[[#This Row],[JUMLAH]]="","",NOTA[[#This Row],[JUMLAH]]*NOTA[[#This Row],[DISC 1]])</f>
        <v>1329264</v>
      </c>
      <c r="Z399" s="50">
        <f>IF(NOTA[[#This Row],[JUMLAH]]="","",(NOTA[[#This Row],[JUMLAH]]-NOTA[[#This Row],[DISC 1-]])*NOTA[[#This Row],[DISC 2]])</f>
        <v>0</v>
      </c>
      <c r="AA399" s="50">
        <f>IF(NOTA[[#This Row],[JUMLAH]]="","",(NOTA[[#This Row],[JUMLAH]]-NOTA[[#This Row],[DISC 1-]]-NOTA[[#This Row],[DISC 2-]])*NOTA[[#This Row],[DISC 3]])</f>
        <v>0</v>
      </c>
      <c r="AB399" s="50">
        <f>IF(NOTA[[#This Row],[JUMLAH]]="","",NOTA[[#This Row],[DISC 1-]]+NOTA[[#This Row],[DISC 2-]]+NOTA[[#This Row],[DISC 3-]])</f>
        <v>1329264</v>
      </c>
      <c r="AC399" s="50">
        <f>IF(NOTA[[#This Row],[JUMLAH]]="","",NOTA[[#This Row],[JUMLAH]]-NOTA[[#This Row],[DISC]])</f>
        <v>6489936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99" s="50" t="str">
        <f>IF(OR(NOTA[[#This Row],[QTY]]="",NOTA[[#This Row],[HARGA SATUAN]]="",),"",NOTA[[#This Row],[QTY]]*NOTA[[#This Row],[HARGA SATUAN]])</f>
        <v/>
      </c>
      <c r="AI399" s="39">
        <f ca="1">IF(NOTA[ID_H]="","",INDEX(NOTA[TANGGAL],MATCH(,INDIRECT(ADDRESS(ROW(NOTA[TANGGAL]),COLUMN(NOTA[TANGGAL]))&amp;":"&amp;ADDRESS(ROW(),COLUMN(NOTA[TANGGAL]))),-1)))</f>
        <v>45306</v>
      </c>
      <c r="AJ399" s="41" t="str">
        <f ca="1">IF(NOTA[[#This Row],[NAMA BARANG]]="","",INDEX(NOTA[SUPPLIER],MATCH(,INDIRECT(ADDRESS(ROW(NOTA[ID]),COLUMN(NOTA[ID]))&amp;":"&amp;ADDRESS(ROW(),COLUMN(NOTA[ID]))),-1)))</f>
        <v>KENKO SINAR INDONESIA</v>
      </c>
      <c r="AK399" s="41" t="str">
        <f ca="1">IF(NOTA[[#This Row],[ID_H]]="","",IF(NOTA[[#This Row],[FAKTUR]]="",INDIRECT(ADDRESS(ROW()-1,COLUMN())),NOTA[[#This Row],[FAKTUR]]))</f>
        <v>ARTO MORO</v>
      </c>
      <c r="AL399" s="38" t="str">
        <f ca="1">IF(NOTA[[#This Row],[ID]]="","",COUNTIF(NOTA[ID_H],NOTA[[#This Row],[ID_H]]))</f>
        <v/>
      </c>
      <c r="AM399" s="38">
        <f ca="1">IF(NOTA[[#This Row],[TGL.NOTA]]="",IF(NOTA[[#This Row],[SUPPLIER_H]]="","",AM398),MONTH(NOTA[[#This Row],[TGL.NOTA]]))</f>
        <v>1</v>
      </c>
      <c r="AN39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>
        <f>IF(NOTA[[#This Row],[CONCAT1]]="","",MATCH(NOTA[[#This Row],[CONCAT1]],[3]!db[NB NOTA_C],0))</f>
        <v>1558</v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>36 LSN</v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99" s="38" t="e">
        <f ca="1">IF(NOTA[[#This Row],[ID_H]]="","",MATCH(NOTA[[#This Row],[NB NOTA_C_QTY]],[4]!db[NB NOTA_C_QTY+F],0))</f>
        <v>#REF!</v>
      </c>
      <c r="AX399" s="53">
        <f ca="1">IF(NOTA[[#This Row],[NB NOTA_C_QTY]]="","",ROW()-2)</f>
        <v>397</v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64</v>
      </c>
      <c r="E400" s="46"/>
      <c r="F400" s="37"/>
      <c r="G400" s="37"/>
      <c r="H400" s="47"/>
      <c r="I400" s="37"/>
      <c r="J400" s="39"/>
      <c r="K400" s="37">
        <v>0</v>
      </c>
      <c r="L400" s="37" t="s">
        <v>523</v>
      </c>
      <c r="M400" s="40">
        <v>1</v>
      </c>
      <c r="O400" s="37"/>
      <c r="P400" s="41"/>
      <c r="Q400" s="42">
        <v>3758400</v>
      </c>
      <c r="R400" s="48"/>
      <c r="S400" s="49">
        <v>0.17</v>
      </c>
      <c r="T400" s="44"/>
      <c r="U400" s="44"/>
      <c r="V400" s="50"/>
      <c r="W400" s="45"/>
      <c r="X400" s="50">
        <f>IF(NOTA[[#This Row],[HARGA/ CTN]]="",NOTA[[#This Row],[JUMLAH_H]],NOTA[[#This Row],[HARGA/ CTN]]*IF(NOTA[[#This Row],[C]]="",0,NOTA[[#This Row],[C]]))</f>
        <v>3758400</v>
      </c>
      <c r="Y400" s="50">
        <f>IF(NOTA[[#This Row],[JUMLAH]]="","",NOTA[[#This Row],[JUMLAH]]*NOTA[[#This Row],[DISC 1]])</f>
        <v>638928</v>
      </c>
      <c r="Z400" s="50">
        <f>IF(NOTA[[#This Row],[JUMLAH]]="","",(NOTA[[#This Row],[JUMLAH]]-NOTA[[#This Row],[DISC 1-]])*NOTA[[#This Row],[DISC 2]])</f>
        <v>0</v>
      </c>
      <c r="AA400" s="50">
        <f>IF(NOTA[[#This Row],[JUMLAH]]="","",(NOTA[[#This Row],[JUMLAH]]-NOTA[[#This Row],[DISC 1-]]-NOTA[[#This Row],[DISC 2-]])*NOTA[[#This Row],[DISC 3]])</f>
        <v>0</v>
      </c>
      <c r="AB400" s="50">
        <f>IF(NOTA[[#This Row],[JUMLAH]]="","",NOTA[[#This Row],[DISC 1-]]+NOTA[[#This Row],[DISC 2-]]+NOTA[[#This Row],[DISC 3-]])</f>
        <v>638928</v>
      </c>
      <c r="AC400" s="50">
        <f>IF(NOTA[[#This Row],[JUMLAH]]="","",NOTA[[#This Row],[JUMLAH]]-NOTA[[#This Row],[DISC]])</f>
        <v>3119472</v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400" s="50" t="str">
        <f>IF(OR(NOTA[[#This Row],[QTY]]="",NOTA[[#This Row],[HARGA SATUAN]]="",),"",NOTA[[#This Row],[QTY]]*NOTA[[#This Row],[HARGA SATUAN]])</f>
        <v/>
      </c>
      <c r="AI400" s="39">
        <f ca="1">IF(NOTA[ID_H]="","",INDEX(NOTA[TANGGAL],MATCH(,INDIRECT(ADDRESS(ROW(NOTA[TANGGAL]),COLUMN(NOTA[TANGGAL]))&amp;":"&amp;ADDRESS(ROW(),COLUMN(NOTA[TANGGAL]))),-1)))</f>
        <v>45306</v>
      </c>
      <c r="AJ400" s="41" t="str">
        <f ca="1">IF(NOTA[[#This Row],[NAMA BARANG]]="","",INDEX(NOTA[SUPPLIER],MATCH(,INDIRECT(ADDRESS(ROW(NOTA[ID]),COLUMN(NOTA[ID]))&amp;":"&amp;ADDRESS(ROW(),COLUMN(NOTA[ID]))),-1)))</f>
        <v>KENKO SINAR INDONESIA</v>
      </c>
      <c r="AK400" s="41" t="str">
        <f ca="1">IF(NOTA[[#This Row],[ID_H]]="","",IF(NOTA[[#This Row],[FAKTUR]]="",INDIRECT(ADDRESS(ROW()-1,COLUMN())),NOTA[[#This Row],[FAKTUR]]))</f>
        <v>ARTO MORO</v>
      </c>
      <c r="AL400" s="38" t="str">
        <f ca="1">IF(NOTA[[#This Row],[ID]]="","",COUNTIF(NOTA[ID_H],NOTA[[#This Row],[ID_H]]))</f>
        <v/>
      </c>
      <c r="AM400" s="38">
        <f ca="1">IF(NOTA[[#This Row],[TGL.NOTA]]="",IF(NOTA[[#This Row],[SUPPLIER_H]]="","",AM399),MONTH(NOTA[[#This Row],[TGL.NOTA]]))</f>
        <v>1</v>
      </c>
      <c r="AN400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>
        <f>IF(NOTA[[#This Row],[CONCAT1]]="","",MATCH(NOTA[[#This Row],[CONCAT1]],[3]!db[NB NOTA_C],0))</f>
        <v>1615</v>
      </c>
      <c r="AT400" s="38" t="str">
        <f>IF(NOTA[[#This Row],[QTY/ CTN]]="","",TRUE)</f>
        <v/>
      </c>
      <c r="AU400" s="38" t="str">
        <f ca="1">IF(NOTA[[#This Row],[ID_H]]="","",IF(NOTA[[#This Row],[Column3]]=TRUE,NOTA[[#This Row],[QTY/ CTN]],INDEX([3]!db[QTY/ CTN],NOTA[[#This Row],[//DB]])))</f>
        <v>144 LSN</v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400" s="38" t="e">
        <f ca="1">IF(NOTA[[#This Row],[ID_H]]="","",MATCH(NOTA[[#This Row],[NB NOTA_C_QTY]],[4]!db[NB NOTA_C_QTY+F],0))</f>
        <v>#REF!</v>
      </c>
      <c r="AX400" s="53">
        <f ca="1">IF(NOTA[[#This Row],[NB NOTA_C_QTY]]="","",ROW()-2)</f>
        <v>398</v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>
        <f ca="1">IF(NOTA[[#This Row],[NAMA BARANG]]="","",INDEX(NOTA[ID],MATCH(,INDIRECT(ADDRESS(ROW(NOTA[ID]),COLUMN(NOTA[ID]))&amp;":"&amp;ADDRESS(ROW(),COLUMN(NOTA[ID]))),-1)))</f>
        <v>64</v>
      </c>
      <c r="E401" s="46"/>
      <c r="F401" s="37"/>
      <c r="G401" s="37"/>
      <c r="H401" s="47"/>
      <c r="I401" s="37"/>
      <c r="J401" s="39"/>
      <c r="K401" s="37">
        <v>0</v>
      </c>
      <c r="L401" s="37" t="s">
        <v>529</v>
      </c>
      <c r="M401" s="40">
        <v>1</v>
      </c>
      <c r="O401" s="37"/>
      <c r="P401" s="41"/>
      <c r="Q401" s="42">
        <v>2995200</v>
      </c>
      <c r="R401" s="48"/>
      <c r="S401" s="49">
        <v>0.17</v>
      </c>
      <c r="T401" s="44"/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2995200</v>
      </c>
      <c r="Y401" s="50">
        <f>IF(NOTA[[#This Row],[JUMLAH]]="","",NOTA[[#This Row],[JUMLAH]]*NOTA[[#This Row],[DISC 1]])</f>
        <v>509184.00000000006</v>
      </c>
      <c r="Z401" s="50">
        <f>IF(NOTA[[#This Row],[JUMLAH]]="","",(NOTA[[#This Row],[JUMLAH]]-NOTA[[#This Row],[DISC 1-]])*NOTA[[#This Row],[DISC 2]])</f>
        <v>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509184.00000000006</v>
      </c>
      <c r="AC401" s="50">
        <f>IF(NOTA[[#This Row],[JUMLAH]]="","",NOTA[[#This Row],[JUMLAH]]-NOTA[[#This Row],[DISC]])</f>
        <v>2486016</v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H401" s="50" t="str">
        <f>IF(OR(NOTA[[#This Row],[QTY]]="",NOTA[[#This Row],[HARGA SATUAN]]="",),"",NOTA[[#This Row],[QTY]]*NOTA[[#This Row],[HARGA SATUAN]])</f>
        <v/>
      </c>
      <c r="AI401" s="39">
        <f ca="1">IF(NOTA[ID_H]="","",INDEX(NOTA[TANGGAL],MATCH(,INDIRECT(ADDRESS(ROW(NOTA[TANGGAL]),COLUMN(NOTA[TANGGAL]))&amp;":"&amp;ADDRESS(ROW(),COLUMN(NOTA[TANGGAL]))),-1)))</f>
        <v>45306</v>
      </c>
      <c r="AJ401" s="41" t="str">
        <f ca="1">IF(NOTA[[#This Row],[NAMA BARANG]]="","",INDEX(NOTA[SUPPLIER],MATCH(,INDIRECT(ADDRESS(ROW(NOTA[ID]),COLUMN(NOTA[ID]))&amp;":"&amp;ADDRESS(ROW(),COLUMN(NOTA[ID]))),-1)))</f>
        <v>KENKO SINAR INDONESIA</v>
      </c>
      <c r="AK401" s="41" t="str">
        <f ca="1">IF(NOTA[[#This Row],[ID_H]]="","",IF(NOTA[[#This Row],[FAKTUR]]="",INDIRECT(ADDRESS(ROW()-1,COLUMN())),NOTA[[#This Row],[FAKTUR]]))</f>
        <v>ARTO MORO</v>
      </c>
      <c r="AL401" s="38" t="str">
        <f ca="1">IF(NOTA[[#This Row],[ID]]="","",COUNTIF(NOTA[ID_H],NOTA[[#This Row],[ID_H]]))</f>
        <v/>
      </c>
      <c r="AM401" s="38">
        <f ca="1">IF(NOTA[[#This Row],[TGL.NOTA]]="",IF(NOTA[[#This Row],[SUPPLIER_H]]="","",AM400),MONTH(NOTA[[#This Row],[TGL.NOTA]]))</f>
        <v>1</v>
      </c>
      <c r="AN401" s="3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>
        <f>IF(NOTA[[#This Row],[CONCAT1]]="","",MATCH(NOTA[[#This Row],[CONCAT1]],[3]!db[NB NOTA_C],0))</f>
        <v>1592</v>
      </c>
      <c r="AT401" s="38" t="str">
        <f>IF(NOTA[[#This Row],[QTY/ CTN]]="","",TRUE)</f>
        <v/>
      </c>
      <c r="AU401" s="38" t="str">
        <f ca="1">IF(NOTA[[#This Row],[ID_H]]="","",IF(NOTA[[#This Row],[Column3]]=TRUE,NOTA[[#This Row],[QTY/ CTN]],INDEX([3]!db[QTY/ CTN],NOTA[[#This Row],[//DB]])))</f>
        <v>48 LSN</v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kenkocorrectiontapect90612mx5mm48lsnartomoro</v>
      </c>
      <c r="AW401" s="38" t="e">
        <f ca="1">IF(NOTA[[#This Row],[ID_H]]="","",MATCH(NOTA[[#This Row],[NB NOTA_C_QTY]],[4]!db[NB NOTA_C_QTY+F],0))</f>
        <v>#REF!</v>
      </c>
      <c r="AX401" s="53">
        <f ca="1">IF(NOTA[[#This Row],[NB NOTA_C_QTY]]="","",ROW()-2)</f>
        <v>399</v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>
        <f ca="1">IF(NOTA[[#This Row],[NAMA BARANG]]="","",INDEX(NOTA[ID],MATCH(,INDIRECT(ADDRESS(ROW(NOTA[ID]),COLUMN(NOTA[ID]))&amp;":"&amp;ADDRESS(ROW(),COLUMN(NOTA[ID]))),-1)))</f>
        <v>64</v>
      </c>
      <c r="E402" s="46"/>
      <c r="F402" s="37"/>
      <c r="G402" s="37"/>
      <c r="H402" s="47"/>
      <c r="I402" s="37"/>
      <c r="J402" s="39"/>
      <c r="K402" s="37">
        <v>0</v>
      </c>
      <c r="L402" s="37" t="s">
        <v>530</v>
      </c>
      <c r="M402" s="40">
        <v>1</v>
      </c>
      <c r="O402" s="37"/>
      <c r="P402" s="41"/>
      <c r="Q402" s="42">
        <v>2419200</v>
      </c>
      <c r="R402" s="48"/>
      <c r="S402" s="49">
        <v>0.17</v>
      </c>
      <c r="T402" s="44"/>
      <c r="U402" s="44"/>
      <c r="V402" s="50"/>
      <c r="W402" s="45"/>
      <c r="X402" s="50">
        <f>IF(NOTA[[#This Row],[HARGA/ CTN]]="",NOTA[[#This Row],[JUMLAH_H]],NOTA[[#This Row],[HARGA/ CTN]]*IF(NOTA[[#This Row],[C]]="",0,NOTA[[#This Row],[C]]))</f>
        <v>2419200</v>
      </c>
      <c r="Y402" s="50">
        <f>IF(NOTA[[#This Row],[JUMLAH]]="","",NOTA[[#This Row],[JUMLAH]]*NOTA[[#This Row],[DISC 1]])</f>
        <v>411264.00000000006</v>
      </c>
      <c r="Z402" s="50">
        <f>IF(NOTA[[#This Row],[JUMLAH]]="","",(NOTA[[#This Row],[JUMLAH]]-NOTA[[#This Row],[DISC 1-]])*NOTA[[#This Row],[DISC 2]])</f>
        <v>0</v>
      </c>
      <c r="AA402" s="50">
        <f>IF(NOTA[[#This Row],[JUMLAH]]="","",(NOTA[[#This Row],[JUMLAH]]-NOTA[[#This Row],[DISC 1-]]-NOTA[[#This Row],[DISC 2-]])*NOTA[[#This Row],[DISC 3]])</f>
        <v>0</v>
      </c>
      <c r="AB402" s="50">
        <f>IF(NOTA[[#This Row],[JUMLAH]]="","",NOTA[[#This Row],[DISC 1-]]+NOTA[[#This Row],[DISC 2-]]+NOTA[[#This Row],[DISC 3-]])</f>
        <v>411264.00000000006</v>
      </c>
      <c r="AC402" s="50">
        <f>IF(NOTA[[#This Row],[JUMLAH]]="","",NOTA[[#This Row],[JUMLAH]]-NOTA[[#This Row],[DISC]])</f>
        <v>2007936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2419200</v>
      </c>
      <c r="AH402" s="50" t="str">
        <f>IF(OR(NOTA[[#This Row],[QTY]]="",NOTA[[#This Row],[HARGA SATUAN]]="",),"",NOTA[[#This Row],[QTY]]*NOTA[[#This Row],[HARGA SATUAN]])</f>
        <v/>
      </c>
      <c r="AI402" s="39">
        <f ca="1">IF(NOTA[ID_H]="","",INDEX(NOTA[TANGGAL],MATCH(,INDIRECT(ADDRESS(ROW(NOTA[TANGGAL]),COLUMN(NOTA[TANGGAL]))&amp;":"&amp;ADDRESS(ROW(),COLUMN(NOTA[TANGGAL]))),-1)))</f>
        <v>45306</v>
      </c>
      <c r="AJ402" s="41" t="str">
        <f ca="1">IF(NOTA[[#This Row],[NAMA BARANG]]="","",INDEX(NOTA[SUPPLIER],MATCH(,INDIRECT(ADDRESS(ROW(NOTA[ID]),COLUMN(NOTA[ID]))&amp;":"&amp;ADDRESS(ROW(),COLUMN(NOTA[ID]))),-1)))</f>
        <v>KENKO SINAR INDONESIA</v>
      </c>
      <c r="AK402" s="41" t="str">
        <f ca="1">IF(NOTA[[#This Row],[ID_H]]="","",IF(NOTA[[#This Row],[FAKTUR]]="",INDIRECT(ADDRESS(ROW()-1,COLUMN())),NOTA[[#This Row],[FAKTUR]]))</f>
        <v>ARTO MORO</v>
      </c>
      <c r="AL402" s="38" t="str">
        <f ca="1">IF(NOTA[[#This Row],[ID]]="","",COUNTIF(NOTA[ID_H],NOTA[[#This Row],[ID_H]]))</f>
        <v/>
      </c>
      <c r="AM402" s="38">
        <f ca="1">IF(NOTA[[#This Row],[TGL.NOTA]]="",IF(NOTA[[#This Row],[SUPPLIER_H]]="","",AM401),MONTH(NOTA[[#This Row],[TGL.NOTA]]))</f>
        <v>1</v>
      </c>
      <c r="AN402" s="38" t="str">
        <f>LOWER(SUBSTITUTE(SUBSTITUTE(SUBSTITUTE(SUBSTITUTE(SUBSTITUTE(SUBSTITUTE(SUBSTITUTE(SUBSTITUTE(SUBSTITUTE(NOTA[NAMA BARANG]," ",),".",""),"-",""),"(",""),")",""),",",""),"/",""),"""",""),"+",""))</f>
        <v>kenkocorrectiontapect608pc6mx5mm</v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kenkocorrectiontapect608pc6mx5mm24192000.17</v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kenkocorrectiontapect608pc6mx5mm24192000.17</v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 t="e">
        <f>IF(NOTA[[#This Row],[CONCAT1]]="","",MATCH(NOTA[[#This Row],[CONCAT1]],[3]!db[NB NOTA_C],0))</f>
        <v>#N/A</v>
      </c>
      <c r="AT402" s="38" t="str">
        <f>IF(NOTA[[#This Row],[QTY/ CTN]]="","",TRUE)</f>
        <v/>
      </c>
      <c r="AU402" s="38" t="e">
        <f ca="1">IF(NOTA[[#This Row],[ID_H]]="","",IF(NOTA[[#This Row],[Column3]]=TRUE,NOTA[[#This Row],[QTY/ CTN]],INDEX([3]!db[QTY/ CTN],NOTA[[#This Row],[//DB]])))</f>
        <v>#N/A</v>
      </c>
      <c r="AV40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02" s="38" t="e">
        <f ca="1">IF(NOTA[[#This Row],[ID_H]]="","",MATCH(NOTA[[#This Row],[NB NOTA_C_QTY]],[4]!db[NB NOTA_C_QTY+F],0))</f>
        <v>#N/A</v>
      </c>
      <c r="AX402" s="53" t="e">
        <f ca="1">IF(NOTA[[#This Row],[NB NOTA_C_QTY]]="","",ROW()-2)</f>
        <v>#N/A</v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64</v>
      </c>
      <c r="E403" s="46"/>
      <c r="F403" s="37"/>
      <c r="G403" s="37"/>
      <c r="H403" s="47"/>
      <c r="I403" s="37"/>
      <c r="J403" s="39"/>
      <c r="K403" s="37">
        <v>0</v>
      </c>
      <c r="L403" s="37" t="s">
        <v>531</v>
      </c>
      <c r="M403" s="40">
        <v>1</v>
      </c>
      <c r="O403" s="37"/>
      <c r="P403" s="41"/>
      <c r="Q403" s="42">
        <v>2361600</v>
      </c>
      <c r="R403" s="48"/>
      <c r="S403" s="49">
        <v>0.17</v>
      </c>
      <c r="T403" s="44"/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2361600</v>
      </c>
      <c r="Y403" s="50">
        <f>IF(NOTA[[#This Row],[JUMLAH]]="","",NOTA[[#This Row],[JUMLAH]]*NOTA[[#This Row],[DISC 1]])</f>
        <v>401472</v>
      </c>
      <c r="Z403" s="50">
        <f>IF(NOTA[[#This Row],[JUMLAH]]="","",(NOTA[[#This Row],[JUMLAH]]-NOTA[[#This Row],[DISC 1-]])*NOTA[[#This Row],[DISC 2]])</f>
        <v>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401472</v>
      </c>
      <c r="AC403" s="50">
        <f>IF(NOTA[[#This Row],[JUMLAH]]="","",NOTA[[#This Row],[JUMLAH]]-NOTA[[#This Row],[DISC]])</f>
        <v>1960128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H403" s="50" t="str">
        <f>IF(OR(NOTA[[#This Row],[QTY]]="",NOTA[[#This Row],[HARGA SATUAN]]="",),"",NOTA[[#This Row],[QTY]]*NOTA[[#This Row],[HARGA SATUAN]])</f>
        <v/>
      </c>
      <c r="AI403" s="39">
        <f ca="1">IF(NOTA[ID_H]="","",INDEX(NOTA[TANGGAL],MATCH(,INDIRECT(ADDRESS(ROW(NOTA[TANGGAL]),COLUMN(NOTA[TANGGAL]))&amp;":"&amp;ADDRESS(ROW(),COLUMN(NOTA[TANGGAL]))),-1)))</f>
        <v>45306</v>
      </c>
      <c r="AJ403" s="41" t="str">
        <f ca="1">IF(NOTA[[#This Row],[NAMA BARANG]]="","",INDEX(NOTA[SUPPLIER],MATCH(,INDIRECT(ADDRESS(ROW(NOTA[ID]),COLUMN(NOTA[ID]))&amp;":"&amp;ADDRESS(ROW(),COLUMN(NOTA[ID]))),-1)))</f>
        <v>KENKO SINAR INDONESIA</v>
      </c>
      <c r="AK403" s="41" t="str">
        <f ca="1">IF(NOTA[[#This Row],[ID_H]]="","",IF(NOTA[[#This Row],[FAKTUR]]="",INDIRECT(ADDRESS(ROW()-1,COLUMN())),NOTA[[#This Row],[FAKTUR]]))</f>
        <v>ARTO MORO</v>
      </c>
      <c r="AL403" s="38" t="str">
        <f ca="1">IF(NOTA[[#This Row],[ID]]="","",COUNTIF(NOTA[ID_H],NOTA[[#This Row],[ID_H]]))</f>
        <v/>
      </c>
      <c r="AM403" s="38">
        <f ca="1">IF(NOTA[[#This Row],[TGL.NOTA]]="",IF(NOTA[[#This Row],[SUPPLIER_H]]="","",AM402),MONTH(NOTA[[#This Row],[TGL.NOTA]]))</f>
        <v>1</v>
      </c>
      <c r="AN403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>
        <f>IF(NOTA[[#This Row],[CONCAT1]]="","",MATCH(NOTA[[#This Row],[CONCAT1]],[3]!db[NB NOTA_C],0))</f>
        <v>1579</v>
      </c>
      <c r="AT403" s="38" t="str">
        <f>IF(NOTA[[#This Row],[QTY/ CTN]]="","",TRUE)</f>
        <v/>
      </c>
      <c r="AU403" s="38" t="str">
        <f ca="1">IF(NOTA[[#This Row],[ID_H]]="","",IF(NOTA[[#This Row],[Column3]]=TRUE,NOTA[[#This Row],[QTY/ CTN]],INDEX([3]!db[QTY/ CTN],NOTA[[#This Row],[//DB]])))</f>
        <v>48 LSN</v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W403" s="38" t="e">
        <f ca="1">IF(NOTA[[#This Row],[ID_H]]="","",MATCH(NOTA[[#This Row],[NB NOTA_C_QTY]],[4]!db[NB NOTA_C_QTY+F],0))</f>
        <v>#REF!</v>
      </c>
      <c r="AX403" s="53">
        <f ca="1">IF(NOTA[[#This Row],[NB NOTA_C_QTY]]="","",ROW()-2)</f>
        <v>401</v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64</v>
      </c>
      <c r="E404" s="46"/>
      <c r="F404" s="37"/>
      <c r="G404" s="37"/>
      <c r="H404" s="47"/>
      <c r="I404" s="37"/>
      <c r="J404" s="39"/>
      <c r="K404" s="37">
        <v>0</v>
      </c>
      <c r="L404" s="37" t="s">
        <v>532</v>
      </c>
      <c r="M404" s="40">
        <v>1</v>
      </c>
      <c r="O404" s="37"/>
      <c r="P404" s="41"/>
      <c r="Q404" s="42">
        <v>2700000</v>
      </c>
      <c r="R404" s="48"/>
      <c r="S404" s="49">
        <v>0.17</v>
      </c>
      <c r="T404" s="44"/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2700000</v>
      </c>
      <c r="Y404" s="50">
        <f>IF(NOTA[[#This Row],[JUMLAH]]="","",NOTA[[#This Row],[JUMLAH]]*NOTA[[#This Row],[DISC 1]])</f>
        <v>459000.00000000006</v>
      </c>
      <c r="Z404" s="50">
        <f>IF(NOTA[[#This Row],[JUMLAH]]="","",(NOTA[[#This Row],[JUMLAH]]-NOTA[[#This Row],[DISC 1-]])*NOTA[[#This Row],[DISC 2]])</f>
        <v>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459000.00000000006</v>
      </c>
      <c r="AC404" s="50">
        <f>IF(NOTA[[#This Row],[JUMLAH]]="","",NOTA[[#This Row],[JUMLAH]]-NOTA[[#This Row],[DISC]])</f>
        <v>2241000</v>
      </c>
      <c r="AD404" s="50"/>
      <c r="AE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22864728.000000004</v>
      </c>
      <c r="AF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111633672</v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404" s="50" t="str">
        <f>IF(OR(NOTA[[#This Row],[QTY]]="",NOTA[[#This Row],[HARGA SATUAN]]="",),"",NOTA[[#This Row],[QTY]]*NOTA[[#This Row],[HARGA SATUAN]])</f>
        <v/>
      </c>
      <c r="AI404" s="39">
        <f ca="1">IF(NOTA[ID_H]="","",INDEX(NOTA[TANGGAL],MATCH(,INDIRECT(ADDRESS(ROW(NOTA[TANGGAL]),COLUMN(NOTA[TANGGAL]))&amp;":"&amp;ADDRESS(ROW(),COLUMN(NOTA[TANGGAL]))),-1)))</f>
        <v>45306</v>
      </c>
      <c r="AJ404" s="41" t="str">
        <f ca="1">IF(NOTA[[#This Row],[NAMA BARANG]]="","",INDEX(NOTA[SUPPLIER],MATCH(,INDIRECT(ADDRESS(ROW(NOTA[ID]),COLUMN(NOTA[ID]))&amp;":"&amp;ADDRESS(ROW(),COLUMN(NOTA[ID]))),-1)))</f>
        <v>KENKO SINAR INDONESIA</v>
      </c>
      <c r="AK404" s="41" t="str">
        <f ca="1">IF(NOTA[[#This Row],[ID_H]]="","",IF(NOTA[[#This Row],[FAKTUR]]="",INDIRECT(ADDRESS(ROW()-1,COLUMN())),NOTA[[#This Row],[FAKTUR]]))</f>
        <v>ARTO MORO</v>
      </c>
      <c r="AL404" s="38" t="str">
        <f ca="1">IF(NOTA[[#This Row],[ID]]="","",COUNTIF(NOTA[ID_H],NOTA[[#This Row],[ID_H]]))</f>
        <v/>
      </c>
      <c r="AM404" s="38">
        <f ca="1">IF(NOTA[[#This Row],[TGL.NOTA]]="",IF(NOTA[[#This Row],[SUPPLIER_H]]="","",AM403),MONTH(NOTA[[#This Row],[TGL.NOTA]]))</f>
        <v>1</v>
      </c>
      <c r="AN404" s="38" t="str">
        <f>LOWER(SUBSTITUTE(SUBSTITUTE(SUBSTITUTE(SUBSTITUTE(SUBSTITUTE(SUBSTITUTE(SUBSTITUTE(SUBSTITUTE(SUBSTITUTE(NOTA[NAMA BARANG]," ",),".",""),"-",""),"(",""),")",""),",",""),"/",""),"""",""),"+",""))</f>
        <v>kenkotablesharpenera5m</v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kenkotablesharpenera5m27000000.17</v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kenkotablesharpenera5m27000000.17</v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 t="e">
        <f>IF(NOTA[[#This Row],[CONCAT1]]="","",MATCH(NOTA[[#This Row],[CONCAT1]],[3]!db[NB NOTA_C],0))</f>
        <v>#N/A</v>
      </c>
      <c r="AT404" s="38" t="str">
        <f>IF(NOTA[[#This Row],[QTY/ CTN]]="","",TRUE)</f>
        <v/>
      </c>
      <c r="AU404" s="38" t="e">
        <f ca="1">IF(NOTA[[#This Row],[ID_H]]="","",IF(NOTA[[#This Row],[Column3]]=TRUE,NOTA[[#This Row],[QTY/ CTN]],INDEX([3]!db[QTY/ CTN],NOTA[[#This Row],[//DB]])))</f>
        <v>#N/A</v>
      </c>
      <c r="AV40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04" s="38" t="e">
        <f ca="1">IF(NOTA[[#This Row],[ID_H]]="","",MATCH(NOTA[[#This Row],[NB NOTA_C_QTY]],[4]!db[NB NOTA_C_QTY+F],0))</f>
        <v>#N/A</v>
      </c>
      <c r="AX404" s="53" t="e">
        <f ca="1">IF(NOTA[[#This Row],[NB NOTA_C_QTY]]="","",ROW()-2)</f>
        <v>#N/A</v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F405" s="37"/>
      <c r="G405" s="37"/>
      <c r="H405" s="47"/>
      <c r="I405" s="37"/>
      <c r="J405" s="39"/>
      <c r="K405" s="37"/>
      <c r="L405" s="37"/>
      <c r="M405" s="40"/>
      <c r="O405" s="37"/>
      <c r="P405" s="41"/>
      <c r="Q405" s="42"/>
      <c r="R405" s="48"/>
      <c r="S405" s="49"/>
      <c r="T405" s="44"/>
      <c r="U405" s="44"/>
      <c r="V405" s="50"/>
      <c r="W405" s="45"/>
      <c r="X405" s="50" t="str">
        <f>IF(NOTA[[#This Row],[HARGA/ CTN]]="",NOTA[[#This Row],[JUMLAH_H]],NOTA[[#This Row],[HARGA/ CTN]]*IF(NOTA[[#This Row],[C]]="",0,NOTA[[#This Row],[C]]))</f>
        <v/>
      </c>
      <c r="Y405" s="50" t="str">
        <f>IF(NOTA[[#This Row],[JUMLAH]]="","",NOTA[[#This Row],[JUMLAH]]*NOTA[[#This Row],[DISC 1]])</f>
        <v/>
      </c>
      <c r="Z405" s="50" t="str">
        <f>IF(NOTA[[#This Row],[JUMLAH]]="","",(NOTA[[#This Row],[JUMLAH]]-NOTA[[#This Row],[DISC 1-]])*NOTA[[#This Row],[DISC 2]])</f>
        <v/>
      </c>
      <c r="AA405" s="50" t="str">
        <f>IF(NOTA[[#This Row],[JUMLAH]]="","",(NOTA[[#This Row],[JUMLAH]]-NOTA[[#This Row],[DISC 1-]]-NOTA[[#This Row],[DISC 2-]])*NOTA[[#This Row],[DISC 3]])</f>
        <v/>
      </c>
      <c r="AB405" s="50" t="str">
        <f>IF(NOTA[[#This Row],[JUMLAH]]="","",NOTA[[#This Row],[DISC 1-]]+NOTA[[#This Row],[DISC 2-]]+NOTA[[#This Row],[DISC 3-]])</f>
        <v/>
      </c>
      <c r="AC405" s="50" t="str">
        <f>IF(NOTA[[#This Row],[JUMLAH]]="","",NOTA[[#This Row],[JUMLAH]]-NOTA[[#This Row],[DISC]])</f>
        <v/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5" s="50" t="str">
        <f>IF(OR(NOTA[[#This Row],[QTY]]="",NOTA[[#This Row],[HARGA SATUAN]]="",),"",NOTA[[#This Row],[QTY]]*NOTA[[#This Row],[HARGA SATUAN]])</f>
        <v/>
      </c>
      <c r="AI405" s="39" t="str">
        <f ca="1">IF(NOTA[ID_H]="","",INDEX(NOTA[TANGGAL],MATCH(,INDIRECT(ADDRESS(ROW(NOTA[TANGGAL]),COLUMN(NOTA[TANGGAL]))&amp;":"&amp;ADDRESS(ROW(),COLUMN(NOTA[TANGGAL]))),-1)))</f>
        <v/>
      </c>
      <c r="AJ405" s="41" t="str">
        <f ca="1">IF(NOTA[[#This Row],[NAMA BARANG]]="","",INDEX(NOTA[SUPPLIER],MATCH(,INDIRECT(ADDRESS(ROW(NOTA[ID]),COLUMN(NOTA[ID]))&amp;":"&amp;ADDRESS(ROW(),COLUMN(NOTA[ID]))),-1)))</f>
        <v/>
      </c>
      <c r="AK405" s="41" t="str">
        <f ca="1">IF(NOTA[[#This Row],[ID_H]]="","",IF(NOTA[[#This Row],[FAKTUR]]="",INDIRECT(ADDRESS(ROW()-1,COLUMN())),NOTA[[#This Row],[FAKTUR]]))</f>
        <v/>
      </c>
      <c r="AL405" s="38" t="str">
        <f ca="1">IF(NOTA[[#This Row],[ID]]="","",COUNTIF(NOTA[ID_H],NOTA[[#This Row],[ID_H]]))</f>
        <v/>
      </c>
      <c r="AM405" s="38" t="str">
        <f ca="1">IF(NOTA[[#This Row],[TGL.NOTA]]="",IF(NOTA[[#This Row],[SUPPLIER_H]]="","",AM404),MONTH(NOTA[[#This Row],[TGL.NOTA]]))</f>
        <v/>
      </c>
      <c r="AN405" s="38" t="str">
        <f>LOWER(SUBSTITUTE(SUBSTITUTE(SUBSTITUTE(SUBSTITUTE(SUBSTITUTE(SUBSTITUTE(SUBSTITUTE(SUBSTITUTE(SUBSTITUTE(NOTA[NAMA BARANG]," ",),".",""),"-",""),"(",""),")",""),",",""),"/",""),"""",""),"+",""))</f>
        <v/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 t="str">
        <f>IF(NOTA[[#This Row],[CONCAT1]]="","",MATCH(NOTA[[#This Row],[CONCAT1]],[3]!db[NB NOTA_C],0))</f>
        <v/>
      </c>
      <c r="AT405" s="38" t="str">
        <f>IF(NOTA[[#This Row],[QTY/ CTN]]="","",TRUE)</f>
        <v/>
      </c>
      <c r="AU405" s="38" t="str">
        <f ca="1">IF(NOTA[[#This Row],[ID_H]]="","",IF(NOTA[[#This Row],[Column3]]=TRUE,NOTA[[#This Row],[QTY/ CTN]],INDEX([3]!db[QTY/ CTN],NOTA[[#This Row],[//DB]])))</f>
        <v/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5" s="38" t="str">
        <f ca="1">IF(NOTA[[#This Row],[ID_H]]="","",MATCH(NOTA[[#This Row],[NB NOTA_C_QTY]],[4]!db[NB NOTA_C_QTY+F],0))</f>
        <v/>
      </c>
      <c r="AX405" s="53" t="str">
        <f ca="1">IF(NOTA[[#This Row],[NB NOTA_C_QTY]]="","",ROW()-2)</f>
        <v/>
      </c>
    </row>
    <row r="406" spans="1:50" s="38" customFormat="1" ht="20.100000000000001" customHeight="1" x14ac:dyDescent="0.25">
      <c r="A406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4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KEN_1501_719-7</v>
      </c>
      <c r="C406" s="38" t="e">
        <f ca="1">IF(NOTA[[#This Row],[ID_P]]="","",MATCH(NOTA[[#This Row],[ID_P]],[1]!B_MSK[N_ID],0))</f>
        <v>#REF!</v>
      </c>
      <c r="D406" s="38">
        <f ca="1">IF(NOTA[[#This Row],[NAMA BARANG]]="","",INDEX(NOTA[ID],MATCH(,INDIRECT(ADDRESS(ROW(NOTA[ID]),COLUMN(NOTA[ID]))&amp;":"&amp;ADDRESS(ROW(),COLUMN(NOTA[ID]))),-1)))</f>
        <v>65</v>
      </c>
      <c r="E406" s="46">
        <v>45306</v>
      </c>
      <c r="F406" s="37" t="s">
        <v>22</v>
      </c>
      <c r="G406" s="37" t="s">
        <v>23</v>
      </c>
      <c r="H406" s="47" t="s">
        <v>534</v>
      </c>
      <c r="I406" s="37"/>
      <c r="J406" s="39">
        <v>45304</v>
      </c>
      <c r="K406" s="37">
        <v>0</v>
      </c>
      <c r="L406" s="37" t="s">
        <v>535</v>
      </c>
      <c r="M406" s="40">
        <v>2</v>
      </c>
      <c r="O406" s="37"/>
      <c r="P406" s="41"/>
      <c r="Q406" s="42">
        <v>801600</v>
      </c>
      <c r="R406" s="48"/>
      <c r="S406" s="49">
        <v>0.17</v>
      </c>
      <c r="T406" s="44"/>
      <c r="U406" s="44"/>
      <c r="V406" s="50"/>
      <c r="W406" s="45"/>
      <c r="X406" s="50">
        <f>IF(NOTA[[#This Row],[HARGA/ CTN]]="",NOTA[[#This Row],[JUMLAH_H]],NOTA[[#This Row],[HARGA/ CTN]]*IF(NOTA[[#This Row],[C]]="",0,NOTA[[#This Row],[C]]))</f>
        <v>1603200</v>
      </c>
      <c r="Y406" s="50">
        <f>IF(NOTA[[#This Row],[JUMLAH]]="","",NOTA[[#This Row],[JUMLAH]]*NOTA[[#This Row],[DISC 1]])</f>
        <v>272544</v>
      </c>
      <c r="Z406" s="50">
        <f>IF(NOTA[[#This Row],[JUMLAH]]="","",(NOTA[[#This Row],[JUMLAH]]-NOTA[[#This Row],[DISC 1-]])*NOTA[[#This Row],[DISC 2]])</f>
        <v>0</v>
      </c>
      <c r="AA406" s="50">
        <f>IF(NOTA[[#This Row],[JUMLAH]]="","",(NOTA[[#This Row],[JUMLAH]]-NOTA[[#This Row],[DISC 1-]]-NOTA[[#This Row],[DISC 2-]])*NOTA[[#This Row],[DISC 3]])</f>
        <v>0</v>
      </c>
      <c r="AB406" s="50">
        <f>IF(NOTA[[#This Row],[JUMLAH]]="","",NOTA[[#This Row],[DISC 1-]]+NOTA[[#This Row],[DISC 2-]]+NOTA[[#This Row],[DISC 3-]])</f>
        <v>272544</v>
      </c>
      <c r="AC406" s="50">
        <f>IF(NOTA[[#This Row],[JUMLAH]]="","",NOTA[[#This Row],[JUMLAH]]-NOTA[[#This Row],[DISC]])</f>
        <v>1330656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406" s="50" t="str">
        <f>IF(OR(NOTA[[#This Row],[QTY]]="",NOTA[[#This Row],[HARGA SATUAN]]="",),"",NOTA[[#This Row],[QTY]]*NOTA[[#This Row],[HARGA SATUAN]])</f>
        <v/>
      </c>
      <c r="AI406" s="39">
        <f ca="1">IF(NOTA[ID_H]="","",INDEX(NOTA[TANGGAL],MATCH(,INDIRECT(ADDRESS(ROW(NOTA[TANGGAL]),COLUMN(NOTA[TANGGAL]))&amp;":"&amp;ADDRESS(ROW(),COLUMN(NOTA[TANGGAL]))),-1)))</f>
        <v>45306</v>
      </c>
      <c r="AJ406" s="41" t="str">
        <f ca="1">IF(NOTA[[#This Row],[NAMA BARANG]]="","",INDEX(NOTA[SUPPLIER],MATCH(,INDIRECT(ADDRESS(ROW(NOTA[ID]),COLUMN(NOTA[ID]))&amp;":"&amp;ADDRESS(ROW(),COLUMN(NOTA[ID]))),-1)))</f>
        <v>KENKO SINAR INDONESIA</v>
      </c>
      <c r="AK406" s="41" t="str">
        <f ca="1">IF(NOTA[[#This Row],[ID_H]]="","",IF(NOTA[[#This Row],[FAKTUR]]="",INDIRECT(ADDRESS(ROW()-1,COLUMN())),NOTA[[#This Row],[FAKTUR]]))</f>
        <v>ARTO MORO</v>
      </c>
      <c r="AL406" s="38">
        <f ca="1">IF(NOTA[[#This Row],[ID]]="","",COUNTIF(NOTA[ID_H],NOTA[[#This Row],[ID_H]]))</f>
        <v>7</v>
      </c>
      <c r="AM406" s="38">
        <f>IF(NOTA[[#This Row],[TGL.NOTA]]="",IF(NOTA[[#This Row],[SUPPLIER_H]]="","",AM405),MONTH(NOTA[[#This Row],[TGL.NOTA]]))</f>
        <v>1</v>
      </c>
      <c r="AN406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MORO2401071945304kenkolooseleafa5ll1002070</v>
      </c>
      <c r="AR406" s="38" t="e">
        <f>IF(NOTA[[#This Row],[CONCAT4]]="","",_xlfn.IFNA(MATCH(NOTA[[#This Row],[CONCAT4]],[2]!RAW[CONCAT_H],0),FALSE))</f>
        <v>#REF!</v>
      </c>
      <c r="AS406" s="38">
        <f>IF(NOTA[[#This Row],[CONCAT1]]="","",MATCH(NOTA[[#This Row],[CONCAT1]],[3]!db[NB NOTA_C],0))</f>
        <v>1690</v>
      </c>
      <c r="AT406" s="38" t="str">
        <f>IF(NOTA[[#This Row],[QTY/ CTN]]="","",TRUE)</f>
        <v/>
      </c>
      <c r="AU406" s="38" t="str">
        <f ca="1">IF(NOTA[[#This Row],[ID_H]]="","",IF(NOTA[[#This Row],[Column3]]=TRUE,NOTA[[#This Row],[QTY/ CTN]],INDEX([3]!db[QTY/ CTN],NOTA[[#This Row],[//DB]])))</f>
        <v>96 PCS</v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406" s="38" t="e">
        <f ca="1">IF(NOTA[[#This Row],[ID_H]]="","",MATCH(NOTA[[#This Row],[NB NOTA_C_QTY]],[4]!db[NB NOTA_C_QTY+F],0))</f>
        <v>#REF!</v>
      </c>
      <c r="AX406" s="53">
        <f ca="1">IF(NOTA[[#This Row],[NB NOTA_C_QTY]]="","",ROW()-2)</f>
        <v>404</v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65</v>
      </c>
      <c r="E407" s="46"/>
      <c r="F407" s="37"/>
      <c r="G407" s="37"/>
      <c r="H407" s="47"/>
      <c r="I407" s="37"/>
      <c r="J407" s="39"/>
      <c r="K407" s="37">
        <v>0</v>
      </c>
      <c r="L407" s="37" t="s">
        <v>536</v>
      </c>
      <c r="M407" s="40">
        <v>2</v>
      </c>
      <c r="O407" s="37"/>
      <c r="P407" s="41"/>
      <c r="Q407" s="42">
        <v>1040000</v>
      </c>
      <c r="R407" s="48"/>
      <c r="S407" s="49">
        <v>0.17</v>
      </c>
      <c r="T407" s="44"/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2080000</v>
      </c>
      <c r="Y407" s="50">
        <f>IF(NOTA[[#This Row],[JUMLAH]]="","",NOTA[[#This Row],[JUMLAH]]*NOTA[[#This Row],[DISC 1]])</f>
        <v>353600</v>
      </c>
      <c r="Z407" s="50">
        <f>IF(NOTA[[#This Row],[JUMLAH]]="","",(NOTA[[#This Row],[JUMLAH]]-NOTA[[#This Row],[DISC 1-]])*NOTA[[#This Row],[DISC 2]])</f>
        <v>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353600</v>
      </c>
      <c r="AC407" s="50">
        <f>IF(NOTA[[#This Row],[JUMLAH]]="","",NOTA[[#This Row],[JUMLAH]]-NOTA[[#This Row],[DISC]])</f>
        <v>1726400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407" s="50" t="str">
        <f>IF(OR(NOTA[[#This Row],[QTY]]="",NOTA[[#This Row],[HARGA SATUAN]]="",),"",NOTA[[#This Row],[QTY]]*NOTA[[#This Row],[HARGA SATUAN]])</f>
        <v/>
      </c>
      <c r="AI407" s="39">
        <f ca="1">IF(NOTA[ID_H]="","",INDEX(NOTA[TANGGAL],MATCH(,INDIRECT(ADDRESS(ROW(NOTA[TANGGAL]),COLUMN(NOTA[TANGGAL]))&amp;":"&amp;ADDRESS(ROW(),COLUMN(NOTA[TANGGAL]))),-1)))</f>
        <v>45306</v>
      </c>
      <c r="AJ407" s="41" t="str">
        <f ca="1">IF(NOTA[[#This Row],[NAMA BARANG]]="","",INDEX(NOTA[SUPPLIER],MATCH(,INDIRECT(ADDRESS(ROW(NOTA[ID]),COLUMN(NOTA[ID]))&amp;":"&amp;ADDRESS(ROW(),COLUMN(NOTA[ID]))),-1)))</f>
        <v>KENKO SINAR INDONESIA</v>
      </c>
      <c r="AK407" s="41" t="str">
        <f ca="1">IF(NOTA[[#This Row],[ID_H]]="","",IF(NOTA[[#This Row],[FAKTUR]]="",INDIRECT(ADDRESS(ROW()-1,COLUMN())),NOTA[[#This Row],[FAKTUR]]))</f>
        <v>ARTO MORO</v>
      </c>
      <c r="AL407" s="38" t="str">
        <f ca="1">IF(NOTA[[#This Row],[ID]]="","",COUNTIF(NOTA[ID_H],NOTA[[#This Row],[ID_H]]))</f>
        <v/>
      </c>
      <c r="AM407" s="38">
        <f ca="1">IF(NOTA[[#This Row],[TGL.NOTA]]="",IF(NOTA[[#This Row],[SUPPLIER_H]]="","",AM406),MONTH(NOTA[[#This Row],[TGL.NOTA]]))</f>
        <v>1</v>
      </c>
      <c r="AN407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>
        <f>IF(NOTA[[#This Row],[CONCAT1]]="","",MATCH(NOTA[[#This Row],[CONCAT1]],[3]!db[NB NOTA_C],0))</f>
        <v>1692</v>
      </c>
      <c r="AT407" s="38" t="str">
        <f>IF(NOTA[[#This Row],[QTY/ CTN]]="","",TRUE)</f>
        <v/>
      </c>
      <c r="AU407" s="38" t="str">
        <f ca="1">IF(NOTA[[#This Row],[ID_H]]="","",IF(NOTA[[#This Row],[Column3]]=TRUE,NOTA[[#This Row],[QTY/ CTN]],INDEX([3]!db[QTY/ CTN],NOTA[[#This Row],[//DB]])))</f>
        <v>80 PCS</v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W407" s="38" t="e">
        <f ca="1">IF(NOTA[[#This Row],[ID_H]]="","",MATCH(NOTA[[#This Row],[NB NOTA_C_QTY]],[4]!db[NB NOTA_C_QTY+F],0))</f>
        <v>#REF!</v>
      </c>
      <c r="AX407" s="53">
        <f ca="1">IF(NOTA[[#This Row],[NB NOTA_C_QTY]]="","",ROW()-2)</f>
        <v>405</v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65</v>
      </c>
      <c r="E408" s="46"/>
      <c r="F408" s="37"/>
      <c r="G408" s="37"/>
      <c r="H408" s="47"/>
      <c r="I408" s="37"/>
      <c r="J408" s="39"/>
      <c r="K408" s="37">
        <v>0</v>
      </c>
      <c r="L408" s="37" t="s">
        <v>537</v>
      </c>
      <c r="M408" s="40">
        <v>2</v>
      </c>
      <c r="O408" s="37"/>
      <c r="P408" s="41"/>
      <c r="Q408" s="42">
        <v>2112000</v>
      </c>
      <c r="R408" s="48"/>
      <c r="S408" s="49">
        <v>0.17</v>
      </c>
      <c r="T408" s="44"/>
      <c r="U408" s="44"/>
      <c r="V408" s="50"/>
      <c r="W408" s="45"/>
      <c r="X408" s="50">
        <f>IF(NOTA[[#This Row],[HARGA/ CTN]]="",NOTA[[#This Row],[JUMLAH_H]],NOTA[[#This Row],[HARGA/ CTN]]*IF(NOTA[[#This Row],[C]]="",0,NOTA[[#This Row],[C]]))</f>
        <v>4224000</v>
      </c>
      <c r="Y408" s="50">
        <f>IF(NOTA[[#This Row],[JUMLAH]]="","",NOTA[[#This Row],[JUMLAH]]*NOTA[[#This Row],[DISC 1]])</f>
        <v>718080</v>
      </c>
      <c r="Z408" s="50">
        <f>IF(NOTA[[#This Row],[JUMLAH]]="","",(NOTA[[#This Row],[JUMLAH]]-NOTA[[#This Row],[DISC 1-]])*NOTA[[#This Row],[DISC 2]])</f>
        <v>0</v>
      </c>
      <c r="AA408" s="50">
        <f>IF(NOTA[[#This Row],[JUMLAH]]="","",(NOTA[[#This Row],[JUMLAH]]-NOTA[[#This Row],[DISC 1-]]-NOTA[[#This Row],[DISC 2-]])*NOTA[[#This Row],[DISC 3]])</f>
        <v>0</v>
      </c>
      <c r="AB408" s="50">
        <f>IF(NOTA[[#This Row],[JUMLAH]]="","",NOTA[[#This Row],[DISC 1-]]+NOTA[[#This Row],[DISC 2-]]+NOTA[[#This Row],[DISC 3-]])</f>
        <v>718080</v>
      </c>
      <c r="AC408" s="50">
        <f>IF(NOTA[[#This Row],[JUMLAH]]="","",NOTA[[#This Row],[JUMLAH]]-NOTA[[#This Row],[DISC]])</f>
        <v>3505920</v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08" s="50" t="str">
        <f>IF(OR(NOTA[[#This Row],[QTY]]="",NOTA[[#This Row],[HARGA SATUAN]]="",),"",NOTA[[#This Row],[QTY]]*NOTA[[#This Row],[HARGA SATUAN]])</f>
        <v/>
      </c>
      <c r="AI408" s="39">
        <f ca="1">IF(NOTA[ID_H]="","",INDEX(NOTA[TANGGAL],MATCH(,INDIRECT(ADDRESS(ROW(NOTA[TANGGAL]),COLUMN(NOTA[TANGGAL]))&amp;":"&amp;ADDRESS(ROW(),COLUMN(NOTA[TANGGAL]))),-1)))</f>
        <v>45306</v>
      </c>
      <c r="AJ408" s="41" t="str">
        <f ca="1">IF(NOTA[[#This Row],[NAMA BARANG]]="","",INDEX(NOTA[SUPPLIER],MATCH(,INDIRECT(ADDRESS(ROW(NOTA[ID]),COLUMN(NOTA[ID]))&amp;":"&amp;ADDRESS(ROW(),COLUMN(NOTA[ID]))),-1)))</f>
        <v>KENKO SINAR INDONESIA</v>
      </c>
      <c r="AK408" s="41" t="str">
        <f ca="1">IF(NOTA[[#This Row],[ID_H]]="","",IF(NOTA[[#This Row],[FAKTUR]]="",INDIRECT(ADDRESS(ROW()-1,COLUMN())),NOTA[[#This Row],[FAKTUR]]))</f>
        <v>ARTO MORO</v>
      </c>
      <c r="AL408" s="38" t="str">
        <f ca="1">IF(NOTA[[#This Row],[ID]]="","",COUNTIF(NOTA[ID_H],NOTA[[#This Row],[ID_H]]))</f>
        <v/>
      </c>
      <c r="AM408" s="38">
        <f ca="1">IF(NOTA[[#This Row],[TGL.NOTA]]="",IF(NOTA[[#This Row],[SUPPLIER_H]]="","",AM407),MONTH(NOTA[[#This Row],[TGL.NOTA]]))</f>
        <v>1</v>
      </c>
      <c r="AN408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>
        <f>IF(NOTA[[#This Row],[CONCAT1]]="","",MATCH(NOTA[[#This Row],[CONCAT1]],[3]!db[NB NOTA_C],0))</f>
        <v>1715</v>
      </c>
      <c r="AT408" s="38" t="str">
        <f>IF(NOTA[[#This Row],[QTY/ CTN]]="","",TRUE)</f>
        <v/>
      </c>
      <c r="AU408" s="38" t="str">
        <f ca="1">IF(NOTA[[#This Row],[ID_H]]="","",IF(NOTA[[#This Row],[Column3]]=TRUE,NOTA[[#This Row],[QTY/ CTN]],INDEX([3]!db[QTY/ CTN],NOTA[[#This Row],[//DB]])))</f>
        <v>20 GRS</v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408" s="38" t="e">
        <f ca="1">IF(NOTA[[#This Row],[ID_H]]="","",MATCH(NOTA[[#This Row],[NB NOTA_C_QTY]],[4]!db[NB NOTA_C_QTY+F],0))</f>
        <v>#REF!</v>
      </c>
      <c r="AX408" s="53">
        <f ca="1">IF(NOTA[[#This Row],[NB NOTA_C_QTY]]="","",ROW()-2)</f>
        <v>406</v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65</v>
      </c>
      <c r="E409" s="46"/>
      <c r="F409" s="37"/>
      <c r="G409" s="37"/>
      <c r="H409" s="47"/>
      <c r="I409" s="37"/>
      <c r="J409" s="39"/>
      <c r="K409" s="37">
        <v>0</v>
      </c>
      <c r="L409" s="37" t="s">
        <v>538</v>
      </c>
      <c r="M409" s="40">
        <v>1</v>
      </c>
      <c r="O409" s="37"/>
      <c r="P409" s="41"/>
      <c r="Q409" s="42">
        <v>1566000</v>
      </c>
      <c r="R409" s="48"/>
      <c r="S409" s="49">
        <v>0.17</v>
      </c>
      <c r="T409" s="44"/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1566000</v>
      </c>
      <c r="Y409" s="50">
        <f>IF(NOTA[[#This Row],[JUMLAH]]="","",NOTA[[#This Row],[JUMLAH]]*NOTA[[#This Row],[DISC 1]])</f>
        <v>266220</v>
      </c>
      <c r="Z409" s="50">
        <f>IF(NOTA[[#This Row],[JUMLAH]]="","",(NOTA[[#This Row],[JUMLAH]]-NOTA[[#This Row],[DISC 1-]])*NOTA[[#This Row],[DISC 2]])</f>
        <v>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266220</v>
      </c>
      <c r="AC409" s="50">
        <f>IF(NOTA[[#This Row],[JUMLAH]]="","",NOTA[[#This Row],[JUMLAH]]-NOTA[[#This Row],[DISC]])</f>
        <v>1299780</v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409" s="50" t="str">
        <f>IF(OR(NOTA[[#This Row],[QTY]]="",NOTA[[#This Row],[HARGA SATUAN]]="",),"",NOTA[[#This Row],[QTY]]*NOTA[[#This Row],[HARGA SATUAN]])</f>
        <v/>
      </c>
      <c r="AI409" s="39">
        <f ca="1">IF(NOTA[ID_H]="","",INDEX(NOTA[TANGGAL],MATCH(,INDIRECT(ADDRESS(ROW(NOTA[TANGGAL]),COLUMN(NOTA[TANGGAL]))&amp;":"&amp;ADDRESS(ROW(),COLUMN(NOTA[TANGGAL]))),-1)))</f>
        <v>45306</v>
      </c>
      <c r="AJ409" s="41" t="str">
        <f ca="1">IF(NOTA[[#This Row],[NAMA BARANG]]="","",INDEX(NOTA[SUPPLIER],MATCH(,INDIRECT(ADDRESS(ROW(NOTA[ID]),COLUMN(NOTA[ID]))&amp;":"&amp;ADDRESS(ROW(),COLUMN(NOTA[ID]))),-1)))</f>
        <v>KENKO SINAR INDONESIA</v>
      </c>
      <c r="AK409" s="41" t="str">
        <f ca="1">IF(NOTA[[#This Row],[ID_H]]="","",IF(NOTA[[#This Row],[FAKTUR]]="",INDIRECT(ADDRESS(ROW()-1,COLUMN())),NOTA[[#This Row],[FAKTUR]]))</f>
        <v>ARTO MORO</v>
      </c>
      <c r="AL409" s="38" t="str">
        <f ca="1">IF(NOTA[[#This Row],[ID]]="","",COUNTIF(NOTA[ID_H],NOTA[[#This Row],[ID_H]]))</f>
        <v/>
      </c>
      <c r="AM409" s="38">
        <f ca="1">IF(NOTA[[#This Row],[TGL.NOTA]]="",IF(NOTA[[#This Row],[SUPPLIER_H]]="","",AM408),MONTH(NOTA[[#This Row],[TGL.NOTA]]))</f>
        <v>1</v>
      </c>
      <c r="AN409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>
        <f>IF(NOTA[[#This Row],[CONCAT1]]="","",MATCH(NOTA[[#This Row],[CONCAT1]],[3]!db[NB NOTA_C],0))</f>
        <v>1598</v>
      </c>
      <c r="AT409" s="38" t="str">
        <f>IF(NOTA[[#This Row],[QTY/ CTN]]="","",TRUE)</f>
        <v/>
      </c>
      <c r="AU409" s="38" t="str">
        <f ca="1">IF(NOTA[[#This Row],[ID_H]]="","",IF(NOTA[[#This Row],[Column3]]=TRUE,NOTA[[#This Row],[QTY/ CTN]],INDEX([3]!db[QTY/ CTN],NOTA[[#This Row],[//DB]])))</f>
        <v>30 LSN</v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409" s="38" t="e">
        <f ca="1">IF(NOTA[[#This Row],[ID_H]]="","",MATCH(NOTA[[#This Row],[NB NOTA_C_QTY]],[4]!db[NB NOTA_C_QTY+F],0))</f>
        <v>#REF!</v>
      </c>
      <c r="AX409" s="53">
        <f ca="1">IF(NOTA[[#This Row],[NB NOTA_C_QTY]]="","",ROW()-2)</f>
        <v>407</v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65</v>
      </c>
      <c r="E410" s="46"/>
      <c r="F410" s="37"/>
      <c r="G410" s="37"/>
      <c r="H410" s="47"/>
      <c r="I410" s="37"/>
      <c r="J410" s="39"/>
      <c r="K410" s="37">
        <v>0</v>
      </c>
      <c r="L410" s="37" t="s">
        <v>539</v>
      </c>
      <c r="M410" s="40">
        <v>1</v>
      </c>
      <c r="O410" s="37"/>
      <c r="P410" s="41"/>
      <c r="Q410" s="42">
        <v>1710000</v>
      </c>
      <c r="R410" s="48"/>
      <c r="S410" s="49">
        <v>0.17</v>
      </c>
      <c r="T410" s="44"/>
      <c r="U410" s="44"/>
      <c r="V410" s="50"/>
      <c r="W410" s="45"/>
      <c r="X410" s="50">
        <f>IF(NOTA[[#This Row],[HARGA/ CTN]]="",NOTA[[#This Row],[JUMLAH_H]],NOTA[[#This Row],[HARGA/ CTN]]*IF(NOTA[[#This Row],[C]]="",0,NOTA[[#This Row],[C]]))</f>
        <v>1710000</v>
      </c>
      <c r="Y410" s="50">
        <f>IF(NOTA[[#This Row],[JUMLAH]]="","",NOTA[[#This Row],[JUMLAH]]*NOTA[[#This Row],[DISC 1]])</f>
        <v>290700</v>
      </c>
      <c r="Z410" s="50">
        <f>IF(NOTA[[#This Row],[JUMLAH]]="","",(NOTA[[#This Row],[JUMLAH]]-NOTA[[#This Row],[DISC 1-]])*NOTA[[#This Row],[DISC 2]])</f>
        <v>0</v>
      </c>
      <c r="AA410" s="50">
        <f>IF(NOTA[[#This Row],[JUMLAH]]="","",(NOTA[[#This Row],[JUMLAH]]-NOTA[[#This Row],[DISC 1-]]-NOTA[[#This Row],[DISC 2-]])*NOTA[[#This Row],[DISC 3]])</f>
        <v>0</v>
      </c>
      <c r="AB410" s="50">
        <f>IF(NOTA[[#This Row],[JUMLAH]]="","",NOTA[[#This Row],[DISC 1-]]+NOTA[[#This Row],[DISC 2-]]+NOTA[[#This Row],[DISC 3-]])</f>
        <v>290700</v>
      </c>
      <c r="AC410" s="50">
        <f>IF(NOTA[[#This Row],[JUMLAH]]="","",NOTA[[#This Row],[JUMLAH]]-NOTA[[#This Row],[DISC]])</f>
        <v>1419300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410" s="50" t="str">
        <f>IF(OR(NOTA[[#This Row],[QTY]]="",NOTA[[#This Row],[HARGA SATUAN]]="",),"",NOTA[[#This Row],[QTY]]*NOTA[[#This Row],[HARGA SATUAN]])</f>
        <v/>
      </c>
      <c r="AI410" s="39">
        <f ca="1">IF(NOTA[ID_H]="","",INDEX(NOTA[TANGGAL],MATCH(,INDIRECT(ADDRESS(ROW(NOTA[TANGGAL]),COLUMN(NOTA[TANGGAL]))&amp;":"&amp;ADDRESS(ROW(),COLUMN(NOTA[TANGGAL]))),-1)))</f>
        <v>45306</v>
      </c>
      <c r="AJ410" s="41" t="str">
        <f ca="1">IF(NOTA[[#This Row],[NAMA BARANG]]="","",INDEX(NOTA[SUPPLIER],MATCH(,INDIRECT(ADDRESS(ROW(NOTA[ID]),COLUMN(NOTA[ID]))&amp;":"&amp;ADDRESS(ROW(),COLUMN(NOTA[ID]))),-1)))</f>
        <v>KENKO SINAR INDONESIA</v>
      </c>
      <c r="AK410" s="41" t="str">
        <f ca="1">IF(NOTA[[#This Row],[ID_H]]="","",IF(NOTA[[#This Row],[FAKTUR]]="",INDIRECT(ADDRESS(ROW()-1,COLUMN())),NOTA[[#This Row],[FAKTUR]]))</f>
        <v>ARTO MORO</v>
      </c>
      <c r="AL410" s="38" t="str">
        <f ca="1">IF(NOTA[[#This Row],[ID]]="","",COUNTIF(NOTA[ID_H],NOTA[[#This Row],[ID_H]]))</f>
        <v/>
      </c>
      <c r="AM410" s="38">
        <f ca="1">IF(NOTA[[#This Row],[TGL.NOTA]]="",IF(NOTA[[#This Row],[SUPPLIER_H]]="","",AM409),MONTH(NOTA[[#This Row],[TGL.NOTA]]))</f>
        <v>1</v>
      </c>
      <c r="AN410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>
        <f>IF(NOTA[[#This Row],[CONCAT1]]="","",MATCH(NOTA[[#This Row],[CONCAT1]],[3]!db[NB NOTA_C],0))</f>
        <v>1595</v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CTN]],INDEX([3]!db[QTY/ CTN],NOTA[[#This Row],[//DB]])))</f>
        <v>30 LSN</v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410" s="38" t="e">
        <f ca="1">IF(NOTA[[#This Row],[ID_H]]="","",MATCH(NOTA[[#This Row],[NB NOTA_C_QTY]],[4]!db[NB NOTA_C_QTY+F],0))</f>
        <v>#REF!</v>
      </c>
      <c r="AX410" s="53">
        <f ca="1">IF(NOTA[[#This Row],[NB NOTA_C_QTY]]="","",ROW()-2)</f>
        <v>408</v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65</v>
      </c>
      <c r="E411" s="46"/>
      <c r="F411" s="37"/>
      <c r="G411" s="37"/>
      <c r="H411" s="47"/>
      <c r="I411" s="37"/>
      <c r="J411" s="39"/>
      <c r="K411" s="37">
        <v>0</v>
      </c>
      <c r="L411" s="37" t="s">
        <v>540</v>
      </c>
      <c r="M411" s="40">
        <v>1</v>
      </c>
      <c r="O411" s="37"/>
      <c r="P411" s="41"/>
      <c r="Q411" s="42">
        <v>1710000</v>
      </c>
      <c r="R411" s="48"/>
      <c r="S411" s="49">
        <v>0.17</v>
      </c>
      <c r="T411" s="44"/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1710000</v>
      </c>
      <c r="Y411" s="50">
        <f>IF(NOTA[[#This Row],[JUMLAH]]="","",NOTA[[#This Row],[JUMLAH]]*NOTA[[#This Row],[DISC 1]])</f>
        <v>290700</v>
      </c>
      <c r="Z411" s="50">
        <f>IF(NOTA[[#This Row],[JUMLAH]]="","",(NOTA[[#This Row],[JUMLAH]]-NOTA[[#This Row],[DISC 1-]])*NOTA[[#This Row],[DISC 2]])</f>
        <v>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290700</v>
      </c>
      <c r="AC411" s="50">
        <f>IF(NOTA[[#This Row],[JUMLAH]]="","",NOTA[[#This Row],[JUMLAH]]-NOTA[[#This Row],[DISC]])</f>
        <v>1419300</v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411" s="50" t="str">
        <f>IF(OR(NOTA[[#This Row],[QTY]]="",NOTA[[#This Row],[HARGA SATUAN]]="",),"",NOTA[[#This Row],[QTY]]*NOTA[[#This Row],[HARGA SATUAN]])</f>
        <v/>
      </c>
      <c r="AI411" s="39">
        <f ca="1">IF(NOTA[ID_H]="","",INDEX(NOTA[TANGGAL],MATCH(,INDIRECT(ADDRESS(ROW(NOTA[TANGGAL]),COLUMN(NOTA[TANGGAL]))&amp;":"&amp;ADDRESS(ROW(),COLUMN(NOTA[TANGGAL]))),-1)))</f>
        <v>45306</v>
      </c>
      <c r="AJ411" s="41" t="str">
        <f ca="1">IF(NOTA[[#This Row],[NAMA BARANG]]="","",INDEX(NOTA[SUPPLIER],MATCH(,INDIRECT(ADDRESS(ROW(NOTA[ID]),COLUMN(NOTA[ID]))&amp;":"&amp;ADDRESS(ROW(),COLUMN(NOTA[ID]))),-1)))</f>
        <v>KENKO SINAR INDONESIA</v>
      </c>
      <c r="AK411" s="41" t="str">
        <f ca="1">IF(NOTA[[#This Row],[ID_H]]="","",IF(NOTA[[#This Row],[FAKTUR]]="",INDIRECT(ADDRESS(ROW()-1,COLUMN())),NOTA[[#This Row],[FAKTUR]]))</f>
        <v>ARTO MORO</v>
      </c>
      <c r="AL411" s="38" t="str">
        <f ca="1">IF(NOTA[[#This Row],[ID]]="","",COUNTIF(NOTA[ID_H],NOTA[[#This Row],[ID_H]]))</f>
        <v/>
      </c>
      <c r="AM411" s="38">
        <f ca="1">IF(NOTA[[#This Row],[TGL.NOTA]]="",IF(NOTA[[#This Row],[SUPPLIER_H]]="","",AM410),MONTH(NOTA[[#This Row],[TGL.NOTA]]))</f>
        <v>1</v>
      </c>
      <c r="AN411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>
        <f>IF(NOTA[[#This Row],[CONCAT1]]="","",MATCH(NOTA[[#This Row],[CONCAT1]],[3]!db[NB NOTA_C],0))</f>
        <v>2976</v>
      </c>
      <c r="AT411" s="38" t="str">
        <f>IF(NOTA[[#This Row],[QTY/ CTN]]="","",TRUE)</f>
        <v/>
      </c>
      <c r="AU411" s="38" t="str">
        <f ca="1">IF(NOTA[[#This Row],[ID_H]]="","",IF(NOTA[[#This Row],[Column3]]=TRUE,NOTA[[#This Row],[QTY/ CTN]],INDEX([3]!db[QTY/ CTN],NOTA[[#This Row],[//DB]])))</f>
        <v>6 BOX (6 SET)</v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411" s="38" t="e">
        <f ca="1">IF(NOTA[[#This Row],[ID_H]]="","",MATCH(NOTA[[#This Row],[NB NOTA_C_QTY]],[4]!db[NB NOTA_C_QTY+F],0))</f>
        <v>#REF!</v>
      </c>
      <c r="AX411" s="53">
        <f ca="1">IF(NOTA[[#This Row],[NB NOTA_C_QTY]]="","",ROW()-2)</f>
        <v>409</v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>
        <f ca="1">IF(NOTA[[#This Row],[NAMA BARANG]]="","",INDEX(NOTA[ID],MATCH(,INDIRECT(ADDRESS(ROW(NOTA[ID]),COLUMN(NOTA[ID]))&amp;":"&amp;ADDRESS(ROW(),COLUMN(NOTA[ID]))),-1)))</f>
        <v>65</v>
      </c>
      <c r="E412" s="46"/>
      <c r="F412" s="37"/>
      <c r="G412" s="37"/>
      <c r="H412" s="47"/>
      <c r="I412" s="37"/>
      <c r="J412" s="39"/>
      <c r="K412" s="37">
        <v>0</v>
      </c>
      <c r="L412" s="37" t="s">
        <v>843</v>
      </c>
      <c r="M412" s="40">
        <v>1</v>
      </c>
      <c r="O412" s="37"/>
      <c r="P412" s="41"/>
      <c r="Q412" s="42">
        <v>1824000</v>
      </c>
      <c r="R412" s="48"/>
      <c r="S412" s="49">
        <v>0.17</v>
      </c>
      <c r="T412" s="44"/>
      <c r="U412" s="44"/>
      <c r="V412" s="50"/>
      <c r="W412" s="45"/>
      <c r="X412" s="50">
        <f>IF(NOTA[[#This Row],[HARGA/ CTN]]="",NOTA[[#This Row],[JUMLAH_H]],NOTA[[#This Row],[HARGA/ CTN]]*IF(NOTA[[#This Row],[C]]="",0,NOTA[[#This Row],[C]]))</f>
        <v>1824000</v>
      </c>
      <c r="Y412" s="50">
        <f>IF(NOTA[[#This Row],[JUMLAH]]="","",NOTA[[#This Row],[JUMLAH]]*NOTA[[#This Row],[DISC 1]])</f>
        <v>310080</v>
      </c>
      <c r="Z412" s="50">
        <f>IF(NOTA[[#This Row],[JUMLAH]]="","",(NOTA[[#This Row],[JUMLAH]]-NOTA[[#This Row],[DISC 1-]])*NOTA[[#This Row],[DISC 2]])</f>
        <v>0</v>
      </c>
      <c r="AA412" s="50">
        <f>IF(NOTA[[#This Row],[JUMLAH]]="","",(NOTA[[#This Row],[JUMLAH]]-NOTA[[#This Row],[DISC 1-]]-NOTA[[#This Row],[DISC 2-]])*NOTA[[#This Row],[DISC 3]])</f>
        <v>0</v>
      </c>
      <c r="AB412" s="50">
        <f>IF(NOTA[[#This Row],[JUMLAH]]="","",NOTA[[#This Row],[DISC 1-]]+NOTA[[#This Row],[DISC 2-]]+NOTA[[#This Row],[DISC 3-]])</f>
        <v>310080</v>
      </c>
      <c r="AC412" s="50">
        <f>IF(NOTA[[#This Row],[JUMLAH]]="","",NOTA[[#This Row],[JUMLAH]]-NOTA[[#This Row],[DISC]])</f>
        <v>1513920</v>
      </c>
      <c r="AD412" s="50"/>
      <c r="AE4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2501924</v>
      </c>
      <c r="AF4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12215276</v>
      </c>
      <c r="AG412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412" s="50" t="str">
        <f>IF(OR(NOTA[[#This Row],[QTY]]="",NOTA[[#This Row],[HARGA SATUAN]]="",),"",NOTA[[#This Row],[QTY]]*NOTA[[#This Row],[HARGA SATUAN]])</f>
        <v/>
      </c>
      <c r="AI412" s="39">
        <f ca="1">IF(NOTA[ID_H]="","",INDEX(NOTA[TANGGAL],MATCH(,INDIRECT(ADDRESS(ROW(NOTA[TANGGAL]),COLUMN(NOTA[TANGGAL]))&amp;":"&amp;ADDRESS(ROW(),COLUMN(NOTA[TANGGAL]))),-1)))</f>
        <v>45306</v>
      </c>
      <c r="AJ412" s="41" t="str">
        <f ca="1">IF(NOTA[[#This Row],[NAMA BARANG]]="","",INDEX(NOTA[SUPPLIER],MATCH(,INDIRECT(ADDRESS(ROW(NOTA[ID]),COLUMN(NOTA[ID]))&amp;":"&amp;ADDRESS(ROW(),COLUMN(NOTA[ID]))),-1)))</f>
        <v>KENKO SINAR INDONESIA</v>
      </c>
      <c r="AK412" s="41" t="str">
        <f ca="1">IF(NOTA[[#This Row],[ID_H]]="","",IF(NOTA[[#This Row],[FAKTUR]]="",INDIRECT(ADDRESS(ROW()-1,COLUMN())),NOTA[[#This Row],[FAKTUR]]))</f>
        <v>ARTO MORO</v>
      </c>
      <c r="AL412" s="38" t="str">
        <f ca="1">IF(NOTA[[#This Row],[ID]]="","",COUNTIF(NOTA[ID_H],NOTA[[#This Row],[ID_H]]))</f>
        <v/>
      </c>
      <c r="AM412" s="38">
        <f ca="1">IF(NOTA[[#This Row],[TGL.NOTA]]="",IF(NOTA[[#This Row],[SUPPLIER_H]]="","",AM411),MONTH(NOTA[[#This Row],[TGL.NOTA]]))</f>
        <v>1</v>
      </c>
      <c r="AN412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>
        <f>IF(NOTA[[#This Row],[CONCAT1]]="","",MATCH(NOTA[[#This Row],[CONCAT1]],[3]!db[NB NOTA_C],0))</f>
        <v>2978</v>
      </c>
      <c r="AT412" s="38" t="str">
        <f>IF(NOTA[[#This Row],[QTY/ CTN]]="","",TRUE)</f>
        <v/>
      </c>
      <c r="AU412" s="38" t="str">
        <f ca="1">IF(NOTA[[#This Row],[ID_H]]="","",IF(NOTA[[#This Row],[Column3]]=TRUE,NOTA[[#This Row],[QTY/ CTN]],INDEX([3]!db[QTY/ CTN],NOTA[[#This Row],[//DB]])))</f>
        <v>4 BOX (6 SET)</v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412" s="38" t="e">
        <f ca="1">IF(NOTA[[#This Row],[ID_H]]="","",MATCH(NOTA[[#This Row],[NB NOTA_C_QTY]],[4]!db[NB NOTA_C_QTY+F],0))</f>
        <v>#REF!</v>
      </c>
      <c r="AX412" s="53">
        <f ca="1">IF(NOTA[[#This Row],[NB NOTA_C_QTY]]="","",ROW()-2)</f>
        <v>410</v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 t="str">
        <f ca="1">IF(NOTA[[#This Row],[NAMA BARANG]]="","",INDEX(NOTA[ID],MATCH(,INDIRECT(ADDRESS(ROW(NOTA[ID]),COLUMN(NOTA[ID]))&amp;":"&amp;ADDRESS(ROW(),COLUMN(NOTA[ID]))),-1)))</f>
        <v/>
      </c>
      <c r="E413" s="46"/>
      <c r="F413" s="37"/>
      <c r="G413" s="37"/>
      <c r="H413" s="47"/>
      <c r="I413" s="37"/>
      <c r="J413" s="39"/>
      <c r="K413" s="37"/>
      <c r="L413" s="37"/>
      <c r="M413" s="40"/>
      <c r="O413" s="37"/>
      <c r="P413" s="41"/>
      <c r="Q413" s="42"/>
      <c r="R413" s="48"/>
      <c r="S413" s="49"/>
      <c r="T413" s="44"/>
      <c r="U413" s="44"/>
      <c r="V413" s="50"/>
      <c r="W413" s="45"/>
      <c r="X413" s="50" t="str">
        <f>IF(NOTA[[#This Row],[HARGA/ CTN]]="",NOTA[[#This Row],[JUMLAH_H]],NOTA[[#This Row],[HARGA/ CTN]]*IF(NOTA[[#This Row],[C]]="",0,NOTA[[#This Row],[C]]))</f>
        <v/>
      </c>
      <c r="Y413" s="50" t="str">
        <f>IF(NOTA[[#This Row],[JUMLAH]]="","",NOTA[[#This Row],[JUMLAH]]*NOTA[[#This Row],[DISC 1]])</f>
        <v/>
      </c>
      <c r="Z413" s="50" t="str">
        <f>IF(NOTA[[#This Row],[JUMLAH]]="","",(NOTA[[#This Row],[JUMLAH]]-NOTA[[#This Row],[DISC 1-]])*NOTA[[#This Row],[DISC 2]])</f>
        <v/>
      </c>
      <c r="AA413" s="50" t="str">
        <f>IF(NOTA[[#This Row],[JUMLAH]]="","",(NOTA[[#This Row],[JUMLAH]]-NOTA[[#This Row],[DISC 1-]]-NOTA[[#This Row],[DISC 2-]])*NOTA[[#This Row],[DISC 3]])</f>
        <v/>
      </c>
      <c r="AB413" s="50" t="str">
        <f>IF(NOTA[[#This Row],[JUMLAH]]="","",NOTA[[#This Row],[DISC 1-]]+NOTA[[#This Row],[DISC 2-]]+NOTA[[#This Row],[DISC 3-]])</f>
        <v/>
      </c>
      <c r="AC413" s="50" t="str">
        <f>IF(NOTA[[#This Row],[JUMLAH]]="","",NOTA[[#This Row],[JUMLAH]]-NOTA[[#This Row],[DISC]])</f>
        <v/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3" s="50" t="str">
        <f>IF(OR(NOTA[[#This Row],[QTY]]="",NOTA[[#This Row],[HARGA SATUAN]]="",),"",NOTA[[#This Row],[QTY]]*NOTA[[#This Row],[HARGA SATUAN]])</f>
        <v/>
      </c>
      <c r="AI413" s="39" t="str">
        <f ca="1">IF(NOTA[ID_H]="","",INDEX(NOTA[TANGGAL],MATCH(,INDIRECT(ADDRESS(ROW(NOTA[TANGGAL]),COLUMN(NOTA[TANGGAL]))&amp;":"&amp;ADDRESS(ROW(),COLUMN(NOTA[TANGGAL]))),-1)))</f>
        <v/>
      </c>
      <c r="AJ413" s="41" t="str">
        <f ca="1">IF(NOTA[[#This Row],[NAMA BARANG]]="","",INDEX(NOTA[SUPPLIER],MATCH(,INDIRECT(ADDRESS(ROW(NOTA[ID]),COLUMN(NOTA[ID]))&amp;":"&amp;ADDRESS(ROW(),COLUMN(NOTA[ID]))),-1)))</f>
        <v/>
      </c>
      <c r="AK413" s="41" t="str">
        <f ca="1">IF(NOTA[[#This Row],[ID_H]]="","",IF(NOTA[[#This Row],[FAKTUR]]="",INDIRECT(ADDRESS(ROW()-1,COLUMN())),NOTA[[#This Row],[FAKTUR]]))</f>
        <v/>
      </c>
      <c r="AL413" s="38" t="str">
        <f ca="1">IF(NOTA[[#This Row],[ID]]="","",COUNTIF(NOTA[ID_H],NOTA[[#This Row],[ID_H]]))</f>
        <v/>
      </c>
      <c r="AM413" s="38" t="str">
        <f ca="1">IF(NOTA[[#This Row],[TGL.NOTA]]="",IF(NOTA[[#This Row],[SUPPLIER_H]]="","",AM412),MONTH(NOTA[[#This Row],[TGL.NOTA]]))</f>
        <v/>
      </c>
      <c r="AN413" s="38" t="str">
        <f>LOWER(SUBSTITUTE(SUBSTITUTE(SUBSTITUTE(SUBSTITUTE(SUBSTITUTE(SUBSTITUTE(SUBSTITUTE(SUBSTITUTE(SUBSTITUTE(NOTA[NAMA BARANG]," ",),".",""),"-",""),"(",""),")",""),",",""),"/",""),"""",""),"+",""))</f>
        <v/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 t="str">
        <f>IF(NOTA[[#This Row],[CONCAT1]]="","",MATCH(NOTA[[#This Row],[CONCAT1]],[3]!db[NB NOTA_C],0))</f>
        <v/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CTN]],INDEX([3]!db[QTY/ CTN],NOTA[[#This Row],[//DB]])))</f>
        <v/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3" s="38" t="str">
        <f ca="1">IF(NOTA[[#This Row],[ID_H]]="","",MATCH(NOTA[[#This Row],[NB NOTA_C_QTY]],[4]!db[NB NOTA_C_QTY+F],0))</f>
        <v/>
      </c>
      <c r="AX413" s="53" t="str">
        <f ca="1">IF(NOTA[[#This Row],[NB NOTA_C_QTY]]="","",ROW()-2)</f>
        <v/>
      </c>
    </row>
    <row r="414" spans="1:50" s="38" customFormat="1" ht="20.100000000000001" customHeight="1" x14ac:dyDescent="0.25">
      <c r="A414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4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ATA_1601_684-10</v>
      </c>
      <c r="C414" s="38" t="e">
        <f ca="1">IF(NOTA[[#This Row],[ID_P]]="","",MATCH(NOTA[[#This Row],[ID_P]],[1]!B_MSK[N_ID],0))</f>
        <v>#REF!</v>
      </c>
      <c r="D414" s="38">
        <f ca="1">IF(NOTA[[#This Row],[NAMA BARANG]]="","",INDEX(NOTA[ID],MATCH(,INDIRECT(ADDRESS(ROW(NOTA[ID]),COLUMN(NOTA[ID]))&amp;":"&amp;ADDRESS(ROW(),COLUMN(NOTA[ID]))),-1)))</f>
        <v>66</v>
      </c>
      <c r="E414" s="46">
        <v>45307</v>
      </c>
      <c r="F414" s="37" t="s">
        <v>24</v>
      </c>
      <c r="G414" s="37" t="s">
        <v>23</v>
      </c>
      <c r="H414" s="47" t="s">
        <v>541</v>
      </c>
      <c r="I414" s="37"/>
      <c r="J414" s="39">
        <v>45302</v>
      </c>
      <c r="K414" s="37">
        <v>0</v>
      </c>
      <c r="L414" s="37" t="s">
        <v>542</v>
      </c>
      <c r="M414" s="40">
        <v>10</v>
      </c>
      <c r="N414" s="38">
        <v>240</v>
      </c>
      <c r="O414" s="37" t="s">
        <v>115</v>
      </c>
      <c r="P414" s="41">
        <v>19000</v>
      </c>
      <c r="Q414" s="42"/>
      <c r="R414" s="48" t="s">
        <v>543</v>
      </c>
      <c r="S414" s="49">
        <v>0.125</v>
      </c>
      <c r="T414" s="44">
        <v>0.05</v>
      </c>
      <c r="U414" s="44"/>
      <c r="V414" s="50"/>
      <c r="W414" s="45"/>
      <c r="X414" s="50">
        <f>IF(NOTA[[#This Row],[HARGA/ CTN]]="",NOTA[[#This Row],[JUMLAH_H]],NOTA[[#This Row],[HARGA/ CTN]]*IF(NOTA[[#This Row],[C]]="",0,NOTA[[#This Row],[C]]))</f>
        <v>4560000</v>
      </c>
      <c r="Y414" s="50">
        <f>IF(NOTA[[#This Row],[JUMLAH]]="","",NOTA[[#This Row],[JUMLAH]]*NOTA[[#This Row],[DISC 1]])</f>
        <v>570000</v>
      </c>
      <c r="Z414" s="50">
        <f>IF(NOTA[[#This Row],[JUMLAH]]="","",(NOTA[[#This Row],[JUMLAH]]-NOTA[[#This Row],[DISC 1-]])*NOTA[[#This Row],[DISC 2]])</f>
        <v>199500</v>
      </c>
      <c r="AA414" s="50">
        <f>IF(NOTA[[#This Row],[JUMLAH]]="","",(NOTA[[#This Row],[JUMLAH]]-NOTA[[#This Row],[DISC 1-]]-NOTA[[#This Row],[DISC 2-]])*NOTA[[#This Row],[DISC 3]])</f>
        <v>0</v>
      </c>
      <c r="AB414" s="50">
        <f>IF(NOTA[[#This Row],[JUMLAH]]="","",NOTA[[#This Row],[DISC 1-]]+NOTA[[#This Row],[DISC 2-]]+NOTA[[#This Row],[DISC 3-]])</f>
        <v>769500</v>
      </c>
      <c r="AC414" s="50">
        <f>IF(NOTA[[#This Row],[JUMLAH]]="","",NOTA[[#This Row],[JUMLAH]]-NOTA[[#This Row],[DISC]])</f>
        <v>3790500</v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14" s="50">
        <f>IF(OR(NOTA[[#This Row],[QTY]]="",NOTA[[#This Row],[HARGA SATUAN]]="",),"",NOTA[[#This Row],[QTY]]*NOTA[[#This Row],[HARGA SATUAN]])</f>
        <v>4560000</v>
      </c>
      <c r="AI414" s="39">
        <f ca="1">IF(NOTA[ID_H]="","",INDEX(NOTA[TANGGAL],MATCH(,INDIRECT(ADDRESS(ROW(NOTA[TANGGAL]),COLUMN(NOTA[TANGGAL]))&amp;":"&amp;ADDRESS(ROW(),COLUMN(NOTA[TANGGAL]))),-1)))</f>
        <v>45307</v>
      </c>
      <c r="AJ414" s="41" t="str">
        <f ca="1">IF(NOTA[[#This Row],[NAMA BARANG]]="","",INDEX(NOTA[SUPPLIER],MATCH(,INDIRECT(ADDRESS(ROW(NOTA[ID]),COLUMN(NOTA[ID]))&amp;":"&amp;ADDRESS(ROW(),COLUMN(NOTA[ID]))),-1)))</f>
        <v>ATALI MAKMUR</v>
      </c>
      <c r="AK414" s="41" t="str">
        <f ca="1">IF(NOTA[[#This Row],[ID_H]]="","",IF(NOTA[[#This Row],[FAKTUR]]="",INDIRECT(ADDRESS(ROW()-1,COLUMN())),NOTA[[#This Row],[FAKTUR]]))</f>
        <v>ARTO MORO</v>
      </c>
      <c r="AL414" s="38">
        <f ca="1">IF(NOTA[[#This Row],[ID]]="","",COUNTIF(NOTA[ID_H],NOTA[[#This Row],[ID_H]]))</f>
        <v>10</v>
      </c>
      <c r="AM414" s="38">
        <f>IF(NOTA[[#This Row],[TGL.NOTA]]="",IF(NOTA[[#This Row],[SUPPLIER_H]]="","",AM413),MONTH(NOTA[[#This Row],[TGL.NOTA]]))</f>
        <v>1</v>
      </c>
      <c r="AN414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MOROSA24010068445302tapecuttertd103jk</v>
      </c>
      <c r="AR414" s="38" t="e">
        <f>IF(NOTA[[#This Row],[CONCAT4]]="","",_xlfn.IFNA(MATCH(NOTA[[#This Row],[CONCAT4]],[2]!RAW[CONCAT_H],0),FALSE))</f>
        <v>#REF!</v>
      </c>
      <c r="AS414" s="38">
        <f>IF(NOTA[[#This Row],[CONCAT1]]="","",MATCH(NOTA[[#This Row],[CONCAT1]],[3]!db[NB NOTA_C],0))</f>
        <v>2918</v>
      </c>
      <c r="AT414" s="38" t="b">
        <f>IF(NOTA[[#This Row],[QTY/ CTN]]="","",TRUE)</f>
        <v>1</v>
      </c>
      <c r="AU414" s="38" t="str">
        <f ca="1">IF(NOTA[[#This Row],[ID_H]]="","",IF(NOTA[[#This Row],[Column3]]=TRUE,NOTA[[#This Row],[QTY/ CTN]],INDEX([3]!db[QTY/ CTN],NOTA[[#This Row],[//DB]])))</f>
        <v>24 PCS</v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414" s="38" t="e">
        <f ca="1">IF(NOTA[[#This Row],[ID_H]]="","",MATCH(NOTA[[#This Row],[NB NOTA_C_QTY]],[4]!db[NB NOTA_C_QTY+F],0))</f>
        <v>#REF!</v>
      </c>
      <c r="AX414" s="53">
        <f ca="1">IF(NOTA[[#This Row],[NB NOTA_C_QTY]]="","",ROW()-2)</f>
        <v>412</v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66</v>
      </c>
      <c r="E415" s="46"/>
      <c r="F415" s="37"/>
      <c r="G415" s="37"/>
      <c r="H415" s="47"/>
      <c r="I415" s="37"/>
      <c r="J415" s="39"/>
      <c r="K415" s="37">
        <v>0</v>
      </c>
      <c r="L415" s="37" t="s">
        <v>544</v>
      </c>
      <c r="M415" s="40">
        <v>1</v>
      </c>
      <c r="N415" s="38">
        <v>24</v>
      </c>
      <c r="O415" s="37" t="s">
        <v>115</v>
      </c>
      <c r="P415" s="41">
        <v>22500</v>
      </c>
      <c r="Q415" s="42"/>
      <c r="R415" s="48">
        <v>24</v>
      </c>
      <c r="S415" s="49">
        <v>0.125</v>
      </c>
      <c r="T415" s="44">
        <v>0.05</v>
      </c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540000</v>
      </c>
      <c r="Y415" s="50">
        <f>IF(NOTA[[#This Row],[JUMLAH]]="","",NOTA[[#This Row],[JUMLAH]]*NOTA[[#This Row],[DISC 1]])</f>
        <v>67500</v>
      </c>
      <c r="Z415" s="50">
        <f>IF(NOTA[[#This Row],[JUMLAH]]="","",(NOTA[[#This Row],[JUMLAH]]-NOTA[[#This Row],[DISC 1-]])*NOTA[[#This Row],[DISC 2]])</f>
        <v>23625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91125</v>
      </c>
      <c r="AC415" s="50">
        <f>IF(NOTA[[#This Row],[JUMLAH]]="","",NOTA[[#This Row],[JUMLAH]]-NOTA[[#This Row],[DISC]])</f>
        <v>448875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415" s="50">
        <f>IF(OR(NOTA[[#This Row],[QTY]]="",NOTA[[#This Row],[HARGA SATUAN]]="",),"",NOTA[[#This Row],[QTY]]*NOTA[[#This Row],[HARGA SATUAN]])</f>
        <v>540000</v>
      </c>
      <c r="AI415" s="39">
        <f ca="1">IF(NOTA[ID_H]="","",INDEX(NOTA[TANGGAL],MATCH(,INDIRECT(ADDRESS(ROW(NOTA[TANGGAL]),COLUMN(NOTA[TANGGAL]))&amp;":"&amp;ADDRESS(ROW(),COLUMN(NOTA[TANGGAL]))),-1)))</f>
        <v>45307</v>
      </c>
      <c r="AJ415" s="41" t="str">
        <f ca="1">IF(NOTA[[#This Row],[NAMA BARANG]]="","",INDEX(NOTA[SUPPLIER],MATCH(,INDIRECT(ADDRESS(ROW(NOTA[ID]),COLUMN(NOTA[ID]))&amp;":"&amp;ADDRESS(ROW(),COLUMN(NOTA[ID]))),-1)))</f>
        <v>ATALI MAKMUR</v>
      </c>
      <c r="AK415" s="41" t="str">
        <f ca="1">IF(NOTA[[#This Row],[ID_H]]="","",IF(NOTA[[#This Row],[FAKTUR]]="",INDIRECT(ADDRESS(ROW()-1,COLUMN())),NOTA[[#This Row],[FAKTUR]]))</f>
        <v>ARTO MORO</v>
      </c>
      <c r="AL415" s="38" t="str">
        <f ca="1">IF(NOTA[[#This Row],[ID]]="","",COUNTIF(NOTA[ID_H],NOTA[[#This Row],[ID_H]]))</f>
        <v/>
      </c>
      <c r="AM415" s="38">
        <f ca="1">IF(NOTA[[#This Row],[TGL.NOTA]]="",IF(NOTA[[#This Row],[SUPPLIER_H]]="","",AM414),MONTH(NOTA[[#This Row],[TGL.NOTA]]))</f>
        <v>1</v>
      </c>
      <c r="AN415" s="38" t="str">
        <f>LOWER(SUBSTITUTE(SUBSTITUTE(SUBSTITUTE(SUBSTITUTE(SUBSTITUTE(SUBSTITUTE(SUBSTITUTE(SUBSTITUTE(SUBSTITUTE(NOTA[NAMA BARANG]," ",),".",""),"-",""),"(",""),")",""),",",""),"/",""),"""",""),"+",""))</f>
        <v>tapecuttertd09njk</v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>
        <f>IF(NOTA[[#This Row],[CONCAT1]]="","",MATCH(NOTA[[#This Row],[CONCAT1]],[3]!db[NB NOTA_C],0))</f>
        <v>2915</v>
      </c>
      <c r="AT415" s="38" t="b">
        <f>IF(NOTA[[#This Row],[QTY/ CTN]]="","",TRUE)</f>
        <v>1</v>
      </c>
      <c r="AU415" s="38">
        <f ca="1">IF(NOTA[[#This Row],[ID_H]]="","",IF(NOTA[[#This Row],[Column3]]=TRUE,NOTA[[#This Row],[QTY/ CTN]],INDEX([3]!db[QTY/ CTN],NOTA[[#This Row],[//DB]])))</f>
        <v>24</v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tapecuttertd09njk24artomoro</v>
      </c>
      <c r="AW415" s="38" t="e">
        <f ca="1">IF(NOTA[[#This Row],[ID_H]]="","",MATCH(NOTA[[#This Row],[NB NOTA_C_QTY]],[4]!db[NB NOTA_C_QTY+F],0))</f>
        <v>#REF!</v>
      </c>
      <c r="AX415" s="53">
        <f ca="1">IF(NOTA[[#This Row],[NB NOTA_C_QTY]]="","",ROW()-2)</f>
        <v>413</v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66</v>
      </c>
      <c r="E416" s="46"/>
      <c r="F416" s="37"/>
      <c r="G416" s="37"/>
      <c r="H416" s="47"/>
      <c r="I416" s="37"/>
      <c r="J416" s="39"/>
      <c r="K416" s="37">
        <v>0</v>
      </c>
      <c r="L416" s="37" t="s">
        <v>136</v>
      </c>
      <c r="M416" s="40">
        <v>1</v>
      </c>
      <c r="N416" s="38">
        <v>72</v>
      </c>
      <c r="O416" s="37" t="s">
        <v>116</v>
      </c>
      <c r="P416" s="41">
        <v>21200</v>
      </c>
      <c r="Q416" s="42"/>
      <c r="R416" s="48"/>
      <c r="S416" s="49">
        <v>0.125</v>
      </c>
      <c r="T416" s="44">
        <v>0.05</v>
      </c>
      <c r="U416" s="44"/>
      <c r="V416" s="50"/>
      <c r="W416" s="45"/>
      <c r="X416" s="50">
        <f>IF(NOTA[[#This Row],[HARGA/ CTN]]="",NOTA[[#This Row],[JUMLAH_H]],NOTA[[#This Row],[HARGA/ CTN]]*IF(NOTA[[#This Row],[C]]="",0,NOTA[[#This Row],[C]]))</f>
        <v>1526400</v>
      </c>
      <c r="Y416" s="50">
        <f>IF(NOTA[[#This Row],[JUMLAH]]="","",NOTA[[#This Row],[JUMLAH]]*NOTA[[#This Row],[DISC 1]])</f>
        <v>190800</v>
      </c>
      <c r="Z416" s="50">
        <f>IF(NOTA[[#This Row],[JUMLAH]]="","",(NOTA[[#This Row],[JUMLAH]]-NOTA[[#This Row],[DISC 1-]])*NOTA[[#This Row],[DISC 2]])</f>
        <v>66780</v>
      </c>
      <c r="AA416" s="50">
        <f>IF(NOTA[[#This Row],[JUMLAH]]="","",(NOTA[[#This Row],[JUMLAH]]-NOTA[[#This Row],[DISC 1-]]-NOTA[[#This Row],[DISC 2-]])*NOTA[[#This Row],[DISC 3]])</f>
        <v>0</v>
      </c>
      <c r="AB416" s="50">
        <f>IF(NOTA[[#This Row],[JUMLAH]]="","",NOTA[[#This Row],[DISC 1-]]+NOTA[[#This Row],[DISC 2-]]+NOTA[[#This Row],[DISC 3-]])</f>
        <v>257580</v>
      </c>
      <c r="AC416" s="50">
        <f>IF(NOTA[[#This Row],[JUMLAH]]="","",NOTA[[#This Row],[JUMLAH]]-NOTA[[#This Row],[DISC]])</f>
        <v>1268820</v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416" s="50">
        <f>IF(OR(NOTA[[#This Row],[QTY]]="",NOTA[[#This Row],[HARGA SATUAN]]="",),"",NOTA[[#This Row],[QTY]]*NOTA[[#This Row],[HARGA SATUAN]])</f>
        <v>1526400</v>
      </c>
      <c r="AI416" s="39">
        <f ca="1">IF(NOTA[ID_H]="","",INDEX(NOTA[TANGGAL],MATCH(,INDIRECT(ADDRESS(ROW(NOTA[TANGGAL]),COLUMN(NOTA[TANGGAL]))&amp;":"&amp;ADDRESS(ROW(),COLUMN(NOTA[TANGGAL]))),-1)))</f>
        <v>45307</v>
      </c>
      <c r="AJ416" s="41" t="str">
        <f ca="1">IF(NOTA[[#This Row],[NAMA BARANG]]="","",INDEX(NOTA[SUPPLIER],MATCH(,INDIRECT(ADDRESS(ROW(NOTA[ID]),COLUMN(NOTA[ID]))&amp;":"&amp;ADDRESS(ROW(),COLUMN(NOTA[ID]))),-1)))</f>
        <v>ATALI MAKMUR</v>
      </c>
      <c r="AK416" s="41" t="str">
        <f ca="1">IF(NOTA[[#This Row],[ID_H]]="","",IF(NOTA[[#This Row],[FAKTUR]]="",INDIRECT(ADDRESS(ROW()-1,COLUMN())),NOTA[[#This Row],[FAKTUR]]))</f>
        <v>ARTO MORO</v>
      </c>
      <c r="AL416" s="38" t="str">
        <f ca="1">IF(NOTA[[#This Row],[ID]]="","",COUNTIF(NOTA[ID_H],NOTA[[#This Row],[ID_H]]))</f>
        <v/>
      </c>
      <c r="AM416" s="38">
        <f ca="1">IF(NOTA[[#This Row],[TGL.NOTA]]="",IF(NOTA[[#This Row],[SUPPLIER_H]]="","",AM415),MONTH(NOTA[[#This Row],[TGL.NOTA]]))</f>
        <v>1</v>
      </c>
      <c r="AN416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>
        <f>IF(NOTA[[#This Row],[CONCAT1]]="","",MATCH(NOTA[[#This Row],[CONCAT1]],[3]!db[NB NOTA_C],0))</f>
        <v>686</v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>12 BOX (6 SET)</v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416" s="38" t="e">
        <f ca="1">IF(NOTA[[#This Row],[ID_H]]="","",MATCH(NOTA[[#This Row],[NB NOTA_C_QTY]],[4]!db[NB NOTA_C_QTY+F],0))</f>
        <v>#REF!</v>
      </c>
      <c r="AX416" s="53">
        <f ca="1">IF(NOTA[[#This Row],[NB NOTA_C_QTY]]="","",ROW()-2)</f>
        <v>414</v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66</v>
      </c>
      <c r="E417" s="46"/>
      <c r="F417" s="37"/>
      <c r="G417" s="37"/>
      <c r="H417" s="47"/>
      <c r="I417" s="37"/>
      <c r="J417" s="39"/>
      <c r="K417" s="37">
        <v>0</v>
      </c>
      <c r="L417" s="37" t="s">
        <v>545</v>
      </c>
      <c r="M417" s="40">
        <v>1</v>
      </c>
      <c r="N417" s="38">
        <v>48</v>
      </c>
      <c r="O417" s="37" t="s">
        <v>116</v>
      </c>
      <c r="P417" s="41">
        <v>35000</v>
      </c>
      <c r="Q417" s="42"/>
      <c r="R417" s="48"/>
      <c r="S417" s="49">
        <v>0.125</v>
      </c>
      <c r="T417" s="44">
        <v>0.05</v>
      </c>
      <c r="U417" s="44"/>
      <c r="V417" s="50"/>
      <c r="W417" s="45"/>
      <c r="X417" s="50">
        <f>IF(NOTA[[#This Row],[HARGA/ CTN]]="",NOTA[[#This Row],[JUMLAH_H]],NOTA[[#This Row],[HARGA/ CTN]]*IF(NOTA[[#This Row],[C]]="",0,NOTA[[#This Row],[C]]))</f>
        <v>1680000</v>
      </c>
      <c r="Y417" s="50">
        <f>IF(NOTA[[#This Row],[JUMLAH]]="","",NOTA[[#This Row],[JUMLAH]]*NOTA[[#This Row],[DISC 1]])</f>
        <v>210000</v>
      </c>
      <c r="Z417" s="50">
        <f>IF(NOTA[[#This Row],[JUMLAH]]="","",(NOTA[[#This Row],[JUMLAH]]-NOTA[[#This Row],[DISC 1-]])*NOTA[[#This Row],[DISC 2]])</f>
        <v>73500</v>
      </c>
      <c r="AA417" s="50">
        <f>IF(NOTA[[#This Row],[JUMLAH]]="","",(NOTA[[#This Row],[JUMLAH]]-NOTA[[#This Row],[DISC 1-]]-NOTA[[#This Row],[DISC 2-]])*NOTA[[#This Row],[DISC 3]])</f>
        <v>0</v>
      </c>
      <c r="AB417" s="50">
        <f>IF(NOTA[[#This Row],[JUMLAH]]="","",NOTA[[#This Row],[DISC 1-]]+NOTA[[#This Row],[DISC 2-]]+NOTA[[#This Row],[DISC 3-]])</f>
        <v>283500</v>
      </c>
      <c r="AC417" s="50">
        <f>IF(NOTA[[#This Row],[JUMLAH]]="","",NOTA[[#This Row],[JUMLAH]]-NOTA[[#This Row],[DISC]])</f>
        <v>1396500</v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417" s="50">
        <f>IF(OR(NOTA[[#This Row],[QTY]]="",NOTA[[#This Row],[HARGA SATUAN]]="",),"",NOTA[[#This Row],[QTY]]*NOTA[[#This Row],[HARGA SATUAN]])</f>
        <v>1680000</v>
      </c>
      <c r="AI417" s="39">
        <f ca="1">IF(NOTA[ID_H]="","",INDEX(NOTA[TANGGAL],MATCH(,INDIRECT(ADDRESS(ROW(NOTA[TANGGAL]),COLUMN(NOTA[TANGGAL]))&amp;":"&amp;ADDRESS(ROW(),COLUMN(NOTA[TANGGAL]))),-1)))</f>
        <v>45307</v>
      </c>
      <c r="AJ417" s="41" t="str">
        <f ca="1">IF(NOTA[[#This Row],[NAMA BARANG]]="","",INDEX(NOTA[SUPPLIER],MATCH(,INDIRECT(ADDRESS(ROW(NOTA[ID]),COLUMN(NOTA[ID]))&amp;":"&amp;ADDRESS(ROW(),COLUMN(NOTA[ID]))),-1)))</f>
        <v>ATALI MAKMUR</v>
      </c>
      <c r="AK417" s="41" t="str">
        <f ca="1">IF(NOTA[[#This Row],[ID_H]]="","",IF(NOTA[[#This Row],[FAKTUR]]="",INDIRECT(ADDRESS(ROW()-1,COLUMN())),NOTA[[#This Row],[FAKTUR]]))</f>
        <v>ARTO MORO</v>
      </c>
      <c r="AL417" s="38" t="str">
        <f ca="1">IF(NOTA[[#This Row],[ID]]="","",COUNTIF(NOTA[ID_H],NOTA[[#This Row],[ID_H]]))</f>
        <v/>
      </c>
      <c r="AM417" s="38">
        <f ca="1">IF(NOTA[[#This Row],[TGL.NOTA]]="",IF(NOTA[[#This Row],[SUPPLIER_H]]="","",AM416),MONTH(NOTA[[#This Row],[TGL.NOTA]]))</f>
        <v>1</v>
      </c>
      <c r="AN417" s="38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>
        <f>IF(NOTA[[#This Row],[CONCAT1]]="","",MATCH(NOTA[[#This Row],[CONCAT1]],[3]!db[NB NOTA_C],0))</f>
        <v>688</v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>8 BOX (6 SET)</v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colorpencilcp36pbjk8box6setartomoro</v>
      </c>
      <c r="AW417" s="38" t="e">
        <f ca="1">IF(NOTA[[#This Row],[ID_H]]="","",MATCH(NOTA[[#This Row],[NB NOTA_C_QTY]],[4]!db[NB NOTA_C_QTY+F],0))</f>
        <v>#REF!</v>
      </c>
      <c r="AX417" s="53">
        <f ca="1">IF(NOTA[[#This Row],[NB NOTA_C_QTY]]="","",ROW()-2)</f>
        <v>415</v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>
        <f ca="1">IF(NOTA[[#This Row],[NAMA BARANG]]="","",INDEX(NOTA[ID],MATCH(,INDIRECT(ADDRESS(ROW(NOTA[ID]),COLUMN(NOTA[ID]))&amp;":"&amp;ADDRESS(ROW(),COLUMN(NOTA[ID]))),-1)))</f>
        <v>66</v>
      </c>
      <c r="E418" s="46"/>
      <c r="F418" s="37"/>
      <c r="G418" s="37"/>
      <c r="H418" s="47"/>
      <c r="I418" s="37"/>
      <c r="J418" s="39"/>
      <c r="K418" s="37">
        <v>0</v>
      </c>
      <c r="L418" s="37" t="s">
        <v>546</v>
      </c>
      <c r="M418" s="40">
        <v>2</v>
      </c>
      <c r="N418" s="38">
        <v>100</v>
      </c>
      <c r="O418" s="37" t="s">
        <v>118</v>
      </c>
      <c r="P418" s="41">
        <v>28300</v>
      </c>
      <c r="Q418" s="42"/>
      <c r="R418" s="50"/>
      <c r="S418" s="49">
        <v>0.125</v>
      </c>
      <c r="T418" s="44">
        <v>0.05</v>
      </c>
      <c r="U418" s="44"/>
      <c r="V418" s="50"/>
      <c r="W418" s="45"/>
      <c r="X418" s="50">
        <f>IF(NOTA[[#This Row],[HARGA/ CTN]]="",NOTA[[#This Row],[JUMLAH_H]],NOTA[[#This Row],[HARGA/ CTN]]*IF(NOTA[[#This Row],[C]]="",0,NOTA[[#This Row],[C]]))</f>
        <v>2830000</v>
      </c>
      <c r="Y418" s="50">
        <f>IF(NOTA[[#This Row],[JUMLAH]]="","",NOTA[[#This Row],[JUMLAH]]*NOTA[[#This Row],[DISC 1]])</f>
        <v>353750</v>
      </c>
      <c r="Z418" s="50">
        <f>IF(NOTA[[#This Row],[JUMLAH]]="","",(NOTA[[#This Row],[JUMLAH]]-NOTA[[#This Row],[DISC 1-]])*NOTA[[#This Row],[DISC 2]])</f>
        <v>123812.5</v>
      </c>
      <c r="AA418" s="50">
        <f>IF(NOTA[[#This Row],[JUMLAH]]="","",(NOTA[[#This Row],[JUMLAH]]-NOTA[[#This Row],[DISC 1-]]-NOTA[[#This Row],[DISC 2-]])*NOTA[[#This Row],[DISC 3]])</f>
        <v>0</v>
      </c>
      <c r="AB418" s="50">
        <f>IF(NOTA[[#This Row],[JUMLAH]]="","",NOTA[[#This Row],[DISC 1-]]+NOTA[[#This Row],[DISC 2-]]+NOTA[[#This Row],[DISC 3-]])</f>
        <v>477562.5</v>
      </c>
      <c r="AC418" s="50">
        <f>IF(NOTA[[#This Row],[JUMLAH]]="","",NOTA[[#This Row],[JUMLAH]]-NOTA[[#This Row],[DISC]])</f>
        <v>2352437.5</v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18" s="50">
        <f>IF(OR(NOTA[[#This Row],[QTY]]="",NOTA[[#This Row],[HARGA SATUAN]]="",),"",NOTA[[#This Row],[QTY]]*NOTA[[#This Row],[HARGA SATUAN]])</f>
        <v>2830000</v>
      </c>
      <c r="AI418" s="39">
        <f ca="1">IF(NOTA[ID_H]="","",INDEX(NOTA[TANGGAL],MATCH(,INDIRECT(ADDRESS(ROW(NOTA[TANGGAL]),COLUMN(NOTA[TANGGAL]))&amp;":"&amp;ADDRESS(ROW(),COLUMN(NOTA[TANGGAL]))),-1)))</f>
        <v>45307</v>
      </c>
      <c r="AJ418" s="41" t="str">
        <f ca="1">IF(NOTA[[#This Row],[NAMA BARANG]]="","",INDEX(NOTA[SUPPLIER],MATCH(,INDIRECT(ADDRESS(ROW(NOTA[ID]),COLUMN(NOTA[ID]))&amp;":"&amp;ADDRESS(ROW(),COLUMN(NOTA[ID]))),-1)))</f>
        <v>ATALI MAKMUR</v>
      </c>
      <c r="AK418" s="41" t="str">
        <f ca="1">IF(NOTA[[#This Row],[ID_H]]="","",IF(NOTA[[#This Row],[FAKTUR]]="",INDIRECT(ADDRESS(ROW()-1,COLUMN())),NOTA[[#This Row],[FAKTUR]]))</f>
        <v>ARTO MORO</v>
      </c>
      <c r="AL418" s="38" t="str">
        <f ca="1">IF(NOTA[[#This Row],[ID]]="","",COUNTIF(NOTA[ID_H],NOTA[[#This Row],[ID_H]]))</f>
        <v/>
      </c>
      <c r="AM418" s="38">
        <f ca="1">IF(NOTA[[#This Row],[TGL.NOTA]]="",IF(NOTA[[#This Row],[SUPPLIER_H]]="","",AM417),MONTH(NOTA[[#This Row],[TGL.NOTA]]))</f>
        <v>1</v>
      </c>
      <c r="AN418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>
        <f>IF(NOTA[[#This Row],[CONCAT1]]="","",MATCH(NOTA[[#This Row],[CONCAT1]],[3]!db[NB NOTA_C],0))</f>
        <v>956</v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>50 BOX (40 PCS)</v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18" s="38" t="e">
        <f ca="1">IF(NOTA[[#This Row],[ID_H]]="","",MATCH(NOTA[[#This Row],[NB NOTA_C_QTY]],[4]!db[NB NOTA_C_QTY+F],0))</f>
        <v>#REF!</v>
      </c>
      <c r="AX418" s="53">
        <f ca="1">IF(NOTA[[#This Row],[NB NOTA_C_QTY]]="","",ROW()-2)</f>
        <v>416</v>
      </c>
    </row>
    <row r="419" spans="1:50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>
        <f ca="1">IF(NOTA[[#This Row],[NAMA BARANG]]="","",INDEX(NOTA[ID],MATCH(,INDIRECT(ADDRESS(ROW(NOTA[ID]),COLUMN(NOTA[ID]))&amp;":"&amp;ADDRESS(ROW(),COLUMN(NOTA[ID]))),-1)))</f>
        <v>66</v>
      </c>
      <c r="E419" s="46"/>
      <c r="F419" s="37"/>
      <c r="G419" s="37"/>
      <c r="H419" s="47"/>
      <c r="I419" s="37"/>
      <c r="J419" s="39"/>
      <c r="K419" s="37"/>
      <c r="L419" s="37" t="s">
        <v>123</v>
      </c>
      <c r="M419" s="40">
        <v>1</v>
      </c>
      <c r="N419" s="38">
        <v>50</v>
      </c>
      <c r="O419" s="37" t="s">
        <v>118</v>
      </c>
      <c r="P419" s="41">
        <v>28300</v>
      </c>
      <c r="Q419" s="42"/>
      <c r="R419" s="48"/>
      <c r="S419" s="49">
        <v>0.125</v>
      </c>
      <c r="T419" s="44">
        <v>0.05</v>
      </c>
      <c r="U419" s="44"/>
      <c r="V419" s="50"/>
      <c r="W419" s="45"/>
      <c r="X419" s="50">
        <f>IF(NOTA[[#This Row],[HARGA/ CTN]]="",NOTA[[#This Row],[JUMLAH_H]],NOTA[[#This Row],[HARGA/ CTN]]*IF(NOTA[[#This Row],[C]]="",0,NOTA[[#This Row],[C]]))</f>
        <v>1415000</v>
      </c>
      <c r="Y419" s="50">
        <f>IF(NOTA[[#This Row],[JUMLAH]]="","",NOTA[[#This Row],[JUMLAH]]*NOTA[[#This Row],[DISC 1]])</f>
        <v>176875</v>
      </c>
      <c r="Z419" s="50">
        <f>IF(NOTA[[#This Row],[JUMLAH]]="","",(NOTA[[#This Row],[JUMLAH]]-NOTA[[#This Row],[DISC 1-]])*NOTA[[#This Row],[DISC 2]])</f>
        <v>61906.25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238781.25</v>
      </c>
      <c r="AC419" s="50">
        <f>IF(NOTA[[#This Row],[JUMLAH]]="","",NOTA[[#This Row],[JUMLAH]]-NOTA[[#This Row],[DISC]])</f>
        <v>1176218.75</v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19" s="50">
        <f>IF(OR(NOTA[[#This Row],[QTY]]="",NOTA[[#This Row],[HARGA SATUAN]]="",),"",NOTA[[#This Row],[QTY]]*NOTA[[#This Row],[HARGA SATUAN]])</f>
        <v>1415000</v>
      </c>
      <c r="AI419" s="39">
        <f ca="1">IF(NOTA[ID_H]="","",INDEX(NOTA[TANGGAL],MATCH(,INDIRECT(ADDRESS(ROW(NOTA[TANGGAL]),COLUMN(NOTA[TANGGAL]))&amp;":"&amp;ADDRESS(ROW(),COLUMN(NOTA[TANGGAL]))),-1)))</f>
        <v>45307</v>
      </c>
      <c r="AJ419" s="41" t="str">
        <f ca="1">IF(NOTA[[#This Row],[NAMA BARANG]]="","",INDEX(NOTA[SUPPLIER],MATCH(,INDIRECT(ADDRESS(ROW(NOTA[ID]),COLUMN(NOTA[ID]))&amp;":"&amp;ADDRESS(ROW(),COLUMN(NOTA[ID]))),-1)))</f>
        <v>ATALI MAKMUR</v>
      </c>
      <c r="AK419" s="41" t="str">
        <f ca="1">IF(NOTA[[#This Row],[ID_H]]="","",IF(NOTA[[#This Row],[FAKTUR]]="",INDIRECT(ADDRESS(ROW()-1,COLUMN())),NOTA[[#This Row],[FAKTUR]]))</f>
        <v>ARTO MORO</v>
      </c>
      <c r="AL419" s="38" t="str">
        <f ca="1">IF(NOTA[[#This Row],[ID]]="","",COUNTIF(NOTA[ID_H],NOTA[[#This Row],[ID_H]]))</f>
        <v/>
      </c>
      <c r="AM419" s="38">
        <f ca="1">IF(NOTA[[#This Row],[TGL.NOTA]]="",IF(NOTA[[#This Row],[SUPPLIER_H]]="","",AM418),MONTH(NOTA[[#This Row],[TGL.NOTA]]))</f>
        <v>1</v>
      </c>
      <c r="AN419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9" s="38" t="str">
        <f>IF(NOTA[[#This Row],[CONCAT4]]="","",_xlfn.IFNA(MATCH(NOTA[[#This Row],[CONCAT4]],[2]!RAW[CONCAT_H],0),FALSE))</f>
        <v/>
      </c>
      <c r="AS419" s="38">
        <f>IF(NOTA[[#This Row],[CONCAT1]]="","",MATCH(NOTA[[#This Row],[CONCAT1]],[3]!db[NB NOTA_C],0))</f>
        <v>954</v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>50 BOX (40 PCS)</v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419" s="38" t="e">
        <f ca="1">IF(NOTA[[#This Row],[ID_H]]="","",MATCH(NOTA[[#This Row],[NB NOTA_C_QTY]],[4]!db[NB NOTA_C_QTY+F],0))</f>
        <v>#REF!</v>
      </c>
      <c r="AX419" s="53">
        <f ca="1">IF(NOTA[[#This Row],[NB NOTA_C_QTY]]="","",ROW()-2)</f>
        <v>417</v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66</v>
      </c>
      <c r="E420" s="46"/>
      <c r="F420" s="37"/>
      <c r="G420" s="37"/>
      <c r="H420" s="47"/>
      <c r="I420" s="37"/>
      <c r="J420" s="39"/>
      <c r="K420" s="37">
        <v>0</v>
      </c>
      <c r="L420" s="37" t="s">
        <v>139</v>
      </c>
      <c r="M420" s="40">
        <v>2</v>
      </c>
      <c r="N420" s="38">
        <v>100</v>
      </c>
      <c r="O420" s="37" t="s">
        <v>118</v>
      </c>
      <c r="P420" s="41">
        <v>34100</v>
      </c>
      <c r="Q420" s="42"/>
      <c r="R420" s="48"/>
      <c r="S420" s="49">
        <v>0.125</v>
      </c>
      <c r="T420" s="44">
        <v>0.05</v>
      </c>
      <c r="U420" s="44"/>
      <c r="V420" s="50"/>
      <c r="W420" s="45"/>
      <c r="X420" s="50">
        <f>IF(NOTA[[#This Row],[HARGA/ CTN]]="",NOTA[[#This Row],[JUMLAH_H]],NOTA[[#This Row],[HARGA/ CTN]]*IF(NOTA[[#This Row],[C]]="",0,NOTA[[#This Row],[C]]))</f>
        <v>3410000</v>
      </c>
      <c r="Y420" s="50">
        <f>IF(NOTA[[#This Row],[JUMLAH]]="","",NOTA[[#This Row],[JUMLAH]]*NOTA[[#This Row],[DISC 1]])</f>
        <v>426250</v>
      </c>
      <c r="Z420" s="50">
        <f>IF(NOTA[[#This Row],[JUMLAH]]="","",(NOTA[[#This Row],[JUMLAH]]-NOTA[[#This Row],[DISC 1-]])*NOTA[[#This Row],[DISC 2]])</f>
        <v>149187.5</v>
      </c>
      <c r="AA420" s="50">
        <f>IF(NOTA[[#This Row],[JUMLAH]]="","",(NOTA[[#This Row],[JUMLAH]]-NOTA[[#This Row],[DISC 1-]]-NOTA[[#This Row],[DISC 2-]])*NOTA[[#This Row],[DISC 3]])</f>
        <v>0</v>
      </c>
      <c r="AB420" s="50">
        <f>IF(NOTA[[#This Row],[JUMLAH]]="","",NOTA[[#This Row],[DISC 1-]]+NOTA[[#This Row],[DISC 2-]]+NOTA[[#This Row],[DISC 3-]])</f>
        <v>575437.5</v>
      </c>
      <c r="AC420" s="50">
        <f>IF(NOTA[[#This Row],[JUMLAH]]="","",NOTA[[#This Row],[JUMLAH]]-NOTA[[#This Row],[DISC]])</f>
        <v>2834562.5</v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0" s="50">
        <f>IF(OR(NOTA[[#This Row],[QTY]]="",NOTA[[#This Row],[HARGA SATUAN]]="",),"",NOTA[[#This Row],[QTY]]*NOTA[[#This Row],[HARGA SATUAN]])</f>
        <v>3410000</v>
      </c>
      <c r="AI420" s="39">
        <f ca="1">IF(NOTA[ID_H]="","",INDEX(NOTA[TANGGAL],MATCH(,INDIRECT(ADDRESS(ROW(NOTA[TANGGAL]),COLUMN(NOTA[TANGGAL]))&amp;":"&amp;ADDRESS(ROW(),COLUMN(NOTA[TANGGAL]))),-1)))</f>
        <v>45307</v>
      </c>
      <c r="AJ420" s="41" t="str">
        <f ca="1">IF(NOTA[[#This Row],[NAMA BARANG]]="","",INDEX(NOTA[SUPPLIER],MATCH(,INDIRECT(ADDRESS(ROW(NOTA[ID]),COLUMN(NOTA[ID]))&amp;":"&amp;ADDRESS(ROW(),COLUMN(NOTA[ID]))),-1)))</f>
        <v>ATALI MAKMUR</v>
      </c>
      <c r="AK420" s="41" t="str">
        <f ca="1">IF(NOTA[[#This Row],[ID_H]]="","",IF(NOTA[[#This Row],[FAKTUR]]="",INDIRECT(ADDRESS(ROW()-1,COLUMN())),NOTA[[#This Row],[FAKTUR]]))</f>
        <v>ARTO MORO</v>
      </c>
      <c r="AL420" s="38" t="str">
        <f ca="1">IF(NOTA[[#This Row],[ID]]="","",COUNTIF(NOTA[ID_H],NOTA[[#This Row],[ID_H]]))</f>
        <v/>
      </c>
      <c r="AM420" s="38">
        <f ca="1">IF(NOTA[[#This Row],[TGL.NOTA]]="",IF(NOTA[[#This Row],[SUPPLIER_H]]="","",AM419),MONTH(NOTA[[#This Row],[TGL.NOTA]]))</f>
        <v>1</v>
      </c>
      <c r="AN420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>
        <f>IF(NOTA[[#This Row],[CONCAT1]]="","",MATCH(NOTA[[#This Row],[CONCAT1]],[3]!db[NB NOTA_C],0))</f>
        <v>953</v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>50 BOX (20 PCS)</v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420" s="38" t="e">
        <f ca="1">IF(NOTA[[#This Row],[ID_H]]="","",MATCH(NOTA[[#This Row],[NB NOTA_C_QTY]],[4]!db[NB NOTA_C_QTY+F],0))</f>
        <v>#REF!</v>
      </c>
      <c r="AX420" s="53">
        <f ca="1">IF(NOTA[[#This Row],[NB NOTA_C_QTY]]="","",ROW()-2)</f>
        <v>418</v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66</v>
      </c>
      <c r="E421" s="46"/>
      <c r="F421" s="37"/>
      <c r="G421" s="37"/>
      <c r="H421" s="47"/>
      <c r="I421" s="37"/>
      <c r="J421" s="39"/>
      <c r="K421" s="37"/>
      <c r="L421" s="37" t="s">
        <v>547</v>
      </c>
      <c r="M421" s="40">
        <v>1</v>
      </c>
      <c r="N421" s="38">
        <v>50</v>
      </c>
      <c r="O421" s="37" t="s">
        <v>118</v>
      </c>
      <c r="P421" s="41">
        <v>34100</v>
      </c>
      <c r="Q421" s="42"/>
      <c r="R421" s="48"/>
      <c r="S421" s="49">
        <v>0.125</v>
      </c>
      <c r="T421" s="44">
        <v>0.05</v>
      </c>
      <c r="U421" s="44"/>
      <c r="V421" s="50"/>
      <c r="W421" s="45"/>
      <c r="X421" s="50">
        <f>IF(NOTA[[#This Row],[HARGA/ CTN]]="",NOTA[[#This Row],[JUMLAH_H]],NOTA[[#This Row],[HARGA/ CTN]]*IF(NOTA[[#This Row],[C]]="",0,NOTA[[#This Row],[C]]))</f>
        <v>1705000</v>
      </c>
      <c r="Y421" s="50">
        <f>IF(NOTA[[#This Row],[JUMLAH]]="","",NOTA[[#This Row],[JUMLAH]]*NOTA[[#This Row],[DISC 1]])</f>
        <v>213125</v>
      </c>
      <c r="Z421" s="50">
        <f>IF(NOTA[[#This Row],[JUMLAH]]="","",(NOTA[[#This Row],[JUMLAH]]-NOTA[[#This Row],[DISC 1-]])*NOTA[[#This Row],[DISC 2]])</f>
        <v>74593.75</v>
      </c>
      <c r="AA421" s="50">
        <f>IF(NOTA[[#This Row],[JUMLAH]]="","",(NOTA[[#This Row],[JUMLAH]]-NOTA[[#This Row],[DISC 1-]]-NOTA[[#This Row],[DISC 2-]])*NOTA[[#This Row],[DISC 3]])</f>
        <v>0</v>
      </c>
      <c r="AB421" s="50">
        <f>IF(NOTA[[#This Row],[JUMLAH]]="","",NOTA[[#This Row],[DISC 1-]]+NOTA[[#This Row],[DISC 2-]]+NOTA[[#This Row],[DISC 3-]])</f>
        <v>287718.75</v>
      </c>
      <c r="AC421" s="50">
        <f>IF(NOTA[[#This Row],[JUMLAH]]="","",NOTA[[#This Row],[JUMLAH]]-NOTA[[#This Row],[DISC]])</f>
        <v>1417281.25</v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1" s="50">
        <f>IF(OR(NOTA[[#This Row],[QTY]]="",NOTA[[#This Row],[HARGA SATUAN]]="",),"",NOTA[[#This Row],[QTY]]*NOTA[[#This Row],[HARGA SATUAN]])</f>
        <v>1705000</v>
      </c>
      <c r="AI421" s="39">
        <f ca="1">IF(NOTA[ID_H]="","",INDEX(NOTA[TANGGAL],MATCH(,INDIRECT(ADDRESS(ROW(NOTA[TANGGAL]),COLUMN(NOTA[TANGGAL]))&amp;":"&amp;ADDRESS(ROW(),COLUMN(NOTA[TANGGAL]))),-1)))</f>
        <v>45307</v>
      </c>
      <c r="AJ421" s="41" t="str">
        <f ca="1">IF(NOTA[[#This Row],[NAMA BARANG]]="","",INDEX(NOTA[SUPPLIER],MATCH(,INDIRECT(ADDRESS(ROW(NOTA[ID]),COLUMN(NOTA[ID]))&amp;":"&amp;ADDRESS(ROW(),COLUMN(NOTA[ID]))),-1)))</f>
        <v>ATALI MAKMUR</v>
      </c>
      <c r="AK421" s="41" t="str">
        <f ca="1">IF(NOTA[[#This Row],[ID_H]]="","",IF(NOTA[[#This Row],[FAKTUR]]="",INDIRECT(ADDRESS(ROW()-1,COLUMN())),NOTA[[#This Row],[FAKTUR]]))</f>
        <v>ARTO MORO</v>
      </c>
      <c r="AL421" s="38" t="str">
        <f ca="1">IF(NOTA[[#This Row],[ID]]="","",COUNTIF(NOTA[ID_H],NOTA[[#This Row],[ID_H]]))</f>
        <v/>
      </c>
      <c r="AM421" s="38">
        <f ca="1">IF(NOTA[[#This Row],[TGL.NOTA]]="",IF(NOTA[[#This Row],[SUPPLIER_H]]="","",AM420),MONTH(NOTA[[#This Row],[TGL.NOTA]]))</f>
        <v>1</v>
      </c>
      <c r="AN421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>
        <f>IF(NOTA[[#This Row],[CONCAT1]]="","",MATCH(NOTA[[#This Row],[CONCAT1]],[3]!db[NB NOTA_C],0))</f>
        <v>964</v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>50 BOX (20 PCS)</v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421" s="38" t="e">
        <f ca="1">IF(NOTA[[#This Row],[ID_H]]="","",MATCH(NOTA[[#This Row],[NB NOTA_C_QTY]],[4]!db[NB NOTA_C_QTY+F],0))</f>
        <v>#REF!</v>
      </c>
      <c r="AX421" s="53">
        <f ca="1">IF(NOTA[[#This Row],[NB NOTA_C_QTY]]="","",ROW()-2)</f>
        <v>419</v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66</v>
      </c>
      <c r="E422" s="46"/>
      <c r="F422" s="37"/>
      <c r="G422" s="37"/>
      <c r="H422" s="47"/>
      <c r="I422" s="37"/>
      <c r="J422" s="39"/>
      <c r="K422" s="37">
        <v>0</v>
      </c>
      <c r="L422" s="54" t="s">
        <v>548</v>
      </c>
      <c r="M422" s="40">
        <v>1</v>
      </c>
      <c r="N422" s="38">
        <v>144</v>
      </c>
      <c r="O422" s="37" t="s">
        <v>115</v>
      </c>
      <c r="P422" s="41">
        <v>4350</v>
      </c>
      <c r="Q422" s="42"/>
      <c r="R422" s="48"/>
      <c r="S422" s="49">
        <v>0.125</v>
      </c>
      <c r="T422" s="44">
        <v>0.05</v>
      </c>
      <c r="U422" s="44"/>
      <c r="V422" s="50"/>
      <c r="W422" s="45"/>
      <c r="X422" s="50">
        <f>IF(NOTA[[#This Row],[HARGA/ CTN]]="",NOTA[[#This Row],[JUMLAH_H]],NOTA[[#This Row],[HARGA/ CTN]]*IF(NOTA[[#This Row],[C]]="",0,NOTA[[#This Row],[C]]))</f>
        <v>626400</v>
      </c>
      <c r="Y422" s="50">
        <f>IF(NOTA[[#This Row],[JUMLAH]]="","",NOTA[[#This Row],[JUMLAH]]*NOTA[[#This Row],[DISC 1]])</f>
        <v>78300</v>
      </c>
      <c r="Z422" s="50">
        <f>IF(NOTA[[#This Row],[JUMLAH]]="","",(NOTA[[#This Row],[JUMLAH]]-NOTA[[#This Row],[DISC 1-]])*NOTA[[#This Row],[DISC 2]])</f>
        <v>27405</v>
      </c>
      <c r="AA422" s="50">
        <f>IF(NOTA[[#This Row],[JUMLAH]]="","",(NOTA[[#This Row],[JUMLAH]]-NOTA[[#This Row],[DISC 1-]]-NOTA[[#This Row],[DISC 2-]])*NOTA[[#This Row],[DISC 3]])</f>
        <v>0</v>
      </c>
      <c r="AB422" s="50">
        <f>IF(NOTA[[#This Row],[JUMLAH]]="","",NOTA[[#This Row],[DISC 1-]]+NOTA[[#This Row],[DISC 2-]]+NOTA[[#This Row],[DISC 3-]])</f>
        <v>105705</v>
      </c>
      <c r="AC422" s="50">
        <f>IF(NOTA[[#This Row],[JUMLAH]]="","",NOTA[[#This Row],[JUMLAH]]-NOTA[[#This Row],[DISC]])</f>
        <v>520695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22" s="50">
        <f>IF(OR(NOTA[[#This Row],[QTY]]="",NOTA[[#This Row],[HARGA SATUAN]]="",),"",NOTA[[#This Row],[QTY]]*NOTA[[#This Row],[HARGA SATUAN]])</f>
        <v>626400</v>
      </c>
      <c r="AI422" s="39">
        <f ca="1">IF(NOTA[ID_H]="","",INDEX(NOTA[TANGGAL],MATCH(,INDIRECT(ADDRESS(ROW(NOTA[TANGGAL]),COLUMN(NOTA[TANGGAL]))&amp;":"&amp;ADDRESS(ROW(),COLUMN(NOTA[TANGGAL]))),-1)))</f>
        <v>45307</v>
      </c>
      <c r="AJ422" s="41" t="str">
        <f ca="1">IF(NOTA[[#This Row],[NAMA BARANG]]="","",INDEX(NOTA[SUPPLIER],MATCH(,INDIRECT(ADDRESS(ROW(NOTA[ID]),COLUMN(NOTA[ID]))&amp;":"&amp;ADDRESS(ROW(),COLUMN(NOTA[ID]))),-1)))</f>
        <v>ATALI MAKMUR</v>
      </c>
      <c r="AK422" s="41" t="str">
        <f ca="1">IF(NOTA[[#This Row],[ID_H]]="","",IF(NOTA[[#This Row],[FAKTUR]]="",INDIRECT(ADDRESS(ROW()-1,COLUMN())),NOTA[[#This Row],[FAKTUR]]))</f>
        <v>ARTO MORO</v>
      </c>
      <c r="AL422" s="38" t="str">
        <f ca="1">IF(NOTA[[#This Row],[ID]]="","",COUNTIF(NOTA[ID_H],NOTA[[#This Row],[ID_H]]))</f>
        <v/>
      </c>
      <c r="AM422" s="38">
        <f ca="1">IF(NOTA[[#This Row],[TGL.NOTA]]="",IF(NOTA[[#This Row],[SUPPLIER_H]]="","",AM421),MONTH(NOTA[[#This Row],[TGL.NOTA]]))</f>
        <v>1</v>
      </c>
      <c r="AN422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>
        <f>IF(NOTA[[#This Row],[CONCAT1]]="","",MATCH(NOTA[[#This Row],[CONCAT1]],[3]!db[NB NOTA_C],0))</f>
        <v>2746</v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>12 LSN</v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422" s="38" t="e">
        <f ca="1">IF(NOTA[[#This Row],[ID_H]]="","",MATCH(NOTA[[#This Row],[NB NOTA_C_QTY]],[4]!db[NB NOTA_C_QTY+F],0))</f>
        <v>#REF!</v>
      </c>
      <c r="AX422" s="53">
        <f ca="1">IF(NOTA[[#This Row],[NB NOTA_C_QTY]]="","",ROW()-2)</f>
        <v>420</v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66</v>
      </c>
      <c r="E423" s="46"/>
      <c r="F423" s="37"/>
      <c r="G423" s="37"/>
      <c r="H423" s="47"/>
      <c r="I423" s="37"/>
      <c r="J423" s="39"/>
      <c r="K423" s="37">
        <v>0</v>
      </c>
      <c r="L423" s="37" t="s">
        <v>549</v>
      </c>
      <c r="M423" s="40">
        <v>1</v>
      </c>
      <c r="N423" s="38">
        <v>144</v>
      </c>
      <c r="O423" s="37" t="s">
        <v>115</v>
      </c>
      <c r="P423" s="41">
        <v>6100</v>
      </c>
      <c r="Q423" s="42"/>
      <c r="R423" s="48"/>
      <c r="S423" s="49">
        <v>0.125</v>
      </c>
      <c r="T423" s="44">
        <v>0.05</v>
      </c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878400</v>
      </c>
      <c r="Y423" s="50">
        <f>IF(NOTA[[#This Row],[JUMLAH]]="","",NOTA[[#This Row],[JUMLAH]]*NOTA[[#This Row],[DISC 1]])</f>
        <v>109800</v>
      </c>
      <c r="Z423" s="50">
        <f>IF(NOTA[[#This Row],[JUMLAH]]="","",(NOTA[[#This Row],[JUMLAH]]-NOTA[[#This Row],[DISC 1-]])*NOTA[[#This Row],[DISC 2]])</f>
        <v>38430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148230</v>
      </c>
      <c r="AC423" s="50">
        <f>IF(NOTA[[#This Row],[JUMLAH]]="","",NOTA[[#This Row],[JUMLAH]]-NOTA[[#This Row],[DISC]])</f>
        <v>730170</v>
      </c>
      <c r="AD423" s="50"/>
      <c r="AE4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3235140</v>
      </c>
      <c r="AF4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15936060</v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878400</v>
      </c>
      <c r="AH423" s="50">
        <f>IF(OR(NOTA[[#This Row],[QTY]]="",NOTA[[#This Row],[HARGA SATUAN]]="",),"",NOTA[[#This Row],[QTY]]*NOTA[[#This Row],[HARGA SATUAN]])</f>
        <v>878400</v>
      </c>
      <c r="AI423" s="39">
        <f ca="1">IF(NOTA[ID_H]="","",INDEX(NOTA[TANGGAL],MATCH(,INDIRECT(ADDRESS(ROW(NOTA[TANGGAL]),COLUMN(NOTA[TANGGAL]))&amp;":"&amp;ADDRESS(ROW(),COLUMN(NOTA[TANGGAL]))),-1)))</f>
        <v>45307</v>
      </c>
      <c r="AJ423" s="41" t="str">
        <f ca="1">IF(NOTA[[#This Row],[NAMA BARANG]]="","",INDEX(NOTA[SUPPLIER],MATCH(,INDIRECT(ADDRESS(ROW(NOTA[ID]),COLUMN(NOTA[ID]))&amp;":"&amp;ADDRESS(ROW(),COLUMN(NOTA[ID]))),-1)))</f>
        <v>ATALI MAKMUR</v>
      </c>
      <c r="AK423" s="41" t="str">
        <f ca="1">IF(NOTA[[#This Row],[ID_H]]="","",IF(NOTA[[#This Row],[FAKTUR]]="",INDIRECT(ADDRESS(ROW()-1,COLUMN())),NOTA[[#This Row],[FAKTUR]]))</f>
        <v>ARTO MORO</v>
      </c>
      <c r="AL423" s="38" t="str">
        <f ca="1">IF(NOTA[[#This Row],[ID]]="","",COUNTIF(NOTA[ID_H],NOTA[[#This Row],[ID_H]]))</f>
        <v/>
      </c>
      <c r="AM423" s="38">
        <f ca="1">IF(NOTA[[#This Row],[TGL.NOTA]]="",IF(NOTA[[#This Row],[SUPPLIER_H]]="","",AM422),MONTH(NOTA[[#This Row],[TGL.NOTA]]))</f>
        <v>1</v>
      </c>
      <c r="AN423" s="38" t="str">
        <f>LOWER(SUBSTITUTE(SUBSTITUTE(SUBSTITUTE(SUBSTITUTE(SUBSTITUTE(SUBSTITUTE(SUBSTITUTE(SUBSTITUTE(SUBSTITUTE(NOTA[NAMA BARANG]," ",),".",""),"-",""),"(",""),")",""),",",""),"/",""),"""",""),"+",""))</f>
        <v>scissorssc828sgjk</v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scissorssc828sgjk8784000.1250.05</v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scissorssc828sgjk8784000.1250.05</v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 t="e">
        <f>IF(NOTA[[#This Row],[CONCAT1]]="","",MATCH(NOTA[[#This Row],[CONCAT1]],[3]!db[NB NOTA_C],0))</f>
        <v>#N/A</v>
      </c>
      <c r="AT423" s="38" t="str">
        <f>IF(NOTA[[#This Row],[QTY/ CTN]]="","",TRUE)</f>
        <v/>
      </c>
      <c r="AU423" s="38" t="e">
        <f ca="1">IF(NOTA[[#This Row],[ID_H]]="","",IF(NOTA[[#This Row],[Column3]]=TRUE,NOTA[[#This Row],[QTY/ CTN]],INDEX([3]!db[QTY/ CTN],NOTA[[#This Row],[//DB]])))</f>
        <v>#N/A</v>
      </c>
      <c r="AV42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23" s="38" t="e">
        <f ca="1">IF(NOTA[[#This Row],[ID_H]]="","",MATCH(NOTA[[#This Row],[NB NOTA_C_QTY]],[4]!db[NB NOTA_C_QTY+F],0))</f>
        <v>#N/A</v>
      </c>
      <c r="AX423" s="53" t="e">
        <f ca="1">IF(NOTA[[#This Row],[NB NOTA_C_QTY]]="","",ROW()-2)</f>
        <v>#N/A</v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 t="str">
        <f ca="1">IF(NOTA[[#This Row],[NAMA BARANG]]="","",INDEX(NOTA[ID],MATCH(,INDIRECT(ADDRESS(ROW(NOTA[ID]),COLUMN(NOTA[ID]))&amp;":"&amp;ADDRESS(ROW(),COLUMN(NOTA[ID]))),-1)))</f>
        <v/>
      </c>
      <c r="E424" s="46"/>
      <c r="F424" s="37"/>
      <c r="G424" s="37"/>
      <c r="H424" s="47"/>
      <c r="I424" s="37"/>
      <c r="J424" s="39"/>
      <c r="K424" s="37"/>
      <c r="L424" s="37"/>
      <c r="M424" s="40"/>
      <c r="O424" s="37"/>
      <c r="P424" s="41"/>
      <c r="Q424" s="42"/>
      <c r="R424" s="48"/>
      <c r="S424" s="49"/>
      <c r="T424" s="44"/>
      <c r="U424" s="44"/>
      <c r="V424" s="50"/>
      <c r="W424" s="45"/>
      <c r="X424" s="50" t="str">
        <f>IF(NOTA[[#This Row],[HARGA/ CTN]]="",NOTA[[#This Row],[JUMLAH_H]],NOTA[[#This Row],[HARGA/ CTN]]*IF(NOTA[[#This Row],[C]]="",0,NOTA[[#This Row],[C]]))</f>
        <v/>
      </c>
      <c r="Y424" s="50" t="str">
        <f>IF(NOTA[[#This Row],[JUMLAH]]="","",NOTA[[#This Row],[JUMLAH]]*NOTA[[#This Row],[DISC 1]])</f>
        <v/>
      </c>
      <c r="Z424" s="50" t="str">
        <f>IF(NOTA[[#This Row],[JUMLAH]]="","",(NOTA[[#This Row],[JUMLAH]]-NOTA[[#This Row],[DISC 1-]])*NOTA[[#This Row],[DISC 2]])</f>
        <v/>
      </c>
      <c r="AA424" s="50" t="str">
        <f>IF(NOTA[[#This Row],[JUMLAH]]="","",(NOTA[[#This Row],[JUMLAH]]-NOTA[[#This Row],[DISC 1-]]-NOTA[[#This Row],[DISC 2-]])*NOTA[[#This Row],[DISC 3]])</f>
        <v/>
      </c>
      <c r="AB424" s="50" t="str">
        <f>IF(NOTA[[#This Row],[JUMLAH]]="","",NOTA[[#This Row],[DISC 1-]]+NOTA[[#This Row],[DISC 2-]]+NOTA[[#This Row],[DISC 3-]])</f>
        <v/>
      </c>
      <c r="AC424" s="50" t="str">
        <f>IF(NOTA[[#This Row],[JUMLAH]]="","",NOTA[[#This Row],[JUMLAH]]-NOTA[[#This Row],[DISC]])</f>
        <v/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4" s="50" t="str">
        <f>IF(OR(NOTA[[#This Row],[QTY]]="",NOTA[[#This Row],[HARGA SATUAN]]="",),"",NOTA[[#This Row],[QTY]]*NOTA[[#This Row],[HARGA SATUAN]])</f>
        <v/>
      </c>
      <c r="AI424" s="39" t="str">
        <f ca="1">IF(NOTA[ID_H]="","",INDEX(NOTA[TANGGAL],MATCH(,INDIRECT(ADDRESS(ROW(NOTA[TANGGAL]),COLUMN(NOTA[TANGGAL]))&amp;":"&amp;ADDRESS(ROW(),COLUMN(NOTA[TANGGAL]))),-1)))</f>
        <v/>
      </c>
      <c r="AJ424" s="41" t="str">
        <f ca="1">IF(NOTA[[#This Row],[NAMA BARANG]]="","",INDEX(NOTA[SUPPLIER],MATCH(,INDIRECT(ADDRESS(ROW(NOTA[ID]),COLUMN(NOTA[ID]))&amp;":"&amp;ADDRESS(ROW(),COLUMN(NOTA[ID]))),-1)))</f>
        <v/>
      </c>
      <c r="AK424" s="41" t="str">
        <f ca="1">IF(NOTA[[#This Row],[ID_H]]="","",IF(NOTA[[#This Row],[FAKTUR]]="",INDIRECT(ADDRESS(ROW()-1,COLUMN())),NOTA[[#This Row],[FAKTUR]]))</f>
        <v/>
      </c>
      <c r="AL424" s="38" t="str">
        <f ca="1">IF(NOTA[[#This Row],[ID]]="","",COUNTIF(NOTA[ID_H],NOTA[[#This Row],[ID_H]]))</f>
        <v/>
      </c>
      <c r="AM424" s="38" t="str">
        <f ca="1">IF(NOTA[[#This Row],[TGL.NOTA]]="",IF(NOTA[[#This Row],[SUPPLIER_H]]="","",AM423),MONTH(NOTA[[#This Row],[TGL.NOTA]]))</f>
        <v/>
      </c>
      <c r="AN424" s="38" t="str">
        <f>LOWER(SUBSTITUTE(SUBSTITUTE(SUBSTITUTE(SUBSTITUTE(SUBSTITUTE(SUBSTITUTE(SUBSTITUTE(SUBSTITUTE(SUBSTITUTE(NOTA[NAMA BARANG]," ",),".",""),"-",""),"(",""),")",""),",",""),"/",""),"""",""),"+",""))</f>
        <v/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 t="str">
        <f>IF(NOTA[[#This Row],[CONCAT1]]="","",MATCH(NOTA[[#This Row],[CONCAT1]],[3]!db[NB NOTA_C],0))</f>
        <v/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/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4" s="38" t="str">
        <f ca="1">IF(NOTA[[#This Row],[ID_H]]="","",MATCH(NOTA[[#This Row],[NB NOTA_C_QTY]],[4]!db[NB NOTA_C_QTY+F],0))</f>
        <v/>
      </c>
      <c r="AX424" s="53" t="str">
        <f ca="1">IF(NOTA[[#This Row],[NB NOTA_C_QTY]]="","",ROW()-2)</f>
        <v/>
      </c>
    </row>
    <row r="425" spans="1:50" s="38" customFormat="1" ht="20.100000000000001" customHeight="1" x14ac:dyDescent="0.25">
      <c r="A425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4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ATA_1601_685-5</v>
      </c>
      <c r="C425" s="38" t="e">
        <f ca="1">IF(NOTA[[#This Row],[ID_P]]="","",MATCH(NOTA[[#This Row],[ID_P]],[1]!B_MSK[N_ID],0))</f>
        <v>#REF!</v>
      </c>
      <c r="D425" s="38">
        <f ca="1">IF(NOTA[[#This Row],[NAMA BARANG]]="","",INDEX(NOTA[ID],MATCH(,INDIRECT(ADDRESS(ROW(NOTA[ID]),COLUMN(NOTA[ID]))&amp;":"&amp;ADDRESS(ROW(),COLUMN(NOTA[ID]))),-1)))</f>
        <v>67</v>
      </c>
      <c r="E425" s="46">
        <v>45307</v>
      </c>
      <c r="F425" s="37" t="s">
        <v>24</v>
      </c>
      <c r="G425" s="37" t="s">
        <v>23</v>
      </c>
      <c r="H425" s="47" t="s">
        <v>550</v>
      </c>
      <c r="I425" s="37"/>
      <c r="J425" s="39">
        <v>45302</v>
      </c>
      <c r="K425" s="37">
        <v>0</v>
      </c>
      <c r="L425" s="37" t="s">
        <v>551</v>
      </c>
      <c r="M425" s="40">
        <v>1</v>
      </c>
      <c r="N425" s="38">
        <v>192</v>
      </c>
      <c r="O425" s="37" t="s">
        <v>116</v>
      </c>
      <c r="P425" s="41">
        <v>16800</v>
      </c>
      <c r="Q425" s="42"/>
      <c r="R425" s="48"/>
      <c r="S425" s="49">
        <v>0.125</v>
      </c>
      <c r="T425" s="44">
        <v>0.05</v>
      </c>
      <c r="U425" s="44"/>
      <c r="V425" s="50"/>
      <c r="W425" s="45"/>
      <c r="X425" s="50">
        <f>IF(NOTA[[#This Row],[HARGA/ CTN]]="",NOTA[[#This Row],[JUMLAH_H]],NOTA[[#This Row],[HARGA/ CTN]]*IF(NOTA[[#This Row],[C]]="",0,NOTA[[#This Row],[C]]))</f>
        <v>3225600</v>
      </c>
      <c r="Y425" s="50">
        <f>IF(NOTA[[#This Row],[JUMLAH]]="","",NOTA[[#This Row],[JUMLAH]]*NOTA[[#This Row],[DISC 1]])</f>
        <v>403200</v>
      </c>
      <c r="Z425" s="50">
        <f>IF(NOTA[[#This Row],[JUMLAH]]="","",(NOTA[[#This Row],[JUMLAH]]-NOTA[[#This Row],[DISC 1-]])*NOTA[[#This Row],[DISC 2]])</f>
        <v>141120</v>
      </c>
      <c r="AA425" s="50">
        <f>IF(NOTA[[#This Row],[JUMLAH]]="","",(NOTA[[#This Row],[JUMLAH]]-NOTA[[#This Row],[DISC 1-]]-NOTA[[#This Row],[DISC 2-]])*NOTA[[#This Row],[DISC 3]])</f>
        <v>0</v>
      </c>
      <c r="AB425" s="50">
        <f>IF(NOTA[[#This Row],[JUMLAH]]="","",NOTA[[#This Row],[DISC 1-]]+NOTA[[#This Row],[DISC 2-]]+NOTA[[#This Row],[DISC 3-]])</f>
        <v>544320</v>
      </c>
      <c r="AC425" s="50">
        <f>IF(NOTA[[#This Row],[JUMLAH]]="","",NOTA[[#This Row],[JUMLAH]]-NOTA[[#This Row],[DISC]])</f>
        <v>2681280</v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H425" s="50">
        <f>IF(OR(NOTA[[#This Row],[QTY]]="",NOTA[[#This Row],[HARGA SATUAN]]="",),"",NOTA[[#This Row],[QTY]]*NOTA[[#This Row],[HARGA SATUAN]])</f>
        <v>3225600</v>
      </c>
      <c r="AI425" s="39">
        <f ca="1">IF(NOTA[ID_H]="","",INDEX(NOTA[TANGGAL],MATCH(,INDIRECT(ADDRESS(ROW(NOTA[TANGGAL]),COLUMN(NOTA[TANGGAL]))&amp;":"&amp;ADDRESS(ROW(),COLUMN(NOTA[TANGGAL]))),-1)))</f>
        <v>45307</v>
      </c>
      <c r="AJ425" s="41" t="str">
        <f ca="1">IF(NOTA[[#This Row],[NAMA BARANG]]="","",INDEX(NOTA[SUPPLIER],MATCH(,INDIRECT(ADDRESS(ROW(NOTA[ID]),COLUMN(NOTA[ID]))&amp;":"&amp;ADDRESS(ROW(),COLUMN(NOTA[ID]))),-1)))</f>
        <v>ATALI MAKMUR</v>
      </c>
      <c r="AK425" s="41" t="str">
        <f ca="1">IF(NOTA[[#This Row],[ID_H]]="","",IF(NOTA[[#This Row],[FAKTUR]]="",INDIRECT(ADDRESS(ROW()-1,COLUMN())),NOTA[[#This Row],[FAKTUR]]))</f>
        <v>ARTO MORO</v>
      </c>
      <c r="AL425" s="38">
        <f ca="1">IF(NOTA[[#This Row],[ID]]="","",COUNTIF(NOTA[ID_H],NOTA[[#This Row],[ID_H]]))</f>
        <v>5</v>
      </c>
      <c r="AM425" s="38">
        <f>IF(NOTA[[#This Row],[TGL.NOTA]]="",IF(NOTA[[#This Row],[SUPPLIER_H]]="","",AM424),MONTH(NOTA[[#This Row],[TGL.NOTA]]))</f>
        <v>1</v>
      </c>
      <c r="AN425" s="38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MOROSA24010068545302gelpengpc309sdiamondartjk</v>
      </c>
      <c r="AR425" s="38" t="e">
        <f>IF(NOTA[[#This Row],[CONCAT4]]="","",_xlfn.IFNA(MATCH(NOTA[[#This Row],[CONCAT4]],[2]!RAW[CONCAT_H],0),FALSE))</f>
        <v>#REF!</v>
      </c>
      <c r="AS425" s="38">
        <f>IF(NOTA[[#This Row],[CONCAT1]]="","",MATCH(NOTA[[#This Row],[CONCAT1]],[3]!db[NB NOTA_C],0))</f>
        <v>1062</v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>8 BOX (24 SET)</v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gelpengpc309sdiamondartjk8box24setartomoro</v>
      </c>
      <c r="AW425" s="38" t="e">
        <f ca="1">IF(NOTA[[#This Row],[ID_H]]="","",MATCH(NOTA[[#This Row],[NB NOTA_C_QTY]],[4]!db[NB NOTA_C_QTY+F],0))</f>
        <v>#REF!</v>
      </c>
      <c r="AX425" s="53">
        <f ca="1">IF(NOTA[[#This Row],[NB NOTA_C_QTY]]="","",ROW()-2)</f>
        <v>423</v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67</v>
      </c>
      <c r="E426" s="46"/>
      <c r="F426" s="37"/>
      <c r="G426" s="37"/>
      <c r="H426" s="47"/>
      <c r="I426" s="37"/>
      <c r="J426" s="39"/>
      <c r="K426" s="37">
        <v>0</v>
      </c>
      <c r="L426" s="54" t="s">
        <v>552</v>
      </c>
      <c r="M426" s="40">
        <v>1</v>
      </c>
      <c r="N426" s="38">
        <v>36</v>
      </c>
      <c r="O426" s="37" t="s">
        <v>111</v>
      </c>
      <c r="P426" s="41">
        <v>41400</v>
      </c>
      <c r="Q426" s="42"/>
      <c r="R426" s="48"/>
      <c r="S426" s="49">
        <v>0.125</v>
      </c>
      <c r="T426" s="44">
        <v>0.05</v>
      </c>
      <c r="U426" s="44"/>
      <c r="V426" s="50"/>
      <c r="W426" s="45"/>
      <c r="X426" s="50">
        <f>IF(NOTA[[#This Row],[HARGA/ CTN]]="",NOTA[[#This Row],[JUMLAH_H]],NOTA[[#This Row],[HARGA/ CTN]]*IF(NOTA[[#This Row],[C]]="",0,NOTA[[#This Row],[C]]))</f>
        <v>1490400</v>
      </c>
      <c r="Y426" s="50">
        <f>IF(NOTA[[#This Row],[JUMLAH]]="","",NOTA[[#This Row],[JUMLAH]]*NOTA[[#This Row],[DISC 1]])</f>
        <v>186300</v>
      </c>
      <c r="Z426" s="50">
        <f>IF(NOTA[[#This Row],[JUMLAH]]="","",(NOTA[[#This Row],[JUMLAH]]-NOTA[[#This Row],[DISC 1-]])*NOTA[[#This Row],[DISC 2]])</f>
        <v>65205</v>
      </c>
      <c r="AA426" s="50">
        <f>IF(NOTA[[#This Row],[JUMLAH]]="","",(NOTA[[#This Row],[JUMLAH]]-NOTA[[#This Row],[DISC 1-]]-NOTA[[#This Row],[DISC 2-]])*NOTA[[#This Row],[DISC 3]])</f>
        <v>0</v>
      </c>
      <c r="AB426" s="50">
        <f>IF(NOTA[[#This Row],[JUMLAH]]="","",NOTA[[#This Row],[DISC 1-]]+NOTA[[#This Row],[DISC 2-]]+NOTA[[#This Row],[DISC 3-]])</f>
        <v>251505</v>
      </c>
      <c r="AC426" s="50">
        <f>IF(NOTA[[#This Row],[JUMLAH]]="","",NOTA[[#This Row],[JUMLAH]]-NOTA[[#This Row],[DISC]])</f>
        <v>1238895</v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426" s="50">
        <f>IF(OR(NOTA[[#This Row],[QTY]]="",NOTA[[#This Row],[HARGA SATUAN]]="",),"",NOTA[[#This Row],[QTY]]*NOTA[[#This Row],[HARGA SATUAN]])</f>
        <v>1490400</v>
      </c>
      <c r="AI426" s="39">
        <f ca="1">IF(NOTA[ID_H]="","",INDEX(NOTA[TANGGAL],MATCH(,INDIRECT(ADDRESS(ROW(NOTA[TANGGAL]),COLUMN(NOTA[TANGGAL]))&amp;":"&amp;ADDRESS(ROW(),COLUMN(NOTA[TANGGAL]))),-1)))</f>
        <v>45307</v>
      </c>
      <c r="AJ426" s="41" t="str">
        <f ca="1">IF(NOTA[[#This Row],[NAMA BARANG]]="","",INDEX(NOTA[SUPPLIER],MATCH(,INDIRECT(ADDRESS(ROW(NOTA[ID]),COLUMN(NOTA[ID]))&amp;":"&amp;ADDRESS(ROW(),COLUMN(NOTA[ID]))),-1)))</f>
        <v>ATALI MAKMUR</v>
      </c>
      <c r="AK426" s="41" t="str">
        <f ca="1">IF(NOTA[[#This Row],[ID_H]]="","",IF(NOTA[[#This Row],[FAKTUR]]="",INDIRECT(ADDRESS(ROW()-1,COLUMN())),NOTA[[#This Row],[FAKTUR]]))</f>
        <v>ARTO MORO</v>
      </c>
      <c r="AL426" s="38" t="str">
        <f ca="1">IF(NOTA[[#This Row],[ID]]="","",COUNTIF(NOTA[ID_H],NOTA[[#This Row],[ID_H]]))</f>
        <v/>
      </c>
      <c r="AM426" s="38" t="str">
        <f ca="1">IF(NOTA[[#This Row],[TGL.NOTA]]="",IF(NOTA[[#This Row],[SUPPLIER_H]]="","",AM424),MONTH(NOTA[[#This Row],[TGL.NOTA]]))</f>
        <v/>
      </c>
      <c r="AN426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>
        <f>IF(NOTA[[#This Row],[CONCAT1]]="","",MATCH(NOTA[[#This Row],[CONCAT1]],[3]!db[NB NOTA_C],0))</f>
        <v>709</v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>36 LSN</v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W426" s="38" t="e">
        <f ca="1">IF(NOTA[[#This Row],[ID_H]]="","",MATCH(NOTA[[#This Row],[NB NOTA_C_QTY]],[4]!db[NB NOTA_C_QTY+F],0))</f>
        <v>#REF!</v>
      </c>
      <c r="AX426" s="53">
        <f ca="1">IF(NOTA[[#This Row],[NB NOTA_C_QTY]]="","",ROW()-2)</f>
        <v>424</v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>
        <f ca="1">IF(NOTA[[#This Row],[NAMA BARANG]]="","",INDEX(NOTA[ID],MATCH(,INDIRECT(ADDRESS(ROW(NOTA[ID]),COLUMN(NOTA[ID]))&amp;":"&amp;ADDRESS(ROW(),COLUMN(NOTA[ID]))),-1)))</f>
        <v>67</v>
      </c>
      <c r="E427" s="46"/>
      <c r="F427" s="37"/>
      <c r="G427" s="37"/>
      <c r="H427" s="47"/>
      <c r="I427" s="37"/>
      <c r="J427" s="39"/>
      <c r="K427" s="37">
        <v>0</v>
      </c>
      <c r="L427" s="37" t="s">
        <v>553</v>
      </c>
      <c r="M427" s="40">
        <v>1</v>
      </c>
      <c r="N427" s="38">
        <v>500</v>
      </c>
      <c r="O427" s="37" t="s">
        <v>118</v>
      </c>
      <c r="P427" s="41">
        <v>1625</v>
      </c>
      <c r="Q427" s="42"/>
      <c r="R427" s="48"/>
      <c r="S427" s="49">
        <v>0.125</v>
      </c>
      <c r="T427" s="44">
        <v>0.05</v>
      </c>
      <c r="U427" s="44"/>
      <c r="V427" s="50"/>
      <c r="W427" s="45"/>
      <c r="X427" s="50">
        <f>IF(NOTA[[#This Row],[HARGA/ CTN]]="",NOTA[[#This Row],[JUMLAH_H]],NOTA[[#This Row],[HARGA/ CTN]]*IF(NOTA[[#This Row],[C]]="",0,NOTA[[#This Row],[C]]))</f>
        <v>812500</v>
      </c>
      <c r="Y427" s="50">
        <f>IF(NOTA[[#This Row],[JUMLAH]]="","",NOTA[[#This Row],[JUMLAH]]*NOTA[[#This Row],[DISC 1]])</f>
        <v>101562.5</v>
      </c>
      <c r="Z427" s="50">
        <f>IF(NOTA[[#This Row],[JUMLAH]]="","",(NOTA[[#This Row],[JUMLAH]]-NOTA[[#This Row],[DISC 1-]])*NOTA[[#This Row],[DISC 2]])</f>
        <v>35546.875</v>
      </c>
      <c r="AA427" s="50">
        <f>IF(NOTA[[#This Row],[JUMLAH]]="","",(NOTA[[#This Row],[JUMLAH]]-NOTA[[#This Row],[DISC 1-]]-NOTA[[#This Row],[DISC 2-]])*NOTA[[#This Row],[DISC 3]])</f>
        <v>0</v>
      </c>
      <c r="AB427" s="50">
        <f>IF(NOTA[[#This Row],[JUMLAH]]="","",NOTA[[#This Row],[DISC 1-]]+NOTA[[#This Row],[DISC 2-]]+NOTA[[#This Row],[DISC 3-]])</f>
        <v>137109.375</v>
      </c>
      <c r="AC427" s="50">
        <f>IF(NOTA[[#This Row],[JUMLAH]]="","",NOTA[[#This Row],[JUMLAH]]-NOTA[[#This Row],[DISC]])</f>
        <v>675390.625</v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427" s="50">
        <f>IF(OR(NOTA[[#This Row],[QTY]]="",NOTA[[#This Row],[HARGA SATUAN]]="",),"",NOTA[[#This Row],[QTY]]*NOTA[[#This Row],[HARGA SATUAN]])</f>
        <v>812500</v>
      </c>
      <c r="AI427" s="39">
        <f ca="1">IF(NOTA[ID_H]="","",INDEX(NOTA[TANGGAL],MATCH(,INDIRECT(ADDRESS(ROW(NOTA[TANGGAL]),COLUMN(NOTA[TANGGAL]))&amp;":"&amp;ADDRESS(ROW(),COLUMN(NOTA[TANGGAL]))),-1)))</f>
        <v>45307</v>
      </c>
      <c r="AJ427" s="41" t="str">
        <f ca="1">IF(NOTA[[#This Row],[NAMA BARANG]]="","",INDEX(NOTA[SUPPLIER],MATCH(,INDIRECT(ADDRESS(ROW(NOTA[ID]),COLUMN(NOTA[ID]))&amp;":"&amp;ADDRESS(ROW(),COLUMN(NOTA[ID]))),-1)))</f>
        <v>ATALI MAKMUR</v>
      </c>
      <c r="AK427" s="41" t="str">
        <f ca="1">IF(NOTA[[#This Row],[ID_H]]="","",IF(NOTA[[#This Row],[FAKTUR]]="",INDIRECT(ADDRESS(ROW()-1,COLUMN())),NOTA[[#This Row],[FAKTUR]]))</f>
        <v>ARTO MORO</v>
      </c>
      <c r="AL427" s="38" t="str">
        <f ca="1">IF(NOTA[[#This Row],[ID]]="","",COUNTIF(NOTA[ID_H],NOTA[[#This Row],[ID_H]]))</f>
        <v/>
      </c>
      <c r="AM427" s="38" t="str">
        <f ca="1">IF(NOTA[[#This Row],[TGL.NOTA]]="",IF(NOTA[[#This Row],[SUPPLIER_H]]="","",AM426),MONTH(NOTA[[#This Row],[TGL.NOTA]]))</f>
        <v/>
      </c>
      <c r="AN427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>
        <f>IF(NOTA[[#This Row],[CONCAT1]]="","",MATCH(NOTA[[#This Row],[CONCAT1]],[3]!db[NB NOTA_C],0))</f>
        <v>3039</v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>500 BOX</v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W427" s="38" t="e">
        <f ca="1">IF(NOTA[[#This Row],[ID_H]]="","",MATCH(NOTA[[#This Row],[NB NOTA_C_QTY]],[4]!db[NB NOTA_C_QTY+F],0))</f>
        <v>#REF!</v>
      </c>
      <c r="AX427" s="53">
        <f ca="1">IF(NOTA[[#This Row],[NB NOTA_C_QTY]]="","",ROW()-2)</f>
        <v>425</v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>
        <f ca="1">IF(NOTA[[#This Row],[NAMA BARANG]]="","",INDEX(NOTA[ID],MATCH(,INDIRECT(ADDRESS(ROW(NOTA[ID]),COLUMN(NOTA[ID]))&amp;":"&amp;ADDRESS(ROW(),COLUMN(NOTA[ID]))),-1)))</f>
        <v>67</v>
      </c>
      <c r="E428" s="46"/>
      <c r="F428" s="37"/>
      <c r="G428" s="37"/>
      <c r="H428" s="47"/>
      <c r="I428" s="37"/>
      <c r="J428" s="39"/>
      <c r="K428" s="37">
        <v>0</v>
      </c>
      <c r="L428" s="37" t="s">
        <v>554</v>
      </c>
      <c r="M428" s="40">
        <v>1</v>
      </c>
      <c r="N428" s="38">
        <v>144</v>
      </c>
      <c r="O428" s="37" t="s">
        <v>111</v>
      </c>
      <c r="P428" s="41">
        <v>19800</v>
      </c>
      <c r="Q428" s="42"/>
      <c r="R428" s="48"/>
      <c r="S428" s="49">
        <v>0.125</v>
      </c>
      <c r="T428" s="44">
        <v>0.05</v>
      </c>
      <c r="U428" s="44"/>
      <c r="V428" s="50"/>
      <c r="W428" s="45"/>
      <c r="X428" s="50">
        <f>IF(NOTA[[#This Row],[HARGA/ CTN]]="",NOTA[[#This Row],[JUMLAH_H]],NOTA[[#This Row],[HARGA/ CTN]]*IF(NOTA[[#This Row],[C]]="",0,NOTA[[#This Row],[C]]))</f>
        <v>2851200</v>
      </c>
      <c r="Y428" s="50">
        <f>IF(NOTA[[#This Row],[JUMLAH]]="","",NOTA[[#This Row],[JUMLAH]]*NOTA[[#This Row],[DISC 1]])</f>
        <v>356400</v>
      </c>
      <c r="Z428" s="50">
        <f>IF(NOTA[[#This Row],[JUMLAH]]="","",(NOTA[[#This Row],[JUMLAH]]-NOTA[[#This Row],[DISC 1-]])*NOTA[[#This Row],[DISC 2]])</f>
        <v>124740</v>
      </c>
      <c r="AA428" s="50">
        <f>IF(NOTA[[#This Row],[JUMLAH]]="","",(NOTA[[#This Row],[JUMLAH]]-NOTA[[#This Row],[DISC 1-]]-NOTA[[#This Row],[DISC 2-]])*NOTA[[#This Row],[DISC 3]])</f>
        <v>0</v>
      </c>
      <c r="AB428" s="50">
        <f>IF(NOTA[[#This Row],[JUMLAH]]="","",NOTA[[#This Row],[DISC 1-]]+NOTA[[#This Row],[DISC 2-]]+NOTA[[#This Row],[DISC 3-]])</f>
        <v>481140</v>
      </c>
      <c r="AC428" s="50">
        <f>IF(NOTA[[#This Row],[JUMLAH]]="","",NOTA[[#This Row],[JUMLAH]]-NOTA[[#This Row],[DISC]])</f>
        <v>2370060</v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428" s="50">
        <f>IF(OR(NOTA[[#This Row],[QTY]]="",NOTA[[#This Row],[HARGA SATUAN]]="",),"",NOTA[[#This Row],[QTY]]*NOTA[[#This Row],[HARGA SATUAN]])</f>
        <v>2851200</v>
      </c>
      <c r="AI428" s="39">
        <f ca="1">IF(NOTA[ID_H]="","",INDEX(NOTA[TANGGAL],MATCH(,INDIRECT(ADDRESS(ROW(NOTA[TANGGAL]),COLUMN(NOTA[TANGGAL]))&amp;":"&amp;ADDRESS(ROW(),COLUMN(NOTA[TANGGAL]))),-1)))</f>
        <v>45307</v>
      </c>
      <c r="AJ428" s="41" t="str">
        <f ca="1">IF(NOTA[[#This Row],[NAMA BARANG]]="","",INDEX(NOTA[SUPPLIER],MATCH(,INDIRECT(ADDRESS(ROW(NOTA[ID]),COLUMN(NOTA[ID]))&amp;":"&amp;ADDRESS(ROW(),COLUMN(NOTA[ID]))),-1)))</f>
        <v>ATALI MAKMUR</v>
      </c>
      <c r="AK428" s="41" t="str">
        <f ca="1">IF(NOTA[[#This Row],[ID_H]]="","",IF(NOTA[[#This Row],[FAKTUR]]="",INDIRECT(ADDRESS(ROW()-1,COLUMN())),NOTA[[#This Row],[FAKTUR]]))</f>
        <v>ARTO MORO</v>
      </c>
      <c r="AL428" s="38" t="str">
        <f ca="1">IF(NOTA[[#This Row],[ID]]="","",COUNTIF(NOTA[ID_H],NOTA[[#This Row],[ID_H]]))</f>
        <v/>
      </c>
      <c r="AM428" s="38" t="str">
        <f ca="1">IF(NOTA[[#This Row],[TGL.NOTA]]="",IF(NOTA[[#This Row],[SUPPLIER_H]]="","",AM427),MONTH(NOTA[[#This Row],[TGL.NOTA]]))</f>
        <v/>
      </c>
      <c r="AN428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>
        <f>IF(NOTA[[#This Row],[CONCAT1]]="","",MATCH(NOTA[[#This Row],[CONCAT1]],[3]!db[NB NOTA_C],0))</f>
        <v>2479</v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>12 GRS</v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428" s="38" t="e">
        <f ca="1">IF(NOTA[[#This Row],[ID_H]]="","",MATCH(NOTA[[#This Row],[NB NOTA_C_QTY]],[4]!db[NB NOTA_C_QTY+F],0))</f>
        <v>#REF!</v>
      </c>
      <c r="AX428" s="53">
        <f ca="1">IF(NOTA[[#This Row],[NB NOTA_C_QTY]]="","",ROW()-2)</f>
        <v>426</v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>
        <f ca="1">IF(NOTA[[#This Row],[NAMA BARANG]]="","",INDEX(NOTA[ID],MATCH(,INDIRECT(ADDRESS(ROW(NOTA[ID]),COLUMN(NOTA[ID]))&amp;":"&amp;ADDRESS(ROW(),COLUMN(NOTA[ID]))),-1)))</f>
        <v>67</v>
      </c>
      <c r="E429" s="46"/>
      <c r="F429" s="37"/>
      <c r="G429" s="37"/>
      <c r="H429" s="47"/>
      <c r="I429" s="37"/>
      <c r="J429" s="39"/>
      <c r="K429" s="37">
        <v>0</v>
      </c>
      <c r="L429" s="37" t="s">
        <v>555</v>
      </c>
      <c r="M429" s="40">
        <v>1</v>
      </c>
      <c r="N429" s="38">
        <v>72</v>
      </c>
      <c r="O429" s="37" t="s">
        <v>111</v>
      </c>
      <c r="P429" s="41">
        <v>37200</v>
      </c>
      <c r="Q429" s="42"/>
      <c r="R429" s="48"/>
      <c r="S429" s="49">
        <v>0.125</v>
      </c>
      <c r="T429" s="44">
        <v>0.05</v>
      </c>
      <c r="U429" s="44"/>
      <c r="V429" s="50"/>
      <c r="W429" s="45"/>
      <c r="X429" s="50">
        <f>IF(NOTA[[#This Row],[HARGA/ CTN]]="",NOTA[[#This Row],[JUMLAH_H]],NOTA[[#This Row],[HARGA/ CTN]]*IF(NOTA[[#This Row],[C]]="",0,NOTA[[#This Row],[C]]))</f>
        <v>2678400</v>
      </c>
      <c r="Y429" s="50">
        <f>IF(NOTA[[#This Row],[JUMLAH]]="","",NOTA[[#This Row],[JUMLAH]]*NOTA[[#This Row],[DISC 1]])</f>
        <v>334800</v>
      </c>
      <c r="Z429" s="50">
        <f>IF(NOTA[[#This Row],[JUMLAH]]="","",(NOTA[[#This Row],[JUMLAH]]-NOTA[[#This Row],[DISC 1-]])*NOTA[[#This Row],[DISC 2]])</f>
        <v>117180</v>
      </c>
      <c r="AA429" s="50">
        <f>IF(NOTA[[#This Row],[JUMLAH]]="","",(NOTA[[#This Row],[JUMLAH]]-NOTA[[#This Row],[DISC 1-]]-NOTA[[#This Row],[DISC 2-]])*NOTA[[#This Row],[DISC 3]])</f>
        <v>0</v>
      </c>
      <c r="AB429" s="50">
        <f>IF(NOTA[[#This Row],[JUMLAH]]="","",NOTA[[#This Row],[DISC 1-]]+NOTA[[#This Row],[DISC 2-]]+NOTA[[#This Row],[DISC 3-]])</f>
        <v>451980</v>
      </c>
      <c r="AC429" s="50">
        <f>IF(NOTA[[#This Row],[JUMLAH]]="","",NOTA[[#This Row],[JUMLAH]]-NOTA[[#This Row],[DISC]])</f>
        <v>2226420</v>
      </c>
      <c r="AD429" s="50"/>
      <c r="AE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1866054.375</v>
      </c>
      <c r="AF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9192045.625</v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429" s="50">
        <f>IF(OR(NOTA[[#This Row],[QTY]]="",NOTA[[#This Row],[HARGA SATUAN]]="",),"",NOTA[[#This Row],[QTY]]*NOTA[[#This Row],[HARGA SATUAN]])</f>
        <v>2678400</v>
      </c>
      <c r="AI429" s="39">
        <f ca="1">IF(NOTA[ID_H]="","",INDEX(NOTA[TANGGAL],MATCH(,INDIRECT(ADDRESS(ROW(NOTA[TANGGAL]),COLUMN(NOTA[TANGGAL]))&amp;":"&amp;ADDRESS(ROW(),COLUMN(NOTA[TANGGAL]))),-1)))</f>
        <v>45307</v>
      </c>
      <c r="AJ429" s="41" t="str">
        <f ca="1">IF(NOTA[[#This Row],[NAMA BARANG]]="","",INDEX(NOTA[SUPPLIER],MATCH(,INDIRECT(ADDRESS(ROW(NOTA[ID]),COLUMN(NOTA[ID]))&amp;":"&amp;ADDRESS(ROW(),COLUMN(NOTA[ID]))),-1)))</f>
        <v>ATALI MAKMUR</v>
      </c>
      <c r="AK429" s="41" t="str">
        <f ca="1">IF(NOTA[[#This Row],[ID_H]]="","",IF(NOTA[[#This Row],[FAKTUR]]="",INDIRECT(ADDRESS(ROW()-1,COLUMN())),NOTA[[#This Row],[FAKTUR]]))</f>
        <v>ARTO MORO</v>
      </c>
      <c r="AL429" s="38" t="str">
        <f ca="1">IF(NOTA[[#This Row],[ID]]="","",COUNTIF(NOTA[ID_H],NOTA[[#This Row],[ID_H]]))</f>
        <v/>
      </c>
      <c r="AM429" s="38" t="str">
        <f ca="1">IF(NOTA[[#This Row],[TGL.NOTA]]="",IF(NOTA[[#This Row],[SUPPLIER_H]]="","",AM428),MONTH(NOTA[[#This Row],[TGL.NOTA]]))</f>
        <v/>
      </c>
      <c r="AN429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>
        <f>IF(NOTA[[#This Row],[CONCAT1]]="","",MATCH(NOTA[[#This Row],[CONCAT1]],[3]!db[NB NOTA_C],0))</f>
        <v>2480</v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>12 BOX (72 PCS)</v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429" s="38" t="e">
        <f ca="1">IF(NOTA[[#This Row],[ID_H]]="","",MATCH(NOTA[[#This Row],[NB NOTA_C_QTY]],[4]!db[NB NOTA_C_QTY+F],0))</f>
        <v>#REF!</v>
      </c>
      <c r="AX429" s="53">
        <f ca="1">IF(NOTA[[#This Row],[NB NOTA_C_QTY]]="","",ROW()-2)</f>
        <v>427</v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/>
      <c r="F430" s="37"/>
      <c r="G430" s="37"/>
      <c r="H430" s="47"/>
      <c r="I430" s="37"/>
      <c r="J430" s="39"/>
      <c r="K430" s="37"/>
      <c r="L430" s="37"/>
      <c r="M430" s="40"/>
      <c r="O430" s="37"/>
      <c r="P430" s="41"/>
      <c r="Q430" s="42"/>
      <c r="R430" s="48"/>
      <c r="S430" s="49"/>
      <c r="T430" s="44"/>
      <c r="U430" s="44"/>
      <c r="V430" s="50"/>
      <c r="W430" s="45"/>
      <c r="X430" s="50" t="str">
        <f>IF(NOTA[[#This Row],[HARGA/ CTN]]="",NOTA[[#This Row],[JUMLAH_H]],NOTA[[#This Row],[HARGA/ CTN]]*IF(NOTA[[#This Row],[C]]="",0,NOTA[[#This Row],[C]]))</f>
        <v/>
      </c>
      <c r="Y430" s="50" t="str">
        <f>IF(NOTA[[#This Row],[JUMLAH]]="","",NOTA[[#This Row],[JUMLAH]]*NOTA[[#This Row],[DISC 1]])</f>
        <v/>
      </c>
      <c r="Z430" s="50" t="str">
        <f>IF(NOTA[[#This Row],[JUMLAH]]="","",(NOTA[[#This Row],[JUMLAH]]-NOTA[[#This Row],[DISC 1-]])*NOTA[[#This Row],[DISC 2]])</f>
        <v/>
      </c>
      <c r="AA430" s="50" t="str">
        <f>IF(NOTA[[#This Row],[JUMLAH]]="","",(NOTA[[#This Row],[JUMLAH]]-NOTA[[#This Row],[DISC 1-]]-NOTA[[#This Row],[DISC 2-]])*NOTA[[#This Row],[DISC 3]])</f>
        <v/>
      </c>
      <c r="AB430" s="50" t="str">
        <f>IF(NOTA[[#This Row],[JUMLAH]]="","",NOTA[[#This Row],[DISC 1-]]+NOTA[[#This Row],[DISC 2-]]+NOTA[[#This Row],[DISC 3-]])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39" t="str">
        <f ca="1">IF(NOTA[ID_H]="","",INDEX(NOTA[TANGGAL],MATCH(,INDIRECT(ADDRESS(ROW(NOTA[TANGGAL]),COLUMN(NOTA[TANGGAL]))&amp;":"&amp;ADDRESS(ROW(),COLUMN(NOTA[TANGGAL]))),-1)))</f>
        <v/>
      </c>
      <c r="AJ430" s="41" t="str">
        <f ca="1">IF(NOTA[[#This Row],[NAMA BARANG]]="","",INDEX(NOTA[SUPPLIER],MATCH(,INDIRECT(ADDRESS(ROW(NOTA[ID]),COLUMN(NOTA[ID]))&amp;":"&amp;ADDRESS(ROW(),COLUMN(NOTA[ID]))),-1)))</f>
        <v/>
      </c>
      <c r="AK430" s="41" t="str">
        <f ca="1">IF(NOTA[[#This Row],[ID_H]]="","",IF(NOTA[[#This Row],[FAKTUR]]="",INDIRECT(ADDRESS(ROW()-1,COLUMN())),NOTA[[#This Row],[FAKTUR]]))</f>
        <v/>
      </c>
      <c r="AL430" s="38" t="str">
        <f ca="1">IF(NOTA[[#This Row],[ID]]="","",COUNTIF(NOTA[ID_H],NOTA[[#This Row],[ID_H]]))</f>
        <v/>
      </c>
      <c r="AM430" s="38" t="str">
        <f ca="1">IF(NOTA[[#This Row],[TGL.NOTA]]="",IF(NOTA[[#This Row],[SUPPLIER_H]]="","",AM429),MONTH(NOTA[[#This Row],[TGL.NOTA]]))</f>
        <v/>
      </c>
      <c r="AN430" s="38" t="str">
        <f>LOWER(SUBSTITUTE(SUBSTITUTE(SUBSTITUTE(SUBSTITUTE(SUBSTITUTE(SUBSTITUTE(SUBSTITUTE(SUBSTITUTE(SUBSTITUTE(NOTA[NAMA BARANG]," ",),".",""),"-",""),"(",""),")",""),",",""),"/",""),"""",""),"+",""))</f>
        <v/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 t="str">
        <f>IF(NOTA[[#This Row],[CONCAT1]]="","",MATCH(NOTA[[#This Row],[CONCAT1]],[3]!db[NB NOTA_C],0))</f>
        <v/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/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0" s="38" t="str">
        <f ca="1">IF(NOTA[[#This Row],[ID_H]]="","",MATCH(NOTA[[#This Row],[NB NOTA_C_QTY]],[4]!db[NB NOTA_C_QTY+F],0))</f>
        <v/>
      </c>
      <c r="AX430" s="53" t="str">
        <f ca="1">IF(NOTA[[#This Row],[NB NOTA_C_QTY]]="","",ROW()-2)</f>
        <v/>
      </c>
    </row>
    <row r="431" spans="1:50" s="38" customFormat="1" ht="20.100000000000001" customHeight="1" x14ac:dyDescent="0.25">
      <c r="A431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4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KEN_1601_615-1</v>
      </c>
      <c r="C431" s="38" t="e">
        <f ca="1">IF(NOTA[[#This Row],[ID_P]]="","",MATCH(NOTA[[#This Row],[ID_P]],[1]!B_MSK[N_ID],0))</f>
        <v>#REF!</v>
      </c>
      <c r="D431" s="38">
        <f ca="1">IF(NOTA[[#This Row],[NAMA BARANG]]="","",INDEX(NOTA[ID],MATCH(,INDIRECT(ADDRESS(ROW(NOTA[ID]),COLUMN(NOTA[ID]))&amp;":"&amp;ADDRESS(ROW(),COLUMN(NOTA[ID]))),-1)))</f>
        <v>68</v>
      </c>
      <c r="E431" s="46"/>
      <c r="F431" s="37" t="s">
        <v>22</v>
      </c>
      <c r="G431" s="37" t="s">
        <v>23</v>
      </c>
      <c r="H431" s="47" t="s">
        <v>556</v>
      </c>
      <c r="I431" s="37"/>
      <c r="J431" s="39">
        <v>45303</v>
      </c>
      <c r="K431" s="37"/>
      <c r="L431" s="37" t="s">
        <v>353</v>
      </c>
      <c r="M431" s="40">
        <v>1</v>
      </c>
      <c r="O431" s="37"/>
      <c r="P431" s="41"/>
      <c r="Q431" s="42">
        <v>1987200</v>
      </c>
      <c r="R431" s="48"/>
      <c r="S431" s="49">
        <v>0.17</v>
      </c>
      <c r="T431" s="44"/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1987200</v>
      </c>
      <c r="Y431" s="50">
        <f>IF(NOTA[[#This Row],[JUMLAH]]="","",NOTA[[#This Row],[JUMLAH]]*NOTA[[#This Row],[DISC 1]])</f>
        <v>337824</v>
      </c>
      <c r="Z431" s="50">
        <f>IF(NOTA[[#This Row],[JUMLAH]]="","",(NOTA[[#This Row],[JUMLAH]]-NOTA[[#This Row],[DISC 1-]])*NOTA[[#This Row],[DISC 2]])</f>
        <v>0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337824</v>
      </c>
      <c r="AC431" s="50">
        <f>IF(NOTA[[#This Row],[JUMLAH]]="","",NOTA[[#This Row],[JUMLAH]]-NOTA[[#This Row],[DISC]])</f>
        <v>1649376</v>
      </c>
      <c r="AD431" s="50"/>
      <c r="AE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337824</v>
      </c>
      <c r="AF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1649376</v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431" s="50" t="str">
        <f>IF(OR(NOTA[[#This Row],[QTY]]="",NOTA[[#This Row],[HARGA SATUAN]]="",),"",NOTA[[#This Row],[QTY]]*NOTA[[#This Row],[HARGA SATUAN]])</f>
        <v/>
      </c>
      <c r="AI431" s="39">
        <f ca="1">IF(NOTA[ID_H]="","",INDEX(NOTA[TANGGAL],MATCH(,INDIRECT(ADDRESS(ROW(NOTA[TANGGAL]),COLUMN(NOTA[TANGGAL]))&amp;":"&amp;ADDRESS(ROW(),COLUMN(NOTA[TANGGAL]))),-1)))</f>
        <v>45307</v>
      </c>
      <c r="AJ431" s="41" t="str">
        <f ca="1">IF(NOTA[[#This Row],[NAMA BARANG]]="","",INDEX(NOTA[SUPPLIER],MATCH(,INDIRECT(ADDRESS(ROW(NOTA[ID]),COLUMN(NOTA[ID]))&amp;":"&amp;ADDRESS(ROW(),COLUMN(NOTA[ID]))),-1)))</f>
        <v>KENKO SINAR INDONESIA</v>
      </c>
      <c r="AK431" s="41" t="str">
        <f ca="1">IF(NOTA[[#This Row],[ID_H]]="","",IF(NOTA[[#This Row],[FAKTUR]]="",INDIRECT(ADDRESS(ROW()-1,COLUMN())),NOTA[[#This Row],[FAKTUR]]))</f>
        <v>ARTO MORO</v>
      </c>
      <c r="AL431" s="38">
        <f ca="1">IF(NOTA[[#This Row],[ID]]="","",COUNTIF(NOTA[ID_H],NOTA[[#This Row],[ID_H]]))</f>
        <v>1</v>
      </c>
      <c r="AM431" s="38">
        <f>IF(NOTA[[#This Row],[TGL.NOTA]]="",IF(NOTA[[#This Row],[SUPPLIER_H]]="","",AM430),MONTH(NOTA[[#This Row],[TGL.NOTA]]))</f>
        <v>1</v>
      </c>
      <c r="AN431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MORO2401061545303kenkocolorclip3100</v>
      </c>
      <c r="AR431" s="38" t="e">
        <f>IF(NOTA[[#This Row],[CONCAT4]]="","",_xlfn.IFNA(MATCH(NOTA[[#This Row],[CONCAT4]],[2]!RAW[CONCAT_H],0),FALSE))</f>
        <v>#REF!</v>
      </c>
      <c r="AS431" s="38">
        <f>IF(NOTA[[#This Row],[CONCAT1]]="","",MATCH(NOTA[[#This Row],[CONCAT1]],[3]!db[NB NOTA_C],0))</f>
        <v>1546</v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>48 LSN</v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431" s="38" t="e">
        <f ca="1">IF(NOTA[[#This Row],[ID_H]]="","",MATCH(NOTA[[#This Row],[NB NOTA_C_QTY]],[4]!db[NB NOTA_C_QTY+F],0))</f>
        <v>#REF!</v>
      </c>
      <c r="AX431" s="53">
        <f ca="1">IF(NOTA[[#This Row],[NB NOTA_C_QTY]]="","",ROW()-2)</f>
        <v>429</v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37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41" t="str">
        <f ca="1">IF(NOTA[[#This Row],[NAMA BARANG]]="","",INDEX(NOTA[SUPPLIER],MATCH(,INDIRECT(ADDRESS(ROW(NOTA[ID]),COLUMN(NOTA[ID]))&amp;":"&amp;ADDRESS(ROW(),COLUMN(NOTA[ID]))),-1)))</f>
        <v/>
      </c>
      <c r="AK432" s="41" t="str">
        <f ca="1">IF(NOTA[[#This Row],[ID_H]]="","",IF(NOTA[[#This Row],[FAKTUR]]="",INDIRECT(ADDRESS(ROW()-1,COLUMN())),NOTA[[#This Row],[FAKTUR]]))</f>
        <v/>
      </c>
      <c r="AL432" s="38" t="str">
        <f ca="1">IF(NOTA[[#This Row],[ID]]="","",COUNTIF(NOTA[ID_H],NOTA[[#This Row],[ID_H]]))</f>
        <v/>
      </c>
      <c r="AM432" s="38" t="str">
        <f ca="1">IF(NOTA[[#This Row],[TGL.NOTA]]="",IF(NOTA[[#This Row],[SUPPLIER_H]]="","",AM431),MONTH(NOTA[[#This Row],[TGL.NOTA]]))</f>
        <v/>
      </c>
      <c r="AN432" s="38" t="str">
        <f>LOWER(SUBSTITUTE(SUBSTITUTE(SUBSTITUTE(SUBSTITUTE(SUBSTITUTE(SUBSTITUTE(SUBSTITUTE(SUBSTITUTE(SUBSTITUTE(NOTA[NAMA BARANG]," ",),".",""),"-",""),"(",""),")",""),",",""),"/",""),"""",""),"+",""))</f>
        <v/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 t="str">
        <f>IF(NOTA[[#This Row],[CONCAT1]]="","",MATCH(NOTA[[#This Row],[CONCAT1]],[3]!db[NB NOTA_C],0))</f>
        <v/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/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2" s="38" t="str">
        <f ca="1">IF(NOTA[[#This Row],[ID_H]]="","",MATCH(NOTA[[#This Row],[NB NOTA_C_QTY]],[4]!db[NB NOTA_C_QTY+F],0))</f>
        <v/>
      </c>
      <c r="AX432" s="53" t="str">
        <f ca="1">IF(NOTA[[#This Row],[NB NOTA_C_QTY]]="","",ROW()-2)</f>
        <v/>
      </c>
    </row>
    <row r="433" spans="1:50" s="38" customFormat="1" ht="20.100000000000001" customHeight="1" x14ac:dyDescent="0.25">
      <c r="A433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4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DBS_1501_524-14</v>
      </c>
      <c r="C433" s="38" t="e">
        <f ca="1">IF(NOTA[[#This Row],[ID_P]]="","",MATCH(NOTA[[#This Row],[ID_P]],[1]!B_MSK[N_ID],0))</f>
        <v>#REF!</v>
      </c>
      <c r="D433" s="38">
        <f ca="1">IF(NOTA[[#This Row],[NAMA BARANG]]="","",INDEX(NOTA[ID],MATCH(,INDIRECT(ADDRESS(ROW(NOTA[ID]),COLUMN(NOTA[ID]))&amp;":"&amp;ADDRESS(ROW(),COLUMN(NOTA[ID]))),-1)))</f>
        <v>69</v>
      </c>
      <c r="E433" s="46">
        <v>45306</v>
      </c>
      <c r="F433" s="37" t="s">
        <v>112</v>
      </c>
      <c r="G433" s="37" t="s">
        <v>110</v>
      </c>
      <c r="H433" s="47" t="s">
        <v>557</v>
      </c>
      <c r="I433" s="37"/>
      <c r="J433" s="39">
        <v>45302</v>
      </c>
      <c r="K433" s="37">
        <v>0</v>
      </c>
      <c r="L433" s="37" t="s">
        <v>558</v>
      </c>
      <c r="M433" s="40">
        <v>4</v>
      </c>
      <c r="N433" s="38">
        <v>1440</v>
      </c>
      <c r="O433" s="37" t="s">
        <v>111</v>
      </c>
      <c r="P433" s="41">
        <v>8100</v>
      </c>
      <c r="Q433" s="42"/>
      <c r="R433" s="48" t="s">
        <v>559</v>
      </c>
      <c r="S433" s="49"/>
      <c r="T433" s="44"/>
      <c r="U433" s="44"/>
      <c r="V433" s="50"/>
      <c r="W433" s="45"/>
      <c r="X433" s="50">
        <f>IF(NOTA[[#This Row],[HARGA/ CTN]]="",NOTA[[#This Row],[JUMLAH_H]],NOTA[[#This Row],[HARGA/ CTN]]*IF(NOTA[[#This Row],[C]]="",0,NOTA[[#This Row],[C]]))</f>
        <v>11664000</v>
      </c>
      <c r="Y433" s="50">
        <f>IF(NOTA[[#This Row],[JUMLAH]]="","",NOTA[[#This Row],[JUMLAH]]*NOTA[[#This Row],[DISC 1]])</f>
        <v>0</v>
      </c>
      <c r="Z433" s="50">
        <f>IF(NOTA[[#This Row],[JUMLAH]]="","",(NOTA[[#This Row],[JUMLAH]]-NOTA[[#This Row],[DISC 1-]])*NOTA[[#This Row],[DISC 2]])</f>
        <v>0</v>
      </c>
      <c r="AA433" s="50">
        <f>IF(NOTA[[#This Row],[JUMLAH]]="","",(NOTA[[#This Row],[JUMLAH]]-NOTA[[#This Row],[DISC 1-]]-NOTA[[#This Row],[DISC 2-]])*NOTA[[#This Row],[DISC 3]])</f>
        <v>0</v>
      </c>
      <c r="AB433" s="50">
        <f>IF(NOTA[[#This Row],[JUMLAH]]="","",NOTA[[#This Row],[DISC 1-]]+NOTA[[#This Row],[DISC 2-]]+NOTA[[#This Row],[DISC 3-]])</f>
        <v>0</v>
      </c>
      <c r="AC433" s="50">
        <f>IF(NOTA[[#This Row],[JUMLAH]]="","",NOTA[[#This Row],[JUMLAH]]-NOTA[[#This Row],[DISC]])</f>
        <v>11664000</v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H433" s="50">
        <f>IF(OR(NOTA[[#This Row],[QTY]]="",NOTA[[#This Row],[HARGA SATUAN]]="",),"",NOTA[[#This Row],[QTY]]*NOTA[[#This Row],[HARGA SATUAN]])</f>
        <v>11664000</v>
      </c>
      <c r="AI433" s="39">
        <f ca="1">IF(NOTA[ID_H]="","",INDEX(NOTA[TANGGAL],MATCH(,INDIRECT(ADDRESS(ROW(NOTA[TANGGAL]),COLUMN(NOTA[TANGGAL]))&amp;":"&amp;ADDRESS(ROW(),COLUMN(NOTA[TANGGAL]))),-1)))</f>
        <v>45306</v>
      </c>
      <c r="AJ433" s="41" t="str">
        <f ca="1">IF(NOTA[[#This Row],[NAMA BARANG]]="","",INDEX(NOTA[SUPPLIER],MATCH(,INDIRECT(ADDRESS(ROW(NOTA[ID]),COLUMN(NOTA[ID]))&amp;":"&amp;ADDRESS(ROW(),COLUMN(NOTA[ID]))),-1)))</f>
        <v>DB STATIONERY</v>
      </c>
      <c r="AK433" s="41" t="str">
        <f ca="1">IF(NOTA[[#This Row],[ID_H]]="","",IF(NOTA[[#This Row],[FAKTUR]]="",INDIRECT(ADDRESS(ROW()-1,COLUMN())),NOTA[[#This Row],[FAKTUR]]))</f>
        <v>UNTANA</v>
      </c>
      <c r="AL433" s="38">
        <f ca="1">IF(NOTA[[#This Row],[ID]]="","",COUNTIF(NOTA[ID_H],NOTA[[#This Row],[ID_H]]))</f>
        <v>14</v>
      </c>
      <c r="AM433" s="38">
        <f>IF(NOTA[[#This Row],[TGL.NOTA]]="",IF(NOTA[[#This Row],[SUPPLIER_H]]="","",AM432),MONTH(NOTA[[#This Row],[TGL.NOTA]]))</f>
        <v>1</v>
      </c>
      <c r="AN433" s="38" t="str">
        <f>LOWER(SUBSTITUTE(SUBSTITUTE(SUBSTITUTE(SUBSTITUTE(SUBSTITUTE(SUBSTITUTE(SUBSTITUTE(SUBSTITUTE(SUBSTITUTE(NOTA[NAMA BARANG]," ",),".",""),"-",""),"(",""),")",""),",",""),"/",""),"""",""),"+",""))</f>
        <v>pensilkayagi2bcoklatkyof122b2</v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pensilkayagi2bcoklatkyof122b22916000</v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pensilkayagi2bcoklatkyof122b22916000</v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STATIONERYUNTANAJUA215/2445302pensilkayagi2bcoklatkyof122b2</v>
      </c>
      <c r="AR433" s="38" t="e">
        <f>IF(NOTA[[#This Row],[CONCAT4]]="","",_xlfn.IFNA(MATCH(NOTA[[#This Row],[CONCAT4]],[2]!RAW[CONCAT_H],0),FALSE))</f>
        <v>#REF!</v>
      </c>
      <c r="AS433" s="38">
        <f>IF(NOTA[[#This Row],[CONCAT1]]="","",MATCH(NOTA[[#This Row],[CONCAT1]],[3]!db[NB NOTA_C],0))</f>
        <v>2599</v>
      </c>
      <c r="AT433" s="38" t="b">
        <f>IF(NOTA[[#This Row],[QTY/ CTN]]="","",TRUE)</f>
        <v>1</v>
      </c>
      <c r="AU433" s="38" t="str">
        <f ca="1">IF(NOTA[[#This Row],[ID_H]]="","",IF(NOTA[[#This Row],[Column3]]=TRUE,NOTA[[#This Row],[QTY/ CTN]],INDEX([3]!db[QTY/ CTN],NOTA[[#This Row],[//DB]])))</f>
        <v>360 LSN</v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pensilkayagi2bcoklatkyof122b2360lsnuntana</v>
      </c>
      <c r="AW433" s="38" t="e">
        <f ca="1">IF(NOTA[[#This Row],[ID_H]]="","",MATCH(NOTA[[#This Row],[NB NOTA_C_QTY]],[4]!db[NB NOTA_C_QTY+F],0))</f>
        <v>#REF!</v>
      </c>
      <c r="AX433" s="53">
        <f ca="1">IF(NOTA[[#This Row],[NB NOTA_C_QTY]]="","",ROW()-2)</f>
        <v>431</v>
      </c>
    </row>
    <row r="434" spans="1:50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>
        <f ca="1">IF(NOTA[[#This Row],[NAMA BARANG]]="","",INDEX(NOTA[ID],MATCH(,INDIRECT(ADDRESS(ROW(NOTA[ID]),COLUMN(NOTA[ID]))&amp;":"&amp;ADDRESS(ROW(),COLUMN(NOTA[ID]))),-1)))</f>
        <v>69</v>
      </c>
      <c r="E434" s="46"/>
      <c r="F434" s="37"/>
      <c r="G434" s="37"/>
      <c r="H434" s="47"/>
      <c r="I434" s="37"/>
      <c r="J434" s="39"/>
      <c r="K434" s="37">
        <v>2</v>
      </c>
      <c r="L434" s="37" t="s">
        <v>560</v>
      </c>
      <c r="M434" s="40">
        <v>3</v>
      </c>
      <c r="N434" s="38">
        <v>360</v>
      </c>
      <c r="O434" s="37" t="s">
        <v>111</v>
      </c>
      <c r="P434" s="41">
        <v>25500</v>
      </c>
      <c r="Q434" s="42"/>
      <c r="R434" s="48" t="s">
        <v>275</v>
      </c>
      <c r="S434" s="49"/>
      <c r="T434" s="44"/>
      <c r="U434" s="44"/>
      <c r="V434" s="50"/>
      <c r="W434" s="45"/>
      <c r="X434" s="50">
        <f>IF(NOTA[[#This Row],[HARGA/ CTN]]="",NOTA[[#This Row],[JUMLAH_H]],NOTA[[#This Row],[HARGA/ CTN]]*IF(NOTA[[#This Row],[C]]="",0,NOTA[[#This Row],[C]]))</f>
        <v>9180000</v>
      </c>
      <c r="Y434" s="50">
        <f>IF(NOTA[[#This Row],[JUMLAH]]="","",NOTA[[#This Row],[JUMLAH]]*NOTA[[#This Row],[DISC 1]])</f>
        <v>0</v>
      </c>
      <c r="Z434" s="50">
        <f>IF(NOTA[[#This Row],[JUMLAH]]="","",(NOTA[[#This Row],[JUMLAH]]-NOTA[[#This Row],[DISC 1-]])*NOTA[[#This Row],[DISC 2]])</f>
        <v>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0</v>
      </c>
      <c r="AC434" s="50">
        <f>IF(NOTA[[#This Row],[JUMLAH]]="","",NOTA[[#This Row],[JUMLAH]]-NOTA[[#This Row],[DISC]])</f>
        <v>9180000</v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434" s="50">
        <f>IF(OR(NOTA[[#This Row],[QTY]]="",NOTA[[#This Row],[HARGA SATUAN]]="",),"",NOTA[[#This Row],[QTY]]*NOTA[[#This Row],[HARGA SATUAN]])</f>
        <v>9180000</v>
      </c>
      <c r="AI434" s="39">
        <f ca="1">IF(NOTA[ID_H]="","",INDEX(NOTA[TANGGAL],MATCH(,INDIRECT(ADDRESS(ROW(NOTA[TANGGAL]),COLUMN(NOTA[TANGGAL]))&amp;":"&amp;ADDRESS(ROW(),COLUMN(NOTA[TANGGAL]))),-1)))</f>
        <v>45306</v>
      </c>
      <c r="AJ434" s="41" t="str">
        <f ca="1">IF(NOTA[[#This Row],[NAMA BARANG]]="","",INDEX(NOTA[SUPPLIER],MATCH(,INDIRECT(ADDRESS(ROW(NOTA[ID]),COLUMN(NOTA[ID]))&amp;":"&amp;ADDRESS(ROW(),COLUMN(NOTA[ID]))),-1)))</f>
        <v>DB STATIONERY</v>
      </c>
      <c r="AK434" s="41" t="str">
        <f ca="1">IF(NOTA[[#This Row],[ID_H]]="","",IF(NOTA[[#This Row],[FAKTUR]]="",INDIRECT(ADDRESS(ROW()-1,COLUMN())),NOTA[[#This Row],[FAKTUR]]))</f>
        <v>UNTANA</v>
      </c>
      <c r="AL434" s="38" t="str">
        <f ca="1">IF(NOTA[[#This Row],[ID]]="","",COUNTIF(NOTA[ID_H],NOTA[[#This Row],[ID_H]]))</f>
        <v/>
      </c>
      <c r="AM434" s="38">
        <f ca="1">IF(NOTA[[#This Row],[TGL.NOTA]]="",IF(NOTA[[#This Row],[SUPPLIER_H]]="","",AM433),MONTH(NOTA[[#This Row],[TGL.NOTA]]))</f>
        <v>1</v>
      </c>
      <c r="AN434" s="38" t="str">
        <f>LOWER(SUBSTITUTE(SUBSTITUTE(SUBSTITUTE(SUBSTITUTE(SUBSTITUTE(SUBSTITUTE(SUBSTITUTE(SUBSTITUTE(SUBSTITUTE(NOTA[NAMA BARANG]," ",),".",""),"-",""),"(",""),")",""),",",""),"/",""),"""",""),"+",""))</f>
        <v>geldebozz05dbg05</v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4" s="38" t="str">
        <f>IF(NOTA[[#This Row],[CONCAT4]]="","",_xlfn.IFNA(MATCH(NOTA[[#This Row],[CONCAT4]],[2]!RAW[CONCAT_H],0),FALSE))</f>
        <v/>
      </c>
      <c r="AS434" s="38">
        <f>IF(NOTA[[#This Row],[CONCAT1]]="","",MATCH(NOTA[[#This Row],[CONCAT1]],[3]!db[NB NOTA_C],0))</f>
        <v>1019</v>
      </c>
      <c r="AT434" s="38" t="b">
        <f>IF(NOTA[[#This Row],[QTY/ CTN]]="","",TRUE)</f>
        <v>1</v>
      </c>
      <c r="AU434" s="38" t="str">
        <f ca="1">IF(NOTA[[#This Row],[ID_H]]="","",IF(NOTA[[#This Row],[Column3]]=TRUE,NOTA[[#This Row],[QTY/ CTN]],INDEX([3]!db[QTY/ CTN],NOTA[[#This Row],[//DB]])))</f>
        <v>120 LSN</v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geldebozz05dbg05120lsnuntana</v>
      </c>
      <c r="AW434" s="38" t="e">
        <f ca="1">IF(NOTA[[#This Row],[ID_H]]="","",MATCH(NOTA[[#This Row],[NB NOTA_C_QTY]],[4]!db[NB NOTA_C_QTY+F],0))</f>
        <v>#REF!</v>
      </c>
      <c r="AX434" s="53">
        <f ca="1">IF(NOTA[[#This Row],[NB NOTA_C_QTY]]="","",ROW()-2)</f>
        <v>432</v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>
        <f ca="1">IF(NOTA[[#This Row],[NAMA BARANG]]="","",INDEX(NOTA[ID],MATCH(,INDIRECT(ADDRESS(ROW(NOTA[ID]),COLUMN(NOTA[ID]))&amp;":"&amp;ADDRESS(ROW(),COLUMN(NOTA[ID]))),-1)))</f>
        <v>69</v>
      </c>
      <c r="E435" s="46"/>
      <c r="F435" s="37"/>
      <c r="G435" s="37"/>
      <c r="H435" s="47"/>
      <c r="I435" s="37"/>
      <c r="J435" s="39"/>
      <c r="K435" s="37"/>
      <c r="L435" s="37" t="s">
        <v>561</v>
      </c>
      <c r="M435" s="40">
        <v>1</v>
      </c>
      <c r="N435" s="38">
        <v>96</v>
      </c>
      <c r="O435" s="37" t="s">
        <v>111</v>
      </c>
      <c r="P435" s="41">
        <v>29000</v>
      </c>
      <c r="Q435" s="42"/>
      <c r="R435" s="48" t="s">
        <v>403</v>
      </c>
      <c r="S435" s="49"/>
      <c r="T435" s="44"/>
      <c r="U435" s="44"/>
      <c r="V435" s="50"/>
      <c r="W435" s="45"/>
      <c r="X435" s="50">
        <f>IF(NOTA[[#This Row],[HARGA/ CTN]]="",NOTA[[#This Row],[JUMLAH_H]],NOTA[[#This Row],[HARGA/ CTN]]*IF(NOTA[[#This Row],[C]]="",0,NOTA[[#This Row],[C]]))</f>
        <v>2784000</v>
      </c>
      <c r="Y435" s="50">
        <f>IF(NOTA[[#This Row],[JUMLAH]]="","",NOTA[[#This Row],[JUMLAH]]*NOTA[[#This Row],[DISC 1]])</f>
        <v>0</v>
      </c>
      <c r="Z435" s="50">
        <f>IF(NOTA[[#This Row],[JUMLAH]]="","",(NOTA[[#This Row],[JUMLAH]]-NOTA[[#This Row],[DISC 1-]])*NOTA[[#This Row],[DISC 2]])</f>
        <v>0</v>
      </c>
      <c r="AA435" s="50">
        <f>IF(NOTA[[#This Row],[JUMLAH]]="","",(NOTA[[#This Row],[JUMLAH]]-NOTA[[#This Row],[DISC 1-]]-NOTA[[#This Row],[DISC 2-]])*NOTA[[#This Row],[DISC 3]])</f>
        <v>0</v>
      </c>
      <c r="AB435" s="50">
        <f>IF(NOTA[[#This Row],[JUMLAH]]="","",NOTA[[#This Row],[DISC 1-]]+NOTA[[#This Row],[DISC 2-]]+NOTA[[#This Row],[DISC 3-]])</f>
        <v>0</v>
      </c>
      <c r="AC435" s="50">
        <f>IF(NOTA[[#This Row],[JUMLAH]]="","",NOTA[[#This Row],[JUMLAH]]-NOTA[[#This Row],[DISC]])</f>
        <v>2784000</v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35" s="50">
        <f>IF(OR(NOTA[[#This Row],[QTY]]="",NOTA[[#This Row],[HARGA SATUAN]]="",),"",NOTA[[#This Row],[QTY]]*NOTA[[#This Row],[HARGA SATUAN]])</f>
        <v>2784000</v>
      </c>
      <c r="AI435" s="39">
        <f ca="1">IF(NOTA[ID_H]="","",INDEX(NOTA[TANGGAL],MATCH(,INDIRECT(ADDRESS(ROW(NOTA[TANGGAL]),COLUMN(NOTA[TANGGAL]))&amp;":"&amp;ADDRESS(ROW(),COLUMN(NOTA[TANGGAL]))),-1)))</f>
        <v>45306</v>
      </c>
      <c r="AJ435" s="41" t="str">
        <f ca="1">IF(NOTA[[#This Row],[NAMA BARANG]]="","",INDEX(NOTA[SUPPLIER],MATCH(,INDIRECT(ADDRESS(ROW(NOTA[ID]),COLUMN(NOTA[ID]))&amp;":"&amp;ADDRESS(ROW(),COLUMN(NOTA[ID]))),-1)))</f>
        <v>DB STATIONERY</v>
      </c>
      <c r="AK435" s="41" t="str">
        <f ca="1">IF(NOTA[[#This Row],[ID_H]]="","",IF(NOTA[[#This Row],[FAKTUR]]="",INDIRECT(ADDRESS(ROW()-1,COLUMN())),NOTA[[#This Row],[FAKTUR]]))</f>
        <v>UNTANA</v>
      </c>
      <c r="AL435" s="38" t="str">
        <f ca="1">IF(NOTA[[#This Row],[ID]]="","",COUNTIF(NOTA[ID_H],NOTA[[#This Row],[ID_H]]))</f>
        <v/>
      </c>
      <c r="AM435" s="38">
        <f ca="1">IF(NOTA[[#This Row],[TGL.NOTA]]="",IF(NOTA[[#This Row],[SUPPLIER_H]]="","",AM434),MONTH(NOTA[[#This Row],[TGL.NOTA]]))</f>
        <v>1</v>
      </c>
      <c r="AN435" s="38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>
        <f>IF(NOTA[[#This Row],[CONCAT1]]="","",MATCH(NOTA[[#This Row],[CONCAT1]],[3]!db[NB NOTA_C],0))</f>
        <v>2076</v>
      </c>
      <c r="AT435" s="38" t="b">
        <f>IF(NOTA[[#This Row],[QTY/ CTN]]="","",TRUE)</f>
        <v>1</v>
      </c>
      <c r="AU435" s="38" t="str">
        <f ca="1">IF(NOTA[[#This Row],[ID_H]]="","",IF(NOTA[[#This Row],[Column3]]=TRUE,NOTA[[#This Row],[QTY/ CTN]],INDEX([3]!db[QTY/ CTN],NOTA[[#This Row],[//DB]])))</f>
        <v>96 LSN</v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W435" s="38" t="e">
        <f ca="1">IF(NOTA[[#This Row],[ID_H]]="","",MATCH(NOTA[[#This Row],[NB NOTA_C_QTY]],[4]!db[NB NOTA_C_QTY+F],0))</f>
        <v>#REF!</v>
      </c>
      <c r="AX435" s="53">
        <f ca="1">IF(NOTA[[#This Row],[NB NOTA_C_QTY]]="","",ROW()-2)</f>
        <v>433</v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>
        <f ca="1">IF(NOTA[[#This Row],[NAMA BARANG]]="","",INDEX(NOTA[ID],MATCH(,INDIRECT(ADDRESS(ROW(NOTA[ID]),COLUMN(NOTA[ID]))&amp;":"&amp;ADDRESS(ROW(),COLUMN(NOTA[ID]))),-1)))</f>
        <v>69</v>
      </c>
      <c r="E436" s="46"/>
      <c r="F436" s="37"/>
      <c r="G436" s="37"/>
      <c r="H436" s="47"/>
      <c r="I436" s="37"/>
      <c r="J436" s="39"/>
      <c r="K436" s="37">
        <v>0</v>
      </c>
      <c r="L436" s="37" t="s">
        <v>563</v>
      </c>
      <c r="M436" s="40">
        <v>1</v>
      </c>
      <c r="N436" s="38">
        <v>360</v>
      </c>
      <c r="O436" s="37" t="s">
        <v>111</v>
      </c>
      <c r="P436" s="41">
        <v>7700</v>
      </c>
      <c r="Q436" s="42"/>
      <c r="R436" s="48"/>
      <c r="S436" s="49"/>
      <c r="T436" s="44"/>
      <c r="U436" s="44"/>
      <c r="V436" s="50"/>
      <c r="W436" s="45"/>
      <c r="X436" s="50">
        <f>IF(NOTA[[#This Row],[HARGA/ CTN]]="",NOTA[[#This Row],[JUMLAH_H]],NOTA[[#This Row],[HARGA/ CTN]]*IF(NOTA[[#This Row],[C]]="",0,NOTA[[#This Row],[C]]))</f>
        <v>2772000</v>
      </c>
      <c r="Y436" s="50">
        <f>IF(NOTA[[#This Row],[JUMLAH]]="","",NOTA[[#This Row],[JUMLAH]]*NOTA[[#This Row],[DISC 1]])</f>
        <v>0</v>
      </c>
      <c r="Z436" s="50">
        <f>IF(NOTA[[#This Row],[JUMLAH]]="","",(NOTA[[#This Row],[JUMLAH]]-NOTA[[#This Row],[DISC 1-]])*NOTA[[#This Row],[DISC 2]])</f>
        <v>0</v>
      </c>
      <c r="AA436" s="50">
        <f>IF(NOTA[[#This Row],[JUMLAH]]="","",(NOTA[[#This Row],[JUMLAH]]-NOTA[[#This Row],[DISC 1-]]-NOTA[[#This Row],[DISC 2-]])*NOTA[[#This Row],[DISC 3]])</f>
        <v>0</v>
      </c>
      <c r="AB436" s="50">
        <f>IF(NOTA[[#This Row],[JUMLAH]]="","",NOTA[[#This Row],[DISC 1-]]+NOTA[[#This Row],[DISC 2-]]+NOTA[[#This Row],[DISC 3-]])</f>
        <v>0</v>
      </c>
      <c r="AC436" s="50">
        <f>IF(NOTA[[#This Row],[JUMLAH]]="","",NOTA[[#This Row],[JUMLAH]]-NOTA[[#This Row],[DISC]])</f>
        <v>2772000</v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6" s="50">
        <f>IF(OR(NOTA[[#This Row],[QTY]]="",NOTA[[#This Row],[HARGA SATUAN]]="",),"",NOTA[[#This Row],[QTY]]*NOTA[[#This Row],[HARGA SATUAN]])</f>
        <v>2772000</v>
      </c>
      <c r="AI436" s="39">
        <f ca="1">IF(NOTA[ID_H]="","",INDEX(NOTA[TANGGAL],MATCH(,INDIRECT(ADDRESS(ROW(NOTA[TANGGAL]),COLUMN(NOTA[TANGGAL]))&amp;":"&amp;ADDRESS(ROW(),COLUMN(NOTA[TANGGAL]))),-1)))</f>
        <v>45306</v>
      </c>
      <c r="AJ436" s="41" t="str">
        <f ca="1">IF(NOTA[[#This Row],[NAMA BARANG]]="","",INDEX(NOTA[SUPPLIER],MATCH(,INDIRECT(ADDRESS(ROW(NOTA[ID]),COLUMN(NOTA[ID]))&amp;":"&amp;ADDRESS(ROW(),COLUMN(NOTA[ID]))),-1)))</f>
        <v>DB STATIONERY</v>
      </c>
      <c r="AK436" s="41" t="str">
        <f ca="1">IF(NOTA[[#This Row],[ID_H]]="","",IF(NOTA[[#This Row],[FAKTUR]]="",INDIRECT(ADDRESS(ROW()-1,COLUMN())),NOTA[[#This Row],[FAKTUR]]))</f>
        <v>UNTANA</v>
      </c>
      <c r="AL436" s="38" t="str">
        <f ca="1">IF(NOTA[[#This Row],[ID]]="","",COUNTIF(NOTA[ID_H],NOTA[[#This Row],[ID_H]]))</f>
        <v/>
      </c>
      <c r="AM436" s="38">
        <f ca="1">IF(NOTA[[#This Row],[TGL.NOTA]]="",IF(NOTA[[#This Row],[SUPPLIER_H]]="","",AM435),MONTH(NOTA[[#This Row],[TGL.NOTA]]))</f>
        <v>1</v>
      </c>
      <c r="AN436" s="38" t="str">
        <f>LOWER(SUBSTITUTE(SUBSTITUTE(SUBSTITUTE(SUBSTITUTE(SUBSTITUTE(SUBSTITUTE(SUBSTITUTE(SUBSTITUTE(SUBSTITUTE(NOTA[NAMA BARANG]," ",),".",""),"-",""),"(",""),")",""),",",""),"/",""),"""",""),"+",""))</f>
        <v>pensil2bkayagikypf3091</v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pensil2bkayagikypf30912772000</v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pensil2bkayagikypf30912772000</v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>
        <f>IF(NOTA[[#This Row],[CONCAT1]]="","",MATCH(NOTA[[#This Row],[CONCAT1]],[3]!db[NB NOTA_C],0))</f>
        <v>2594</v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>360 LSN</v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pensil2bkayagikypf3091360lsnuntana</v>
      </c>
      <c r="AW436" s="38" t="e">
        <f ca="1">IF(NOTA[[#This Row],[ID_H]]="","",MATCH(NOTA[[#This Row],[NB NOTA_C_QTY]],[4]!db[NB NOTA_C_QTY+F],0))</f>
        <v>#REF!</v>
      </c>
      <c r="AX436" s="53">
        <f ca="1">IF(NOTA[[#This Row],[NB NOTA_C_QTY]]="","",ROW()-2)</f>
        <v>434</v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69</v>
      </c>
      <c r="E437" s="46"/>
      <c r="F437" s="37"/>
      <c r="G437" s="37"/>
      <c r="H437" s="47"/>
      <c r="I437" s="37"/>
      <c r="J437" s="39"/>
      <c r="K437" s="37">
        <v>0</v>
      </c>
      <c r="L437" s="37" t="s">
        <v>564</v>
      </c>
      <c r="M437" s="40">
        <v>1</v>
      </c>
      <c r="N437" s="38">
        <v>360</v>
      </c>
      <c r="O437" s="37" t="s">
        <v>111</v>
      </c>
      <c r="P437" s="41">
        <v>7700</v>
      </c>
      <c r="Q437" s="42"/>
      <c r="R437" s="48"/>
      <c r="S437" s="49"/>
      <c r="T437" s="44"/>
      <c r="U437" s="44"/>
      <c r="V437" s="50"/>
      <c r="W437" s="45"/>
      <c r="X437" s="50">
        <f>IF(NOTA[[#This Row],[HARGA/ CTN]]="",NOTA[[#This Row],[JUMLAH_H]],NOTA[[#This Row],[HARGA/ CTN]]*IF(NOTA[[#This Row],[C]]="",0,NOTA[[#This Row],[C]]))</f>
        <v>2772000</v>
      </c>
      <c r="Y437" s="50">
        <f>IF(NOTA[[#This Row],[JUMLAH]]="","",NOTA[[#This Row],[JUMLAH]]*NOTA[[#This Row],[DISC 1]])</f>
        <v>0</v>
      </c>
      <c r="Z437" s="50">
        <f>IF(NOTA[[#This Row],[JUMLAH]]="","",(NOTA[[#This Row],[JUMLAH]]-NOTA[[#This Row],[DISC 1-]])*NOTA[[#This Row],[DISC 2]])</f>
        <v>0</v>
      </c>
      <c r="AA437" s="50">
        <f>IF(NOTA[[#This Row],[JUMLAH]]="","",(NOTA[[#This Row],[JUMLAH]]-NOTA[[#This Row],[DISC 1-]]-NOTA[[#This Row],[DISC 2-]])*NOTA[[#This Row],[DISC 3]])</f>
        <v>0</v>
      </c>
      <c r="AB437" s="50">
        <f>IF(NOTA[[#This Row],[JUMLAH]]="","",NOTA[[#This Row],[DISC 1-]]+NOTA[[#This Row],[DISC 2-]]+NOTA[[#This Row],[DISC 3-]])</f>
        <v>0</v>
      </c>
      <c r="AC437" s="50">
        <f>IF(NOTA[[#This Row],[JUMLAH]]="","",NOTA[[#This Row],[JUMLAH]]-NOTA[[#This Row],[DISC]])</f>
        <v>2772000</v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7" s="50">
        <f>IF(OR(NOTA[[#This Row],[QTY]]="",NOTA[[#This Row],[HARGA SATUAN]]="",),"",NOTA[[#This Row],[QTY]]*NOTA[[#This Row],[HARGA SATUAN]])</f>
        <v>2772000</v>
      </c>
      <c r="AI437" s="39">
        <f ca="1">IF(NOTA[ID_H]="","",INDEX(NOTA[TANGGAL],MATCH(,INDIRECT(ADDRESS(ROW(NOTA[TANGGAL]),COLUMN(NOTA[TANGGAL]))&amp;":"&amp;ADDRESS(ROW(),COLUMN(NOTA[TANGGAL]))),-1)))</f>
        <v>45306</v>
      </c>
      <c r="AJ437" s="41" t="str">
        <f ca="1">IF(NOTA[[#This Row],[NAMA BARANG]]="","",INDEX(NOTA[SUPPLIER],MATCH(,INDIRECT(ADDRESS(ROW(NOTA[ID]),COLUMN(NOTA[ID]))&amp;":"&amp;ADDRESS(ROW(),COLUMN(NOTA[ID]))),-1)))</f>
        <v>DB STATIONERY</v>
      </c>
      <c r="AK437" s="41" t="str">
        <f ca="1">IF(NOTA[[#This Row],[ID_H]]="","",IF(NOTA[[#This Row],[FAKTUR]]="",INDIRECT(ADDRESS(ROW()-1,COLUMN())),NOTA[[#This Row],[FAKTUR]]))</f>
        <v>UNTANA</v>
      </c>
      <c r="AL437" s="38" t="str">
        <f ca="1">IF(NOTA[[#This Row],[ID]]="","",COUNTIF(NOTA[ID_H],NOTA[[#This Row],[ID_H]]))</f>
        <v/>
      </c>
      <c r="AM437" s="38">
        <f ca="1">IF(NOTA[[#This Row],[TGL.NOTA]]="",IF(NOTA[[#This Row],[SUPPLIER_H]]="","",AM436),MONTH(NOTA[[#This Row],[TGL.NOTA]]))</f>
        <v>1</v>
      </c>
      <c r="AN437" s="38" t="str">
        <f>LOWER(SUBSTITUTE(SUBSTITUTE(SUBSTITUTE(SUBSTITUTE(SUBSTITUTE(SUBSTITUTE(SUBSTITUTE(SUBSTITUTE(SUBSTITUTE(NOTA[NAMA BARANG]," ",),".",""),"-",""),"(",""),")",""),",",""),"/",""),"""",""),"+",""))</f>
        <v>pensil2bkayagikypf3092</v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pensil2bkayagikypf30922772000</v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pensil2bkayagikypf30922772000</v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 t="e">
        <f>IF(NOTA[[#This Row],[CONCAT1]]="","",MATCH(NOTA[[#This Row],[CONCAT1]],[3]!db[NB NOTA_C],0))</f>
        <v>#N/A</v>
      </c>
      <c r="AT437" s="38" t="str">
        <f>IF(NOTA[[#This Row],[QTY/ CTN]]="","",TRUE)</f>
        <v/>
      </c>
      <c r="AU437" s="38" t="e">
        <f ca="1">IF(NOTA[[#This Row],[ID_H]]="","",IF(NOTA[[#This Row],[Column3]]=TRUE,NOTA[[#This Row],[QTY/ CTN]],INDEX([3]!db[QTY/ CTN],NOTA[[#This Row],[//DB]])))</f>
        <v>#N/A</v>
      </c>
      <c r="AV43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37" s="38" t="e">
        <f ca="1">IF(NOTA[[#This Row],[ID_H]]="","",MATCH(NOTA[[#This Row],[NB NOTA_C_QTY]],[4]!db[NB NOTA_C_QTY+F],0))</f>
        <v>#N/A</v>
      </c>
      <c r="AX437" s="53" t="e">
        <f ca="1">IF(NOTA[[#This Row],[NB NOTA_C_QTY]]="","",ROW()-2)</f>
        <v>#N/A</v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69</v>
      </c>
      <c r="E438" s="46"/>
      <c r="F438" s="37"/>
      <c r="G438" s="37"/>
      <c r="H438" s="47"/>
      <c r="I438" s="37"/>
      <c r="J438" s="39"/>
      <c r="K438" s="37"/>
      <c r="L438" s="37" t="s">
        <v>565</v>
      </c>
      <c r="M438" s="40">
        <v>1</v>
      </c>
      <c r="N438" s="38">
        <v>360</v>
      </c>
      <c r="O438" s="37" t="s">
        <v>111</v>
      </c>
      <c r="P438" s="41">
        <v>7700</v>
      </c>
      <c r="Q438" s="42"/>
      <c r="R438" s="48"/>
      <c r="S438" s="49"/>
      <c r="T438" s="44"/>
      <c r="U438" s="44"/>
      <c r="V438" s="50"/>
      <c r="W438" s="45"/>
      <c r="X438" s="50">
        <f>IF(NOTA[[#This Row],[HARGA/ CTN]]="",NOTA[[#This Row],[JUMLAH_H]],NOTA[[#This Row],[HARGA/ CTN]]*IF(NOTA[[#This Row],[C]]="",0,NOTA[[#This Row],[C]]))</f>
        <v>2772000</v>
      </c>
      <c r="Y438" s="50">
        <f>IF(NOTA[[#This Row],[JUMLAH]]="","",NOTA[[#This Row],[JUMLAH]]*NOTA[[#This Row],[DISC 1]])</f>
        <v>0</v>
      </c>
      <c r="Z438" s="50">
        <f>IF(NOTA[[#This Row],[JUMLAH]]="","",(NOTA[[#This Row],[JUMLAH]]-NOTA[[#This Row],[DISC 1-]])*NOTA[[#This Row],[DISC 2]])</f>
        <v>0</v>
      </c>
      <c r="AA438" s="50">
        <f>IF(NOTA[[#This Row],[JUMLAH]]="","",(NOTA[[#This Row],[JUMLAH]]-NOTA[[#This Row],[DISC 1-]]-NOTA[[#This Row],[DISC 2-]])*NOTA[[#This Row],[DISC 3]])</f>
        <v>0</v>
      </c>
      <c r="AB438" s="50">
        <f>IF(NOTA[[#This Row],[JUMLAH]]="","",NOTA[[#This Row],[DISC 1-]]+NOTA[[#This Row],[DISC 2-]]+NOTA[[#This Row],[DISC 3-]])</f>
        <v>0</v>
      </c>
      <c r="AC438" s="50">
        <f>IF(NOTA[[#This Row],[JUMLAH]]="","",NOTA[[#This Row],[JUMLAH]]-NOTA[[#This Row],[DISC]])</f>
        <v>2772000</v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8" s="50">
        <f>IF(OR(NOTA[[#This Row],[QTY]]="",NOTA[[#This Row],[HARGA SATUAN]]="",),"",NOTA[[#This Row],[QTY]]*NOTA[[#This Row],[HARGA SATUAN]])</f>
        <v>2772000</v>
      </c>
      <c r="AI438" s="39">
        <f ca="1">IF(NOTA[ID_H]="","",INDEX(NOTA[TANGGAL],MATCH(,INDIRECT(ADDRESS(ROW(NOTA[TANGGAL]),COLUMN(NOTA[TANGGAL]))&amp;":"&amp;ADDRESS(ROW(),COLUMN(NOTA[TANGGAL]))),-1)))</f>
        <v>45306</v>
      </c>
      <c r="AJ438" s="41" t="str">
        <f ca="1">IF(NOTA[[#This Row],[NAMA BARANG]]="","",INDEX(NOTA[SUPPLIER],MATCH(,INDIRECT(ADDRESS(ROW(NOTA[ID]),COLUMN(NOTA[ID]))&amp;":"&amp;ADDRESS(ROW(),COLUMN(NOTA[ID]))),-1)))</f>
        <v>DB STATIONERY</v>
      </c>
      <c r="AK438" s="41" t="str">
        <f ca="1">IF(NOTA[[#This Row],[ID_H]]="","",IF(NOTA[[#This Row],[FAKTUR]]="",INDIRECT(ADDRESS(ROW()-1,COLUMN())),NOTA[[#This Row],[FAKTUR]]))</f>
        <v>UNTANA</v>
      </c>
      <c r="AL438" s="38" t="str">
        <f ca="1">IF(NOTA[[#This Row],[ID]]="","",COUNTIF(NOTA[ID_H],NOTA[[#This Row],[ID_H]]))</f>
        <v/>
      </c>
      <c r="AM438" s="38">
        <f ca="1">IF(NOTA[[#This Row],[TGL.NOTA]]="",IF(NOTA[[#This Row],[SUPPLIER_H]]="","",AM437),MONTH(NOTA[[#This Row],[TGL.NOTA]]))</f>
        <v>1</v>
      </c>
      <c r="AN438" s="38" t="str">
        <f>LOWER(SUBSTITUTE(SUBSTITUTE(SUBSTITUTE(SUBSTITUTE(SUBSTITUTE(SUBSTITUTE(SUBSTITUTE(SUBSTITUTE(SUBSTITUTE(NOTA[NAMA BARANG]," ",),".",""),"-",""),"(",""),")",""),",",""),"/",""),"""",""),"+",""))</f>
        <v>pensil2bkayagikypf3093</v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pensil2bkayagikypf30932772000</v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pensil2bkayagikypf30932772000</v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 t="e">
        <f>IF(NOTA[[#This Row],[CONCAT1]]="","",MATCH(NOTA[[#This Row],[CONCAT1]],[3]!db[NB NOTA_C],0))</f>
        <v>#N/A</v>
      </c>
      <c r="AT438" s="38" t="str">
        <f>IF(NOTA[[#This Row],[QTY/ CTN]]="","",TRUE)</f>
        <v/>
      </c>
      <c r="AU438" s="38" t="e">
        <f ca="1">IF(NOTA[[#This Row],[ID_H]]="","",IF(NOTA[[#This Row],[Column3]]=TRUE,NOTA[[#This Row],[QTY/ CTN]],INDEX([3]!db[QTY/ CTN],NOTA[[#This Row],[//DB]])))</f>
        <v>#N/A</v>
      </c>
      <c r="AV4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38" s="38" t="e">
        <f ca="1">IF(NOTA[[#This Row],[ID_H]]="","",MATCH(NOTA[[#This Row],[NB NOTA_C_QTY]],[4]!db[NB NOTA_C_QTY+F],0))</f>
        <v>#N/A</v>
      </c>
      <c r="AX438" s="53" t="e">
        <f ca="1">IF(NOTA[[#This Row],[NB NOTA_C_QTY]]="","",ROW()-2)</f>
        <v>#N/A</v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69</v>
      </c>
      <c r="E439" s="46"/>
      <c r="F439" s="37"/>
      <c r="G439" s="37"/>
      <c r="H439" s="47"/>
      <c r="I439" s="37"/>
      <c r="J439" s="39"/>
      <c r="K439" s="37"/>
      <c r="L439" s="37" t="s">
        <v>566</v>
      </c>
      <c r="M439" s="40">
        <v>1</v>
      </c>
      <c r="N439" s="38">
        <v>360</v>
      </c>
      <c r="O439" s="37" t="s">
        <v>111</v>
      </c>
      <c r="P439" s="41">
        <v>7700</v>
      </c>
      <c r="Q439" s="42"/>
      <c r="R439" s="48"/>
      <c r="S439" s="49"/>
      <c r="T439" s="44"/>
      <c r="U439" s="44"/>
      <c r="V439" s="50"/>
      <c r="W439" s="45"/>
      <c r="X439" s="50">
        <f>IF(NOTA[[#This Row],[HARGA/ CTN]]="",NOTA[[#This Row],[JUMLAH_H]],NOTA[[#This Row],[HARGA/ CTN]]*IF(NOTA[[#This Row],[C]]="",0,NOTA[[#This Row],[C]]))</f>
        <v>2772000</v>
      </c>
      <c r="Y439" s="50">
        <f>IF(NOTA[[#This Row],[JUMLAH]]="","",NOTA[[#This Row],[JUMLAH]]*NOTA[[#This Row],[DISC 1]])</f>
        <v>0</v>
      </c>
      <c r="Z439" s="50">
        <f>IF(NOTA[[#This Row],[JUMLAH]]="","",(NOTA[[#This Row],[JUMLAH]]-NOTA[[#This Row],[DISC 1-]])*NOTA[[#This Row],[DISC 2]])</f>
        <v>0</v>
      </c>
      <c r="AA439" s="50">
        <f>IF(NOTA[[#This Row],[JUMLAH]]="","",(NOTA[[#This Row],[JUMLAH]]-NOTA[[#This Row],[DISC 1-]]-NOTA[[#This Row],[DISC 2-]])*NOTA[[#This Row],[DISC 3]])</f>
        <v>0</v>
      </c>
      <c r="AB439" s="50">
        <f>IF(NOTA[[#This Row],[JUMLAH]]="","",NOTA[[#This Row],[DISC 1-]]+NOTA[[#This Row],[DISC 2-]]+NOTA[[#This Row],[DISC 3-]])</f>
        <v>0</v>
      </c>
      <c r="AC439" s="50">
        <f>IF(NOTA[[#This Row],[JUMLAH]]="","",NOTA[[#This Row],[JUMLAH]]-NOTA[[#This Row],[DISC]])</f>
        <v>2772000</v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9" s="50">
        <f>IF(OR(NOTA[[#This Row],[QTY]]="",NOTA[[#This Row],[HARGA SATUAN]]="",),"",NOTA[[#This Row],[QTY]]*NOTA[[#This Row],[HARGA SATUAN]])</f>
        <v>2772000</v>
      </c>
      <c r="AI439" s="39">
        <f ca="1">IF(NOTA[ID_H]="","",INDEX(NOTA[TANGGAL],MATCH(,INDIRECT(ADDRESS(ROW(NOTA[TANGGAL]),COLUMN(NOTA[TANGGAL]))&amp;":"&amp;ADDRESS(ROW(),COLUMN(NOTA[TANGGAL]))),-1)))</f>
        <v>45306</v>
      </c>
      <c r="AJ439" s="41" t="str">
        <f ca="1">IF(NOTA[[#This Row],[NAMA BARANG]]="","",INDEX(NOTA[SUPPLIER],MATCH(,INDIRECT(ADDRESS(ROW(NOTA[ID]),COLUMN(NOTA[ID]))&amp;":"&amp;ADDRESS(ROW(),COLUMN(NOTA[ID]))),-1)))</f>
        <v>DB STATIONERY</v>
      </c>
      <c r="AK439" s="41" t="str">
        <f ca="1">IF(NOTA[[#This Row],[ID_H]]="","",IF(NOTA[[#This Row],[FAKTUR]]="",INDIRECT(ADDRESS(ROW()-1,COLUMN())),NOTA[[#This Row],[FAKTUR]]))</f>
        <v>UNTANA</v>
      </c>
      <c r="AL439" s="38" t="str">
        <f ca="1">IF(NOTA[[#This Row],[ID]]="","",COUNTIF(NOTA[ID_H],NOTA[[#This Row],[ID_H]]))</f>
        <v/>
      </c>
      <c r="AM439" s="38">
        <f ca="1">IF(NOTA[[#This Row],[TGL.NOTA]]="",IF(NOTA[[#This Row],[SUPPLIER_H]]="","",AM438),MONTH(NOTA[[#This Row],[TGL.NOTA]]))</f>
        <v>1</v>
      </c>
      <c r="AN439" s="38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>
        <f>IF(NOTA[[#This Row],[CONCAT1]]="","",MATCH(NOTA[[#This Row],[CONCAT1]],[3]!db[NB NOTA_C],0))</f>
        <v>2563</v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>360 LSN</v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W439" s="38" t="e">
        <f ca="1">IF(NOTA[[#This Row],[ID_H]]="","",MATCH(NOTA[[#This Row],[NB NOTA_C_QTY]],[4]!db[NB NOTA_C_QTY+F],0))</f>
        <v>#REF!</v>
      </c>
      <c r="AX439" s="53">
        <f ca="1">IF(NOTA[[#This Row],[NB NOTA_C_QTY]]="","",ROW()-2)</f>
        <v>437</v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69</v>
      </c>
      <c r="E440" s="46"/>
      <c r="F440" s="37"/>
      <c r="G440" s="37"/>
      <c r="H440" s="47"/>
      <c r="I440" s="37"/>
      <c r="J440" s="39"/>
      <c r="K440" s="39"/>
      <c r="L440" s="37" t="s">
        <v>468</v>
      </c>
      <c r="M440" s="40">
        <v>1</v>
      </c>
      <c r="N440" s="38">
        <v>360</v>
      </c>
      <c r="O440" s="37" t="s">
        <v>111</v>
      </c>
      <c r="P440" s="41">
        <v>7700</v>
      </c>
      <c r="Q440" s="42"/>
      <c r="R440" s="48"/>
      <c r="S440" s="49"/>
      <c r="T440" s="44"/>
      <c r="U440" s="44"/>
      <c r="V440" s="50"/>
      <c r="W440" s="45"/>
      <c r="X440" s="50">
        <f>IF(NOTA[[#This Row],[HARGA/ CTN]]="",NOTA[[#This Row],[JUMLAH_H]],NOTA[[#This Row],[HARGA/ CTN]]*IF(NOTA[[#This Row],[C]]="",0,NOTA[[#This Row],[C]]))</f>
        <v>2772000</v>
      </c>
      <c r="Y440" s="50">
        <f>IF(NOTA[[#This Row],[JUMLAH]]="","",NOTA[[#This Row],[JUMLAH]]*NOTA[[#This Row],[DISC 1]])</f>
        <v>0</v>
      </c>
      <c r="Z440" s="50">
        <f>IF(NOTA[[#This Row],[JUMLAH]]="","",(NOTA[[#This Row],[JUMLAH]]-NOTA[[#This Row],[DISC 1-]])*NOTA[[#This Row],[DISC 2]])</f>
        <v>0</v>
      </c>
      <c r="AA440" s="50">
        <f>IF(NOTA[[#This Row],[JUMLAH]]="","",(NOTA[[#This Row],[JUMLAH]]-NOTA[[#This Row],[DISC 1-]]-NOTA[[#This Row],[DISC 2-]])*NOTA[[#This Row],[DISC 3]])</f>
        <v>0</v>
      </c>
      <c r="AB440" s="50">
        <f>IF(NOTA[[#This Row],[JUMLAH]]="","",NOTA[[#This Row],[DISC 1-]]+NOTA[[#This Row],[DISC 2-]]+NOTA[[#This Row],[DISC 3-]])</f>
        <v>0</v>
      </c>
      <c r="AC440" s="50">
        <f>IF(NOTA[[#This Row],[JUMLAH]]="","",NOTA[[#This Row],[JUMLAH]]-NOTA[[#This Row],[DISC]])</f>
        <v>2772000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0" s="50">
        <f>IF(OR(NOTA[[#This Row],[QTY]]="",NOTA[[#This Row],[HARGA SATUAN]]="",),"",NOTA[[#This Row],[QTY]]*NOTA[[#This Row],[HARGA SATUAN]])</f>
        <v>2772000</v>
      </c>
      <c r="AI440" s="39">
        <f ca="1">IF(NOTA[ID_H]="","",INDEX(NOTA[TANGGAL],MATCH(,INDIRECT(ADDRESS(ROW(NOTA[TANGGAL]),COLUMN(NOTA[TANGGAL]))&amp;":"&amp;ADDRESS(ROW(),COLUMN(NOTA[TANGGAL]))),-1)))</f>
        <v>45306</v>
      </c>
      <c r="AJ440" s="41" t="str">
        <f ca="1">IF(NOTA[[#This Row],[NAMA BARANG]]="","",INDEX(NOTA[SUPPLIER],MATCH(,INDIRECT(ADDRESS(ROW(NOTA[ID]),COLUMN(NOTA[ID]))&amp;":"&amp;ADDRESS(ROW(),COLUMN(NOTA[ID]))),-1)))</f>
        <v>DB STATIONERY</v>
      </c>
      <c r="AK440" s="41" t="str">
        <f ca="1">IF(NOTA[[#This Row],[ID_H]]="","",IF(NOTA[[#This Row],[FAKTUR]]="",INDIRECT(ADDRESS(ROW()-1,COLUMN())),NOTA[[#This Row],[FAKTUR]]))</f>
        <v>UNTANA</v>
      </c>
      <c r="AL440" s="38" t="str">
        <f ca="1">IF(NOTA[[#This Row],[ID]]="","",COUNTIF(NOTA[ID_H],NOTA[[#This Row],[ID_H]]))</f>
        <v/>
      </c>
      <c r="AM440" s="38">
        <f ca="1">IF(NOTA[[#This Row],[TGL.NOTA]]="",IF(NOTA[[#This Row],[SUPPLIER_H]]="","",AM439),MONTH(NOTA[[#This Row],[TGL.NOTA]]))</f>
        <v>1</v>
      </c>
      <c r="AN440" s="38" t="str">
        <f>LOWER(SUBSTITUTE(SUBSTITUTE(SUBSTITUTE(SUBSTITUTE(SUBSTITUTE(SUBSTITUTE(SUBSTITUTE(SUBSTITUTE(SUBSTITUTE(NOTA[NAMA BARANG]," ",),".",""),"-",""),"(",""),")",""),",",""),"/",""),"""",""),"+",""))</f>
        <v>pensil2bfancykypf3050</v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pensil2bfancykypf30502772000</v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pensil2bfancykypf30502772000</v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>
        <f>IF(NOTA[[#This Row],[CONCAT1]]="","",MATCH(NOTA[[#This Row],[CONCAT1]],[3]!db[NB NOTA_C],0))</f>
        <v>2562</v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>360 LSN</v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pensil2bfancykypf3050360lsnuntana</v>
      </c>
      <c r="AW440" s="38" t="e">
        <f ca="1">IF(NOTA[[#This Row],[ID_H]]="","",MATCH(NOTA[[#This Row],[NB NOTA_C_QTY]],[4]!db[NB NOTA_C_QTY+F],0))</f>
        <v>#REF!</v>
      </c>
      <c r="AX440" s="53">
        <f ca="1">IF(NOTA[[#This Row],[NB NOTA_C_QTY]]="","",ROW()-2)</f>
        <v>438</v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69</v>
      </c>
      <c r="E441" s="46"/>
      <c r="F441" s="37"/>
      <c r="G441" s="37"/>
      <c r="H441" s="47"/>
      <c r="I441" s="37"/>
      <c r="J441" s="39"/>
      <c r="K441" s="37">
        <v>0</v>
      </c>
      <c r="L441" s="37" t="s">
        <v>567</v>
      </c>
      <c r="M441" s="40">
        <v>1</v>
      </c>
      <c r="N441" s="38">
        <v>360</v>
      </c>
      <c r="O441" s="37" t="s">
        <v>111</v>
      </c>
      <c r="P441" s="41">
        <v>7700</v>
      </c>
      <c r="Q441" s="42"/>
      <c r="R441" s="48"/>
      <c r="S441" s="49"/>
      <c r="T441" s="44"/>
      <c r="U441" s="44"/>
      <c r="V441" s="50"/>
      <c r="W441" s="45"/>
      <c r="X441" s="50">
        <f>IF(NOTA[[#This Row],[HARGA/ CTN]]="",NOTA[[#This Row],[JUMLAH_H]],NOTA[[#This Row],[HARGA/ CTN]]*IF(NOTA[[#This Row],[C]]="",0,NOTA[[#This Row],[C]]))</f>
        <v>2772000</v>
      </c>
      <c r="Y441" s="50">
        <f>IF(NOTA[[#This Row],[JUMLAH]]="","",NOTA[[#This Row],[JUMLAH]]*NOTA[[#This Row],[DISC 1]])</f>
        <v>0</v>
      </c>
      <c r="Z441" s="50">
        <f>IF(NOTA[[#This Row],[JUMLAH]]="","",(NOTA[[#This Row],[JUMLAH]]-NOTA[[#This Row],[DISC 1-]])*NOTA[[#This Row],[DISC 2]])</f>
        <v>0</v>
      </c>
      <c r="AA441" s="50">
        <f>IF(NOTA[[#This Row],[JUMLAH]]="","",(NOTA[[#This Row],[JUMLAH]]-NOTA[[#This Row],[DISC 1-]]-NOTA[[#This Row],[DISC 2-]])*NOTA[[#This Row],[DISC 3]])</f>
        <v>0</v>
      </c>
      <c r="AB441" s="50">
        <f>IF(NOTA[[#This Row],[JUMLAH]]="","",NOTA[[#This Row],[DISC 1-]]+NOTA[[#This Row],[DISC 2-]]+NOTA[[#This Row],[DISC 3-]])</f>
        <v>0</v>
      </c>
      <c r="AC441" s="50">
        <f>IF(NOTA[[#This Row],[JUMLAH]]="","",NOTA[[#This Row],[JUMLAH]]-NOTA[[#This Row],[DISC]])</f>
        <v>2772000</v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1" s="50">
        <f>IF(OR(NOTA[[#This Row],[QTY]]="",NOTA[[#This Row],[HARGA SATUAN]]="",),"",NOTA[[#This Row],[QTY]]*NOTA[[#This Row],[HARGA SATUAN]])</f>
        <v>2772000</v>
      </c>
      <c r="AI441" s="39">
        <f ca="1">IF(NOTA[ID_H]="","",INDEX(NOTA[TANGGAL],MATCH(,INDIRECT(ADDRESS(ROW(NOTA[TANGGAL]),COLUMN(NOTA[TANGGAL]))&amp;":"&amp;ADDRESS(ROW(),COLUMN(NOTA[TANGGAL]))),-1)))</f>
        <v>45306</v>
      </c>
      <c r="AJ441" s="41" t="str">
        <f ca="1">IF(NOTA[[#This Row],[NAMA BARANG]]="","",INDEX(NOTA[SUPPLIER],MATCH(,INDIRECT(ADDRESS(ROW(NOTA[ID]),COLUMN(NOTA[ID]))&amp;":"&amp;ADDRESS(ROW(),COLUMN(NOTA[ID]))),-1)))</f>
        <v>DB STATIONERY</v>
      </c>
      <c r="AK441" s="41" t="str">
        <f ca="1">IF(NOTA[[#This Row],[ID_H]]="","",IF(NOTA[[#This Row],[FAKTUR]]="",INDIRECT(ADDRESS(ROW()-1,COLUMN())),NOTA[[#This Row],[FAKTUR]]))</f>
        <v>UNTANA</v>
      </c>
      <c r="AL441" s="38" t="str">
        <f ca="1">IF(NOTA[[#This Row],[ID]]="","",COUNTIF(NOTA[ID_H],NOTA[[#This Row],[ID_H]]))</f>
        <v/>
      </c>
      <c r="AM441" s="38">
        <f ca="1">IF(NOTA[[#This Row],[TGL.NOTA]]="",IF(NOTA[[#This Row],[SUPPLIER_H]]="","",AM440),MONTH(NOTA[[#This Row],[TGL.NOTA]]))</f>
        <v>1</v>
      </c>
      <c r="AN441" s="38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>
        <f>IF(NOTA[[#This Row],[CONCAT1]]="","",MATCH(NOTA[[#This Row],[CONCAT1]],[3]!db[NB NOTA_C],0))</f>
        <v>2567</v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>360 LSN</v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W441" s="38" t="e">
        <f ca="1">IF(NOTA[[#This Row],[ID_H]]="","",MATCH(NOTA[[#This Row],[NB NOTA_C_QTY]],[4]!db[NB NOTA_C_QTY+F],0))</f>
        <v>#REF!</v>
      </c>
      <c r="AX441" s="53">
        <f ca="1">IF(NOTA[[#This Row],[NB NOTA_C_QTY]]="","",ROW()-2)</f>
        <v>439</v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>
        <f ca="1">IF(NOTA[[#This Row],[NAMA BARANG]]="","",INDEX(NOTA[ID],MATCH(,INDIRECT(ADDRESS(ROW(NOTA[ID]),COLUMN(NOTA[ID]))&amp;":"&amp;ADDRESS(ROW(),COLUMN(NOTA[ID]))),-1)))</f>
        <v>69</v>
      </c>
      <c r="E442" s="46"/>
      <c r="F442" s="37"/>
      <c r="G442" s="37"/>
      <c r="H442" s="47"/>
      <c r="I442" s="37"/>
      <c r="J442" s="39"/>
      <c r="K442" s="37"/>
      <c r="L442" s="37" t="s">
        <v>568</v>
      </c>
      <c r="M442" s="40">
        <v>1</v>
      </c>
      <c r="N442" s="38">
        <v>360</v>
      </c>
      <c r="O442" s="37" t="s">
        <v>111</v>
      </c>
      <c r="P442" s="41">
        <v>7700</v>
      </c>
      <c r="Q442" s="42"/>
      <c r="R442" s="48"/>
      <c r="S442" s="49"/>
      <c r="T442" s="44"/>
      <c r="U442" s="44"/>
      <c r="V442" s="50"/>
      <c r="W442" s="45"/>
      <c r="X442" s="50">
        <f>IF(NOTA[[#This Row],[HARGA/ CTN]]="",NOTA[[#This Row],[JUMLAH_H]],NOTA[[#This Row],[HARGA/ CTN]]*IF(NOTA[[#This Row],[C]]="",0,NOTA[[#This Row],[C]]))</f>
        <v>2772000</v>
      </c>
      <c r="Y442" s="50">
        <f>IF(NOTA[[#This Row],[JUMLAH]]="","",NOTA[[#This Row],[JUMLAH]]*NOTA[[#This Row],[DISC 1]])</f>
        <v>0</v>
      </c>
      <c r="Z442" s="50">
        <f>IF(NOTA[[#This Row],[JUMLAH]]="","",(NOTA[[#This Row],[JUMLAH]]-NOTA[[#This Row],[DISC 1-]])*NOTA[[#This Row],[DISC 2]])</f>
        <v>0</v>
      </c>
      <c r="AA442" s="50">
        <f>IF(NOTA[[#This Row],[JUMLAH]]="","",(NOTA[[#This Row],[JUMLAH]]-NOTA[[#This Row],[DISC 1-]]-NOTA[[#This Row],[DISC 2-]])*NOTA[[#This Row],[DISC 3]])</f>
        <v>0</v>
      </c>
      <c r="AB442" s="50">
        <f>IF(NOTA[[#This Row],[JUMLAH]]="","",NOTA[[#This Row],[DISC 1-]]+NOTA[[#This Row],[DISC 2-]]+NOTA[[#This Row],[DISC 3-]])</f>
        <v>0</v>
      </c>
      <c r="AC442" s="50">
        <f>IF(NOTA[[#This Row],[JUMLAH]]="","",NOTA[[#This Row],[JUMLAH]]-NOTA[[#This Row],[DISC]])</f>
        <v>2772000</v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2" s="50">
        <f>IF(OR(NOTA[[#This Row],[QTY]]="",NOTA[[#This Row],[HARGA SATUAN]]="",),"",NOTA[[#This Row],[QTY]]*NOTA[[#This Row],[HARGA SATUAN]])</f>
        <v>2772000</v>
      </c>
      <c r="AI442" s="39">
        <f ca="1">IF(NOTA[ID_H]="","",INDEX(NOTA[TANGGAL],MATCH(,INDIRECT(ADDRESS(ROW(NOTA[TANGGAL]),COLUMN(NOTA[TANGGAL]))&amp;":"&amp;ADDRESS(ROW(),COLUMN(NOTA[TANGGAL]))),-1)))</f>
        <v>45306</v>
      </c>
      <c r="AJ442" s="41" t="str">
        <f ca="1">IF(NOTA[[#This Row],[NAMA BARANG]]="","",INDEX(NOTA[SUPPLIER],MATCH(,INDIRECT(ADDRESS(ROW(NOTA[ID]),COLUMN(NOTA[ID]))&amp;":"&amp;ADDRESS(ROW(),COLUMN(NOTA[ID]))),-1)))</f>
        <v>DB STATIONERY</v>
      </c>
      <c r="AK442" s="41" t="str">
        <f ca="1">IF(NOTA[[#This Row],[ID_H]]="","",IF(NOTA[[#This Row],[FAKTUR]]="",INDIRECT(ADDRESS(ROW()-1,COLUMN())),NOTA[[#This Row],[FAKTUR]]))</f>
        <v>UNTANA</v>
      </c>
      <c r="AL442" s="38" t="str">
        <f ca="1">IF(NOTA[[#This Row],[ID]]="","",COUNTIF(NOTA[ID_H],NOTA[[#This Row],[ID_H]]))</f>
        <v/>
      </c>
      <c r="AM442" s="38">
        <f ca="1">IF(NOTA[[#This Row],[TGL.NOTA]]="",IF(NOTA[[#This Row],[SUPPLIER_H]]="","",AM441),MONTH(NOTA[[#This Row],[TGL.NOTA]]))</f>
        <v>1</v>
      </c>
      <c r="AN442" s="38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>
        <f>IF(NOTA[[#This Row],[CONCAT1]]="","",MATCH(NOTA[[#This Row],[CONCAT1]],[3]!db[NB NOTA_C],0))</f>
        <v>2593</v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>360 LSN</v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pensil2bkayagikypf3062360lsnuntana</v>
      </c>
      <c r="AW442" s="38" t="e">
        <f ca="1">IF(NOTA[[#This Row],[ID_H]]="","",MATCH(NOTA[[#This Row],[NB NOTA_C_QTY]],[4]!db[NB NOTA_C_QTY+F],0))</f>
        <v>#REF!</v>
      </c>
      <c r="AX442" s="53">
        <f ca="1">IF(NOTA[[#This Row],[NB NOTA_C_QTY]]="","",ROW()-2)</f>
        <v>440</v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69</v>
      </c>
      <c r="E443" s="46"/>
      <c r="F443" s="37"/>
      <c r="G443" s="37"/>
      <c r="H443" s="47"/>
      <c r="I443" s="37"/>
      <c r="J443" s="39"/>
      <c r="K443" s="37"/>
      <c r="L443" s="37" t="s">
        <v>569</v>
      </c>
      <c r="M443" s="40">
        <v>1</v>
      </c>
      <c r="N443" s="38">
        <v>360</v>
      </c>
      <c r="O443" s="37" t="s">
        <v>111</v>
      </c>
      <c r="P443" s="41">
        <v>7700</v>
      </c>
      <c r="Q443" s="42"/>
      <c r="R443" s="48"/>
      <c r="S443" s="49"/>
      <c r="T443" s="44"/>
      <c r="U443" s="44"/>
      <c r="V443" s="50"/>
      <c r="W443" s="45"/>
      <c r="X443" s="50">
        <f>IF(NOTA[[#This Row],[HARGA/ CTN]]="",NOTA[[#This Row],[JUMLAH_H]],NOTA[[#This Row],[HARGA/ CTN]]*IF(NOTA[[#This Row],[C]]="",0,NOTA[[#This Row],[C]]))</f>
        <v>2772000</v>
      </c>
      <c r="Y443" s="50">
        <f>IF(NOTA[[#This Row],[JUMLAH]]="","",NOTA[[#This Row],[JUMLAH]]*NOTA[[#This Row],[DISC 1]])</f>
        <v>0</v>
      </c>
      <c r="Z443" s="50">
        <f>IF(NOTA[[#This Row],[JUMLAH]]="","",(NOTA[[#This Row],[JUMLAH]]-NOTA[[#This Row],[DISC 1-]])*NOTA[[#This Row],[DISC 2]])</f>
        <v>0</v>
      </c>
      <c r="AA443" s="50">
        <f>IF(NOTA[[#This Row],[JUMLAH]]="","",(NOTA[[#This Row],[JUMLAH]]-NOTA[[#This Row],[DISC 1-]]-NOTA[[#This Row],[DISC 2-]])*NOTA[[#This Row],[DISC 3]])</f>
        <v>0</v>
      </c>
      <c r="AB443" s="50">
        <f>IF(NOTA[[#This Row],[JUMLAH]]="","",NOTA[[#This Row],[DISC 1-]]+NOTA[[#This Row],[DISC 2-]]+NOTA[[#This Row],[DISC 3-]])</f>
        <v>0</v>
      </c>
      <c r="AC443" s="50">
        <f>IF(NOTA[[#This Row],[JUMLAH]]="","",NOTA[[#This Row],[JUMLAH]]-NOTA[[#This Row],[DISC]])</f>
        <v>2772000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3" s="50">
        <f>IF(OR(NOTA[[#This Row],[QTY]]="",NOTA[[#This Row],[HARGA SATUAN]]="",),"",NOTA[[#This Row],[QTY]]*NOTA[[#This Row],[HARGA SATUAN]])</f>
        <v>2772000</v>
      </c>
      <c r="AI443" s="39">
        <f ca="1">IF(NOTA[ID_H]="","",INDEX(NOTA[TANGGAL],MATCH(,INDIRECT(ADDRESS(ROW(NOTA[TANGGAL]),COLUMN(NOTA[TANGGAL]))&amp;":"&amp;ADDRESS(ROW(),COLUMN(NOTA[TANGGAL]))),-1)))</f>
        <v>45306</v>
      </c>
      <c r="AJ443" s="41" t="str">
        <f ca="1">IF(NOTA[[#This Row],[NAMA BARANG]]="","",INDEX(NOTA[SUPPLIER],MATCH(,INDIRECT(ADDRESS(ROW(NOTA[ID]),COLUMN(NOTA[ID]))&amp;":"&amp;ADDRESS(ROW(),COLUMN(NOTA[ID]))),-1)))</f>
        <v>DB STATIONERY</v>
      </c>
      <c r="AK443" s="41" t="str">
        <f ca="1">IF(NOTA[[#This Row],[ID_H]]="","",IF(NOTA[[#This Row],[FAKTUR]]="",INDIRECT(ADDRESS(ROW()-1,COLUMN())),NOTA[[#This Row],[FAKTUR]]))</f>
        <v>UNTANA</v>
      </c>
      <c r="AL443" s="38" t="str">
        <f ca="1">IF(NOTA[[#This Row],[ID]]="","",COUNTIF(NOTA[ID_H],NOTA[[#This Row],[ID_H]]))</f>
        <v/>
      </c>
      <c r="AM443" s="38">
        <f ca="1">IF(NOTA[[#This Row],[TGL.NOTA]]="",IF(NOTA[[#This Row],[SUPPLIER_H]]="","",AM442),MONTH(NOTA[[#This Row],[TGL.NOTA]]))</f>
        <v>1</v>
      </c>
      <c r="AN443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>
        <f>IF(NOTA[[#This Row],[CONCAT1]]="","",MATCH(NOTA[[#This Row],[CONCAT1]],[3]!db[NB NOTA_C],0))</f>
        <v>2590</v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>360 LSN</v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W443" s="38" t="e">
        <f ca="1">IF(NOTA[[#This Row],[ID_H]]="","",MATCH(NOTA[[#This Row],[NB NOTA_C_QTY]],[4]!db[NB NOTA_C_QTY+F],0))</f>
        <v>#REF!</v>
      </c>
      <c r="AX443" s="53">
        <f ca="1">IF(NOTA[[#This Row],[NB NOTA_C_QTY]]="","",ROW()-2)</f>
        <v>441</v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69</v>
      </c>
      <c r="E444" s="46"/>
      <c r="F444" s="37"/>
      <c r="G444" s="37"/>
      <c r="H444" s="47"/>
      <c r="I444" s="37"/>
      <c r="J444" s="39"/>
      <c r="K444" s="37"/>
      <c r="L444" s="37" t="s">
        <v>570</v>
      </c>
      <c r="M444" s="40">
        <v>1</v>
      </c>
      <c r="N444" s="38">
        <v>360</v>
      </c>
      <c r="O444" s="37" t="s">
        <v>111</v>
      </c>
      <c r="P444" s="41">
        <v>7700</v>
      </c>
      <c r="Q444" s="42"/>
      <c r="R444" s="48"/>
      <c r="S444" s="49"/>
      <c r="T444" s="44"/>
      <c r="U444" s="44"/>
      <c r="V444" s="50"/>
      <c r="W444" s="45"/>
      <c r="X444" s="50">
        <f>IF(NOTA[[#This Row],[HARGA/ CTN]]="",NOTA[[#This Row],[JUMLAH_H]],NOTA[[#This Row],[HARGA/ CTN]]*IF(NOTA[[#This Row],[C]]="",0,NOTA[[#This Row],[C]]))</f>
        <v>2772000</v>
      </c>
      <c r="Y444" s="50">
        <f>IF(NOTA[[#This Row],[JUMLAH]]="","",NOTA[[#This Row],[JUMLAH]]*NOTA[[#This Row],[DISC 1]])</f>
        <v>0</v>
      </c>
      <c r="Z444" s="50">
        <f>IF(NOTA[[#This Row],[JUMLAH]]="","",(NOTA[[#This Row],[JUMLAH]]-NOTA[[#This Row],[DISC 1-]])*NOTA[[#This Row],[DISC 2]])</f>
        <v>0</v>
      </c>
      <c r="AA444" s="50">
        <f>IF(NOTA[[#This Row],[JUMLAH]]="","",(NOTA[[#This Row],[JUMLAH]]-NOTA[[#This Row],[DISC 1-]]-NOTA[[#This Row],[DISC 2-]])*NOTA[[#This Row],[DISC 3]])</f>
        <v>0</v>
      </c>
      <c r="AB444" s="50">
        <f>IF(NOTA[[#This Row],[JUMLAH]]="","",NOTA[[#This Row],[DISC 1-]]+NOTA[[#This Row],[DISC 2-]]+NOTA[[#This Row],[DISC 3-]])</f>
        <v>0</v>
      </c>
      <c r="AC444" s="50">
        <f>IF(NOTA[[#This Row],[JUMLAH]]="","",NOTA[[#This Row],[JUMLAH]]-NOTA[[#This Row],[DISC]])</f>
        <v>2772000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4" s="50">
        <f>IF(OR(NOTA[[#This Row],[QTY]]="",NOTA[[#This Row],[HARGA SATUAN]]="",),"",NOTA[[#This Row],[QTY]]*NOTA[[#This Row],[HARGA SATUAN]])</f>
        <v>2772000</v>
      </c>
      <c r="AI444" s="39">
        <f ca="1">IF(NOTA[ID_H]="","",INDEX(NOTA[TANGGAL],MATCH(,INDIRECT(ADDRESS(ROW(NOTA[TANGGAL]),COLUMN(NOTA[TANGGAL]))&amp;":"&amp;ADDRESS(ROW(),COLUMN(NOTA[TANGGAL]))),-1)))</f>
        <v>45306</v>
      </c>
      <c r="AJ444" s="41" t="str">
        <f ca="1">IF(NOTA[[#This Row],[NAMA BARANG]]="","",INDEX(NOTA[SUPPLIER],MATCH(,INDIRECT(ADDRESS(ROW(NOTA[ID]),COLUMN(NOTA[ID]))&amp;":"&amp;ADDRESS(ROW(),COLUMN(NOTA[ID]))),-1)))</f>
        <v>DB STATIONERY</v>
      </c>
      <c r="AK444" s="41" t="str">
        <f ca="1">IF(NOTA[[#This Row],[ID_H]]="","",IF(NOTA[[#This Row],[FAKTUR]]="",INDIRECT(ADDRESS(ROW()-1,COLUMN())),NOTA[[#This Row],[FAKTUR]]))</f>
        <v>UNTANA</v>
      </c>
      <c r="AL444" s="38" t="str">
        <f ca="1">IF(NOTA[[#This Row],[ID]]="","",COUNTIF(NOTA[ID_H],NOTA[[#This Row],[ID_H]]))</f>
        <v/>
      </c>
      <c r="AM444" s="38">
        <f ca="1">IF(NOTA[[#This Row],[TGL.NOTA]]="",IF(NOTA[[#This Row],[SUPPLIER_H]]="","",AM443),MONTH(NOTA[[#This Row],[TGL.NOTA]]))</f>
        <v>1</v>
      </c>
      <c r="AN444" s="38" t="str">
        <f>LOWER(SUBSTITUTE(SUBSTITUTE(SUBSTITUTE(SUBSTITUTE(SUBSTITUTE(SUBSTITUTE(SUBSTITUTE(SUBSTITUTE(SUBSTITUTE(NOTA[NAMA BARANG]," ",),".",""),"-",""),"(",""),")",""),",",""),"/",""),"""",""),"+",""))</f>
        <v>pensil2bkayagikypf3041</v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pensil2bkayagikypf30412772000</v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pensil2bkayagikypf30412772000</v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>
        <f>IF(NOTA[[#This Row],[CONCAT1]]="","",MATCH(NOTA[[#This Row],[CONCAT1]],[3]!db[NB NOTA_C],0))</f>
        <v>2582</v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>360 LSN</v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pensil2bkayagikypf3041360lsnuntana</v>
      </c>
      <c r="AW444" s="38" t="e">
        <f ca="1">IF(NOTA[[#This Row],[ID_H]]="","",MATCH(NOTA[[#This Row],[NB NOTA_C_QTY]],[4]!db[NB NOTA_C_QTY+F],0))</f>
        <v>#REF!</v>
      </c>
      <c r="AX444" s="53">
        <f ca="1">IF(NOTA[[#This Row],[NB NOTA_C_QTY]]="","",ROW()-2)</f>
        <v>442</v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69</v>
      </c>
      <c r="E445" s="46"/>
      <c r="F445" s="37"/>
      <c r="G445" s="37"/>
      <c r="H445" s="47"/>
      <c r="I445" s="37"/>
      <c r="J445" s="39"/>
      <c r="K445" s="37"/>
      <c r="L445" s="37" t="s">
        <v>571</v>
      </c>
      <c r="M445" s="40">
        <v>1</v>
      </c>
      <c r="N445" s="38">
        <v>360</v>
      </c>
      <c r="O445" s="37" t="s">
        <v>111</v>
      </c>
      <c r="P445" s="41">
        <v>7700</v>
      </c>
      <c r="Q445" s="42"/>
      <c r="R445" s="48"/>
      <c r="S445" s="49"/>
      <c r="T445" s="44"/>
      <c r="U445" s="44"/>
      <c r="V445" s="50"/>
      <c r="W445" s="45"/>
      <c r="X445" s="50">
        <f>IF(NOTA[[#This Row],[HARGA/ CTN]]="",NOTA[[#This Row],[JUMLAH_H]],NOTA[[#This Row],[HARGA/ CTN]]*IF(NOTA[[#This Row],[C]]="",0,NOTA[[#This Row],[C]]))</f>
        <v>2772000</v>
      </c>
      <c r="Y445" s="50">
        <f>IF(NOTA[[#This Row],[JUMLAH]]="","",NOTA[[#This Row],[JUMLAH]]*NOTA[[#This Row],[DISC 1]])</f>
        <v>0</v>
      </c>
      <c r="Z445" s="50">
        <f>IF(NOTA[[#This Row],[JUMLAH]]="","",(NOTA[[#This Row],[JUMLAH]]-NOTA[[#This Row],[DISC 1-]])*NOTA[[#This Row],[DISC 2]])</f>
        <v>0</v>
      </c>
      <c r="AA445" s="50">
        <f>IF(NOTA[[#This Row],[JUMLAH]]="","",(NOTA[[#This Row],[JUMLAH]]-NOTA[[#This Row],[DISC 1-]]-NOTA[[#This Row],[DISC 2-]])*NOTA[[#This Row],[DISC 3]])</f>
        <v>0</v>
      </c>
      <c r="AB445" s="50">
        <f>IF(NOTA[[#This Row],[JUMLAH]]="","",NOTA[[#This Row],[DISC 1-]]+NOTA[[#This Row],[DISC 2-]]+NOTA[[#This Row],[DISC 3-]])</f>
        <v>0</v>
      </c>
      <c r="AC445" s="50">
        <f>IF(NOTA[[#This Row],[JUMLAH]]="","",NOTA[[#This Row],[JUMLAH]]-NOTA[[#This Row],[DISC]])</f>
        <v>2772000</v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5" s="50">
        <f>IF(OR(NOTA[[#This Row],[QTY]]="",NOTA[[#This Row],[HARGA SATUAN]]="",),"",NOTA[[#This Row],[QTY]]*NOTA[[#This Row],[HARGA SATUAN]])</f>
        <v>2772000</v>
      </c>
      <c r="AI445" s="39">
        <f ca="1">IF(NOTA[ID_H]="","",INDEX(NOTA[TANGGAL],MATCH(,INDIRECT(ADDRESS(ROW(NOTA[TANGGAL]),COLUMN(NOTA[TANGGAL]))&amp;":"&amp;ADDRESS(ROW(),COLUMN(NOTA[TANGGAL]))),-1)))</f>
        <v>45306</v>
      </c>
      <c r="AJ445" s="41" t="str">
        <f ca="1">IF(NOTA[[#This Row],[NAMA BARANG]]="","",INDEX(NOTA[SUPPLIER],MATCH(,INDIRECT(ADDRESS(ROW(NOTA[ID]),COLUMN(NOTA[ID]))&amp;":"&amp;ADDRESS(ROW(),COLUMN(NOTA[ID]))),-1)))</f>
        <v>DB STATIONERY</v>
      </c>
      <c r="AK445" s="41" t="str">
        <f ca="1">IF(NOTA[[#This Row],[ID_H]]="","",IF(NOTA[[#This Row],[FAKTUR]]="",INDIRECT(ADDRESS(ROW()-1,COLUMN())),NOTA[[#This Row],[FAKTUR]]))</f>
        <v>UNTANA</v>
      </c>
      <c r="AL445" s="38" t="str">
        <f ca="1">IF(NOTA[[#This Row],[ID]]="","",COUNTIF(NOTA[ID_H],NOTA[[#This Row],[ID_H]]))</f>
        <v/>
      </c>
      <c r="AM445" s="38">
        <f ca="1">IF(NOTA[[#This Row],[TGL.NOTA]]="",IF(NOTA[[#This Row],[SUPPLIER_H]]="","",AM444),MONTH(NOTA[[#This Row],[TGL.NOTA]]))</f>
        <v>1</v>
      </c>
      <c r="AN445" s="38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>
        <f>IF(NOTA[[#This Row],[CONCAT1]]="","",MATCH(NOTA[[#This Row],[CONCAT1]],[3]!db[NB NOTA_C],0))</f>
        <v>2586</v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>360 LSN</v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pensil2bkayagikypf3053360lsnuntana</v>
      </c>
      <c r="AW445" s="38" t="e">
        <f ca="1">IF(NOTA[[#This Row],[ID_H]]="","",MATCH(NOTA[[#This Row],[NB NOTA_C_QTY]],[4]!db[NB NOTA_C_QTY+F],0))</f>
        <v>#REF!</v>
      </c>
      <c r="AX445" s="53">
        <f ca="1">IF(NOTA[[#This Row],[NB NOTA_C_QTY]]="","",ROW()-2)</f>
        <v>443</v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>
        <f ca="1">IF(NOTA[[#This Row],[NAMA BARANG]]="","",INDEX(NOTA[ID],MATCH(,INDIRECT(ADDRESS(ROW(NOTA[ID]),COLUMN(NOTA[ID]))&amp;":"&amp;ADDRESS(ROW(),COLUMN(NOTA[ID]))),-1)))</f>
        <v>69</v>
      </c>
      <c r="E446" s="46"/>
      <c r="F446" s="37"/>
      <c r="G446" s="37"/>
      <c r="H446" s="47"/>
      <c r="I446" s="37"/>
      <c r="J446" s="39"/>
      <c r="K446" s="37"/>
      <c r="L446" s="37" t="s">
        <v>562</v>
      </c>
      <c r="M446" s="40">
        <v>1</v>
      </c>
      <c r="N446" s="38">
        <v>1</v>
      </c>
      <c r="O446" s="37" t="s">
        <v>115</v>
      </c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51348000</v>
      </c>
      <c r="AG44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46" s="50" t="str">
        <f>IF(OR(NOTA[[#This Row],[QTY]]="",NOTA[[#This Row],[HARGA SATUAN]]="",),"",NOTA[[#This Row],[QTY]]*NOTA[[#This Row],[HARGA SATUAN]])</f>
        <v/>
      </c>
      <c r="AI446" s="39">
        <f ca="1">IF(NOTA[ID_H]="","",INDEX(NOTA[TANGGAL],MATCH(,INDIRECT(ADDRESS(ROW(NOTA[TANGGAL]),COLUMN(NOTA[TANGGAL]))&amp;":"&amp;ADDRESS(ROW(),COLUMN(NOTA[TANGGAL]))),-1)))</f>
        <v>45306</v>
      </c>
      <c r="AJ446" s="41" t="str">
        <f ca="1">IF(NOTA[[#This Row],[NAMA BARANG]]="","",INDEX(NOTA[SUPPLIER],MATCH(,INDIRECT(ADDRESS(ROW(NOTA[ID]),COLUMN(NOTA[ID]))&amp;":"&amp;ADDRESS(ROW(),COLUMN(NOTA[ID]))),-1)))</f>
        <v>DB STATIONERY</v>
      </c>
      <c r="AK446" s="41" t="str">
        <f ca="1">IF(NOTA[[#This Row],[ID_H]]="","",IF(NOTA[[#This Row],[FAKTUR]]="",INDIRECT(ADDRESS(ROW()-1,COLUMN())),NOTA[[#This Row],[FAKTUR]]))</f>
        <v>UNTANA</v>
      </c>
      <c r="AL446" s="38" t="str">
        <f ca="1">IF(NOTA[[#This Row],[ID]]="","",COUNTIF(NOTA[ID_H],NOTA[[#This Row],[ID_H]]))</f>
        <v/>
      </c>
      <c r="AM446" s="38" t="e">
        <f ca="1">IF(NOTA[[#This Row],[TGL.NOTA]]="",IF(NOTA[[#This Row],[SUPPLIER_H]]="","",#REF!),MONTH(NOTA[[#This Row],[TGL.NOTA]]))</f>
        <v>#REF!</v>
      </c>
      <c r="AN446" s="38" t="str">
        <f>LOWER(SUBSTITUTE(SUBSTITUTE(SUBSTITUTE(SUBSTITUTE(SUBSTITUTE(SUBSTITUTE(SUBSTITUTE(SUBSTITUTE(SUBSTITUTE(NOTA[NAMA BARANG]," ",),".",""),"-",""),"(",""),")",""),",",""),"/",""),"""",""),"+",""))</f>
        <v>tascabinelpidahijauefcb007</v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tascabinelpidahijauefcb0070</v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tascabinelpidahijauefcb0070</v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e">
        <f>IF(NOTA[[#This Row],[CONCAT1]]="","",MATCH(NOTA[[#This Row],[CONCAT1]],[3]!db[NB NOTA_C],0))</f>
        <v>#N/A</v>
      </c>
      <c r="AT446" s="38" t="str">
        <f>IF(NOTA[[#This Row],[QTY/ CTN]]="","",TRUE)</f>
        <v/>
      </c>
      <c r="AU446" s="38" t="e">
        <f ca="1">IF(NOTA[[#This Row],[ID_H]]="","",IF(NOTA[[#This Row],[Column3]]=TRUE,NOTA[[#This Row],[QTY/ CTN]],INDEX([3]!db[QTY/ CTN],NOTA[[#This Row],[//DB]])))</f>
        <v>#N/A</v>
      </c>
      <c r="AV44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46" s="38" t="e">
        <f ca="1">IF(NOTA[[#This Row],[ID_H]]="","",MATCH(NOTA[[#This Row],[NB NOTA_C_QTY]],[4]!db[NB NOTA_C_QTY+F],0))</f>
        <v>#N/A</v>
      </c>
      <c r="AX446" s="53" t="e">
        <f ca="1">IF(NOTA[[#This Row],[NB NOTA_C_QTY]]="","",ROW()-2)</f>
        <v>#N/A</v>
      </c>
    </row>
    <row r="447" spans="1:50" s="38" customFormat="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 t="str">
        <f ca="1">IF(NOTA[[#This Row],[NAMA BARANG]]="","",INDEX(NOTA[ID],MATCH(,INDIRECT(ADDRESS(ROW(NOTA[ID]),COLUMN(NOTA[ID]))&amp;":"&amp;ADDRESS(ROW(),COLUMN(NOTA[ID]))),-1)))</f>
        <v/>
      </c>
      <c r="E447" s="46"/>
      <c r="F447" s="37"/>
      <c r="G447" s="37"/>
      <c r="H447" s="47"/>
      <c r="I447" s="37"/>
      <c r="J447" s="39"/>
      <c r="K447" s="37"/>
      <c r="L447" s="37"/>
      <c r="M447" s="40"/>
      <c r="O447" s="37"/>
      <c r="P447" s="41"/>
      <c r="Q447" s="42"/>
      <c r="R447" s="48"/>
      <c r="S447" s="49"/>
      <c r="T447" s="44"/>
      <c r="U447" s="44"/>
      <c r="V447" s="50"/>
      <c r="W447" s="45"/>
      <c r="X447" s="50" t="str">
        <f>IF(NOTA[[#This Row],[HARGA/ CTN]]="",NOTA[[#This Row],[JUMLAH_H]],NOTA[[#This Row],[HARGA/ CTN]]*IF(NOTA[[#This Row],[C]]="",0,NOTA[[#This Row],[C]]))</f>
        <v/>
      </c>
      <c r="Y447" s="50" t="str">
        <f>IF(NOTA[[#This Row],[JUMLAH]]="","",NOTA[[#This Row],[JUMLAH]]*NOTA[[#This Row],[DISC 1]])</f>
        <v/>
      </c>
      <c r="Z447" s="50" t="str">
        <f>IF(NOTA[[#This Row],[JUMLAH]]="","",(NOTA[[#This Row],[JUMLAH]]-NOTA[[#This Row],[DISC 1-]])*NOTA[[#This Row],[DISC 2]])</f>
        <v/>
      </c>
      <c r="AA447" s="50" t="str">
        <f>IF(NOTA[[#This Row],[JUMLAH]]="","",(NOTA[[#This Row],[JUMLAH]]-NOTA[[#This Row],[DISC 1-]]-NOTA[[#This Row],[DISC 2-]])*NOTA[[#This Row],[DISC 3]])</f>
        <v/>
      </c>
      <c r="AB447" s="50" t="str">
        <f>IF(NOTA[[#This Row],[JUMLAH]]="","",NOTA[[#This Row],[DISC 1-]]+NOTA[[#This Row],[DISC 2-]]+NOTA[[#This Row],[DISC 3-]])</f>
        <v/>
      </c>
      <c r="AC447" s="50" t="str">
        <f>IF(NOTA[[#This Row],[JUMLAH]]="","",NOTA[[#This Row],[JUMLAH]]-NOTA[[#This Row],[DISC]])</f>
        <v/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7" s="50" t="str">
        <f>IF(OR(NOTA[[#This Row],[QTY]]="",NOTA[[#This Row],[HARGA SATUAN]]="",),"",NOTA[[#This Row],[QTY]]*NOTA[[#This Row],[HARGA SATUAN]])</f>
        <v/>
      </c>
      <c r="AI447" s="39" t="str">
        <f ca="1">IF(NOTA[ID_H]="","",INDEX(NOTA[TANGGAL],MATCH(,INDIRECT(ADDRESS(ROW(NOTA[TANGGAL]),COLUMN(NOTA[TANGGAL]))&amp;":"&amp;ADDRESS(ROW(),COLUMN(NOTA[TANGGAL]))),-1)))</f>
        <v/>
      </c>
      <c r="AJ447" s="41" t="str">
        <f ca="1">IF(NOTA[[#This Row],[NAMA BARANG]]="","",INDEX(NOTA[SUPPLIER],MATCH(,INDIRECT(ADDRESS(ROW(NOTA[ID]),COLUMN(NOTA[ID]))&amp;":"&amp;ADDRESS(ROW(),COLUMN(NOTA[ID]))),-1)))</f>
        <v/>
      </c>
      <c r="AK447" s="41" t="str">
        <f ca="1">IF(NOTA[[#This Row],[ID_H]]="","",IF(NOTA[[#This Row],[FAKTUR]]="",INDIRECT(ADDRESS(ROW()-1,COLUMN())),NOTA[[#This Row],[FAKTUR]]))</f>
        <v/>
      </c>
      <c r="AL447" s="38" t="str">
        <f ca="1">IF(NOTA[[#This Row],[ID]]="","",COUNTIF(NOTA[ID_H],NOTA[[#This Row],[ID_H]]))</f>
        <v/>
      </c>
      <c r="AM447" s="38" t="str">
        <f ca="1">IF(NOTA[[#This Row],[TGL.NOTA]]="",IF(NOTA[[#This Row],[SUPPLIER_H]]="","",AM446),MONTH(NOTA[[#This Row],[TGL.NOTA]]))</f>
        <v/>
      </c>
      <c r="AN447" s="38" t="str">
        <f>LOWER(SUBSTITUTE(SUBSTITUTE(SUBSTITUTE(SUBSTITUTE(SUBSTITUTE(SUBSTITUTE(SUBSTITUTE(SUBSTITUTE(SUBSTITUTE(NOTA[NAMA BARANG]," ",),".",""),"-",""),"(",""),")",""),",",""),"/",""),"""",""),"+",""))</f>
        <v/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7" s="38" t="str">
        <f>IF(NOTA[[#This Row],[CONCAT4]]="","",_xlfn.IFNA(MATCH(NOTA[[#This Row],[CONCAT4]],[2]!RAW[CONCAT_H],0),FALSE))</f>
        <v/>
      </c>
      <c r="AS447" s="38" t="str">
        <f>IF(NOTA[[#This Row],[CONCAT1]]="","",MATCH(NOTA[[#This Row],[CONCAT1]],[3]!db[NB NOTA_C],0))</f>
        <v/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/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7" s="38" t="str">
        <f ca="1">IF(NOTA[[#This Row],[ID_H]]="","",MATCH(NOTA[[#This Row],[NB NOTA_C_QTY]],[4]!db[NB NOTA_C_QTY+F],0))</f>
        <v/>
      </c>
      <c r="AX447" s="53" t="str">
        <f ca="1">IF(NOTA[[#This Row],[NB NOTA_C_QTY]]="","",ROW()-2)</f>
        <v/>
      </c>
    </row>
    <row r="448" spans="1:50" s="38" customFormat="1" ht="20.100000000000001" customHeight="1" x14ac:dyDescent="0.25">
      <c r="A448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44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GRA_1601_LAN-1</v>
      </c>
      <c r="C448" s="38" t="e">
        <f ca="1">IF(NOTA[[#This Row],[ID_P]]="","",MATCH(NOTA[[#This Row],[ID_P]],[1]!B_MSK[N_ID],0))</f>
        <v>#REF!</v>
      </c>
      <c r="D448" s="38">
        <f ca="1">IF(NOTA[[#This Row],[NAMA BARANG]]="","",INDEX(NOTA[ID],MATCH(,INDIRECT(ADDRESS(ROW(NOTA[ID]),COLUMN(NOTA[ID]))&amp;":"&amp;ADDRESS(ROW(),COLUMN(NOTA[ID]))),-1)))</f>
        <v>70</v>
      </c>
      <c r="E448" s="46">
        <v>45307</v>
      </c>
      <c r="F448" s="37" t="s">
        <v>237</v>
      </c>
      <c r="G448" s="37" t="s">
        <v>110</v>
      </c>
      <c r="H448" s="47" t="s">
        <v>143</v>
      </c>
      <c r="I448" s="37"/>
      <c r="J448" s="39">
        <v>45303</v>
      </c>
      <c r="K448" s="37"/>
      <c r="L448" s="37" t="s">
        <v>492</v>
      </c>
      <c r="M448" s="40">
        <v>15</v>
      </c>
      <c r="N448" s="38">
        <v>750</v>
      </c>
      <c r="O448" s="37" t="s">
        <v>111</v>
      </c>
      <c r="P448" s="41"/>
      <c r="Q448" s="42"/>
      <c r="R448" s="48" t="s">
        <v>240</v>
      </c>
      <c r="S448" s="49"/>
      <c r="T448" s="44"/>
      <c r="U448" s="44"/>
      <c r="V448" s="50"/>
      <c r="W448" s="45"/>
      <c r="X448" s="50" t="str">
        <f>IF(NOTA[[#This Row],[HARGA/ CTN]]="",NOTA[[#This Row],[JUMLAH_H]],NOTA[[#This Row],[HARGA/ CTN]]*IF(NOTA[[#This Row],[C]]="",0,NOTA[[#This Row],[C]]))</f>
        <v/>
      </c>
      <c r="Y448" s="50" t="str">
        <f>IF(NOTA[[#This Row],[JUMLAH]]="","",NOTA[[#This Row],[JUMLAH]]*NOTA[[#This Row],[DISC 1]])</f>
        <v/>
      </c>
      <c r="Z448" s="50" t="str">
        <f>IF(NOTA[[#This Row],[JUMLAH]]="","",(NOTA[[#This Row],[JUMLAH]]-NOTA[[#This Row],[DISC 1-]])*NOTA[[#This Row],[DISC 2]])</f>
        <v/>
      </c>
      <c r="AA448" s="50" t="str">
        <f>IF(NOTA[[#This Row],[JUMLAH]]="","",(NOTA[[#This Row],[JUMLAH]]-NOTA[[#This Row],[DISC 1-]]-NOTA[[#This Row],[DISC 2-]])*NOTA[[#This Row],[DISC 3]])</f>
        <v/>
      </c>
      <c r="AB448" s="50" t="str">
        <f>IF(NOTA[[#This Row],[JUMLAH]]="","",NOTA[[#This Row],[DISC 1-]]+NOTA[[#This Row],[DISC 2-]]+NOTA[[#This Row],[DISC 3-]])</f>
        <v/>
      </c>
      <c r="AC448" s="50" t="str">
        <f>IF(NOTA[[#This Row],[JUMLAH]]="","",NOTA[[#This Row],[JUMLAH]]-NOTA[[#This Row],[DISC]])</f>
        <v/>
      </c>
      <c r="AD448" s="50"/>
      <c r="AE4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4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48" s="50" t="str">
        <f>IF(OR(NOTA[[#This Row],[QTY]]="",NOTA[[#This Row],[HARGA SATUAN]]="",),"",NOTA[[#This Row],[QTY]]*NOTA[[#This Row],[HARGA SATUAN]])</f>
        <v/>
      </c>
      <c r="AI448" s="39">
        <f ca="1">IF(NOTA[ID_H]="","",INDEX(NOTA[TANGGAL],MATCH(,INDIRECT(ADDRESS(ROW(NOTA[TANGGAL]),COLUMN(NOTA[TANGGAL]))&amp;":"&amp;ADDRESS(ROW(),COLUMN(NOTA[TANGGAL]))),-1)))</f>
        <v>45307</v>
      </c>
      <c r="AJ448" s="41" t="str">
        <f ca="1">IF(NOTA[[#This Row],[NAMA BARANG]]="","",INDEX(NOTA[SUPPLIER],MATCH(,INDIRECT(ADDRESS(ROW(NOTA[ID]),COLUMN(NOTA[ID]))&amp;":"&amp;ADDRESS(ROW(),COLUMN(NOTA[ID]))),-1)))</f>
        <v>GRAFINDO</v>
      </c>
      <c r="AK448" s="41" t="str">
        <f ca="1">IF(NOTA[[#This Row],[ID_H]]="","",IF(NOTA[[#This Row],[FAKTUR]]="",INDIRECT(ADDRESS(ROW()-1,COLUMN())),NOTA[[#This Row],[FAKTUR]]))</f>
        <v>UNTANA</v>
      </c>
      <c r="AL448" s="38">
        <f ca="1">IF(NOTA[[#This Row],[ID]]="","",COUNTIF(NOTA[ID_H],NOTA[[#This Row],[ID_H]]))</f>
        <v>1</v>
      </c>
      <c r="AM448" s="38">
        <f>IF(NOTA[[#This Row],[TGL.NOTA]]="",IF(NOTA[[#This Row],[SUPPLIER_H]]="","",AM447),MONTH(NOTA[[#This Row],[TGL.NOTA]]))</f>
        <v>1</v>
      </c>
      <c r="AN448" s="38" t="str">
        <f>LOWER(SUBSTITUTE(SUBSTITUTE(SUBSTITUTE(SUBSTITUTE(SUBSTITUTE(SUBSTITUTE(SUBSTITUTE(SUBSTITUTE(SUBSTITUTE(NOTA[NAMA BARANG]," ",),".",""),"-",""),"(",""),")",""),",",""),"/",""),"""",""),"+",""))</f>
        <v>ac05putih</v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ac05putih0</v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ac05putih0</v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JALAN45303ac05putih</v>
      </c>
      <c r="AR448" s="38" t="e">
        <f>IF(NOTA[[#This Row],[CONCAT4]]="","",_xlfn.IFNA(MATCH(NOTA[[#This Row],[CONCAT4]],[2]!RAW[CONCAT_H],0),FALSE))</f>
        <v>#REF!</v>
      </c>
      <c r="AS448" s="38">
        <f>IF(NOTA[[#This Row],[CONCAT1]]="","",MATCH(NOTA[[#This Row],[CONCAT1]],[3]!db[NB NOTA_C],0))</f>
        <v>20</v>
      </c>
      <c r="AT448" s="38" t="b">
        <f>IF(NOTA[[#This Row],[QTY/ CTN]]="","",TRUE)</f>
        <v>1</v>
      </c>
      <c r="AU448" s="38" t="str">
        <f ca="1">IF(NOTA[[#This Row],[ID_H]]="","",IF(NOTA[[#This Row],[Column3]]=TRUE,NOTA[[#This Row],[QTY/ CTN]],INDEX([3]!db[QTY/ CTN],NOTA[[#This Row],[//DB]])))</f>
        <v>50 LSN</v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ac05putih50lsnuntana</v>
      </c>
      <c r="AW448" s="38" t="e">
        <f ca="1">IF(NOTA[[#This Row],[ID_H]]="","",MATCH(NOTA[[#This Row],[NB NOTA_C_QTY]],[4]!db[NB NOTA_C_QTY+F],0))</f>
        <v>#REF!</v>
      </c>
      <c r="AX448" s="53">
        <f ca="1">IF(NOTA[[#This Row],[NB NOTA_C_QTY]]="","",ROW()-2)</f>
        <v>446</v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 t="str">
        <f ca="1">IF(NOTA[[#This Row],[NAMA BARANG]]="","",INDEX(NOTA[ID],MATCH(,INDIRECT(ADDRESS(ROW(NOTA[ID]),COLUMN(NOTA[ID]))&amp;":"&amp;ADDRESS(ROW(),COLUMN(NOTA[ID]))),-1)))</f>
        <v/>
      </c>
      <c r="E449" s="46"/>
      <c r="F449" s="37"/>
      <c r="G449" s="37"/>
      <c r="H449" s="47"/>
      <c r="I449" s="37"/>
      <c r="J449" s="39"/>
      <c r="K449" s="37"/>
      <c r="L449" s="37"/>
      <c r="M449" s="40"/>
      <c r="O449" s="37"/>
      <c r="P449" s="41"/>
      <c r="Q449" s="42"/>
      <c r="R449" s="48"/>
      <c r="S449" s="49"/>
      <c r="T449" s="44"/>
      <c r="U449" s="44"/>
      <c r="V449" s="50"/>
      <c r="W449" s="45"/>
      <c r="X449" s="50" t="str">
        <f>IF(NOTA[[#This Row],[HARGA/ CTN]]="",NOTA[[#This Row],[JUMLAH_H]],NOTA[[#This Row],[HARGA/ CTN]]*IF(NOTA[[#This Row],[C]]="",0,NOTA[[#This Row],[C]]))</f>
        <v/>
      </c>
      <c r="Y449" s="50" t="str">
        <f>IF(NOTA[[#This Row],[JUMLAH]]="","",NOTA[[#This Row],[JUMLAH]]*NOTA[[#This Row],[DISC 1]])</f>
        <v/>
      </c>
      <c r="Z449" s="50" t="str">
        <f>IF(NOTA[[#This Row],[JUMLAH]]="","",(NOTA[[#This Row],[JUMLAH]]-NOTA[[#This Row],[DISC 1-]])*NOTA[[#This Row],[DISC 2]])</f>
        <v/>
      </c>
      <c r="AA449" s="50" t="str">
        <f>IF(NOTA[[#This Row],[JUMLAH]]="","",(NOTA[[#This Row],[JUMLAH]]-NOTA[[#This Row],[DISC 1-]]-NOTA[[#This Row],[DISC 2-]])*NOTA[[#This Row],[DISC 3]])</f>
        <v/>
      </c>
      <c r="AB449" s="50" t="str">
        <f>IF(NOTA[[#This Row],[JUMLAH]]="","",NOTA[[#This Row],[DISC 1-]]+NOTA[[#This Row],[DISC 2-]]+NOTA[[#This Row],[DISC 3-]])</f>
        <v/>
      </c>
      <c r="AC449" s="50" t="str">
        <f>IF(NOTA[[#This Row],[JUMLAH]]="","",NOTA[[#This Row],[JUMLAH]]-NOTA[[#This Row],[DISC]])</f>
        <v/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9" s="50" t="str">
        <f>IF(OR(NOTA[[#This Row],[QTY]]="",NOTA[[#This Row],[HARGA SATUAN]]="",),"",NOTA[[#This Row],[QTY]]*NOTA[[#This Row],[HARGA SATUAN]])</f>
        <v/>
      </c>
      <c r="AI449" s="39" t="str">
        <f ca="1">IF(NOTA[ID_H]="","",INDEX(NOTA[TANGGAL],MATCH(,INDIRECT(ADDRESS(ROW(NOTA[TANGGAL]),COLUMN(NOTA[TANGGAL]))&amp;":"&amp;ADDRESS(ROW(),COLUMN(NOTA[TANGGAL]))),-1)))</f>
        <v/>
      </c>
      <c r="AJ449" s="41" t="str">
        <f ca="1">IF(NOTA[[#This Row],[NAMA BARANG]]="","",INDEX(NOTA[SUPPLIER],MATCH(,INDIRECT(ADDRESS(ROW(NOTA[ID]),COLUMN(NOTA[ID]))&amp;":"&amp;ADDRESS(ROW(),COLUMN(NOTA[ID]))),-1)))</f>
        <v/>
      </c>
      <c r="AK449" s="41" t="str">
        <f ca="1">IF(NOTA[[#This Row],[ID_H]]="","",IF(NOTA[[#This Row],[FAKTUR]]="",INDIRECT(ADDRESS(ROW()-1,COLUMN())),NOTA[[#This Row],[FAKTUR]]))</f>
        <v/>
      </c>
      <c r="AL449" s="38" t="str">
        <f ca="1">IF(NOTA[[#This Row],[ID]]="","",COUNTIF(NOTA[ID_H],NOTA[[#This Row],[ID_H]]))</f>
        <v/>
      </c>
      <c r="AM449" s="38" t="str">
        <f ca="1">IF(NOTA[[#This Row],[TGL.NOTA]]="",IF(NOTA[[#This Row],[SUPPLIER_H]]="","",AM448),MONTH(NOTA[[#This Row],[TGL.NOTA]]))</f>
        <v/>
      </c>
      <c r="AN449" s="38" t="str">
        <f>LOWER(SUBSTITUTE(SUBSTITUTE(SUBSTITUTE(SUBSTITUTE(SUBSTITUTE(SUBSTITUTE(SUBSTITUTE(SUBSTITUTE(SUBSTITUTE(NOTA[NAMA BARANG]," ",),".",""),"-",""),"(",""),")",""),",",""),"/",""),"""",""),"+",""))</f>
        <v/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 t="str">
        <f>IF(NOTA[[#This Row],[CONCAT1]]="","",MATCH(NOTA[[#This Row],[CONCAT1]],[3]!db[NB NOTA_C],0))</f>
        <v/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/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9" s="38" t="str">
        <f ca="1">IF(NOTA[[#This Row],[ID_H]]="","",MATCH(NOTA[[#This Row],[NB NOTA_C_QTY]],[4]!db[NB NOTA_C_QTY+F],0))</f>
        <v/>
      </c>
      <c r="AX449" s="53" t="str">
        <f ca="1">IF(NOTA[[#This Row],[NB NOTA_C_QTY]]="","",ROW()-2)</f>
        <v/>
      </c>
    </row>
    <row r="450" spans="1:50" s="38" customFormat="1" ht="20.100000000000001" customHeight="1" x14ac:dyDescent="0.25">
      <c r="A450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4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PPW_1601_ 24-2</v>
      </c>
      <c r="C450" s="38" t="e">
        <f ca="1">IF(NOTA[[#This Row],[ID_P]]="","",MATCH(NOTA[[#This Row],[ID_P]],[1]!B_MSK[N_ID],0))</f>
        <v>#REF!</v>
      </c>
      <c r="D450" s="38">
        <f ca="1">IF(NOTA[[#This Row],[NAMA BARANG]]="","",INDEX(NOTA[ID],MATCH(,INDIRECT(ADDRESS(ROW(NOTA[ID]),COLUMN(NOTA[ID]))&amp;":"&amp;ADDRESS(ROW(),COLUMN(NOTA[ID]))),-1)))</f>
        <v>71</v>
      </c>
      <c r="E450" s="46">
        <v>45307</v>
      </c>
      <c r="F450" s="37" t="s">
        <v>367</v>
      </c>
      <c r="G450" s="37" t="s">
        <v>110</v>
      </c>
      <c r="H450" s="47" t="s">
        <v>572</v>
      </c>
      <c r="I450" s="37"/>
      <c r="J450" s="39">
        <v>45303</v>
      </c>
      <c r="K450" s="37"/>
      <c r="L450" s="37" t="s">
        <v>573</v>
      </c>
      <c r="M450" s="40"/>
      <c r="N450" s="38">
        <v>12</v>
      </c>
      <c r="O450" s="37" t="s">
        <v>111</v>
      </c>
      <c r="P450" s="41">
        <v>279000</v>
      </c>
      <c r="Q450" s="42"/>
      <c r="R450" s="48"/>
      <c r="S450" s="49">
        <v>0.2</v>
      </c>
      <c r="T450" s="44">
        <v>0.04</v>
      </c>
      <c r="U450" s="44"/>
      <c r="V450" s="50"/>
      <c r="W450" s="45"/>
      <c r="X450" s="50">
        <f>IF(NOTA[[#This Row],[HARGA/ CTN]]="",NOTA[[#This Row],[JUMLAH_H]],NOTA[[#This Row],[HARGA/ CTN]]*IF(NOTA[[#This Row],[C]]="",0,NOTA[[#This Row],[C]]))</f>
        <v>3348000</v>
      </c>
      <c r="Y450" s="50">
        <f>IF(NOTA[[#This Row],[JUMLAH]]="","",NOTA[[#This Row],[JUMLAH]]*NOTA[[#This Row],[DISC 1]])</f>
        <v>669600</v>
      </c>
      <c r="Z450" s="50">
        <f>IF(NOTA[[#This Row],[JUMLAH]]="","",(NOTA[[#This Row],[JUMLAH]]-NOTA[[#This Row],[DISC 1-]])*NOTA[[#This Row],[DISC 2]])</f>
        <v>107136</v>
      </c>
      <c r="AA450" s="50">
        <f>IF(NOTA[[#This Row],[JUMLAH]]="","",(NOTA[[#This Row],[JUMLAH]]-NOTA[[#This Row],[DISC 1-]]-NOTA[[#This Row],[DISC 2-]])*NOTA[[#This Row],[DISC 3]])</f>
        <v>0</v>
      </c>
      <c r="AB450" s="50">
        <f>IF(NOTA[[#This Row],[JUMLAH]]="","",NOTA[[#This Row],[DISC 1-]]+NOTA[[#This Row],[DISC 2-]]+NOTA[[#This Row],[DISC 3-]])</f>
        <v>776736</v>
      </c>
      <c r="AC450" s="50">
        <f>IF(NOTA[[#This Row],[JUMLAH]]="","",NOTA[[#This Row],[JUMLAH]]-NOTA[[#This Row],[DISC]])</f>
        <v>2571264</v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>
        <f>IF(NOTA[[#This Row],[NAMA BARANG]]="","",IF(NOTA[[#This Row],[JUMLAH_H]]="",NOTA[[#This Row],[HARGA/ CTN]],NOTA[[#This Row],[QTY]]*NOTA[[#This Row],[HARGA SATUAN]]/IF(ISNUMBER(NOTA[[#This Row],[C]]),NOTA[[#This Row],[C]],1)))</f>
        <v>3348000</v>
      </c>
      <c r="AH450" s="50">
        <f>IF(OR(NOTA[[#This Row],[QTY]]="",NOTA[[#This Row],[HARGA SATUAN]]="",),"",NOTA[[#This Row],[QTY]]*NOTA[[#This Row],[HARGA SATUAN]])</f>
        <v>3348000</v>
      </c>
      <c r="AI450" s="39">
        <f ca="1">IF(NOTA[ID_H]="","",INDEX(NOTA[TANGGAL],MATCH(,INDIRECT(ADDRESS(ROW(NOTA[TANGGAL]),COLUMN(NOTA[TANGGAL]))&amp;":"&amp;ADDRESS(ROW(),COLUMN(NOTA[TANGGAL]))),-1)))</f>
        <v>45307</v>
      </c>
      <c r="AJ450" s="41" t="str">
        <f ca="1">IF(NOTA[[#This Row],[NAMA BARANG]]="","",INDEX(NOTA[SUPPLIER],MATCH(,INDIRECT(ADDRESS(ROW(NOTA[ID]),COLUMN(NOTA[ID]))&amp;":"&amp;ADDRESS(ROW(),COLUMN(NOTA[ID]))),-1)))</f>
        <v>PPW</v>
      </c>
      <c r="AK450" s="41" t="str">
        <f ca="1">IF(NOTA[[#This Row],[ID_H]]="","",IF(NOTA[[#This Row],[FAKTUR]]="",INDIRECT(ADDRESS(ROW()-1,COLUMN())),NOTA[[#This Row],[FAKTUR]]))</f>
        <v>UNTANA</v>
      </c>
      <c r="AL450" s="38">
        <f ca="1">IF(NOTA[[#This Row],[ID]]="","",COUNTIF(NOTA[ID_H],NOTA[[#This Row],[ID_H]]))</f>
        <v>2</v>
      </c>
      <c r="AM450" s="38">
        <f>IF(NOTA[[#This Row],[TGL.NOTA]]="",IF(NOTA[[#This Row],[SUPPLIER_H]]="","",AM449),MONTH(NOTA[[#This Row],[TGL.NOTA]]))</f>
        <v>1</v>
      </c>
      <c r="AN450" s="38" t="str">
        <f>LOWER(SUBSTITUTE(SUBSTITUTE(SUBSTITUTE(SUBSTITUTE(SUBSTITUTE(SUBSTITUTE(SUBSTITUTE(SUBSTITUTE(SUBSTITUTE(NOTA[NAMA BARANG]," ",),".",""),"-",""),"(",""),")",""),",",""),"/",""),"""",""),"+",""))</f>
        <v>btr5</v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btr533480000.20.04</v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btr52790000.20.04</v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PPWUNTANA064/ EPW/ I/ 2445303btr5</v>
      </c>
      <c r="AR450" s="38" t="e">
        <f>IF(NOTA[[#This Row],[CONCAT4]]="","",_xlfn.IFNA(MATCH(NOTA[[#This Row],[CONCAT4]],[2]!RAW[CONCAT_H],0),FALSE))</f>
        <v>#REF!</v>
      </c>
      <c r="AS450" s="38">
        <f>IF(NOTA[[#This Row],[CONCAT1]]="","",MATCH(NOTA[[#This Row],[CONCAT1]],[3]!db[NB NOTA_C],0))</f>
        <v>505</v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>12 LSN</v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btr512lsnuntana</v>
      </c>
      <c r="AW450" s="38" t="e">
        <f ca="1">IF(NOTA[[#This Row],[ID_H]]="","",MATCH(NOTA[[#This Row],[NB NOTA_C_QTY]],[4]!db[NB NOTA_C_QTY+F],0))</f>
        <v>#REF!</v>
      </c>
      <c r="AX450" s="53">
        <f ca="1">IF(NOTA[[#This Row],[NB NOTA_C_QTY]]="","",ROW()-2)</f>
        <v>448</v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71</v>
      </c>
      <c r="E451" s="46"/>
      <c r="F451" s="37"/>
      <c r="G451" s="37"/>
      <c r="H451" s="47"/>
      <c r="I451" s="37"/>
      <c r="J451" s="39"/>
      <c r="K451" s="37"/>
      <c r="L451" s="37" t="s">
        <v>574</v>
      </c>
      <c r="M451" s="40"/>
      <c r="N451" s="38">
        <v>12</v>
      </c>
      <c r="O451" s="37" t="s">
        <v>111</v>
      </c>
      <c r="P451" s="41">
        <v>252300</v>
      </c>
      <c r="Q451" s="42"/>
      <c r="R451" s="48"/>
      <c r="S451" s="49">
        <v>0.2</v>
      </c>
      <c r="T451" s="44">
        <v>0.04</v>
      </c>
      <c r="U451" s="44"/>
      <c r="V451" s="50"/>
      <c r="W451" s="45"/>
      <c r="X451" s="50">
        <f>IF(NOTA[[#This Row],[HARGA/ CTN]]="",NOTA[[#This Row],[JUMLAH_H]],NOTA[[#This Row],[HARGA/ CTN]]*IF(NOTA[[#This Row],[C]]="",0,NOTA[[#This Row],[C]]))</f>
        <v>3027600</v>
      </c>
      <c r="Y451" s="50">
        <f>IF(NOTA[[#This Row],[JUMLAH]]="","",NOTA[[#This Row],[JUMLAH]]*NOTA[[#This Row],[DISC 1]])</f>
        <v>605520</v>
      </c>
      <c r="Z451" s="50">
        <f>IF(NOTA[[#This Row],[JUMLAH]]="","",(NOTA[[#This Row],[JUMLAH]]-NOTA[[#This Row],[DISC 1-]])*NOTA[[#This Row],[DISC 2]])</f>
        <v>96883.199999999997</v>
      </c>
      <c r="AA451" s="50">
        <f>IF(NOTA[[#This Row],[JUMLAH]]="","",(NOTA[[#This Row],[JUMLAH]]-NOTA[[#This Row],[DISC 1-]]-NOTA[[#This Row],[DISC 2-]])*NOTA[[#This Row],[DISC 3]])</f>
        <v>0</v>
      </c>
      <c r="AB451" s="50">
        <f>IF(NOTA[[#This Row],[JUMLAH]]="","",NOTA[[#This Row],[DISC 1-]]+NOTA[[#This Row],[DISC 2-]]+NOTA[[#This Row],[DISC 3-]])</f>
        <v>702403.2</v>
      </c>
      <c r="AC451" s="50">
        <f>IF(NOTA[[#This Row],[JUMLAH]]="","",NOTA[[#This Row],[JUMLAH]]-NOTA[[#This Row],[DISC]])</f>
        <v>2325196.7999999998</v>
      </c>
      <c r="AD451" s="50"/>
      <c r="AE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1479139.2</v>
      </c>
      <c r="AF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4896460.7999999998</v>
      </c>
      <c r="AG451" s="41">
        <f>IF(NOTA[[#This Row],[NAMA BARANG]]="","",IF(NOTA[[#This Row],[JUMLAH_H]]="",NOTA[[#This Row],[HARGA/ CTN]],NOTA[[#This Row],[QTY]]*NOTA[[#This Row],[HARGA SATUAN]]/IF(ISNUMBER(NOTA[[#This Row],[C]]),NOTA[[#This Row],[C]],1)))</f>
        <v>3027600</v>
      </c>
      <c r="AH451" s="50">
        <f>IF(OR(NOTA[[#This Row],[QTY]]="",NOTA[[#This Row],[HARGA SATUAN]]="",),"",NOTA[[#This Row],[QTY]]*NOTA[[#This Row],[HARGA SATUAN]])</f>
        <v>3027600</v>
      </c>
      <c r="AI451" s="39">
        <f ca="1">IF(NOTA[ID_H]="","",INDEX(NOTA[TANGGAL],MATCH(,INDIRECT(ADDRESS(ROW(NOTA[TANGGAL]),COLUMN(NOTA[TANGGAL]))&amp;":"&amp;ADDRESS(ROW(),COLUMN(NOTA[TANGGAL]))),-1)))</f>
        <v>45307</v>
      </c>
      <c r="AJ451" s="41" t="str">
        <f ca="1">IF(NOTA[[#This Row],[NAMA BARANG]]="","",INDEX(NOTA[SUPPLIER],MATCH(,INDIRECT(ADDRESS(ROW(NOTA[ID]),COLUMN(NOTA[ID]))&amp;":"&amp;ADDRESS(ROW(),COLUMN(NOTA[ID]))),-1)))</f>
        <v>PPW</v>
      </c>
      <c r="AK451" s="41" t="str">
        <f ca="1">IF(NOTA[[#This Row],[ID_H]]="","",IF(NOTA[[#This Row],[FAKTUR]]="",INDIRECT(ADDRESS(ROW()-1,COLUMN())),NOTA[[#This Row],[FAKTUR]]))</f>
        <v>UNTANA</v>
      </c>
      <c r="AL451" s="38" t="str">
        <f ca="1">IF(NOTA[[#This Row],[ID]]="","",COUNTIF(NOTA[ID_H],NOTA[[#This Row],[ID_H]]))</f>
        <v/>
      </c>
      <c r="AM451" s="38">
        <f ca="1">IF(NOTA[[#This Row],[TGL.NOTA]]="",IF(NOTA[[#This Row],[SUPPLIER_H]]="","",AM450),MONTH(NOTA[[#This Row],[TGL.NOTA]]))</f>
        <v>1</v>
      </c>
      <c r="AN451" s="38" t="str">
        <f>LOWER(SUBSTITUTE(SUBSTITUTE(SUBSTITUTE(SUBSTITUTE(SUBSTITUTE(SUBSTITUTE(SUBSTITUTE(SUBSTITUTE(SUBSTITUTE(NOTA[NAMA BARANG]," ",),".",""),"-",""),"(",""),")",""),",",""),"/",""),"""",""),"+",""))</f>
        <v>btr3</v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btr330276000.20.04</v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btr32523000.20.04</v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>
        <f>IF(NOTA[[#This Row],[CONCAT1]]="","",MATCH(NOTA[[#This Row],[CONCAT1]],[3]!db[NB NOTA_C],0))</f>
        <v>504</v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>12 LSN</v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btr312lsnuntana</v>
      </c>
      <c r="AW451" s="38" t="e">
        <f ca="1">IF(NOTA[[#This Row],[ID_H]]="","",MATCH(NOTA[[#This Row],[NB NOTA_C_QTY]],[4]!db[NB NOTA_C_QTY+F],0))</f>
        <v>#REF!</v>
      </c>
      <c r="AX451" s="53">
        <f ca="1">IF(NOTA[[#This Row],[NB NOTA_C_QTY]]="","",ROW()-2)</f>
        <v>449</v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F452" s="37"/>
      <c r="G452" s="37"/>
      <c r="H452" s="47"/>
      <c r="I452" s="37"/>
      <c r="J452" s="39"/>
      <c r="K452" s="37"/>
      <c r="L452" s="37"/>
      <c r="M452" s="40"/>
      <c r="O452" s="37"/>
      <c r="P452" s="41"/>
      <c r="Q452" s="42"/>
      <c r="R452" s="48"/>
      <c r="S452" s="49"/>
      <c r="T452" s="44"/>
      <c r="U452" s="44"/>
      <c r="V452" s="50"/>
      <c r="W452" s="45"/>
      <c r="X452" s="50" t="str">
        <f>IF(NOTA[[#This Row],[HARGA/ CTN]]="",NOTA[[#This Row],[JUMLAH_H]],NOTA[[#This Row],[HARGA/ CTN]]*IF(NOTA[[#This Row],[C]]="",0,NOTA[[#This Row],[C]]))</f>
        <v/>
      </c>
      <c r="Y452" s="50" t="str">
        <f>IF(NOTA[[#This Row],[JUMLAH]]="","",NOTA[[#This Row],[JUMLAH]]*NOTA[[#This Row],[DISC 1]])</f>
        <v/>
      </c>
      <c r="Z452" s="50" t="str">
        <f>IF(NOTA[[#This Row],[JUMLAH]]="","",(NOTA[[#This Row],[JUMLAH]]-NOTA[[#This Row],[DISC 1-]])*NOTA[[#This Row],[DISC 2]])</f>
        <v/>
      </c>
      <c r="AA452" s="50" t="str">
        <f>IF(NOTA[[#This Row],[JUMLAH]]="","",(NOTA[[#This Row],[JUMLAH]]-NOTA[[#This Row],[DISC 1-]]-NOTA[[#This Row],[DISC 2-]])*NOTA[[#This Row],[DISC 3]])</f>
        <v/>
      </c>
      <c r="AB452" s="50" t="str">
        <f>IF(NOTA[[#This Row],[JUMLAH]]="","",NOTA[[#This Row],[DISC 1-]]+NOTA[[#This Row],[DISC 2-]]+NOTA[[#This Row],[DISC 3-]])</f>
        <v/>
      </c>
      <c r="AC452" s="50" t="str">
        <f>IF(NOTA[[#This Row],[JUMLAH]]="","",NOTA[[#This Row],[JUMLAH]]-NOTA[[#This Row],[DISC]])</f>
        <v/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2" s="50" t="str">
        <f>IF(OR(NOTA[[#This Row],[QTY]]="",NOTA[[#This Row],[HARGA SATUAN]]="",),"",NOTA[[#This Row],[QTY]]*NOTA[[#This Row],[HARGA SATUAN]])</f>
        <v/>
      </c>
      <c r="AI452" s="39" t="str">
        <f ca="1">IF(NOTA[ID_H]="","",INDEX(NOTA[TANGGAL],MATCH(,INDIRECT(ADDRESS(ROW(NOTA[TANGGAL]),COLUMN(NOTA[TANGGAL]))&amp;":"&amp;ADDRESS(ROW(),COLUMN(NOTA[TANGGAL]))),-1)))</f>
        <v/>
      </c>
      <c r="AJ452" s="41" t="str">
        <f ca="1">IF(NOTA[[#This Row],[NAMA BARANG]]="","",INDEX(NOTA[SUPPLIER],MATCH(,INDIRECT(ADDRESS(ROW(NOTA[ID]),COLUMN(NOTA[ID]))&amp;":"&amp;ADDRESS(ROW(),COLUMN(NOTA[ID]))),-1)))</f>
        <v/>
      </c>
      <c r="AK452" s="41" t="str">
        <f ca="1">IF(NOTA[[#This Row],[ID_H]]="","",IF(NOTA[[#This Row],[FAKTUR]]="",INDIRECT(ADDRESS(ROW()-1,COLUMN())),NOTA[[#This Row],[FAKTUR]]))</f>
        <v/>
      </c>
      <c r="AL452" s="38" t="str">
        <f ca="1">IF(NOTA[[#This Row],[ID]]="","",COUNTIF(NOTA[ID_H],NOTA[[#This Row],[ID_H]]))</f>
        <v/>
      </c>
      <c r="AM452" s="38" t="str">
        <f ca="1">IF(NOTA[[#This Row],[TGL.NOTA]]="",IF(NOTA[[#This Row],[SUPPLIER_H]]="","",AM451),MONTH(NOTA[[#This Row],[TGL.NOTA]]))</f>
        <v/>
      </c>
      <c r="AN452" s="38" t="str">
        <f>LOWER(SUBSTITUTE(SUBSTITUTE(SUBSTITUTE(SUBSTITUTE(SUBSTITUTE(SUBSTITUTE(SUBSTITUTE(SUBSTITUTE(SUBSTITUTE(NOTA[NAMA BARANG]," ",),".",""),"-",""),"(",""),")",""),",",""),"/",""),"""",""),"+",""))</f>
        <v/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 t="str">
        <f>IF(NOTA[[#This Row],[CONCAT1]]="","",MATCH(NOTA[[#This Row],[CONCAT1]],[3]!db[NB NOTA_C],0))</f>
        <v/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/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2" s="38" t="str">
        <f ca="1">IF(NOTA[[#This Row],[ID_H]]="","",MATCH(NOTA[[#This Row],[NB NOTA_C_QTY]],[4]!db[NB NOTA_C_QTY+F],0))</f>
        <v/>
      </c>
      <c r="AX452" s="53" t="str">
        <f ca="1">IF(NOTA[[#This Row],[NB NOTA_C_QTY]]="","",ROW()-2)</f>
        <v/>
      </c>
    </row>
    <row r="453" spans="1:50" s="38" customFormat="1" ht="20.100000000000001" customHeight="1" x14ac:dyDescent="0.25">
      <c r="A453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4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DBS_1601_224-12</v>
      </c>
      <c r="C453" s="38" t="e">
        <f ca="1">IF(NOTA[[#This Row],[ID_P]]="","",MATCH(NOTA[[#This Row],[ID_P]],[1]!B_MSK[N_ID],0))</f>
        <v>#REF!</v>
      </c>
      <c r="D453" s="38">
        <f ca="1">IF(NOTA[[#This Row],[NAMA BARANG]]="","",INDEX(NOTA[ID],MATCH(,INDIRECT(ADDRESS(ROW(NOTA[ID]),COLUMN(NOTA[ID]))&amp;":"&amp;ADDRESS(ROW(),COLUMN(NOTA[ID]))),-1)))</f>
        <v>72</v>
      </c>
      <c r="E453" s="46">
        <v>45307</v>
      </c>
      <c r="F453" s="37" t="s">
        <v>112</v>
      </c>
      <c r="G453" s="37" t="s">
        <v>110</v>
      </c>
      <c r="H453" s="47" t="s">
        <v>575</v>
      </c>
      <c r="I453" s="37"/>
      <c r="J453" s="39">
        <v>45304</v>
      </c>
      <c r="K453" s="37">
        <v>0</v>
      </c>
      <c r="L453" s="37" t="s">
        <v>577</v>
      </c>
      <c r="M453" s="40">
        <v>1</v>
      </c>
      <c r="N453" s="38">
        <v>96</v>
      </c>
      <c r="O453" s="37" t="s">
        <v>115</v>
      </c>
      <c r="P453" s="41">
        <v>24500</v>
      </c>
      <c r="Q453" s="42"/>
      <c r="R453" s="48" t="s">
        <v>449</v>
      </c>
      <c r="S453" s="49"/>
      <c r="T453" s="44"/>
      <c r="U453" s="44"/>
      <c r="V453" s="50"/>
      <c r="W453" s="45"/>
      <c r="X453" s="50">
        <f>IF(NOTA[[#This Row],[HARGA/ CTN]]="",NOTA[[#This Row],[JUMLAH_H]],NOTA[[#This Row],[HARGA/ CTN]]*IF(NOTA[[#This Row],[C]]="",0,NOTA[[#This Row],[C]]))</f>
        <v>2352000</v>
      </c>
      <c r="Y453" s="50">
        <f>IF(NOTA[[#This Row],[JUMLAH]]="","",NOTA[[#This Row],[JUMLAH]]*NOTA[[#This Row],[DISC 1]])</f>
        <v>0</v>
      </c>
      <c r="Z453" s="50">
        <f>IF(NOTA[[#This Row],[JUMLAH]]="","",(NOTA[[#This Row],[JUMLAH]]-NOTA[[#This Row],[DISC 1-]])*NOTA[[#This Row],[DISC 2]])</f>
        <v>0</v>
      </c>
      <c r="AA453" s="50">
        <f>IF(NOTA[[#This Row],[JUMLAH]]="","",(NOTA[[#This Row],[JUMLAH]]-NOTA[[#This Row],[DISC 1-]]-NOTA[[#This Row],[DISC 2-]])*NOTA[[#This Row],[DISC 3]])</f>
        <v>0</v>
      </c>
      <c r="AB453" s="50">
        <f>IF(NOTA[[#This Row],[JUMLAH]]="","",NOTA[[#This Row],[DISC 1-]]+NOTA[[#This Row],[DISC 2-]]+NOTA[[#This Row],[DISC 3-]])</f>
        <v>0</v>
      </c>
      <c r="AC453" s="50">
        <f>IF(NOTA[[#This Row],[JUMLAH]]="","",NOTA[[#This Row],[JUMLAH]]-NOTA[[#This Row],[DISC]])</f>
        <v>2352000</v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453" s="50">
        <f>IF(OR(NOTA[[#This Row],[QTY]]="",NOTA[[#This Row],[HARGA SATUAN]]="",),"",NOTA[[#This Row],[QTY]]*NOTA[[#This Row],[HARGA SATUAN]])</f>
        <v>2352000</v>
      </c>
      <c r="AI453" s="39">
        <f ca="1">IF(NOTA[ID_H]="","",INDEX(NOTA[TANGGAL],MATCH(,INDIRECT(ADDRESS(ROW(NOTA[TANGGAL]),COLUMN(NOTA[TANGGAL]))&amp;":"&amp;ADDRESS(ROW(),COLUMN(NOTA[TANGGAL]))),-1)))</f>
        <v>45307</v>
      </c>
      <c r="AJ453" s="41" t="str">
        <f ca="1">IF(NOTA[[#This Row],[NAMA BARANG]]="","",INDEX(NOTA[SUPPLIER],MATCH(,INDIRECT(ADDRESS(ROW(NOTA[ID]),COLUMN(NOTA[ID]))&amp;":"&amp;ADDRESS(ROW(),COLUMN(NOTA[ID]))),-1)))</f>
        <v>DB STATIONERY</v>
      </c>
      <c r="AK453" s="41" t="str">
        <f ca="1">IF(NOTA[[#This Row],[ID_H]]="","",IF(NOTA[[#This Row],[FAKTUR]]="",INDIRECT(ADDRESS(ROW()-1,COLUMN())),NOTA[[#This Row],[FAKTUR]]))</f>
        <v>UNTANA</v>
      </c>
      <c r="AL453" s="38">
        <f ca="1">IF(NOTA[[#This Row],[ID]]="","",COUNTIF(NOTA[ID_H],NOTA[[#This Row],[ID_H]]))</f>
        <v>12</v>
      </c>
      <c r="AM453" s="38">
        <f>IF(NOTA[[#This Row],[TGL.NOTA]]="",IF(NOTA[[#This Row],[SUPPLIER_H]]="","",AM452),MONTH(NOTA[[#This Row],[TGL.NOTA]]))</f>
        <v>1</v>
      </c>
      <c r="AN453" s="38" t="str">
        <f>LOWER(SUBSTITUTE(SUBSTITUTE(SUBSTITUTE(SUBSTITUTE(SUBSTITUTE(SUBSTITUTE(SUBSTITUTE(SUBSTITUTE(SUBSTITUTE(NOTA[NAMA BARANG]," ",),".",""),"-",""),"(",""),")",""),",",""),"/",""),"""",""),"+",""))</f>
        <v>tpmagnetxlgb3528301</v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tpmagnetxlgb35283012352000</v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tpmagnetxlgb35283012352000</v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STATIONERYUNTANAJUA302/2445304tpmagnetxlgb3528301</v>
      </c>
      <c r="AR453" s="38" t="e">
        <f>IF(NOTA[[#This Row],[CONCAT4]]="","",_xlfn.IFNA(MATCH(NOTA[[#This Row],[CONCAT4]],[2]!RAW[CONCAT_H],0),FALSE))</f>
        <v>#REF!</v>
      </c>
      <c r="AS453" s="38" t="e">
        <f>IF(NOTA[[#This Row],[CONCAT1]]="","",MATCH(NOTA[[#This Row],[CONCAT1]],[3]!db[NB NOTA_C],0))</f>
        <v>#N/A</v>
      </c>
      <c r="AT453" s="38" t="b">
        <f>IF(NOTA[[#This Row],[QTY/ CTN]]="","",TRUE)</f>
        <v>1</v>
      </c>
      <c r="AU453" s="38" t="str">
        <f ca="1">IF(NOTA[[#This Row],[ID_H]]="","",IF(NOTA[[#This Row],[Column3]]=TRUE,NOTA[[#This Row],[QTY/ CTN]],INDEX([3]!db[QTY/ CTN],NOTA[[#This Row],[//DB]])))</f>
        <v>96 PCS</v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tpmagnetxlgb352830196pcsuntana</v>
      </c>
      <c r="AW453" s="38" t="e">
        <f ca="1">IF(NOTA[[#This Row],[ID_H]]="","",MATCH(NOTA[[#This Row],[NB NOTA_C_QTY]],[4]!db[NB NOTA_C_QTY+F],0))</f>
        <v>#REF!</v>
      </c>
      <c r="AX453" s="53">
        <f ca="1">IF(NOTA[[#This Row],[NB NOTA_C_QTY]]="","",ROW()-2)</f>
        <v>451</v>
      </c>
    </row>
    <row r="454" spans="1:50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>
        <f ca="1">IF(NOTA[[#This Row],[NAMA BARANG]]="","",INDEX(NOTA[ID],MATCH(,INDIRECT(ADDRESS(ROW(NOTA[ID]),COLUMN(NOTA[ID]))&amp;":"&amp;ADDRESS(ROW(),COLUMN(NOTA[ID]))),-1)))</f>
        <v>72</v>
      </c>
      <c r="E454" s="46"/>
      <c r="F454" s="37"/>
      <c r="G454" s="37"/>
      <c r="H454" s="47"/>
      <c r="I454" s="37"/>
      <c r="J454" s="39"/>
      <c r="K454" s="37">
        <v>0</v>
      </c>
      <c r="L454" s="37" t="s">
        <v>578</v>
      </c>
      <c r="M454" s="40">
        <v>1</v>
      </c>
      <c r="N454" s="38">
        <v>96</v>
      </c>
      <c r="O454" s="37" t="s">
        <v>115</v>
      </c>
      <c r="P454" s="41">
        <v>23500</v>
      </c>
      <c r="Q454" s="42"/>
      <c r="R454" s="48" t="s">
        <v>449</v>
      </c>
      <c r="S454" s="49"/>
      <c r="T454" s="44"/>
      <c r="U454" s="44"/>
      <c r="V454" s="50"/>
      <c r="W454" s="45"/>
      <c r="X454" s="50">
        <f>IF(NOTA[[#This Row],[HARGA/ CTN]]="",NOTA[[#This Row],[JUMLAH_H]],NOTA[[#This Row],[HARGA/ CTN]]*IF(NOTA[[#This Row],[C]]="",0,NOTA[[#This Row],[C]]))</f>
        <v>2256000</v>
      </c>
      <c r="Y454" s="50">
        <f>IF(NOTA[[#This Row],[JUMLAH]]="","",NOTA[[#This Row],[JUMLAH]]*NOTA[[#This Row],[DISC 1]])</f>
        <v>0</v>
      </c>
      <c r="Z454" s="50">
        <f>IF(NOTA[[#This Row],[JUMLAH]]="","",(NOTA[[#This Row],[JUMLAH]]-NOTA[[#This Row],[DISC 1-]])*NOTA[[#This Row],[DISC 2]])</f>
        <v>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0</v>
      </c>
      <c r="AC454" s="50">
        <f>IF(NOTA[[#This Row],[JUMLAH]]="","",NOTA[[#This Row],[JUMLAH]]-NOTA[[#This Row],[DISC]])</f>
        <v>2256000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454" s="50">
        <f>IF(OR(NOTA[[#This Row],[QTY]]="",NOTA[[#This Row],[HARGA SATUAN]]="",),"",NOTA[[#This Row],[QTY]]*NOTA[[#This Row],[HARGA SATUAN]])</f>
        <v>2256000</v>
      </c>
      <c r="AI454" s="39">
        <f ca="1">IF(NOTA[ID_H]="","",INDEX(NOTA[TANGGAL],MATCH(,INDIRECT(ADDRESS(ROW(NOTA[TANGGAL]),COLUMN(NOTA[TANGGAL]))&amp;":"&amp;ADDRESS(ROW(),COLUMN(NOTA[TANGGAL]))),-1)))</f>
        <v>45307</v>
      </c>
      <c r="AJ454" s="41" t="str">
        <f ca="1">IF(NOTA[[#This Row],[NAMA BARANG]]="","",INDEX(NOTA[SUPPLIER],MATCH(,INDIRECT(ADDRESS(ROW(NOTA[ID]),COLUMN(NOTA[ID]))&amp;":"&amp;ADDRESS(ROW(),COLUMN(NOTA[ID]))),-1)))</f>
        <v>DB STATIONERY</v>
      </c>
      <c r="AK454" s="41" t="str">
        <f ca="1">IF(NOTA[[#This Row],[ID_H]]="","",IF(NOTA[[#This Row],[FAKTUR]]="",INDIRECT(ADDRESS(ROW()-1,COLUMN())),NOTA[[#This Row],[FAKTUR]]))</f>
        <v>UNTANA</v>
      </c>
      <c r="AL454" s="38" t="str">
        <f ca="1">IF(NOTA[[#This Row],[ID]]="","",COUNTIF(NOTA[ID_H],NOTA[[#This Row],[ID_H]]))</f>
        <v/>
      </c>
      <c r="AM454" s="38">
        <f ca="1">IF(NOTA[[#This Row],[TGL.NOTA]]="",IF(NOTA[[#This Row],[SUPPLIER_H]]="","",AM453),MONTH(NOTA[[#This Row],[TGL.NOTA]]))</f>
        <v>1</v>
      </c>
      <c r="AN454" s="38" t="str">
        <f>LOWER(SUBSTITUTE(SUBSTITUTE(SUBSTITUTE(SUBSTITUTE(SUBSTITUTE(SUBSTITUTE(SUBSTITUTE(SUBSTITUTE(SUBSTITUTE(NOTA[NAMA BARANG]," ",),".",""),"-",""),"(",""),")",""),",",""),"/",""),"""",""),"+",""))</f>
        <v>tpmagnetxlgb35302</v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tpmagnetxlgb353022256000</v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tpmagnetxlgb353022256000</v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 t="e">
        <f>IF(NOTA[[#This Row],[CONCAT1]]="","",MATCH(NOTA[[#This Row],[CONCAT1]],[3]!db[NB NOTA_C],0))</f>
        <v>#N/A</v>
      </c>
      <c r="AT454" s="38" t="b">
        <f>IF(NOTA[[#This Row],[QTY/ CTN]]="","",TRUE)</f>
        <v>1</v>
      </c>
      <c r="AU454" s="38" t="str">
        <f ca="1">IF(NOTA[[#This Row],[ID_H]]="","",IF(NOTA[[#This Row],[Column3]]=TRUE,NOTA[[#This Row],[QTY/ CTN]],INDEX([3]!db[QTY/ CTN],NOTA[[#This Row],[//DB]])))</f>
        <v>96 PCS</v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tpmagnetxlgb3530296pcsuntana</v>
      </c>
      <c r="AW454" s="38" t="e">
        <f ca="1">IF(NOTA[[#This Row],[ID_H]]="","",MATCH(NOTA[[#This Row],[NB NOTA_C_QTY]],[4]!db[NB NOTA_C_QTY+F],0))</f>
        <v>#REF!</v>
      </c>
      <c r="AX454" s="53">
        <f ca="1">IF(NOTA[[#This Row],[NB NOTA_C_QTY]]="","",ROW()-2)</f>
        <v>452</v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72</v>
      </c>
      <c r="E455" s="46"/>
      <c r="F455" s="37"/>
      <c r="G455" s="37"/>
      <c r="H455" s="47"/>
      <c r="I455" s="37"/>
      <c r="J455" s="39"/>
      <c r="K455" s="37">
        <v>0</v>
      </c>
      <c r="L455" s="37" t="s">
        <v>579</v>
      </c>
      <c r="M455" s="40">
        <v>1</v>
      </c>
      <c r="N455" s="38">
        <v>96</v>
      </c>
      <c r="O455" s="37" t="s">
        <v>115</v>
      </c>
      <c r="P455" s="41">
        <v>29000</v>
      </c>
      <c r="Q455" s="42"/>
      <c r="R455" s="48" t="s">
        <v>576</v>
      </c>
      <c r="S455" s="49"/>
      <c r="T455" s="44"/>
      <c r="U455" s="44"/>
      <c r="V455" s="50"/>
      <c r="W455" s="45"/>
      <c r="X455" s="50">
        <f>IF(NOTA[[#This Row],[HARGA/ CTN]]="",NOTA[[#This Row],[JUMLAH_H]],NOTA[[#This Row],[HARGA/ CTN]]*IF(NOTA[[#This Row],[C]]="",0,NOTA[[#This Row],[C]]))</f>
        <v>2784000</v>
      </c>
      <c r="Y455" s="50">
        <f>IF(NOTA[[#This Row],[JUMLAH]]="","",NOTA[[#This Row],[JUMLAH]]*NOTA[[#This Row],[DISC 1]])</f>
        <v>0</v>
      </c>
      <c r="Z455" s="50">
        <f>IF(NOTA[[#This Row],[JUMLAH]]="","",(NOTA[[#This Row],[JUMLAH]]-NOTA[[#This Row],[DISC 1-]])*NOTA[[#This Row],[DISC 2]])</f>
        <v>0</v>
      </c>
      <c r="AA455" s="50">
        <f>IF(NOTA[[#This Row],[JUMLAH]]="","",(NOTA[[#This Row],[JUMLAH]]-NOTA[[#This Row],[DISC 1-]]-NOTA[[#This Row],[DISC 2-]])*NOTA[[#This Row],[DISC 3]])</f>
        <v>0</v>
      </c>
      <c r="AB455" s="50">
        <f>IF(NOTA[[#This Row],[JUMLAH]]="","",NOTA[[#This Row],[DISC 1-]]+NOTA[[#This Row],[DISC 2-]]+NOTA[[#This Row],[DISC 3-]])</f>
        <v>0</v>
      </c>
      <c r="AC455" s="50">
        <f>IF(NOTA[[#This Row],[JUMLAH]]="","",NOTA[[#This Row],[JUMLAH]]-NOTA[[#This Row],[DISC]])</f>
        <v>2784000</v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55" s="50">
        <f>IF(OR(NOTA[[#This Row],[QTY]]="",NOTA[[#This Row],[HARGA SATUAN]]="",),"",NOTA[[#This Row],[QTY]]*NOTA[[#This Row],[HARGA SATUAN]])</f>
        <v>2784000</v>
      </c>
      <c r="AI455" s="39">
        <f ca="1">IF(NOTA[ID_H]="","",INDEX(NOTA[TANGGAL],MATCH(,INDIRECT(ADDRESS(ROW(NOTA[TANGGAL]),COLUMN(NOTA[TANGGAL]))&amp;":"&amp;ADDRESS(ROW(),COLUMN(NOTA[TANGGAL]))),-1)))</f>
        <v>45307</v>
      </c>
      <c r="AJ455" s="41" t="str">
        <f ca="1">IF(NOTA[[#This Row],[NAMA BARANG]]="","",INDEX(NOTA[SUPPLIER],MATCH(,INDIRECT(ADDRESS(ROW(NOTA[ID]),COLUMN(NOTA[ID]))&amp;":"&amp;ADDRESS(ROW(),COLUMN(NOTA[ID]))),-1)))</f>
        <v>DB STATIONERY</v>
      </c>
      <c r="AK455" s="41" t="str">
        <f ca="1">IF(NOTA[[#This Row],[ID_H]]="","",IF(NOTA[[#This Row],[FAKTUR]]="",INDIRECT(ADDRESS(ROW()-1,COLUMN())),NOTA[[#This Row],[FAKTUR]]))</f>
        <v>UNTANA</v>
      </c>
      <c r="AL455" s="38" t="str">
        <f ca="1">IF(NOTA[[#This Row],[ID]]="","",COUNTIF(NOTA[ID_H],NOTA[[#This Row],[ID_H]]))</f>
        <v/>
      </c>
      <c r="AM455" s="38">
        <f ca="1">IF(NOTA[[#This Row],[TGL.NOTA]]="",IF(NOTA[[#This Row],[SUPPLIER_H]]="","",AM454),MONTH(NOTA[[#This Row],[TGL.NOTA]]))</f>
        <v>1</v>
      </c>
      <c r="AN455" s="38" t="str">
        <f>LOWER(SUBSTITUTE(SUBSTITUTE(SUBSTITUTE(SUBSTITUTE(SUBSTITUTE(SUBSTITUTE(SUBSTITUTE(SUBSTITUTE(SUBSTITUTE(NOTA[NAMA BARANG]," ",),".",""),"-",""),"(",""),")",""),",",""),"/",""),"""",""),"+",""))</f>
        <v>tppuxlg38138f</v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tppuxlg38138f2784000</v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tppuxlg38138f2784000</v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 t="e">
        <f>IF(NOTA[[#This Row],[CONCAT1]]="","",MATCH(NOTA[[#This Row],[CONCAT1]],[3]!db[NB NOTA_C],0))</f>
        <v>#N/A</v>
      </c>
      <c r="AT455" s="38" t="b">
        <f>IF(NOTA[[#This Row],[QTY/ CTN]]="","",TRUE)</f>
        <v>1</v>
      </c>
      <c r="AU455" s="38" t="str">
        <f ca="1">IF(NOTA[[#This Row],[ID_H]]="","",IF(NOTA[[#This Row],[Column3]]=TRUE,NOTA[[#This Row],[QTY/ CTN]],INDEX([3]!db[QTY/ CTN],NOTA[[#This Row],[//DB]])))</f>
        <v>96 P CS</v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tppuxlg38138f96pcsuntana</v>
      </c>
      <c r="AW455" s="38" t="e">
        <f ca="1">IF(NOTA[[#This Row],[ID_H]]="","",MATCH(NOTA[[#This Row],[NB NOTA_C_QTY]],[4]!db[NB NOTA_C_QTY+F],0))</f>
        <v>#REF!</v>
      </c>
      <c r="AX455" s="53">
        <f ca="1">IF(NOTA[[#This Row],[NB NOTA_C_QTY]]="","",ROW()-2)</f>
        <v>453</v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72</v>
      </c>
      <c r="E456" s="46"/>
      <c r="F456" s="37"/>
      <c r="G456" s="37"/>
      <c r="H456" s="47"/>
      <c r="I456" s="37"/>
      <c r="J456" s="39"/>
      <c r="K456" s="37">
        <v>0</v>
      </c>
      <c r="L456" s="37" t="s">
        <v>580</v>
      </c>
      <c r="M456" s="40">
        <v>1</v>
      </c>
      <c r="N456" s="38">
        <v>96</v>
      </c>
      <c r="O456" s="37" t="s">
        <v>115</v>
      </c>
      <c r="P456" s="41">
        <v>29000</v>
      </c>
      <c r="Q456" s="42"/>
      <c r="R456" s="48" t="s">
        <v>449</v>
      </c>
      <c r="S456" s="49"/>
      <c r="T456" s="44"/>
      <c r="U456" s="44"/>
      <c r="V456" s="50"/>
      <c r="W456" s="45"/>
      <c r="X456" s="50">
        <f>IF(NOTA[[#This Row],[HARGA/ CTN]]="",NOTA[[#This Row],[JUMLAH_H]],NOTA[[#This Row],[HARGA/ CTN]]*IF(NOTA[[#This Row],[C]]="",0,NOTA[[#This Row],[C]]))</f>
        <v>2784000</v>
      </c>
      <c r="Y456" s="50">
        <f>IF(NOTA[[#This Row],[JUMLAH]]="","",NOTA[[#This Row],[JUMLAH]]*NOTA[[#This Row],[DISC 1]])</f>
        <v>0</v>
      </c>
      <c r="Z456" s="50">
        <f>IF(NOTA[[#This Row],[JUMLAH]]="","",(NOTA[[#This Row],[JUMLAH]]-NOTA[[#This Row],[DISC 1-]])*NOTA[[#This Row],[DISC 2]])</f>
        <v>0</v>
      </c>
      <c r="AA456" s="50">
        <f>IF(NOTA[[#This Row],[JUMLAH]]="","",(NOTA[[#This Row],[JUMLAH]]-NOTA[[#This Row],[DISC 1-]]-NOTA[[#This Row],[DISC 2-]])*NOTA[[#This Row],[DISC 3]])</f>
        <v>0</v>
      </c>
      <c r="AB456" s="50">
        <f>IF(NOTA[[#This Row],[JUMLAH]]="","",NOTA[[#This Row],[DISC 1-]]+NOTA[[#This Row],[DISC 2-]]+NOTA[[#This Row],[DISC 3-]])</f>
        <v>0</v>
      </c>
      <c r="AC456" s="50">
        <f>IF(NOTA[[#This Row],[JUMLAH]]="","",NOTA[[#This Row],[JUMLAH]]-NOTA[[#This Row],[DISC]])</f>
        <v>2784000</v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56" s="50">
        <f>IF(OR(NOTA[[#This Row],[QTY]]="",NOTA[[#This Row],[HARGA SATUAN]]="",),"",NOTA[[#This Row],[QTY]]*NOTA[[#This Row],[HARGA SATUAN]])</f>
        <v>2784000</v>
      </c>
      <c r="AI456" s="39">
        <f ca="1">IF(NOTA[ID_H]="","",INDEX(NOTA[TANGGAL],MATCH(,INDIRECT(ADDRESS(ROW(NOTA[TANGGAL]),COLUMN(NOTA[TANGGAL]))&amp;":"&amp;ADDRESS(ROW(),COLUMN(NOTA[TANGGAL]))),-1)))</f>
        <v>45307</v>
      </c>
      <c r="AJ456" s="41" t="str">
        <f ca="1">IF(NOTA[[#This Row],[NAMA BARANG]]="","",INDEX(NOTA[SUPPLIER],MATCH(,INDIRECT(ADDRESS(ROW(NOTA[ID]),COLUMN(NOTA[ID]))&amp;":"&amp;ADDRESS(ROW(),COLUMN(NOTA[ID]))),-1)))</f>
        <v>DB STATIONERY</v>
      </c>
      <c r="AK456" s="41" t="str">
        <f ca="1">IF(NOTA[[#This Row],[ID_H]]="","",IF(NOTA[[#This Row],[FAKTUR]]="",INDIRECT(ADDRESS(ROW()-1,COLUMN())),NOTA[[#This Row],[FAKTUR]]))</f>
        <v>UNTANA</v>
      </c>
      <c r="AL456" s="38" t="str">
        <f ca="1">IF(NOTA[[#This Row],[ID]]="","",COUNTIF(NOTA[ID_H],NOTA[[#This Row],[ID_H]]))</f>
        <v/>
      </c>
      <c r="AM456" s="38">
        <f ca="1">IF(NOTA[[#This Row],[TGL.NOTA]]="",IF(NOTA[[#This Row],[SUPPLIER_H]]="","",AM455),MONTH(NOTA[[#This Row],[TGL.NOTA]]))</f>
        <v>1</v>
      </c>
      <c r="AN456" s="38" t="str">
        <f>LOWER(SUBSTITUTE(SUBSTITUTE(SUBSTITUTE(SUBSTITUTE(SUBSTITUTE(SUBSTITUTE(SUBSTITUTE(SUBSTITUTE(SUBSTITUTE(NOTA[NAMA BARANG]," ",),".",""),"-",""),"(",""),")",""),",",""),"/",""),"""",""),"+",""))</f>
        <v>tppuxlg38164c</v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tppuxlg38164c2784000</v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tppuxlg38164c2784000</v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 t="e">
        <f>IF(NOTA[[#This Row],[CONCAT1]]="","",MATCH(NOTA[[#This Row],[CONCAT1]],[3]!db[NB NOTA_C],0))</f>
        <v>#N/A</v>
      </c>
      <c r="AT456" s="38" t="b">
        <f>IF(NOTA[[#This Row],[QTY/ CTN]]="","",TRUE)</f>
        <v>1</v>
      </c>
      <c r="AU456" s="38" t="str">
        <f ca="1">IF(NOTA[[#This Row],[ID_H]]="","",IF(NOTA[[#This Row],[Column3]]=TRUE,NOTA[[#This Row],[QTY/ CTN]],INDEX([3]!db[QTY/ CTN],NOTA[[#This Row],[//DB]])))</f>
        <v>96 PCS</v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tppuxlg38164c96pcsuntana</v>
      </c>
      <c r="AW456" s="38" t="e">
        <f ca="1">IF(NOTA[[#This Row],[ID_H]]="","",MATCH(NOTA[[#This Row],[NB NOTA_C_QTY]],[4]!db[NB NOTA_C_QTY+F],0))</f>
        <v>#REF!</v>
      </c>
      <c r="AX456" s="53">
        <f ca="1">IF(NOTA[[#This Row],[NB NOTA_C_QTY]]="","",ROW()-2)</f>
        <v>454</v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72</v>
      </c>
      <c r="E457" s="46"/>
      <c r="F457" s="37"/>
      <c r="G457" s="37"/>
      <c r="H457" s="47"/>
      <c r="I457" s="37"/>
      <c r="J457" s="39"/>
      <c r="K457" s="37">
        <v>1</v>
      </c>
      <c r="L457" s="37" t="s">
        <v>581</v>
      </c>
      <c r="M457" s="40">
        <v>2</v>
      </c>
      <c r="N457" s="38">
        <v>48</v>
      </c>
      <c r="O457" s="37" t="s">
        <v>582</v>
      </c>
      <c r="P457" s="41">
        <v>86500</v>
      </c>
      <c r="Q457" s="42"/>
      <c r="R457" s="48" t="s">
        <v>583</v>
      </c>
      <c r="S457" s="49"/>
      <c r="T457" s="44"/>
      <c r="U457" s="44"/>
      <c r="V457" s="50"/>
      <c r="W457" s="45"/>
      <c r="X457" s="50">
        <f>IF(NOTA[[#This Row],[HARGA/ CTN]]="",NOTA[[#This Row],[JUMLAH_H]],NOTA[[#This Row],[HARGA/ CTN]]*IF(NOTA[[#This Row],[C]]="",0,NOTA[[#This Row],[C]]))</f>
        <v>4152000</v>
      </c>
      <c r="Y457" s="50">
        <f>IF(NOTA[[#This Row],[JUMLAH]]="","",NOTA[[#This Row],[JUMLAH]]*NOTA[[#This Row],[DISC 1]])</f>
        <v>0</v>
      </c>
      <c r="Z457" s="50">
        <f>IF(NOTA[[#This Row],[JUMLAH]]="","",(NOTA[[#This Row],[JUMLAH]]-NOTA[[#This Row],[DISC 1-]])*NOTA[[#This Row],[DISC 2]])</f>
        <v>0</v>
      </c>
      <c r="AA457" s="50">
        <f>IF(NOTA[[#This Row],[JUMLAH]]="","",(NOTA[[#This Row],[JUMLAH]]-NOTA[[#This Row],[DISC 1-]]-NOTA[[#This Row],[DISC 2-]])*NOTA[[#This Row],[DISC 3]])</f>
        <v>0</v>
      </c>
      <c r="AB457" s="50">
        <f>IF(NOTA[[#This Row],[JUMLAH]]="","",NOTA[[#This Row],[DISC 1-]]+NOTA[[#This Row],[DISC 2-]]+NOTA[[#This Row],[DISC 3-]])</f>
        <v>0</v>
      </c>
      <c r="AC457" s="50">
        <f>IF(NOTA[[#This Row],[JUMLAH]]="","",NOTA[[#This Row],[JUMLAH]]-NOTA[[#This Row],[DISC]])</f>
        <v>4152000</v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>
        <f>IF(NOTA[[#This Row],[NAMA BARANG]]="","",IF(NOTA[[#This Row],[JUMLAH_H]]="",NOTA[[#This Row],[HARGA/ CTN]],NOTA[[#This Row],[QTY]]*NOTA[[#This Row],[HARGA SATUAN]]/IF(ISNUMBER(NOTA[[#This Row],[C]]),NOTA[[#This Row],[C]],1)))</f>
        <v>2076000</v>
      </c>
      <c r="AH457" s="50">
        <f>IF(OR(NOTA[[#This Row],[QTY]]="",NOTA[[#This Row],[HARGA SATUAN]]="",),"",NOTA[[#This Row],[QTY]]*NOTA[[#This Row],[HARGA SATUAN]])</f>
        <v>4152000</v>
      </c>
      <c r="AI457" s="39">
        <f ca="1">IF(NOTA[ID_H]="","",INDEX(NOTA[TANGGAL],MATCH(,INDIRECT(ADDRESS(ROW(NOTA[TANGGAL]),COLUMN(NOTA[TANGGAL]))&amp;":"&amp;ADDRESS(ROW(),COLUMN(NOTA[TANGGAL]))),-1)))</f>
        <v>45307</v>
      </c>
      <c r="AJ457" s="41" t="str">
        <f ca="1">IF(NOTA[[#This Row],[NAMA BARANG]]="","",INDEX(NOTA[SUPPLIER],MATCH(,INDIRECT(ADDRESS(ROW(NOTA[ID]),COLUMN(NOTA[ID]))&amp;":"&amp;ADDRESS(ROW(),COLUMN(NOTA[ID]))),-1)))</f>
        <v>DB STATIONERY</v>
      </c>
      <c r="AK457" s="41" t="str">
        <f ca="1">IF(NOTA[[#This Row],[ID_H]]="","",IF(NOTA[[#This Row],[FAKTUR]]="",INDIRECT(ADDRESS(ROW()-1,COLUMN())),NOTA[[#This Row],[FAKTUR]]))</f>
        <v>UNTANA</v>
      </c>
      <c r="AL457" s="38" t="str">
        <f ca="1">IF(NOTA[[#This Row],[ID]]="","",COUNTIF(NOTA[ID_H],NOTA[[#This Row],[ID_H]]))</f>
        <v/>
      </c>
      <c r="AM457" s="38">
        <f ca="1">IF(NOTA[[#This Row],[TGL.NOTA]]="",IF(NOTA[[#This Row],[SUPPLIER_H]]="","",AM456),MONTH(NOTA[[#This Row],[TGL.NOTA]]))</f>
        <v>1</v>
      </c>
      <c r="AN457" s="38" t="str">
        <f>LOWER(SUBSTITUTE(SUBSTITUTE(SUBSTITUTE(SUBSTITUTE(SUBSTITUTE(SUBSTITUTE(SUBSTITUTE(SUBSTITUTE(SUBSTITUTE(NOTA[NAMA BARANG]," ",),".",""),"-",""),"(",""),")",""),",",""),"/",""),"""",""),"+",""))</f>
        <v>rtoplesxlg28pcsr5855</v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rtoplesxlg28pcsr58552076000</v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rtoplesxlg28pcsr58552076000</v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 t="e">
        <f>IF(NOTA[[#This Row],[CONCAT1]]="","",MATCH(NOTA[[#This Row],[CONCAT1]],[3]!db[NB NOTA_C],0))</f>
        <v>#N/A</v>
      </c>
      <c r="AT457" s="38" t="b">
        <f>IF(NOTA[[#This Row],[QTY/ CTN]]="","",TRUE)</f>
        <v>1</v>
      </c>
      <c r="AU457" s="38" t="str">
        <f ca="1">IF(NOTA[[#This Row],[ID_H]]="","",IF(NOTA[[#This Row],[Column3]]=TRUE,NOTA[[#This Row],[QTY/ CTN]],INDEX([3]!db[QTY/ CTN],NOTA[[#This Row],[//DB]])))</f>
        <v>24 TOP</v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rtoplesxlg28pcsr585524topuntana</v>
      </c>
      <c r="AW457" s="38" t="e">
        <f ca="1">IF(NOTA[[#This Row],[ID_H]]="","",MATCH(NOTA[[#This Row],[NB NOTA_C_QTY]],[4]!db[NB NOTA_C_QTY+F],0))</f>
        <v>#REF!</v>
      </c>
      <c r="AX457" s="53">
        <f ca="1">IF(NOTA[[#This Row],[NB NOTA_C_QTY]]="","",ROW()-2)</f>
        <v>455</v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72</v>
      </c>
      <c r="E458" s="46"/>
      <c r="F458" s="37"/>
      <c r="G458" s="37"/>
      <c r="H458" s="47"/>
      <c r="I458" s="37"/>
      <c r="J458" s="39"/>
      <c r="K458" s="37">
        <v>1</v>
      </c>
      <c r="L458" s="37" t="s">
        <v>584</v>
      </c>
      <c r="M458" s="40">
        <v>2</v>
      </c>
      <c r="N458" s="38">
        <v>48</v>
      </c>
      <c r="O458" s="37" t="s">
        <v>582</v>
      </c>
      <c r="P458" s="41">
        <v>92500</v>
      </c>
      <c r="Q458" s="42"/>
      <c r="R458" s="48" t="s">
        <v>583</v>
      </c>
      <c r="S458" s="49"/>
      <c r="T458" s="44"/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4440000</v>
      </c>
      <c r="Y458" s="50">
        <f>IF(NOTA[[#This Row],[JUMLAH]]="","",NOTA[[#This Row],[JUMLAH]]*NOTA[[#This Row],[DISC 1]])</f>
        <v>0</v>
      </c>
      <c r="Z458" s="50">
        <f>IF(NOTA[[#This Row],[JUMLAH]]="","",(NOTA[[#This Row],[JUMLAH]]-NOTA[[#This Row],[DISC 1-]])*NOTA[[#This Row],[DISC 2]])</f>
        <v>0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0</v>
      </c>
      <c r="AC458" s="50">
        <f>IF(NOTA[[#This Row],[JUMLAH]]="","",NOTA[[#This Row],[JUMLAH]]-NOTA[[#This Row],[DISC]])</f>
        <v>4440000</v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H458" s="50">
        <f>IF(OR(NOTA[[#This Row],[QTY]]="",NOTA[[#This Row],[HARGA SATUAN]]="",),"",NOTA[[#This Row],[QTY]]*NOTA[[#This Row],[HARGA SATUAN]])</f>
        <v>4440000</v>
      </c>
      <c r="AI458" s="39">
        <f ca="1">IF(NOTA[ID_H]="","",INDEX(NOTA[TANGGAL],MATCH(,INDIRECT(ADDRESS(ROW(NOTA[TANGGAL]),COLUMN(NOTA[TANGGAL]))&amp;":"&amp;ADDRESS(ROW(),COLUMN(NOTA[TANGGAL]))),-1)))</f>
        <v>45307</v>
      </c>
      <c r="AJ458" s="41" t="str">
        <f ca="1">IF(NOTA[[#This Row],[NAMA BARANG]]="","",INDEX(NOTA[SUPPLIER],MATCH(,INDIRECT(ADDRESS(ROW(NOTA[ID]),COLUMN(NOTA[ID]))&amp;":"&amp;ADDRESS(ROW(),COLUMN(NOTA[ID]))),-1)))</f>
        <v>DB STATIONERY</v>
      </c>
      <c r="AK458" s="41" t="str">
        <f ca="1">IF(NOTA[[#This Row],[ID_H]]="","",IF(NOTA[[#This Row],[FAKTUR]]="",INDIRECT(ADDRESS(ROW()-1,COLUMN())),NOTA[[#This Row],[FAKTUR]]))</f>
        <v>UNTANA</v>
      </c>
      <c r="AL458" s="38" t="str">
        <f ca="1">IF(NOTA[[#This Row],[ID]]="","",COUNTIF(NOTA[ID_H],NOTA[[#This Row],[ID_H]]))</f>
        <v/>
      </c>
      <c r="AM458" s="38">
        <f ca="1">IF(NOTA[[#This Row],[TGL.NOTA]]="",IF(NOTA[[#This Row],[SUPPLIER_H]]="","",AM457),MONTH(NOTA[[#This Row],[TGL.NOTA]]))</f>
        <v>1</v>
      </c>
      <c r="AN458" s="38" t="str">
        <f>LOWER(SUBSTITUTE(SUBSTITUTE(SUBSTITUTE(SUBSTITUTE(SUBSTITUTE(SUBSTITUTE(SUBSTITUTE(SUBSTITUTE(SUBSTITUTE(NOTA[NAMA BARANG]," ",),".",""),"-",""),"(",""),")",""),",",""),"/",""),"""",""),"+",""))</f>
        <v>rautantoples25pcsxlgr5861</v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rautantoples25pcsxlgr58612220000</v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rautantoples25pcsxlgr58612220000</v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 t="e">
        <f>IF(NOTA[[#This Row],[CONCAT1]]="","",MATCH(NOTA[[#This Row],[CONCAT1]],[3]!db[NB NOTA_C],0))</f>
        <v>#N/A</v>
      </c>
      <c r="AT458" s="38" t="b">
        <f>IF(NOTA[[#This Row],[QTY/ CTN]]="","",TRUE)</f>
        <v>1</v>
      </c>
      <c r="AU458" s="38" t="str">
        <f ca="1">IF(NOTA[[#This Row],[ID_H]]="","",IF(NOTA[[#This Row],[Column3]]=TRUE,NOTA[[#This Row],[QTY/ CTN]],INDEX([3]!db[QTY/ CTN],NOTA[[#This Row],[//DB]])))</f>
        <v>24 TOP</v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rautantoples25pcsxlgr586124topuntana</v>
      </c>
      <c r="AW458" s="38" t="e">
        <f ca="1">IF(NOTA[[#This Row],[ID_H]]="","",MATCH(NOTA[[#This Row],[NB NOTA_C_QTY]],[4]!db[NB NOTA_C_QTY+F],0))</f>
        <v>#REF!</v>
      </c>
      <c r="AX458" s="53">
        <f ca="1">IF(NOTA[[#This Row],[NB NOTA_C_QTY]]="","",ROW()-2)</f>
        <v>456</v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>
        <f ca="1">IF(NOTA[[#This Row],[NAMA BARANG]]="","",INDEX(NOTA[ID],MATCH(,INDIRECT(ADDRESS(ROW(NOTA[ID]),COLUMN(NOTA[ID]))&amp;":"&amp;ADDRESS(ROW(),COLUMN(NOTA[ID]))),-1)))</f>
        <v>72</v>
      </c>
      <c r="E459" s="46"/>
      <c r="F459" s="37"/>
      <c r="G459" s="37"/>
      <c r="H459" s="47"/>
      <c r="I459" s="37"/>
      <c r="J459" s="39"/>
      <c r="K459" s="37">
        <v>0</v>
      </c>
      <c r="L459" s="37" t="s">
        <v>585</v>
      </c>
      <c r="M459" s="40">
        <v>1</v>
      </c>
      <c r="N459" s="38">
        <v>30</v>
      </c>
      <c r="O459" s="37" t="s">
        <v>115</v>
      </c>
      <c r="P459" s="41"/>
      <c r="Q459" s="42"/>
      <c r="R459" s="48"/>
      <c r="S459" s="49"/>
      <c r="T459" s="44"/>
      <c r="U459" s="44"/>
      <c r="V459" s="50"/>
      <c r="W459" s="45"/>
      <c r="X459" s="50" t="str">
        <f>IF(NOTA[[#This Row],[HARGA/ CTN]]="",NOTA[[#This Row],[JUMLAH_H]],NOTA[[#This Row],[HARGA/ CTN]]*IF(NOTA[[#This Row],[C]]="",0,NOTA[[#This Row],[C]]))</f>
        <v/>
      </c>
      <c r="Y459" s="50" t="str">
        <f>IF(NOTA[[#This Row],[JUMLAH]]="","",NOTA[[#This Row],[JUMLAH]]*NOTA[[#This Row],[DISC 1]])</f>
        <v/>
      </c>
      <c r="Z459" s="50" t="str">
        <f>IF(NOTA[[#This Row],[JUMLAH]]="","",(NOTA[[#This Row],[JUMLAH]]-NOTA[[#This Row],[DISC 1-]])*NOTA[[#This Row],[DISC 2]])</f>
        <v/>
      </c>
      <c r="AA459" s="50" t="str">
        <f>IF(NOTA[[#This Row],[JUMLAH]]="","",(NOTA[[#This Row],[JUMLAH]]-NOTA[[#This Row],[DISC 1-]]-NOTA[[#This Row],[DISC 2-]])*NOTA[[#This Row],[DISC 3]])</f>
        <v/>
      </c>
      <c r="AB459" s="50" t="str">
        <f>IF(NOTA[[#This Row],[JUMLAH]]="","",NOTA[[#This Row],[DISC 1-]]+NOTA[[#This Row],[DISC 2-]]+NOTA[[#This Row],[DISC 3-]])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59" s="50" t="str">
        <f>IF(OR(NOTA[[#This Row],[QTY]]="",NOTA[[#This Row],[HARGA SATUAN]]="",),"",NOTA[[#This Row],[QTY]]*NOTA[[#This Row],[HARGA SATUAN]])</f>
        <v/>
      </c>
      <c r="AI459" s="39">
        <f ca="1">IF(NOTA[ID_H]="","",INDEX(NOTA[TANGGAL],MATCH(,INDIRECT(ADDRESS(ROW(NOTA[TANGGAL]),COLUMN(NOTA[TANGGAL]))&amp;":"&amp;ADDRESS(ROW(),COLUMN(NOTA[TANGGAL]))),-1)))</f>
        <v>45307</v>
      </c>
      <c r="AJ459" s="41" t="str">
        <f ca="1">IF(NOTA[[#This Row],[NAMA BARANG]]="","",INDEX(NOTA[SUPPLIER],MATCH(,INDIRECT(ADDRESS(ROW(NOTA[ID]),COLUMN(NOTA[ID]))&amp;":"&amp;ADDRESS(ROW(),COLUMN(NOTA[ID]))),-1)))</f>
        <v>DB STATIONERY</v>
      </c>
      <c r="AK459" s="41" t="str">
        <f ca="1">IF(NOTA[[#This Row],[ID_H]]="","",IF(NOTA[[#This Row],[FAKTUR]]="",INDIRECT(ADDRESS(ROW()-1,COLUMN())),NOTA[[#This Row],[FAKTUR]]))</f>
        <v>UNTANA</v>
      </c>
      <c r="AL459" s="38" t="str">
        <f ca="1">IF(NOTA[[#This Row],[ID]]="","",COUNTIF(NOTA[ID_H],NOTA[[#This Row],[ID_H]]))</f>
        <v/>
      </c>
      <c r="AM459" s="38">
        <f ca="1">IF(NOTA[[#This Row],[TGL.NOTA]]="",IF(NOTA[[#This Row],[SUPPLIER_H]]="","",AM458),MONTH(NOTA[[#This Row],[TGL.NOTA]]))</f>
        <v>1</v>
      </c>
      <c r="AN459" s="38" t="str">
        <f>LOWER(SUBSTITUTE(SUBSTITUTE(SUBSTITUTE(SUBSTITUTE(SUBSTITUTE(SUBSTITUTE(SUBSTITUTE(SUBSTITUTE(SUBSTITUTE(NOTA[NAMA BARANG]," ",),".",""),"-",""),"(",""),")",""),",",""),"/",""),"""",""),"+",""))</f>
        <v>rautanmejaxlgsx0078l</v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rautanmejaxlgsx0078l0</v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rautanmejaxlgsx0078l0</v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 t="e">
        <f>IF(NOTA[[#This Row],[CONCAT1]]="","",MATCH(NOTA[[#This Row],[CONCAT1]],[3]!db[NB NOTA_C],0))</f>
        <v>#N/A</v>
      </c>
      <c r="AT459" s="38" t="str">
        <f>IF(NOTA[[#This Row],[QTY/ CTN]]="","",TRUE)</f>
        <v/>
      </c>
      <c r="AU459" s="38" t="e">
        <f ca="1">IF(NOTA[[#This Row],[ID_H]]="","",IF(NOTA[[#This Row],[Column3]]=TRUE,NOTA[[#This Row],[QTY/ CTN]],INDEX([3]!db[QTY/ CTN],NOTA[[#This Row],[//DB]])))</f>
        <v>#N/A</v>
      </c>
      <c r="AV45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59" s="38" t="e">
        <f ca="1">IF(NOTA[[#This Row],[ID_H]]="","",MATCH(NOTA[[#This Row],[NB NOTA_C_QTY]],[4]!db[NB NOTA_C_QTY+F],0))</f>
        <v>#N/A</v>
      </c>
      <c r="AX459" s="53" t="e">
        <f ca="1">IF(NOTA[[#This Row],[NB NOTA_C_QTY]]="","",ROW()-2)</f>
        <v>#N/A</v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>
        <f ca="1">IF(NOTA[[#This Row],[NAMA BARANG]]="","",INDEX(NOTA[ID],MATCH(,INDIRECT(ADDRESS(ROW(NOTA[ID]),COLUMN(NOTA[ID]))&amp;":"&amp;ADDRESS(ROW(),COLUMN(NOTA[ID]))),-1)))</f>
        <v>72</v>
      </c>
      <c r="E460" s="46"/>
      <c r="F460" s="37"/>
      <c r="G460" s="37"/>
      <c r="H460" s="47"/>
      <c r="I460" s="37"/>
      <c r="J460" s="39"/>
      <c r="K460" s="37">
        <v>0</v>
      </c>
      <c r="L460" s="37" t="s">
        <v>586</v>
      </c>
      <c r="M460" s="40">
        <v>1</v>
      </c>
      <c r="N460" s="38">
        <v>80</v>
      </c>
      <c r="O460" s="37" t="s">
        <v>115</v>
      </c>
      <c r="P460" s="41">
        <v>22500</v>
      </c>
      <c r="Q460" s="42"/>
      <c r="R460" s="48" t="s">
        <v>587</v>
      </c>
      <c r="S460" s="49"/>
      <c r="T460" s="44"/>
      <c r="U460" s="44"/>
      <c r="V460" s="50"/>
      <c r="W460" s="45"/>
      <c r="X460" s="50">
        <f>IF(NOTA[[#This Row],[HARGA/ CTN]]="",NOTA[[#This Row],[JUMLAH_H]],NOTA[[#This Row],[HARGA/ CTN]]*IF(NOTA[[#This Row],[C]]="",0,NOTA[[#This Row],[C]]))</f>
        <v>1800000</v>
      </c>
      <c r="Y460" s="50">
        <f>IF(NOTA[[#This Row],[JUMLAH]]="","",NOTA[[#This Row],[JUMLAH]]*NOTA[[#This Row],[DISC 1]])</f>
        <v>0</v>
      </c>
      <c r="Z460" s="50">
        <f>IF(NOTA[[#This Row],[JUMLAH]]="","",(NOTA[[#This Row],[JUMLAH]]-NOTA[[#This Row],[DISC 1-]])*NOTA[[#This Row],[DISC 2]])</f>
        <v>0</v>
      </c>
      <c r="AA460" s="50">
        <f>IF(NOTA[[#This Row],[JUMLAH]]="","",(NOTA[[#This Row],[JUMLAH]]-NOTA[[#This Row],[DISC 1-]]-NOTA[[#This Row],[DISC 2-]])*NOTA[[#This Row],[DISC 3]])</f>
        <v>0</v>
      </c>
      <c r="AB460" s="50">
        <f>IF(NOTA[[#This Row],[JUMLAH]]="","",NOTA[[#This Row],[DISC 1-]]+NOTA[[#This Row],[DISC 2-]]+NOTA[[#This Row],[DISC 3-]])</f>
        <v>0</v>
      </c>
      <c r="AC460" s="50">
        <f>IF(NOTA[[#This Row],[JUMLAH]]="","",NOTA[[#This Row],[JUMLAH]]-NOTA[[#This Row],[DISC]])</f>
        <v>1800000</v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60" s="50">
        <f>IF(OR(NOTA[[#This Row],[QTY]]="",NOTA[[#This Row],[HARGA SATUAN]]="",),"",NOTA[[#This Row],[QTY]]*NOTA[[#This Row],[HARGA SATUAN]])</f>
        <v>1800000</v>
      </c>
      <c r="AI460" s="39">
        <f ca="1">IF(NOTA[ID_H]="","",INDEX(NOTA[TANGGAL],MATCH(,INDIRECT(ADDRESS(ROW(NOTA[TANGGAL]),COLUMN(NOTA[TANGGAL]))&amp;":"&amp;ADDRESS(ROW(),COLUMN(NOTA[TANGGAL]))),-1)))</f>
        <v>45307</v>
      </c>
      <c r="AJ460" s="41" t="str">
        <f ca="1">IF(NOTA[[#This Row],[NAMA BARANG]]="","",INDEX(NOTA[SUPPLIER],MATCH(,INDIRECT(ADDRESS(ROW(NOTA[ID]),COLUMN(NOTA[ID]))&amp;":"&amp;ADDRESS(ROW(),COLUMN(NOTA[ID]))),-1)))</f>
        <v>DB STATIONERY</v>
      </c>
      <c r="AK460" s="41" t="str">
        <f ca="1">IF(NOTA[[#This Row],[ID_H]]="","",IF(NOTA[[#This Row],[FAKTUR]]="",INDIRECT(ADDRESS(ROW()-1,COLUMN())),NOTA[[#This Row],[FAKTUR]]))</f>
        <v>UNTANA</v>
      </c>
      <c r="AL460" s="38" t="str">
        <f ca="1">IF(NOTA[[#This Row],[ID]]="","",COUNTIF(NOTA[ID_H],NOTA[[#This Row],[ID_H]]))</f>
        <v/>
      </c>
      <c r="AM460" s="38">
        <f ca="1">IF(NOTA[[#This Row],[TGL.NOTA]]="",IF(NOTA[[#This Row],[SUPPLIER_H]]="","",AM459),MONTH(NOTA[[#This Row],[TGL.NOTA]]))</f>
        <v>1</v>
      </c>
      <c r="AN460" s="38" t="str">
        <f>LOWER(SUBSTITUTE(SUBSTITUTE(SUBSTITUTE(SUBSTITUTE(SUBSTITUTE(SUBSTITUTE(SUBSTITUTE(SUBSTITUTE(SUBSTITUTE(NOTA[NAMA BARANG]," ",),".",""),"-",""),"(",""),")",""),",",""),"/",""),"""",""),"+",""))</f>
        <v>isigel10tg308ar</v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>
        <f>IF(NOTA[[#This Row],[CONCAT1]]="","",MATCH(NOTA[[#This Row],[CONCAT1]],[3]!db[NB NOTA_C],0))</f>
        <v>1425</v>
      </c>
      <c r="AT460" s="38" t="b">
        <f>IF(NOTA[[#This Row],[QTY/ CTN]]="","",TRUE)</f>
        <v>1</v>
      </c>
      <c r="AU460" s="38" t="str">
        <f ca="1">IF(NOTA[[#This Row],[ID_H]]="","",IF(NOTA[[#This Row],[Column3]]=TRUE,NOTA[[#This Row],[QTY/ CTN]],INDEX([3]!db[QTY/ CTN],NOTA[[#This Row],[//DB]])))</f>
        <v>80 PCS</v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isigel10tg308ar80pcsuntana</v>
      </c>
      <c r="AW460" s="38" t="e">
        <f ca="1">IF(NOTA[[#This Row],[ID_H]]="","",MATCH(NOTA[[#This Row],[NB NOTA_C_QTY]],[4]!db[NB NOTA_C_QTY+F],0))</f>
        <v>#REF!</v>
      </c>
      <c r="AX460" s="53">
        <f ca="1">IF(NOTA[[#This Row],[NB NOTA_C_QTY]]="","",ROW()-2)</f>
        <v>458</v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>
        <f ca="1">IF(NOTA[[#This Row],[NAMA BARANG]]="","",INDEX(NOTA[ID],MATCH(,INDIRECT(ADDRESS(ROW(NOTA[ID]),COLUMN(NOTA[ID]))&amp;":"&amp;ADDRESS(ROW(),COLUMN(NOTA[ID]))),-1)))</f>
        <v>72</v>
      </c>
      <c r="E461" s="46"/>
      <c r="F461" s="37"/>
      <c r="G461" s="37"/>
      <c r="H461" s="47"/>
      <c r="I461" s="37"/>
      <c r="J461" s="39"/>
      <c r="K461" s="37">
        <v>0</v>
      </c>
      <c r="L461" s="37" t="s">
        <v>588</v>
      </c>
      <c r="M461" s="40">
        <v>1</v>
      </c>
      <c r="N461" s="38">
        <v>80</v>
      </c>
      <c r="O461" s="37" t="s">
        <v>115</v>
      </c>
      <c r="P461" s="41">
        <v>22500</v>
      </c>
      <c r="Q461" s="42"/>
      <c r="R461" s="48" t="s">
        <v>587</v>
      </c>
      <c r="S461" s="49"/>
      <c r="T461" s="44"/>
      <c r="U461" s="44"/>
      <c r="V461" s="50"/>
      <c r="W461" s="45"/>
      <c r="X461" s="50">
        <f>IF(NOTA[[#This Row],[HARGA/ CTN]]="",NOTA[[#This Row],[JUMLAH_H]],NOTA[[#This Row],[HARGA/ CTN]]*IF(NOTA[[#This Row],[C]]="",0,NOTA[[#This Row],[C]]))</f>
        <v>1800000</v>
      </c>
      <c r="Y461" s="50">
        <f>IF(NOTA[[#This Row],[JUMLAH]]="","",NOTA[[#This Row],[JUMLAH]]*NOTA[[#This Row],[DISC 1]])</f>
        <v>0</v>
      </c>
      <c r="Z461" s="50">
        <f>IF(NOTA[[#This Row],[JUMLAH]]="","",(NOTA[[#This Row],[JUMLAH]]-NOTA[[#This Row],[DISC 1-]])*NOTA[[#This Row],[DISC 2]])</f>
        <v>0</v>
      </c>
      <c r="AA461" s="50">
        <f>IF(NOTA[[#This Row],[JUMLAH]]="","",(NOTA[[#This Row],[JUMLAH]]-NOTA[[#This Row],[DISC 1-]]-NOTA[[#This Row],[DISC 2-]])*NOTA[[#This Row],[DISC 3]])</f>
        <v>0</v>
      </c>
      <c r="AB461" s="50">
        <f>IF(NOTA[[#This Row],[JUMLAH]]="","",NOTA[[#This Row],[DISC 1-]]+NOTA[[#This Row],[DISC 2-]]+NOTA[[#This Row],[DISC 3-]])</f>
        <v>0</v>
      </c>
      <c r="AC461" s="50">
        <f>IF(NOTA[[#This Row],[JUMLAH]]="","",NOTA[[#This Row],[JUMLAH]]-NOTA[[#This Row],[DISC]])</f>
        <v>1800000</v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61" s="50">
        <f>IF(OR(NOTA[[#This Row],[QTY]]="",NOTA[[#This Row],[HARGA SATUAN]]="",),"",NOTA[[#This Row],[QTY]]*NOTA[[#This Row],[HARGA SATUAN]])</f>
        <v>1800000</v>
      </c>
      <c r="AI461" s="39">
        <f ca="1">IF(NOTA[ID_H]="","",INDEX(NOTA[TANGGAL],MATCH(,INDIRECT(ADDRESS(ROW(NOTA[TANGGAL]),COLUMN(NOTA[TANGGAL]))&amp;":"&amp;ADDRESS(ROW(),COLUMN(NOTA[TANGGAL]))),-1)))</f>
        <v>45307</v>
      </c>
      <c r="AJ461" s="41" t="str">
        <f ca="1">IF(NOTA[[#This Row],[NAMA BARANG]]="","",INDEX(NOTA[SUPPLIER],MATCH(,INDIRECT(ADDRESS(ROW(NOTA[ID]),COLUMN(NOTA[ID]))&amp;":"&amp;ADDRESS(ROW(),COLUMN(NOTA[ID]))),-1)))</f>
        <v>DB STATIONERY</v>
      </c>
      <c r="AK461" s="41" t="str">
        <f ca="1">IF(NOTA[[#This Row],[ID_H]]="","",IF(NOTA[[#This Row],[FAKTUR]]="",INDIRECT(ADDRESS(ROW()-1,COLUMN())),NOTA[[#This Row],[FAKTUR]]))</f>
        <v>UNTANA</v>
      </c>
      <c r="AL461" s="38" t="str">
        <f ca="1">IF(NOTA[[#This Row],[ID]]="","",COUNTIF(NOTA[ID_H],NOTA[[#This Row],[ID_H]]))</f>
        <v/>
      </c>
      <c r="AM461" s="38">
        <f ca="1">IF(NOTA[[#This Row],[TGL.NOTA]]="",IF(NOTA[[#This Row],[SUPPLIER_H]]="","",AM460),MONTH(NOTA[[#This Row],[TGL.NOTA]]))</f>
        <v>1</v>
      </c>
      <c r="AN461" s="38" t="str">
        <f>LOWER(SUBSTITUTE(SUBSTITUTE(SUBSTITUTE(SUBSTITUTE(SUBSTITUTE(SUBSTITUTE(SUBSTITUTE(SUBSTITUTE(SUBSTITUTE(NOTA[NAMA BARANG]," ",),".",""),"-",""),"(",""),")",""),",",""),"/",""),"""",""),"+",""))</f>
        <v>isigel10birutg308ar5</v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isigel10birutg308ar51800000</v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isigel10birutg308ar51800000</v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e">
        <f>IF(NOTA[[#This Row],[CONCAT1]]="","",MATCH(NOTA[[#This Row],[CONCAT1]],[3]!db[NB NOTA_C],0))</f>
        <v>#N/A</v>
      </c>
      <c r="AT461" s="38" t="b">
        <f>IF(NOTA[[#This Row],[QTY/ CTN]]="","",TRUE)</f>
        <v>1</v>
      </c>
      <c r="AU461" s="38" t="str">
        <f ca="1">IF(NOTA[[#This Row],[ID_H]]="","",IF(NOTA[[#This Row],[Column3]]=TRUE,NOTA[[#This Row],[QTY/ CTN]],INDEX([3]!db[QTY/ CTN],NOTA[[#This Row],[//DB]])))</f>
        <v>80 PCS</v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isigel10birutg308ar580pcsuntana</v>
      </c>
      <c r="AW461" s="38" t="e">
        <f ca="1">IF(NOTA[[#This Row],[ID_H]]="","",MATCH(NOTA[[#This Row],[NB NOTA_C_QTY]],[4]!db[NB NOTA_C_QTY+F],0))</f>
        <v>#REF!</v>
      </c>
      <c r="AX461" s="53">
        <f ca="1">IF(NOTA[[#This Row],[NB NOTA_C_QTY]]="","",ROW()-2)</f>
        <v>459</v>
      </c>
    </row>
    <row r="462" spans="1:50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72</v>
      </c>
      <c r="E462" s="46"/>
      <c r="F462" s="37"/>
      <c r="G462" s="37"/>
      <c r="H462" s="37"/>
      <c r="I462" s="37"/>
      <c r="J462" s="39"/>
      <c r="K462" s="37">
        <v>0</v>
      </c>
      <c r="L462" s="37" t="s">
        <v>589</v>
      </c>
      <c r="M462" s="40">
        <v>1</v>
      </c>
      <c r="N462" s="38">
        <v>240</v>
      </c>
      <c r="O462" s="37" t="s">
        <v>116</v>
      </c>
      <c r="P462" s="41">
        <v>8800</v>
      </c>
      <c r="Q462" s="42"/>
      <c r="R462" s="48" t="s">
        <v>590</v>
      </c>
      <c r="S462" s="49"/>
      <c r="T462" s="44"/>
      <c r="U462" s="44"/>
      <c r="V462" s="50"/>
      <c r="W462" s="45"/>
      <c r="X462" s="50">
        <f>IF(NOTA[[#This Row],[HARGA/ CTN]]="",NOTA[[#This Row],[JUMLAH_H]],NOTA[[#This Row],[HARGA/ CTN]]*IF(NOTA[[#This Row],[C]]="",0,NOTA[[#This Row],[C]]))</f>
        <v>2112000</v>
      </c>
      <c r="Y462" s="50">
        <f>IF(NOTA[[#This Row],[JUMLAH]]="","",NOTA[[#This Row],[JUMLAH]]*NOTA[[#This Row],[DISC 1]])</f>
        <v>0</v>
      </c>
      <c r="Z462" s="50">
        <f>IF(NOTA[[#This Row],[JUMLAH]]="","",(NOTA[[#This Row],[JUMLAH]]-NOTA[[#This Row],[DISC 1-]])*NOTA[[#This Row],[DISC 2]])</f>
        <v>0</v>
      </c>
      <c r="AA462" s="50">
        <f>IF(NOTA[[#This Row],[JUMLAH]]="","",(NOTA[[#This Row],[JUMLAH]]-NOTA[[#This Row],[DISC 1-]]-NOTA[[#This Row],[DISC 2-]])*NOTA[[#This Row],[DISC 3]])</f>
        <v>0</v>
      </c>
      <c r="AB462" s="50">
        <f>IF(NOTA[[#This Row],[JUMLAH]]="","",NOTA[[#This Row],[DISC 1-]]+NOTA[[#This Row],[DISC 2-]]+NOTA[[#This Row],[DISC 3-]])</f>
        <v>0</v>
      </c>
      <c r="AC462" s="50">
        <f>IF(NOTA[[#This Row],[JUMLAH]]="","",NOTA[[#This Row],[JUMLAH]]-NOTA[[#This Row],[DISC]])</f>
        <v>2112000</v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62" s="50">
        <f>IF(OR(NOTA[[#This Row],[QTY]]="",NOTA[[#This Row],[HARGA SATUAN]]="",),"",NOTA[[#This Row],[QTY]]*NOTA[[#This Row],[HARGA SATUAN]])</f>
        <v>2112000</v>
      </c>
      <c r="AI462" s="39">
        <f ca="1">IF(NOTA[ID_H]="","",INDEX(NOTA[TANGGAL],MATCH(,INDIRECT(ADDRESS(ROW(NOTA[TANGGAL]),COLUMN(NOTA[TANGGAL]))&amp;":"&amp;ADDRESS(ROW(),COLUMN(NOTA[TANGGAL]))),-1)))</f>
        <v>45307</v>
      </c>
      <c r="AJ462" s="41" t="str">
        <f ca="1">IF(NOTA[[#This Row],[NAMA BARANG]]="","",INDEX(NOTA[SUPPLIER],MATCH(,INDIRECT(ADDRESS(ROW(NOTA[ID]),COLUMN(NOTA[ID]))&amp;":"&amp;ADDRESS(ROW(),COLUMN(NOTA[ID]))),-1)))</f>
        <v>DB STATIONERY</v>
      </c>
      <c r="AK462" s="41" t="str">
        <f ca="1">IF(NOTA[[#This Row],[ID_H]]="","",IF(NOTA[[#This Row],[FAKTUR]]="",INDIRECT(ADDRESS(ROW()-1,COLUMN())),NOTA[[#This Row],[FAKTUR]]))</f>
        <v>UNTANA</v>
      </c>
      <c r="AL462" s="38" t="str">
        <f ca="1">IF(NOTA[[#This Row],[ID]]="","",COUNTIF(NOTA[ID_H],NOTA[[#This Row],[ID_H]]))</f>
        <v/>
      </c>
      <c r="AM462" s="38">
        <f ca="1">IF(NOTA[[#This Row],[TGL.NOTA]]="",IF(NOTA[[#This Row],[SUPPLIER_H]]="","",AM461),MONTH(NOTA[[#This Row],[TGL.NOTA]]))</f>
        <v>1</v>
      </c>
      <c r="AN462" s="38" t="str">
        <f>LOWER(SUBSTITUTE(SUBSTITUTE(SUBSTITUTE(SUBSTITUTE(SUBSTITUTE(SUBSTITUTE(SUBSTITUTE(SUBSTITUTE(SUBSTITUTE(NOTA[NAMA BARANG]," ",),".",""),"-",""),"(",""),")",""),",",""),"/",""),"""",""),"+",""))</f>
        <v>pensil12wpanjangkycp1210</v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pensil12wpanjangkycp12102112000</v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pensil12wpanjangkycp12102112000</v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2" s="38" t="str">
        <f>IF(NOTA[[#This Row],[CONCAT4]]="","",_xlfn.IFNA(MATCH(NOTA[[#This Row],[CONCAT4]],[2]!RAW[CONCAT_H],0),FALSE))</f>
        <v/>
      </c>
      <c r="AS462" s="38">
        <f>IF(NOTA[[#This Row],[CONCAT1]]="","",MATCH(NOTA[[#This Row],[CONCAT1]],[3]!db[NB NOTA_C],0))</f>
        <v>2558</v>
      </c>
      <c r="AT462" s="38" t="b">
        <f>IF(NOTA[[#This Row],[QTY/ CTN]]="","",TRUE)</f>
        <v>1</v>
      </c>
      <c r="AU462" s="38" t="str">
        <f ca="1">IF(NOTA[[#This Row],[ID_H]]="","",IF(NOTA[[#This Row],[Column3]]=TRUE,NOTA[[#This Row],[QTY/ CTN]],INDEX([3]!db[QTY/ CTN],NOTA[[#This Row],[//DB]])))</f>
        <v>240 SET</v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pensil12wpanjangkycp1210240setuntana</v>
      </c>
      <c r="AW462" s="38" t="e">
        <f ca="1">IF(NOTA[[#This Row],[ID_H]]="","",MATCH(NOTA[[#This Row],[NB NOTA_C_QTY]],[4]!db[NB NOTA_C_QTY+F],0))</f>
        <v>#REF!</v>
      </c>
      <c r="AX462" s="53">
        <f ca="1">IF(NOTA[[#This Row],[NB NOTA_C_QTY]]="","",ROW()-2)</f>
        <v>460</v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72</v>
      </c>
      <c r="E463" s="46"/>
      <c r="F463" s="37"/>
      <c r="G463" s="37"/>
      <c r="H463" s="47"/>
      <c r="I463" s="37"/>
      <c r="J463" s="39"/>
      <c r="K463" s="37">
        <v>0</v>
      </c>
      <c r="L463" s="37" t="s">
        <v>591</v>
      </c>
      <c r="M463" s="40">
        <v>1</v>
      </c>
      <c r="N463" s="38">
        <v>144</v>
      </c>
      <c r="O463" s="37" t="s">
        <v>116</v>
      </c>
      <c r="P463" s="41">
        <v>18500</v>
      </c>
      <c r="Q463" s="42"/>
      <c r="R463" s="48" t="s">
        <v>592</v>
      </c>
      <c r="S463" s="49"/>
      <c r="T463" s="44"/>
      <c r="U463" s="44"/>
      <c r="V463" s="50"/>
      <c r="W463" s="45"/>
      <c r="X463" s="50">
        <f>IF(NOTA[[#This Row],[HARGA/ CTN]]="",NOTA[[#This Row],[JUMLAH_H]],NOTA[[#This Row],[HARGA/ CTN]]*IF(NOTA[[#This Row],[C]]="",0,NOTA[[#This Row],[C]]))</f>
        <v>2664000</v>
      </c>
      <c r="Y463" s="50">
        <f>IF(NOTA[[#This Row],[JUMLAH]]="","",NOTA[[#This Row],[JUMLAH]]*NOTA[[#This Row],[DISC 1]])</f>
        <v>0</v>
      </c>
      <c r="Z463" s="50">
        <f>IF(NOTA[[#This Row],[JUMLAH]]="","",(NOTA[[#This Row],[JUMLAH]]-NOTA[[#This Row],[DISC 1-]])*NOTA[[#This Row],[DISC 2]])</f>
        <v>0</v>
      </c>
      <c r="AA463" s="50">
        <f>IF(NOTA[[#This Row],[JUMLAH]]="","",(NOTA[[#This Row],[JUMLAH]]-NOTA[[#This Row],[DISC 1-]]-NOTA[[#This Row],[DISC 2-]])*NOTA[[#This Row],[DISC 3]])</f>
        <v>0</v>
      </c>
      <c r="AB463" s="50">
        <f>IF(NOTA[[#This Row],[JUMLAH]]="","",NOTA[[#This Row],[DISC 1-]]+NOTA[[#This Row],[DISC 2-]]+NOTA[[#This Row],[DISC 3-]])</f>
        <v>0</v>
      </c>
      <c r="AC463" s="50">
        <f>IF(NOTA[[#This Row],[JUMLAH]]="","",NOTA[[#This Row],[JUMLAH]]-NOTA[[#This Row],[DISC]])</f>
        <v>2664000</v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H463" s="50">
        <f>IF(OR(NOTA[[#This Row],[QTY]]="",NOTA[[#This Row],[HARGA SATUAN]]="",),"",NOTA[[#This Row],[QTY]]*NOTA[[#This Row],[HARGA SATUAN]])</f>
        <v>2664000</v>
      </c>
      <c r="AI463" s="39">
        <f ca="1">IF(NOTA[ID_H]="","",INDEX(NOTA[TANGGAL],MATCH(,INDIRECT(ADDRESS(ROW(NOTA[TANGGAL]),COLUMN(NOTA[TANGGAL]))&amp;":"&amp;ADDRESS(ROW(),COLUMN(NOTA[TANGGAL]))),-1)))</f>
        <v>45307</v>
      </c>
      <c r="AJ463" s="41" t="str">
        <f ca="1">IF(NOTA[[#This Row],[NAMA BARANG]]="","",INDEX(NOTA[SUPPLIER],MATCH(,INDIRECT(ADDRESS(ROW(NOTA[ID]),COLUMN(NOTA[ID]))&amp;":"&amp;ADDRESS(ROW(),COLUMN(NOTA[ID]))),-1)))</f>
        <v>DB STATIONERY</v>
      </c>
      <c r="AK463" s="41" t="str">
        <f ca="1">IF(NOTA[[#This Row],[ID_H]]="","",IF(NOTA[[#This Row],[FAKTUR]]="",INDIRECT(ADDRESS(ROW()-1,COLUMN())),NOTA[[#This Row],[FAKTUR]]))</f>
        <v>UNTANA</v>
      </c>
      <c r="AL463" s="38" t="str">
        <f ca="1">IF(NOTA[[#This Row],[ID]]="","",COUNTIF(NOTA[ID_H],NOTA[[#This Row],[ID_H]]))</f>
        <v/>
      </c>
      <c r="AM463" s="38">
        <f ca="1">IF(NOTA[[#This Row],[TGL.NOTA]]="",IF(NOTA[[#This Row],[SUPPLIER_H]]="","",AM462),MONTH(NOTA[[#This Row],[TGL.NOTA]]))</f>
        <v>1</v>
      </c>
      <c r="AN463" s="38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>
        <f>IF(NOTA[[#This Row],[CONCAT1]]="","",MATCH(NOTA[[#This Row],[CONCAT1]],[3]!db[NB NOTA_C],0))</f>
        <v>2221</v>
      </c>
      <c r="AT463" s="38" t="b">
        <f>IF(NOTA[[#This Row],[QTY/ CTN]]="","",TRUE)</f>
        <v>1</v>
      </c>
      <c r="AU463" s="38" t="str">
        <f ca="1">IF(NOTA[[#This Row],[ID_H]]="","",IF(NOTA[[#This Row],[Column3]]=TRUE,NOTA[[#This Row],[QTY/ CTN]],INDEX([3]!db[QTY/ CTN],NOTA[[#This Row],[//DB]])))</f>
        <v>144 SET</v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pwarnakayagi24wkycp0724144setuntana</v>
      </c>
      <c r="AW463" s="38" t="e">
        <f ca="1">IF(NOTA[[#This Row],[ID_H]]="","",MATCH(NOTA[[#This Row],[NB NOTA_C_QTY]],[4]!db[NB NOTA_C_QTY+F],0))</f>
        <v>#REF!</v>
      </c>
      <c r="AX463" s="53">
        <f ca="1">IF(NOTA[[#This Row],[NB NOTA_C_QTY]]="","",ROW()-2)</f>
        <v>461</v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72</v>
      </c>
      <c r="E464" s="46"/>
      <c r="F464" s="37"/>
      <c r="G464" s="37"/>
      <c r="H464" s="47"/>
      <c r="I464" s="37"/>
      <c r="J464" s="39"/>
      <c r="K464" s="37">
        <v>0</v>
      </c>
      <c r="L464" s="37" t="s">
        <v>593</v>
      </c>
      <c r="M464" s="40">
        <v>1</v>
      </c>
      <c r="N464" s="38">
        <v>80</v>
      </c>
      <c r="O464" s="37" t="s">
        <v>116</v>
      </c>
      <c r="P464" s="41">
        <v>28000</v>
      </c>
      <c r="Q464" s="42"/>
      <c r="R464" s="48" t="s">
        <v>594</v>
      </c>
      <c r="S464" s="49"/>
      <c r="T464" s="44"/>
      <c r="U464" s="44"/>
      <c r="V464" s="50"/>
      <c r="W464" s="45"/>
      <c r="X464" s="50">
        <f>IF(NOTA[[#This Row],[HARGA/ CTN]]="",NOTA[[#This Row],[JUMLAH_H]],NOTA[[#This Row],[HARGA/ CTN]]*IF(NOTA[[#This Row],[C]]="",0,NOTA[[#This Row],[C]]))</f>
        <v>2240000</v>
      </c>
      <c r="Y464" s="50">
        <f>IF(NOTA[[#This Row],[JUMLAH]]="","",NOTA[[#This Row],[JUMLAH]]*NOTA[[#This Row],[DISC 1]])</f>
        <v>0</v>
      </c>
      <c r="Z464" s="50">
        <f>IF(NOTA[[#This Row],[JUMLAH]]="","",(NOTA[[#This Row],[JUMLAH]]-NOTA[[#This Row],[DISC 1-]])*NOTA[[#This Row],[DISC 2]])</f>
        <v>0</v>
      </c>
      <c r="AA464" s="50">
        <f>IF(NOTA[[#This Row],[JUMLAH]]="","",(NOTA[[#This Row],[JUMLAH]]-NOTA[[#This Row],[DISC 1-]]-NOTA[[#This Row],[DISC 2-]])*NOTA[[#This Row],[DISC 3]])</f>
        <v>0</v>
      </c>
      <c r="AB464" s="50">
        <f>IF(NOTA[[#This Row],[JUMLAH]]="","",NOTA[[#This Row],[DISC 1-]]+NOTA[[#This Row],[DISC 2-]]+NOTA[[#This Row],[DISC 3-]])</f>
        <v>0</v>
      </c>
      <c r="AC464" s="50">
        <f>IF(NOTA[[#This Row],[JUMLAH]]="","",NOTA[[#This Row],[JUMLAH]]-NOTA[[#This Row],[DISC]])</f>
        <v>2240000</v>
      </c>
      <c r="AD464" s="50"/>
      <c r="AE4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29384000</v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H464" s="50">
        <f>IF(OR(NOTA[[#This Row],[QTY]]="",NOTA[[#This Row],[HARGA SATUAN]]="",),"",NOTA[[#This Row],[QTY]]*NOTA[[#This Row],[HARGA SATUAN]])</f>
        <v>2240000</v>
      </c>
      <c r="AI464" s="39">
        <f ca="1">IF(NOTA[ID_H]="","",INDEX(NOTA[TANGGAL],MATCH(,INDIRECT(ADDRESS(ROW(NOTA[TANGGAL]),COLUMN(NOTA[TANGGAL]))&amp;":"&amp;ADDRESS(ROW(),COLUMN(NOTA[TANGGAL]))),-1)))</f>
        <v>45307</v>
      </c>
      <c r="AJ464" s="41" t="str">
        <f ca="1">IF(NOTA[[#This Row],[NAMA BARANG]]="","",INDEX(NOTA[SUPPLIER],MATCH(,INDIRECT(ADDRESS(ROW(NOTA[ID]),COLUMN(NOTA[ID]))&amp;":"&amp;ADDRESS(ROW(),COLUMN(NOTA[ID]))),-1)))</f>
        <v>DB STATIONERY</v>
      </c>
      <c r="AK464" s="41" t="str">
        <f ca="1">IF(NOTA[[#This Row],[ID_H]]="","",IF(NOTA[[#This Row],[FAKTUR]]="",INDIRECT(ADDRESS(ROW()-1,COLUMN())),NOTA[[#This Row],[FAKTUR]]))</f>
        <v>UNTANA</v>
      </c>
      <c r="AL464" s="38" t="str">
        <f ca="1">IF(NOTA[[#This Row],[ID]]="","",COUNTIF(NOTA[ID_H],NOTA[[#This Row],[ID_H]]))</f>
        <v/>
      </c>
      <c r="AM464" s="38">
        <f ca="1">IF(NOTA[[#This Row],[TGL.NOTA]]="",IF(NOTA[[#This Row],[SUPPLIER_H]]="","",AM463),MONTH(NOTA[[#This Row],[TGL.NOTA]]))</f>
        <v>1</v>
      </c>
      <c r="AN464" s="38" t="str">
        <f>LOWER(SUBSTITUTE(SUBSTITUTE(SUBSTITUTE(SUBSTITUTE(SUBSTITUTE(SUBSTITUTE(SUBSTITUTE(SUBSTITUTE(SUBSTITUTE(NOTA[NAMA BARANG]," ",),".",""),"-",""),"(",""),")",""),",",""),"/",""),"""",""),"+",""))</f>
        <v>pensilwarnakayagi36wkycp0736</v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>
        <f>IF(NOTA[[#This Row],[CONCAT1]]="","",MATCH(NOTA[[#This Row],[CONCAT1]],[3]!db[NB NOTA_C],0))</f>
        <v>2604</v>
      </c>
      <c r="AT464" s="38" t="b">
        <f>IF(NOTA[[#This Row],[QTY/ CTN]]="","",TRUE)</f>
        <v>1</v>
      </c>
      <c r="AU464" s="38" t="str">
        <f ca="1">IF(NOTA[[#This Row],[ID_H]]="","",IF(NOTA[[#This Row],[Column3]]=TRUE,NOTA[[#This Row],[QTY/ CTN]],INDEX([3]!db[QTY/ CTN],NOTA[[#This Row],[//DB]])))</f>
        <v>80 SET</v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pensilwarnakayagi36wkycp073680setuntana</v>
      </c>
      <c r="AW464" s="38" t="e">
        <f ca="1">IF(NOTA[[#This Row],[ID_H]]="","",MATCH(NOTA[[#This Row],[NB NOTA_C_QTY]],[4]!db[NB NOTA_C_QTY+F],0))</f>
        <v>#REF!</v>
      </c>
      <c r="AX464" s="53">
        <f ca="1">IF(NOTA[[#This Row],[NB NOTA_C_QTY]]="","",ROW()-2)</f>
        <v>462</v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 t="str">
        <f ca="1">IF(NOTA[[#This Row],[NAMA BARANG]]="","",INDEX(NOTA[ID],MATCH(,INDIRECT(ADDRESS(ROW(NOTA[ID]),COLUMN(NOTA[ID]))&amp;":"&amp;ADDRESS(ROW(),COLUMN(NOTA[ID]))),-1)))</f>
        <v/>
      </c>
      <c r="E465" s="46"/>
      <c r="F465" s="37"/>
      <c r="G465" s="37"/>
      <c r="H465" s="47"/>
      <c r="I465" s="37"/>
      <c r="J465" s="39"/>
      <c r="K465" s="37"/>
      <c r="L465" s="37"/>
      <c r="M465" s="40"/>
      <c r="O465" s="37"/>
      <c r="P465" s="41"/>
      <c r="Q465" s="42"/>
      <c r="R465" s="48"/>
      <c r="S465" s="49"/>
      <c r="T465" s="44"/>
      <c r="U465" s="44"/>
      <c r="V465" s="50"/>
      <c r="W465" s="45"/>
      <c r="X465" s="50" t="str">
        <f>IF(NOTA[[#This Row],[HARGA/ CTN]]="",NOTA[[#This Row],[JUMLAH_H]],NOTA[[#This Row],[HARGA/ CTN]]*IF(NOTA[[#This Row],[C]]="",0,NOTA[[#This Row],[C]]))</f>
        <v/>
      </c>
      <c r="Y465" s="50" t="str">
        <f>IF(NOTA[[#This Row],[JUMLAH]]="","",NOTA[[#This Row],[JUMLAH]]*NOTA[[#This Row],[DISC 1]])</f>
        <v/>
      </c>
      <c r="Z465" s="50" t="str">
        <f>IF(NOTA[[#This Row],[JUMLAH]]="","",(NOTA[[#This Row],[JUMLAH]]-NOTA[[#This Row],[DISC 1-]])*NOTA[[#This Row],[DISC 2]])</f>
        <v/>
      </c>
      <c r="AA465" s="50" t="str">
        <f>IF(NOTA[[#This Row],[JUMLAH]]="","",(NOTA[[#This Row],[JUMLAH]]-NOTA[[#This Row],[DISC 1-]]-NOTA[[#This Row],[DISC 2-]])*NOTA[[#This Row],[DISC 3]])</f>
        <v/>
      </c>
      <c r="AB465" s="50" t="str">
        <f>IF(NOTA[[#This Row],[JUMLAH]]="","",NOTA[[#This Row],[DISC 1-]]+NOTA[[#This Row],[DISC 2-]]+NOTA[[#This Row],[DISC 3-]])</f>
        <v/>
      </c>
      <c r="AC465" s="50" t="str">
        <f>IF(NOTA[[#This Row],[JUMLAH]]="","",NOTA[[#This Row],[JUMLAH]]-NOTA[[#This Row],[DISC]])</f>
        <v/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5" s="50" t="str">
        <f>IF(OR(NOTA[[#This Row],[QTY]]="",NOTA[[#This Row],[HARGA SATUAN]]="",),"",NOTA[[#This Row],[QTY]]*NOTA[[#This Row],[HARGA SATUAN]])</f>
        <v/>
      </c>
      <c r="AI465" s="39" t="str">
        <f ca="1">IF(NOTA[ID_H]="","",INDEX(NOTA[TANGGAL],MATCH(,INDIRECT(ADDRESS(ROW(NOTA[TANGGAL]),COLUMN(NOTA[TANGGAL]))&amp;":"&amp;ADDRESS(ROW(),COLUMN(NOTA[TANGGAL]))),-1)))</f>
        <v/>
      </c>
      <c r="AJ465" s="41" t="str">
        <f ca="1">IF(NOTA[[#This Row],[NAMA BARANG]]="","",INDEX(NOTA[SUPPLIER],MATCH(,INDIRECT(ADDRESS(ROW(NOTA[ID]),COLUMN(NOTA[ID]))&amp;":"&amp;ADDRESS(ROW(),COLUMN(NOTA[ID]))),-1)))</f>
        <v/>
      </c>
      <c r="AK465" s="41" t="str">
        <f ca="1">IF(NOTA[[#This Row],[ID_H]]="","",IF(NOTA[[#This Row],[FAKTUR]]="",INDIRECT(ADDRESS(ROW()-1,COLUMN())),NOTA[[#This Row],[FAKTUR]]))</f>
        <v/>
      </c>
      <c r="AL465" s="38" t="str">
        <f ca="1">IF(NOTA[[#This Row],[ID]]="","",COUNTIF(NOTA[ID_H],NOTA[[#This Row],[ID_H]]))</f>
        <v/>
      </c>
      <c r="AM465" s="38" t="str">
        <f ca="1">IF(NOTA[[#This Row],[TGL.NOTA]]="",IF(NOTA[[#This Row],[SUPPLIER_H]]="","",AM464),MONTH(NOTA[[#This Row],[TGL.NOTA]]))</f>
        <v/>
      </c>
      <c r="AN465" s="38" t="str">
        <f>LOWER(SUBSTITUTE(SUBSTITUTE(SUBSTITUTE(SUBSTITUTE(SUBSTITUTE(SUBSTITUTE(SUBSTITUTE(SUBSTITUTE(SUBSTITUTE(NOTA[NAMA BARANG]," ",),".",""),"-",""),"(",""),")",""),",",""),"/",""),"""",""),"+",""))</f>
        <v/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 t="str">
        <f>IF(NOTA[[#This Row],[CONCAT1]]="","",MATCH(NOTA[[#This Row],[CONCAT1]],[3]!db[NB NOTA_C],0))</f>
        <v/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/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5" s="38" t="str">
        <f ca="1">IF(NOTA[[#This Row],[ID_H]]="","",MATCH(NOTA[[#This Row],[NB NOTA_C_QTY]],[4]!db[NB NOTA_C_QTY+F],0))</f>
        <v/>
      </c>
      <c r="AX465" s="53" t="str">
        <f ca="1">IF(NOTA[[#This Row],[NB NOTA_C_QTY]]="","",ROW()-2)</f>
        <v/>
      </c>
    </row>
    <row r="466" spans="1:50" s="38" customFormat="1" ht="20.100000000000001" customHeight="1" x14ac:dyDescent="0.25">
      <c r="A466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46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DBS_1601_124-16</v>
      </c>
      <c r="C466" s="38" t="e">
        <f ca="1">IF(NOTA[[#This Row],[ID_P]]="","",MATCH(NOTA[[#This Row],[ID_P]],[1]!B_MSK[N_ID],0))</f>
        <v>#REF!</v>
      </c>
      <c r="D466" s="38">
        <f ca="1">IF(NOTA[[#This Row],[NAMA BARANG]]="","",INDEX(NOTA[ID],MATCH(,INDIRECT(ADDRESS(ROW(NOTA[ID]),COLUMN(NOTA[ID]))&amp;":"&amp;ADDRESS(ROW(),COLUMN(NOTA[ID]))),-1)))</f>
        <v>73</v>
      </c>
      <c r="E466" s="46"/>
      <c r="F466" s="37" t="s">
        <v>112</v>
      </c>
      <c r="G466" s="37" t="s">
        <v>110</v>
      </c>
      <c r="H466" s="47" t="s">
        <v>595</v>
      </c>
      <c r="I466" s="37"/>
      <c r="J466" s="39">
        <v>45304</v>
      </c>
      <c r="K466" s="37">
        <v>1</v>
      </c>
      <c r="L466" s="37" t="s">
        <v>596</v>
      </c>
      <c r="M466" s="40">
        <v>2</v>
      </c>
      <c r="N466" s="38">
        <v>288</v>
      </c>
      <c r="O466" s="37" t="s">
        <v>111</v>
      </c>
      <c r="P466" s="41">
        <v>24000</v>
      </c>
      <c r="Q466" s="42"/>
      <c r="R466" s="48" t="s">
        <v>597</v>
      </c>
      <c r="S466" s="49"/>
      <c r="T466" s="44"/>
      <c r="U466" s="44"/>
      <c r="V466" s="50"/>
      <c r="W466" s="45"/>
      <c r="X466" s="50">
        <f>IF(NOTA[[#This Row],[HARGA/ CTN]]="",NOTA[[#This Row],[JUMLAH_H]],NOTA[[#This Row],[HARGA/ CTN]]*IF(NOTA[[#This Row],[C]]="",0,NOTA[[#This Row],[C]]))</f>
        <v>6912000</v>
      </c>
      <c r="Y466" s="50">
        <f>IF(NOTA[[#This Row],[JUMLAH]]="","",NOTA[[#This Row],[JUMLAH]]*NOTA[[#This Row],[DISC 1]])</f>
        <v>0</v>
      </c>
      <c r="Z466" s="50">
        <f>IF(NOTA[[#This Row],[JUMLAH]]="","",(NOTA[[#This Row],[JUMLAH]]-NOTA[[#This Row],[DISC 1-]])*NOTA[[#This Row],[DISC 2]])</f>
        <v>0</v>
      </c>
      <c r="AA466" s="50">
        <f>IF(NOTA[[#This Row],[JUMLAH]]="","",(NOTA[[#This Row],[JUMLAH]]-NOTA[[#This Row],[DISC 1-]]-NOTA[[#This Row],[DISC 2-]])*NOTA[[#This Row],[DISC 3]])</f>
        <v>0</v>
      </c>
      <c r="AB466" s="50">
        <f>IF(NOTA[[#This Row],[JUMLAH]]="","",NOTA[[#This Row],[DISC 1-]]+NOTA[[#This Row],[DISC 2-]]+NOTA[[#This Row],[DISC 3-]])</f>
        <v>0</v>
      </c>
      <c r="AC466" s="50">
        <f>IF(NOTA[[#This Row],[JUMLAH]]="","",NOTA[[#This Row],[JUMLAH]]-NOTA[[#This Row],[DISC]])</f>
        <v>6912000</v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466" s="50">
        <f>IF(OR(NOTA[[#This Row],[QTY]]="",NOTA[[#This Row],[HARGA SATUAN]]="",),"",NOTA[[#This Row],[QTY]]*NOTA[[#This Row],[HARGA SATUAN]])</f>
        <v>6912000</v>
      </c>
      <c r="AI466" s="39">
        <f ca="1">IF(NOTA[ID_H]="","",INDEX(NOTA[TANGGAL],MATCH(,INDIRECT(ADDRESS(ROW(NOTA[TANGGAL]),COLUMN(NOTA[TANGGAL]))&amp;":"&amp;ADDRESS(ROW(),COLUMN(NOTA[TANGGAL]))),-1)))</f>
        <v>45307</v>
      </c>
      <c r="AJ466" s="41" t="str">
        <f ca="1">IF(NOTA[[#This Row],[NAMA BARANG]]="","",INDEX(NOTA[SUPPLIER],MATCH(,INDIRECT(ADDRESS(ROW(NOTA[ID]),COLUMN(NOTA[ID]))&amp;":"&amp;ADDRESS(ROW(),COLUMN(NOTA[ID]))),-1)))</f>
        <v>DB STATIONERY</v>
      </c>
      <c r="AK466" s="41" t="str">
        <f ca="1">IF(NOTA[[#This Row],[ID_H]]="","",IF(NOTA[[#This Row],[FAKTUR]]="",INDIRECT(ADDRESS(ROW()-1,COLUMN())),NOTA[[#This Row],[FAKTUR]]))</f>
        <v>UNTANA</v>
      </c>
      <c r="AL466" s="38">
        <f ca="1">IF(NOTA[[#This Row],[ID]]="","",COUNTIF(NOTA[ID_H],NOTA[[#This Row],[ID_H]]))</f>
        <v>16</v>
      </c>
      <c r="AM466" s="38">
        <f>IF(NOTA[[#This Row],[TGL.NOTA]]="",IF(NOTA[[#This Row],[SUPPLIER_H]]="","",AM465),MONTH(NOTA[[#This Row],[TGL.NOTA]]))</f>
        <v>1</v>
      </c>
      <c r="AN466" s="38" t="str">
        <f>LOWER(SUBSTITUTE(SUBSTITUTE(SUBSTITUTE(SUBSTITUTE(SUBSTITUTE(SUBSTITUTE(SUBSTITUTE(SUBSTITUTE(SUBSTITUTE(NOTA[NAMA BARANG]," ",),".",""),"-",""),"(",""),")",""),",",""),"/",""),"""",""),"+",""))</f>
        <v>geltizokliktg3300</v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geltizokliktg33003456000</v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geltizokliktg33003456000</v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STATIONERYUNTANAJUA301/2445304geltizokliktg3300</v>
      </c>
      <c r="AR466" s="38" t="e">
        <f>IF(NOTA[[#This Row],[CONCAT4]]="","",_xlfn.IFNA(MATCH(NOTA[[#This Row],[CONCAT4]],[2]!RAW[CONCAT_H],0),FALSE))</f>
        <v>#REF!</v>
      </c>
      <c r="AS466" s="38" t="e">
        <f>IF(NOTA[[#This Row],[CONCAT1]]="","",MATCH(NOTA[[#This Row],[CONCAT1]],[3]!db[NB NOTA_C],0))</f>
        <v>#N/A</v>
      </c>
      <c r="AT466" s="38" t="b">
        <f>IF(NOTA[[#This Row],[QTY/ CTN]]="","",TRUE)</f>
        <v>1</v>
      </c>
      <c r="AU466" s="38" t="str">
        <f ca="1">IF(NOTA[[#This Row],[ID_H]]="","",IF(NOTA[[#This Row],[Column3]]=TRUE,NOTA[[#This Row],[QTY/ CTN]],INDEX([3]!db[QTY/ CTN],NOTA[[#This Row],[//DB]])))</f>
        <v>144 LSN</v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geltizokliktg3300144lsnuntana</v>
      </c>
      <c r="AW466" s="38" t="e">
        <f ca="1">IF(NOTA[[#This Row],[ID_H]]="","",MATCH(NOTA[[#This Row],[NB NOTA_C_QTY]],[4]!db[NB NOTA_C_QTY+F],0))</f>
        <v>#REF!</v>
      </c>
      <c r="AX466" s="53">
        <f ca="1">IF(NOTA[[#This Row],[NB NOTA_C_QTY]]="","",ROW()-2)</f>
        <v>464</v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>
        <f ca="1">IF(NOTA[[#This Row],[NAMA BARANG]]="","",INDEX(NOTA[ID],MATCH(,INDIRECT(ADDRESS(ROW(NOTA[ID]),COLUMN(NOTA[ID]))&amp;":"&amp;ADDRESS(ROW(),COLUMN(NOTA[ID]))),-1)))</f>
        <v>73</v>
      </c>
      <c r="E467" s="46"/>
      <c r="F467" s="37"/>
      <c r="G467" s="37"/>
      <c r="H467" s="47"/>
      <c r="I467" s="37"/>
      <c r="J467" s="39"/>
      <c r="K467" s="37">
        <v>1</v>
      </c>
      <c r="L467" s="37" t="s">
        <v>598</v>
      </c>
      <c r="M467" s="40">
        <v>2</v>
      </c>
      <c r="N467" s="38">
        <v>288</v>
      </c>
      <c r="O467" s="37" t="s">
        <v>111</v>
      </c>
      <c r="P467" s="41">
        <v>19000</v>
      </c>
      <c r="Q467" s="42"/>
      <c r="R467" s="48" t="s">
        <v>597</v>
      </c>
      <c r="S467" s="49"/>
      <c r="T467" s="44"/>
      <c r="U467" s="44"/>
      <c r="V467" s="50"/>
      <c r="W467" s="45"/>
      <c r="X467" s="50">
        <f>IF(NOTA[[#This Row],[HARGA/ CTN]]="",NOTA[[#This Row],[JUMLAH_H]],NOTA[[#This Row],[HARGA/ CTN]]*IF(NOTA[[#This Row],[C]]="",0,NOTA[[#This Row],[C]]))</f>
        <v>5472000</v>
      </c>
      <c r="Y467" s="50">
        <f>IF(NOTA[[#This Row],[JUMLAH]]="","",NOTA[[#This Row],[JUMLAH]]*NOTA[[#This Row],[DISC 1]])</f>
        <v>0</v>
      </c>
      <c r="Z467" s="50">
        <f>IF(NOTA[[#This Row],[JUMLAH]]="","",(NOTA[[#This Row],[JUMLAH]]-NOTA[[#This Row],[DISC 1-]])*NOTA[[#This Row],[DISC 2]])</f>
        <v>0</v>
      </c>
      <c r="AA467" s="50">
        <f>IF(NOTA[[#This Row],[JUMLAH]]="","",(NOTA[[#This Row],[JUMLAH]]-NOTA[[#This Row],[DISC 1-]]-NOTA[[#This Row],[DISC 2-]])*NOTA[[#This Row],[DISC 3]])</f>
        <v>0</v>
      </c>
      <c r="AB467" s="50">
        <f>IF(NOTA[[#This Row],[JUMLAH]]="","",NOTA[[#This Row],[DISC 1-]]+NOTA[[#This Row],[DISC 2-]]+NOTA[[#This Row],[DISC 3-]])</f>
        <v>0</v>
      </c>
      <c r="AC467" s="50">
        <f>IF(NOTA[[#This Row],[JUMLAH]]="","",NOTA[[#This Row],[JUMLAH]]-NOTA[[#This Row],[DISC]])</f>
        <v>5472000</v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467" s="50">
        <f>IF(OR(NOTA[[#This Row],[QTY]]="",NOTA[[#This Row],[HARGA SATUAN]]="",),"",NOTA[[#This Row],[QTY]]*NOTA[[#This Row],[HARGA SATUAN]])</f>
        <v>5472000</v>
      </c>
      <c r="AI467" s="39">
        <f ca="1">IF(NOTA[ID_H]="","",INDEX(NOTA[TANGGAL],MATCH(,INDIRECT(ADDRESS(ROW(NOTA[TANGGAL]),COLUMN(NOTA[TANGGAL]))&amp;":"&amp;ADDRESS(ROW(),COLUMN(NOTA[TANGGAL]))),-1)))</f>
        <v>45307</v>
      </c>
      <c r="AJ467" s="41" t="str">
        <f ca="1">IF(NOTA[[#This Row],[NAMA BARANG]]="","",INDEX(NOTA[SUPPLIER],MATCH(,INDIRECT(ADDRESS(ROW(NOTA[ID]),COLUMN(NOTA[ID]))&amp;":"&amp;ADDRESS(ROW(),COLUMN(NOTA[ID]))),-1)))</f>
        <v>DB STATIONERY</v>
      </c>
      <c r="AK467" s="41" t="str">
        <f ca="1">IF(NOTA[[#This Row],[ID_H]]="","",IF(NOTA[[#This Row],[FAKTUR]]="",INDIRECT(ADDRESS(ROW()-1,COLUMN())),NOTA[[#This Row],[FAKTUR]]))</f>
        <v>UNTANA</v>
      </c>
      <c r="AL467" s="38" t="str">
        <f ca="1">IF(NOTA[[#This Row],[ID]]="","",COUNTIF(NOTA[ID_H],NOTA[[#This Row],[ID_H]]))</f>
        <v/>
      </c>
      <c r="AM467" s="38">
        <f ca="1">IF(NOTA[[#This Row],[TGL.NOTA]]="",IF(NOTA[[#This Row],[SUPPLIER_H]]="","",AM466),MONTH(NOTA[[#This Row],[TGL.NOTA]]))</f>
        <v>1</v>
      </c>
      <c r="AN467" s="38" t="str">
        <f>LOWER(SUBSTITUTE(SUBSTITUTE(SUBSTITUTE(SUBSTITUTE(SUBSTITUTE(SUBSTITUTE(SUBSTITUTE(SUBSTITUTE(SUBSTITUTE(NOTA[NAMA BARANG]," ",),".",""),"-",""),"(",""),")",""),",",""),"/",""),"""",""),"+",""))</f>
        <v>geltizokliktg3301</v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geltizokliktg33012736000</v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geltizokliktg33012736000</v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e">
        <f>IF(NOTA[[#This Row],[CONCAT1]]="","",MATCH(NOTA[[#This Row],[CONCAT1]],[3]!db[NB NOTA_C],0))</f>
        <v>#N/A</v>
      </c>
      <c r="AT467" s="38" t="b">
        <f>IF(NOTA[[#This Row],[QTY/ CTN]]="","",TRUE)</f>
        <v>1</v>
      </c>
      <c r="AU467" s="38" t="str">
        <f ca="1">IF(NOTA[[#This Row],[ID_H]]="","",IF(NOTA[[#This Row],[Column3]]=TRUE,NOTA[[#This Row],[QTY/ CTN]],INDEX([3]!db[QTY/ CTN],NOTA[[#This Row],[//DB]])))</f>
        <v>144 LSN</v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geltizokliktg3301144lsnuntana</v>
      </c>
      <c r="AW467" s="38" t="e">
        <f ca="1">IF(NOTA[[#This Row],[ID_H]]="","",MATCH(NOTA[[#This Row],[NB NOTA_C_QTY]],[4]!db[NB NOTA_C_QTY+F],0))</f>
        <v>#REF!</v>
      </c>
      <c r="AX467" s="53">
        <f ca="1">IF(NOTA[[#This Row],[NB NOTA_C_QTY]]="","",ROW()-2)</f>
        <v>465</v>
      </c>
    </row>
    <row r="468" spans="1:50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>
        <f ca="1">IF(NOTA[[#This Row],[NAMA BARANG]]="","",INDEX(NOTA[ID],MATCH(,INDIRECT(ADDRESS(ROW(NOTA[ID]),COLUMN(NOTA[ID]))&amp;":"&amp;ADDRESS(ROW(),COLUMN(NOTA[ID]))),-1)))</f>
        <v>73</v>
      </c>
      <c r="E468" s="46"/>
      <c r="F468" s="37"/>
      <c r="G468" s="37"/>
      <c r="H468" s="47"/>
      <c r="I468" s="37"/>
      <c r="J468" s="39"/>
      <c r="K468" s="37">
        <v>1</v>
      </c>
      <c r="L468" s="37" t="s">
        <v>599</v>
      </c>
      <c r="M468" s="40">
        <v>2</v>
      </c>
      <c r="N468" s="38">
        <v>288</v>
      </c>
      <c r="O468" s="37" t="s">
        <v>111</v>
      </c>
      <c r="P468" s="41">
        <v>20500</v>
      </c>
      <c r="Q468" s="42"/>
      <c r="R468" s="48" t="s">
        <v>597</v>
      </c>
      <c r="S468" s="49"/>
      <c r="T468" s="44"/>
      <c r="U468" s="44"/>
      <c r="V468" s="50"/>
      <c r="W468" s="45"/>
      <c r="X468" s="50">
        <f>IF(NOTA[[#This Row],[HARGA/ CTN]]="",NOTA[[#This Row],[JUMLAH_H]],NOTA[[#This Row],[HARGA/ CTN]]*IF(NOTA[[#This Row],[C]]="",0,NOTA[[#This Row],[C]]))</f>
        <v>5904000</v>
      </c>
      <c r="Y468" s="50">
        <f>IF(NOTA[[#This Row],[JUMLAH]]="","",NOTA[[#This Row],[JUMLAH]]*NOTA[[#This Row],[DISC 1]])</f>
        <v>0</v>
      </c>
      <c r="Z468" s="50">
        <f>IF(NOTA[[#This Row],[JUMLAH]]="","",(NOTA[[#This Row],[JUMLAH]]-NOTA[[#This Row],[DISC 1-]])*NOTA[[#This Row],[DISC 2]])</f>
        <v>0</v>
      </c>
      <c r="AA468" s="50">
        <f>IF(NOTA[[#This Row],[JUMLAH]]="","",(NOTA[[#This Row],[JUMLAH]]-NOTA[[#This Row],[DISC 1-]]-NOTA[[#This Row],[DISC 2-]])*NOTA[[#This Row],[DISC 3]])</f>
        <v>0</v>
      </c>
      <c r="AB468" s="50">
        <f>IF(NOTA[[#This Row],[JUMLAH]]="","",NOTA[[#This Row],[DISC 1-]]+NOTA[[#This Row],[DISC 2-]]+NOTA[[#This Row],[DISC 3-]])</f>
        <v>0</v>
      </c>
      <c r="AC468" s="50">
        <f>IF(NOTA[[#This Row],[JUMLAH]]="","",NOTA[[#This Row],[JUMLAH]]-NOTA[[#This Row],[DISC]])</f>
        <v>5904000</v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68" s="50">
        <f>IF(OR(NOTA[[#This Row],[QTY]]="",NOTA[[#This Row],[HARGA SATUAN]]="",),"",NOTA[[#This Row],[QTY]]*NOTA[[#This Row],[HARGA SATUAN]])</f>
        <v>5904000</v>
      </c>
      <c r="AI468" s="39">
        <f ca="1">IF(NOTA[ID_H]="","",INDEX(NOTA[TANGGAL],MATCH(,INDIRECT(ADDRESS(ROW(NOTA[TANGGAL]),COLUMN(NOTA[TANGGAL]))&amp;":"&amp;ADDRESS(ROW(),COLUMN(NOTA[TANGGAL]))),-1)))</f>
        <v>45307</v>
      </c>
      <c r="AJ468" s="41" t="str">
        <f ca="1">IF(NOTA[[#This Row],[NAMA BARANG]]="","",INDEX(NOTA[SUPPLIER],MATCH(,INDIRECT(ADDRESS(ROW(NOTA[ID]),COLUMN(NOTA[ID]))&amp;":"&amp;ADDRESS(ROW(),COLUMN(NOTA[ID]))),-1)))</f>
        <v>DB STATIONERY</v>
      </c>
      <c r="AK468" s="41" t="str">
        <f ca="1">IF(NOTA[[#This Row],[ID_H]]="","",IF(NOTA[[#This Row],[FAKTUR]]="",INDIRECT(ADDRESS(ROW()-1,COLUMN())),NOTA[[#This Row],[FAKTUR]]))</f>
        <v>UNTANA</v>
      </c>
      <c r="AL468" s="38" t="str">
        <f ca="1">IF(NOTA[[#This Row],[ID]]="","",COUNTIF(NOTA[ID_H],NOTA[[#This Row],[ID_H]]))</f>
        <v/>
      </c>
      <c r="AM468" s="38">
        <f ca="1">IF(NOTA[[#This Row],[TGL.NOTA]]="",IF(NOTA[[#This Row],[SUPPLIER_H]]="","",AM467),MONTH(NOTA[[#This Row],[TGL.NOTA]]))</f>
        <v>1</v>
      </c>
      <c r="AN468" s="38" t="str">
        <f>LOWER(SUBSTITUTE(SUBSTITUTE(SUBSTITUTE(SUBSTITUTE(SUBSTITUTE(SUBSTITUTE(SUBSTITUTE(SUBSTITUTE(SUBSTITUTE(NOTA[NAMA BARANG]," ",),".",""),"-",""),"(",""),")",""),",",""),"/",""),"""",""),"+",""))</f>
        <v>geltizokliktg3302</v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geltizokliktg33022952000</v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geltizokliktg33022952000</v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Row],[CONCAT4]],[2]!RAW[CONCAT_H],0),FALSE))</f>
        <v/>
      </c>
      <c r="AS468" s="38" t="e">
        <f>IF(NOTA[[#This Row],[CONCAT1]]="","",MATCH(NOTA[[#This Row],[CONCAT1]],[3]!db[NB NOTA_C],0))</f>
        <v>#N/A</v>
      </c>
      <c r="AT468" s="38" t="b">
        <f>IF(NOTA[[#This Row],[QTY/ CTN]]="","",TRUE)</f>
        <v>1</v>
      </c>
      <c r="AU468" s="38" t="str">
        <f ca="1">IF(NOTA[[#This Row],[ID_H]]="","",IF(NOTA[[#This Row],[Column3]]=TRUE,NOTA[[#This Row],[QTY/ CTN]],INDEX([3]!db[QTY/ CTN],NOTA[[#This Row],[//DB]])))</f>
        <v>144 LSN</v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geltizokliktg3302144lsnuntana</v>
      </c>
      <c r="AW468" s="38" t="e">
        <f ca="1">IF(NOTA[[#This Row],[ID_H]]="","",MATCH(NOTA[[#This Row],[NB NOTA_C_QTY]],[4]!db[NB NOTA_C_QTY+F],0))</f>
        <v>#REF!</v>
      </c>
      <c r="AX468" s="53">
        <f ca="1">IF(NOTA[[#This Row],[NB NOTA_C_QTY]]="","",ROW()-2)</f>
        <v>466</v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73</v>
      </c>
      <c r="E469" s="46"/>
      <c r="F469" s="37"/>
      <c r="G469" s="37"/>
      <c r="H469" s="47"/>
      <c r="I469" s="37"/>
      <c r="J469" s="39"/>
      <c r="K469" s="37">
        <v>0</v>
      </c>
      <c r="L469" s="37" t="s">
        <v>600</v>
      </c>
      <c r="M469" s="40">
        <v>1</v>
      </c>
      <c r="N469" s="38">
        <v>120</v>
      </c>
      <c r="O469" s="37" t="s">
        <v>111</v>
      </c>
      <c r="P469" s="41">
        <v>27000</v>
      </c>
      <c r="Q469" s="42"/>
      <c r="R469" s="48" t="s">
        <v>275</v>
      </c>
      <c r="S469" s="49"/>
      <c r="T469" s="44"/>
      <c r="U469" s="44"/>
      <c r="V469" s="50"/>
      <c r="W469" s="45"/>
      <c r="X469" s="50">
        <f>IF(NOTA[[#This Row],[HARGA/ CTN]]="",NOTA[[#This Row],[JUMLAH_H]],NOTA[[#This Row],[HARGA/ CTN]]*IF(NOTA[[#This Row],[C]]="",0,NOTA[[#This Row],[C]]))</f>
        <v>3240000</v>
      </c>
      <c r="Y469" s="50">
        <f>IF(NOTA[[#This Row],[JUMLAH]]="","",NOTA[[#This Row],[JUMLAH]]*NOTA[[#This Row],[DISC 1]])</f>
        <v>0</v>
      </c>
      <c r="Z469" s="50">
        <f>IF(NOTA[[#This Row],[JUMLAH]]="","",(NOTA[[#This Row],[JUMLAH]]-NOTA[[#This Row],[DISC 1-]])*NOTA[[#This Row],[DISC 2]])</f>
        <v>0</v>
      </c>
      <c r="AA469" s="50">
        <f>IF(NOTA[[#This Row],[JUMLAH]]="","",(NOTA[[#This Row],[JUMLAH]]-NOTA[[#This Row],[DISC 1-]]-NOTA[[#This Row],[DISC 2-]])*NOTA[[#This Row],[DISC 3]])</f>
        <v>0</v>
      </c>
      <c r="AB469" s="50">
        <f>IF(NOTA[[#This Row],[JUMLAH]]="","",NOTA[[#This Row],[DISC 1-]]+NOTA[[#This Row],[DISC 2-]]+NOTA[[#This Row],[DISC 3-]])</f>
        <v>0</v>
      </c>
      <c r="AC469" s="50">
        <f>IF(NOTA[[#This Row],[JUMLAH]]="","",NOTA[[#This Row],[JUMLAH]]-NOTA[[#This Row],[DISC]])</f>
        <v>3240000</v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469" s="50">
        <f>IF(OR(NOTA[[#This Row],[QTY]]="",NOTA[[#This Row],[HARGA SATUAN]]="",),"",NOTA[[#This Row],[QTY]]*NOTA[[#This Row],[HARGA SATUAN]])</f>
        <v>3240000</v>
      </c>
      <c r="AI469" s="39">
        <f ca="1">IF(NOTA[ID_H]="","",INDEX(NOTA[TANGGAL],MATCH(,INDIRECT(ADDRESS(ROW(NOTA[TANGGAL]),COLUMN(NOTA[TANGGAL]))&amp;":"&amp;ADDRESS(ROW(),COLUMN(NOTA[TANGGAL]))),-1)))</f>
        <v>45307</v>
      </c>
      <c r="AJ469" s="41" t="str">
        <f ca="1">IF(NOTA[[#This Row],[NAMA BARANG]]="","",INDEX(NOTA[SUPPLIER],MATCH(,INDIRECT(ADDRESS(ROW(NOTA[ID]),COLUMN(NOTA[ID]))&amp;":"&amp;ADDRESS(ROW(),COLUMN(NOTA[ID]))),-1)))</f>
        <v>DB STATIONERY</v>
      </c>
      <c r="AK469" s="41" t="str">
        <f ca="1">IF(NOTA[[#This Row],[ID_H]]="","",IF(NOTA[[#This Row],[FAKTUR]]="",INDIRECT(ADDRESS(ROW()-1,COLUMN())),NOTA[[#This Row],[FAKTUR]]))</f>
        <v>UNTANA</v>
      </c>
      <c r="AL469" s="38" t="str">
        <f ca="1">IF(NOTA[[#This Row],[ID]]="","",COUNTIF(NOTA[ID_H],NOTA[[#This Row],[ID_H]]))</f>
        <v/>
      </c>
      <c r="AM469" s="38">
        <f ca="1">IF(NOTA[[#This Row],[TGL.NOTA]]="",IF(NOTA[[#This Row],[SUPPLIER_H]]="","",AM468),MONTH(NOTA[[#This Row],[TGL.NOTA]]))</f>
        <v>1</v>
      </c>
      <c r="AN469" s="38" t="str">
        <f>LOWER(SUBSTITUTE(SUBSTITUTE(SUBSTITUTE(SUBSTITUTE(SUBSTITUTE(SUBSTITUTE(SUBSTITUTE(SUBSTITUTE(SUBSTITUTE(NOTA[NAMA BARANG]," ",),".",""),"-",""),"(",""),")",""),",",""),"/",""),"""",""),"+",""))</f>
        <v>gelklikdebozzfancydbgf10</v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gelklikdebozzfancydbgf103240000</v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gelklikdebozzfancydbgf103240000</v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e">
        <f>IF(NOTA[[#This Row],[CONCAT1]]="","",MATCH(NOTA[[#This Row],[CONCAT1]],[3]!db[NB NOTA_C],0))</f>
        <v>#N/A</v>
      </c>
      <c r="AT469" s="38" t="b">
        <f>IF(NOTA[[#This Row],[QTY/ CTN]]="","",TRUE)</f>
        <v>1</v>
      </c>
      <c r="AU469" s="38" t="str">
        <f ca="1">IF(NOTA[[#This Row],[ID_H]]="","",IF(NOTA[[#This Row],[Column3]]=TRUE,NOTA[[#This Row],[QTY/ CTN]],INDEX([3]!db[QTY/ CTN],NOTA[[#This Row],[//DB]])))</f>
        <v>120 LSN</v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gelklikdebozzfancydbgf10120lsnuntana</v>
      </c>
      <c r="AW469" s="38" t="e">
        <f ca="1">IF(NOTA[[#This Row],[ID_H]]="","",MATCH(NOTA[[#This Row],[NB NOTA_C_QTY]],[4]!db[NB NOTA_C_QTY+F],0))</f>
        <v>#REF!</v>
      </c>
      <c r="AX469" s="53">
        <f ca="1">IF(NOTA[[#This Row],[NB NOTA_C_QTY]]="","",ROW()-2)</f>
        <v>467</v>
      </c>
    </row>
    <row r="470" spans="1:50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73</v>
      </c>
      <c r="E470" s="46"/>
      <c r="F470" s="37"/>
      <c r="G470" s="37"/>
      <c r="H470" s="47"/>
      <c r="I470" s="37"/>
      <c r="J470" s="39"/>
      <c r="K470" s="37">
        <v>0</v>
      </c>
      <c r="L470" s="37" t="s">
        <v>601</v>
      </c>
      <c r="M470" s="40">
        <v>1</v>
      </c>
      <c r="N470" s="38">
        <v>144</v>
      </c>
      <c r="O470" s="37" t="s">
        <v>118</v>
      </c>
      <c r="P470" s="41">
        <v>16500</v>
      </c>
      <c r="Q470" s="42"/>
      <c r="R470" s="48" t="s">
        <v>602</v>
      </c>
      <c r="S470" s="49"/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2376000</v>
      </c>
      <c r="Y470" s="50">
        <f>IF(NOTA[[#This Row],[JUMLAH]]="","",NOTA[[#This Row],[JUMLAH]]*NOTA[[#This Row],[DISC 1]])</f>
        <v>0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0</v>
      </c>
      <c r="AC470" s="50">
        <f>IF(NOTA[[#This Row],[JUMLAH]]="","",NOTA[[#This Row],[JUMLAH]]-NOTA[[#This Row],[DISC]])</f>
        <v>2376000</v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470" s="50">
        <f>IF(OR(NOTA[[#This Row],[QTY]]="",NOTA[[#This Row],[HARGA SATUAN]]="",),"",NOTA[[#This Row],[QTY]]*NOTA[[#This Row],[HARGA SATUAN]])</f>
        <v>2376000</v>
      </c>
      <c r="AI470" s="39">
        <f ca="1">IF(NOTA[ID_H]="","",INDEX(NOTA[TANGGAL],MATCH(,INDIRECT(ADDRESS(ROW(NOTA[TANGGAL]),COLUMN(NOTA[TANGGAL]))&amp;":"&amp;ADDRESS(ROW(),COLUMN(NOTA[TANGGAL]))),-1)))</f>
        <v>45307</v>
      </c>
      <c r="AJ470" s="41" t="str">
        <f ca="1">IF(NOTA[[#This Row],[NAMA BARANG]]="","",INDEX(NOTA[SUPPLIER],MATCH(,INDIRECT(ADDRESS(ROW(NOTA[ID]),COLUMN(NOTA[ID]))&amp;":"&amp;ADDRESS(ROW(),COLUMN(NOTA[ID]))),-1)))</f>
        <v>DB STATIONERY</v>
      </c>
      <c r="AK470" s="41" t="str">
        <f ca="1">IF(NOTA[[#This Row],[ID_H]]="","",IF(NOTA[[#This Row],[FAKTUR]]="",INDIRECT(ADDRESS(ROW()-1,COLUMN())),NOTA[[#This Row],[FAKTUR]]))</f>
        <v>UNTANA</v>
      </c>
      <c r="AL470" s="38" t="str">
        <f ca="1">IF(NOTA[[#This Row],[ID]]="","",COUNTIF(NOTA[ID_H],NOTA[[#This Row],[ID_H]]))</f>
        <v/>
      </c>
      <c r="AM470" s="38">
        <f ca="1">IF(NOTA[[#This Row],[TGL.NOTA]]="",IF(NOTA[[#This Row],[SUPPLIER_H]]="","",AM469),MONTH(NOTA[[#This Row],[TGL.NOTA]]))</f>
        <v>1</v>
      </c>
      <c r="AN470" s="38" t="str">
        <f>LOWER(SUBSTITUTE(SUBSTITUTE(SUBSTITUTE(SUBSTITUTE(SUBSTITUTE(SUBSTITUTE(SUBSTITUTE(SUBSTITUTE(SUBSTITUTE(NOTA[NAMA BARANG]," ",),".",""),"-",""),"(",""),")",""),",",""),"/",""),"""",""),"+",""))</f>
        <v>spidol12wkuasdb21812</v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spidol12wkuasdb218122376000</v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spidol12wkuasdb218122376000</v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Row],[CONCAT4]],[2]!RAW[CONCAT_H],0),FALSE))</f>
        <v/>
      </c>
      <c r="AS470" s="38">
        <f>IF(NOTA[[#This Row],[CONCAT1]]="","",MATCH(NOTA[[#This Row],[CONCAT1]],[3]!db[NB NOTA_C],0))</f>
        <v>2823</v>
      </c>
      <c r="AT470" s="38" t="b">
        <f>IF(NOTA[[#This Row],[QTY/ CTN]]="","",TRUE)</f>
        <v>1</v>
      </c>
      <c r="AU470" s="38" t="str">
        <f ca="1">IF(NOTA[[#This Row],[ID_H]]="","",IF(NOTA[[#This Row],[Column3]]=TRUE,NOTA[[#This Row],[QTY/ CTN]],INDEX([3]!db[QTY/ CTN],NOTA[[#This Row],[//DB]])))</f>
        <v>144 BOX</v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spidol12wkuasdb21812144boxuntana</v>
      </c>
      <c r="AW470" s="38" t="e">
        <f ca="1">IF(NOTA[[#This Row],[ID_H]]="","",MATCH(NOTA[[#This Row],[NB NOTA_C_QTY]],[4]!db[NB NOTA_C_QTY+F],0))</f>
        <v>#REF!</v>
      </c>
      <c r="AX470" s="53">
        <f ca="1">IF(NOTA[[#This Row],[NB NOTA_C_QTY]]="","",ROW()-2)</f>
        <v>468</v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73</v>
      </c>
      <c r="E471" s="46"/>
      <c r="F471" s="37"/>
      <c r="G471" s="37"/>
      <c r="H471" s="47"/>
      <c r="I471" s="37"/>
      <c r="J471" s="39"/>
      <c r="K471" s="37"/>
      <c r="L471" s="37" t="s">
        <v>603</v>
      </c>
      <c r="M471" s="40">
        <v>3</v>
      </c>
      <c r="N471" s="38">
        <v>288</v>
      </c>
      <c r="O471" s="37" t="s">
        <v>111</v>
      </c>
      <c r="P471" s="41">
        <v>31500</v>
      </c>
      <c r="Q471" s="42"/>
      <c r="R471" s="48" t="s">
        <v>403</v>
      </c>
      <c r="S471" s="49"/>
      <c r="T471" s="44"/>
      <c r="U471" s="44"/>
      <c r="V471" s="50"/>
      <c r="W471" s="45"/>
      <c r="X471" s="50">
        <f>IF(NOTA[[#This Row],[HARGA/ CTN]]="",NOTA[[#This Row],[JUMLAH_H]],NOTA[[#This Row],[HARGA/ CTN]]*IF(NOTA[[#This Row],[C]]="",0,NOTA[[#This Row],[C]]))</f>
        <v>9072000</v>
      </c>
      <c r="Y471" s="50">
        <f>IF(NOTA[[#This Row],[JUMLAH]]="","",NOTA[[#This Row],[JUMLAH]]*NOTA[[#This Row],[DISC 1]])</f>
        <v>0</v>
      </c>
      <c r="Z471" s="50">
        <f>IF(NOTA[[#This Row],[JUMLAH]]="","",(NOTA[[#This Row],[JUMLAH]]-NOTA[[#This Row],[DISC 1-]])*NOTA[[#This Row],[DISC 2]])</f>
        <v>0</v>
      </c>
      <c r="AA471" s="50">
        <f>IF(NOTA[[#This Row],[JUMLAH]]="","",(NOTA[[#This Row],[JUMLAH]]-NOTA[[#This Row],[DISC 1-]]-NOTA[[#This Row],[DISC 2-]])*NOTA[[#This Row],[DISC 3]])</f>
        <v>0</v>
      </c>
      <c r="AB471" s="50">
        <f>IF(NOTA[[#This Row],[JUMLAH]]="","",NOTA[[#This Row],[DISC 1-]]+NOTA[[#This Row],[DISC 2-]]+NOTA[[#This Row],[DISC 3-]])</f>
        <v>0</v>
      </c>
      <c r="AC471" s="50">
        <f>IF(NOTA[[#This Row],[JUMLAH]]="","",NOTA[[#This Row],[JUMLAH]]-NOTA[[#This Row],[DISC]])</f>
        <v>9072000</v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71" s="50">
        <f>IF(OR(NOTA[[#This Row],[QTY]]="",NOTA[[#This Row],[HARGA SATUAN]]="",),"",NOTA[[#This Row],[QTY]]*NOTA[[#This Row],[HARGA SATUAN]])</f>
        <v>9072000</v>
      </c>
      <c r="AI471" s="39">
        <f ca="1">IF(NOTA[ID_H]="","",INDEX(NOTA[TANGGAL],MATCH(,INDIRECT(ADDRESS(ROW(NOTA[TANGGAL]),COLUMN(NOTA[TANGGAL]))&amp;":"&amp;ADDRESS(ROW(),COLUMN(NOTA[TANGGAL]))),-1)))</f>
        <v>45307</v>
      </c>
      <c r="AJ471" s="41" t="str">
        <f ca="1">IF(NOTA[[#This Row],[NAMA BARANG]]="","",INDEX(NOTA[SUPPLIER],MATCH(,INDIRECT(ADDRESS(ROW(NOTA[ID]),COLUMN(NOTA[ID]))&amp;":"&amp;ADDRESS(ROW(),COLUMN(NOTA[ID]))),-1)))</f>
        <v>DB STATIONERY</v>
      </c>
      <c r="AK471" s="41" t="str">
        <f ca="1">IF(NOTA[[#This Row],[ID_H]]="","",IF(NOTA[[#This Row],[FAKTUR]]="",INDIRECT(ADDRESS(ROW()-1,COLUMN())),NOTA[[#This Row],[FAKTUR]]))</f>
        <v>UNTANA</v>
      </c>
      <c r="AL471" s="38" t="str">
        <f ca="1">IF(NOTA[[#This Row],[ID]]="","",COUNTIF(NOTA[ID_H],NOTA[[#This Row],[ID_H]]))</f>
        <v/>
      </c>
      <c r="AM471" s="38">
        <f ca="1">IF(NOTA[[#This Row],[TGL.NOTA]]="",IF(NOTA[[#This Row],[SUPPLIER_H]]="","",AM470),MONTH(NOTA[[#This Row],[TGL.NOTA]]))</f>
        <v>1</v>
      </c>
      <c r="AN471" s="38" t="str">
        <f>LOWER(SUBSTITUTE(SUBSTITUTE(SUBSTITUTE(SUBSTITUTE(SUBSTITUTE(SUBSTITUTE(SUBSTITUTE(SUBSTITUTE(SUBSTITUTE(NOTA[NAMA BARANG]," ",),".",""),"-",""),"(",""),")",""),",",""),"/",""),"""",""),"+",""))</f>
        <v>geltizo10birutg340bi</v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geltizo10birutg340bi3024000</v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geltizo10birutg340bi3024000</v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e">
        <f>IF(NOTA[[#This Row],[CONCAT1]]="","",MATCH(NOTA[[#This Row],[CONCAT1]],[3]!db[NB NOTA_C],0))</f>
        <v>#N/A</v>
      </c>
      <c r="AT471" s="38" t="b">
        <f>IF(NOTA[[#This Row],[QTY/ CTN]]="","",TRUE)</f>
        <v>1</v>
      </c>
      <c r="AU471" s="38" t="str">
        <f ca="1">IF(NOTA[[#This Row],[ID_H]]="","",IF(NOTA[[#This Row],[Column3]]=TRUE,NOTA[[#This Row],[QTY/ CTN]],INDEX([3]!db[QTY/ CTN],NOTA[[#This Row],[//DB]])))</f>
        <v>96 LSN</v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geltizo10birutg340bi96lsnuntana</v>
      </c>
      <c r="AW471" s="38" t="e">
        <f ca="1">IF(NOTA[[#This Row],[ID_H]]="","",MATCH(NOTA[[#This Row],[NB NOTA_C_QTY]],[4]!db[NB NOTA_C_QTY+F],0))</f>
        <v>#REF!</v>
      </c>
      <c r="AX471" s="53">
        <f ca="1">IF(NOTA[[#This Row],[NB NOTA_C_QTY]]="","",ROW()-2)</f>
        <v>469</v>
      </c>
    </row>
    <row r="472" spans="1:50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>
        <f ca="1">IF(NOTA[[#This Row],[NAMA BARANG]]="","",INDEX(NOTA[ID],MATCH(,INDIRECT(ADDRESS(ROW(NOTA[ID]),COLUMN(NOTA[ID]))&amp;":"&amp;ADDRESS(ROW(),COLUMN(NOTA[ID]))),-1)))</f>
        <v>73</v>
      </c>
      <c r="E472" s="46"/>
      <c r="F472" s="37"/>
      <c r="G472" s="37"/>
      <c r="H472" s="47"/>
      <c r="I472" s="37"/>
      <c r="J472" s="39"/>
      <c r="K472" s="37">
        <v>0</v>
      </c>
      <c r="L472" s="37" t="s">
        <v>604</v>
      </c>
      <c r="M472" s="40">
        <v>1</v>
      </c>
      <c r="N472" s="38">
        <v>144</v>
      </c>
      <c r="O472" s="37" t="s">
        <v>111</v>
      </c>
      <c r="P472" s="41">
        <v>31500</v>
      </c>
      <c r="Q472" s="42"/>
      <c r="R472" s="48" t="s">
        <v>597</v>
      </c>
      <c r="S472" s="49"/>
      <c r="T472" s="44"/>
      <c r="U472" s="44"/>
      <c r="V472" s="50"/>
      <c r="W472" s="45"/>
      <c r="X472" s="50">
        <f>IF(NOTA[[#This Row],[HARGA/ CTN]]="",NOTA[[#This Row],[JUMLAH_H]],NOTA[[#This Row],[HARGA/ CTN]]*IF(NOTA[[#This Row],[C]]="",0,NOTA[[#This Row],[C]]))</f>
        <v>4536000</v>
      </c>
      <c r="Y472" s="50">
        <f>IF(NOTA[[#This Row],[JUMLAH]]="","",NOTA[[#This Row],[JUMLAH]]*NOTA[[#This Row],[DISC 1]])</f>
        <v>0</v>
      </c>
      <c r="Z472" s="50">
        <f>IF(NOTA[[#This Row],[JUMLAH]]="","",(NOTA[[#This Row],[JUMLAH]]-NOTA[[#This Row],[DISC 1-]])*NOTA[[#This Row],[DISC 2]])</f>
        <v>0</v>
      </c>
      <c r="AA472" s="50">
        <f>IF(NOTA[[#This Row],[JUMLAH]]="","",(NOTA[[#This Row],[JUMLAH]]-NOTA[[#This Row],[DISC 1-]]-NOTA[[#This Row],[DISC 2-]])*NOTA[[#This Row],[DISC 3]])</f>
        <v>0</v>
      </c>
      <c r="AB472" s="50">
        <f>IF(NOTA[[#This Row],[JUMLAH]]="","",NOTA[[#This Row],[DISC 1-]]+NOTA[[#This Row],[DISC 2-]]+NOTA[[#This Row],[DISC 3-]])</f>
        <v>0</v>
      </c>
      <c r="AC472" s="50">
        <f>IF(NOTA[[#This Row],[JUMLAH]]="","",NOTA[[#This Row],[JUMLAH]]-NOTA[[#This Row],[DISC]])</f>
        <v>4536000</v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4536000</v>
      </c>
      <c r="AH472" s="50">
        <f>IF(OR(NOTA[[#This Row],[QTY]]="",NOTA[[#This Row],[HARGA SATUAN]]="",),"",NOTA[[#This Row],[QTY]]*NOTA[[#This Row],[HARGA SATUAN]])</f>
        <v>4536000</v>
      </c>
      <c r="AI472" s="39">
        <f ca="1">IF(NOTA[ID_H]="","",INDEX(NOTA[TANGGAL],MATCH(,INDIRECT(ADDRESS(ROW(NOTA[TANGGAL]),COLUMN(NOTA[TANGGAL]))&amp;":"&amp;ADDRESS(ROW(),COLUMN(NOTA[TANGGAL]))),-1)))</f>
        <v>45307</v>
      </c>
      <c r="AJ472" s="41" t="str">
        <f ca="1">IF(NOTA[[#This Row],[NAMA BARANG]]="","",INDEX(NOTA[SUPPLIER],MATCH(,INDIRECT(ADDRESS(ROW(NOTA[ID]),COLUMN(NOTA[ID]))&amp;":"&amp;ADDRESS(ROW(),COLUMN(NOTA[ID]))),-1)))</f>
        <v>DB STATIONERY</v>
      </c>
      <c r="AK472" s="41" t="str">
        <f ca="1">IF(NOTA[[#This Row],[ID_H]]="","",IF(NOTA[[#This Row],[FAKTUR]]="",INDIRECT(ADDRESS(ROW()-1,COLUMN())),NOTA[[#This Row],[FAKTUR]]))</f>
        <v>UNTANA</v>
      </c>
      <c r="AL472" s="38" t="str">
        <f ca="1">IF(NOTA[[#This Row],[ID]]="","",COUNTIF(NOTA[ID_H],NOTA[[#This Row],[ID_H]]))</f>
        <v/>
      </c>
      <c r="AM472" s="38">
        <f ca="1">IF(NOTA[[#This Row],[TGL.NOTA]]="",IF(NOTA[[#This Row],[SUPPLIER_H]]="","",AM471),MONTH(NOTA[[#This Row],[TGL.NOTA]]))</f>
        <v>1</v>
      </c>
      <c r="AN472" s="38" t="str">
        <f>LOWER(SUBSTITUTE(SUBSTITUTE(SUBSTITUTE(SUBSTITUTE(SUBSTITUTE(SUBSTITUTE(SUBSTITUTE(SUBSTITUTE(SUBSTITUTE(NOTA[NAMA BARANG]," ",),".",""),"-",""),"(",""),")",""),",",""),"/",""),"""",""),"+",""))</f>
        <v>geltizo10batiktg334042</v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geltizo10batiktg3340424536000</v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geltizo10batiktg3340424536000</v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Row],[CONCAT4]],[2]!RAW[CONCAT_H],0),FALSE))</f>
        <v/>
      </c>
      <c r="AS472" s="38" t="e">
        <f>IF(NOTA[[#This Row],[CONCAT1]]="","",MATCH(NOTA[[#This Row],[CONCAT1]],[3]!db[NB NOTA_C],0))</f>
        <v>#N/A</v>
      </c>
      <c r="AT472" s="38" t="b">
        <f>IF(NOTA[[#This Row],[QTY/ CTN]]="","",TRUE)</f>
        <v>1</v>
      </c>
      <c r="AU472" s="38" t="str">
        <f ca="1">IF(NOTA[[#This Row],[ID_H]]="","",IF(NOTA[[#This Row],[Column3]]=TRUE,NOTA[[#This Row],[QTY/ CTN]],INDEX([3]!db[QTY/ CTN],NOTA[[#This Row],[//DB]])))</f>
        <v>144 LSN</v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geltizo10batiktg334042144lsnuntana</v>
      </c>
      <c r="AW472" s="38" t="e">
        <f ca="1">IF(NOTA[[#This Row],[ID_H]]="","",MATCH(NOTA[[#This Row],[NB NOTA_C_QTY]],[4]!db[NB NOTA_C_QTY+F],0))</f>
        <v>#REF!</v>
      </c>
      <c r="AX472" s="53">
        <f ca="1">IF(NOTA[[#This Row],[NB NOTA_C_QTY]]="","",ROW()-2)</f>
        <v>470</v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>
        <f ca="1">IF(NOTA[[#This Row],[NAMA BARANG]]="","",INDEX(NOTA[ID],MATCH(,INDIRECT(ADDRESS(ROW(NOTA[ID]),COLUMN(NOTA[ID]))&amp;":"&amp;ADDRESS(ROW(),COLUMN(NOTA[ID]))),-1)))</f>
        <v>73</v>
      </c>
      <c r="E473" s="46"/>
      <c r="F473" s="37"/>
      <c r="G473" s="37"/>
      <c r="H473" s="47"/>
      <c r="I473" s="37"/>
      <c r="J473" s="39"/>
      <c r="K473" s="37"/>
      <c r="L473" s="37" t="s">
        <v>605</v>
      </c>
      <c r="M473" s="40">
        <v>2</v>
      </c>
      <c r="N473" s="38">
        <v>288</v>
      </c>
      <c r="O473" s="37" t="s">
        <v>111</v>
      </c>
      <c r="P473" s="41">
        <v>10000</v>
      </c>
      <c r="Q473" s="42"/>
      <c r="R473" s="48" t="s">
        <v>597</v>
      </c>
      <c r="S473" s="49"/>
      <c r="T473" s="44"/>
      <c r="U473" s="44"/>
      <c r="V473" s="50"/>
      <c r="W473" s="45"/>
      <c r="X473" s="50">
        <f>IF(NOTA[[#This Row],[HARGA/ CTN]]="",NOTA[[#This Row],[JUMLAH_H]],NOTA[[#This Row],[HARGA/ CTN]]*IF(NOTA[[#This Row],[C]]="",0,NOTA[[#This Row],[C]]))</f>
        <v>2880000</v>
      </c>
      <c r="Y473" s="50">
        <f>IF(NOTA[[#This Row],[JUMLAH]]="","",NOTA[[#This Row],[JUMLAH]]*NOTA[[#This Row],[DISC 1]])</f>
        <v>0</v>
      </c>
      <c r="Z473" s="50">
        <f>IF(NOTA[[#This Row],[JUMLAH]]="","",(NOTA[[#This Row],[JUMLAH]]-NOTA[[#This Row],[DISC 1-]])*NOTA[[#This Row],[DISC 2]])</f>
        <v>0</v>
      </c>
      <c r="AA473" s="50">
        <f>IF(NOTA[[#This Row],[JUMLAH]]="","",(NOTA[[#This Row],[JUMLAH]]-NOTA[[#This Row],[DISC 1-]]-NOTA[[#This Row],[DISC 2-]])*NOTA[[#This Row],[DISC 3]])</f>
        <v>0</v>
      </c>
      <c r="AB473" s="50">
        <f>IF(NOTA[[#This Row],[JUMLAH]]="","",NOTA[[#This Row],[DISC 1-]]+NOTA[[#This Row],[DISC 2-]]+NOTA[[#This Row],[DISC 3-]])</f>
        <v>0</v>
      </c>
      <c r="AC473" s="50">
        <f>IF(NOTA[[#This Row],[JUMLAH]]="","",NOTA[[#This Row],[JUMLAH]]-NOTA[[#This Row],[DISC]])</f>
        <v>2880000</v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73" s="50">
        <f>IF(OR(NOTA[[#This Row],[QTY]]="",NOTA[[#This Row],[HARGA SATUAN]]="",),"",NOTA[[#This Row],[QTY]]*NOTA[[#This Row],[HARGA SATUAN]])</f>
        <v>2880000</v>
      </c>
      <c r="AI473" s="39">
        <f ca="1">IF(NOTA[ID_H]="","",INDEX(NOTA[TANGGAL],MATCH(,INDIRECT(ADDRESS(ROW(NOTA[TANGGAL]),COLUMN(NOTA[TANGGAL]))&amp;":"&amp;ADDRESS(ROW(),COLUMN(NOTA[TANGGAL]))),-1)))</f>
        <v>45307</v>
      </c>
      <c r="AJ473" s="41" t="str">
        <f ca="1">IF(NOTA[[#This Row],[NAMA BARANG]]="","",INDEX(NOTA[SUPPLIER],MATCH(,INDIRECT(ADDRESS(ROW(NOTA[ID]),COLUMN(NOTA[ID]))&amp;":"&amp;ADDRESS(ROW(),COLUMN(NOTA[ID]))),-1)))</f>
        <v>DB STATIONERY</v>
      </c>
      <c r="AK473" s="41" t="str">
        <f ca="1">IF(NOTA[[#This Row],[ID_H]]="","",IF(NOTA[[#This Row],[FAKTUR]]="",INDIRECT(ADDRESS(ROW()-1,COLUMN())),NOTA[[#This Row],[FAKTUR]]))</f>
        <v>UNTANA</v>
      </c>
      <c r="AL473" s="38" t="str">
        <f ca="1">IF(NOTA[[#This Row],[ID]]="","",COUNTIF(NOTA[ID_H],NOTA[[#This Row],[ID_H]]))</f>
        <v/>
      </c>
      <c r="AM473" s="38" t="e">
        <f ca="1">IF(NOTA[[#This Row],[TGL.NOTA]]="",IF(NOTA[[#This Row],[SUPPLIER_H]]="","",#REF!),MONTH(NOTA[[#This Row],[TGL.NOTA]]))</f>
        <v>#REF!</v>
      </c>
      <c r="AN473" s="38" t="str">
        <f>LOWER(SUBSTITUTE(SUBSTITUTE(SUBSTITUTE(SUBSTITUTE(SUBSTITUTE(SUBSTITUTE(SUBSTITUTE(SUBSTITUTE(SUBSTITUTE(NOTA[NAMA BARANG]," ",),".",""),"-",""),"(",""),")",""),",",""),"/",""),"""",""),"+",""))</f>
        <v>semigeltizotbsg09</v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semigeltizotbsg091440000</v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semigeltizotbsg091440000</v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>
        <f>IF(NOTA[[#This Row],[CONCAT1]]="","",MATCH(NOTA[[#This Row],[CONCAT1]],[3]!db[NB NOTA_C],0))</f>
        <v>2772</v>
      </c>
      <c r="AT473" s="38" t="b">
        <f>IF(NOTA[[#This Row],[QTY/ CTN]]="","",TRUE)</f>
        <v>1</v>
      </c>
      <c r="AU473" s="38" t="str">
        <f ca="1">IF(NOTA[[#This Row],[ID_H]]="","",IF(NOTA[[#This Row],[Column3]]=TRUE,NOTA[[#This Row],[QTY/ CTN]],INDEX([3]!db[QTY/ CTN],NOTA[[#This Row],[//DB]])))</f>
        <v>144 LSN</v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semigeltizotbsg09144lsnuntana</v>
      </c>
      <c r="AW473" s="38" t="e">
        <f ca="1">IF(NOTA[[#This Row],[ID_H]]="","",MATCH(NOTA[[#This Row],[NB NOTA_C_QTY]],[4]!db[NB NOTA_C_QTY+F],0))</f>
        <v>#REF!</v>
      </c>
      <c r="AX473" s="53">
        <f ca="1">IF(NOTA[[#This Row],[NB NOTA_C_QTY]]="","",ROW()-2)</f>
        <v>471</v>
      </c>
    </row>
    <row r="474" spans="1:50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73</v>
      </c>
      <c r="E474" s="46"/>
      <c r="F474" s="37"/>
      <c r="G474" s="37"/>
      <c r="H474" s="47"/>
      <c r="I474" s="37"/>
      <c r="J474" s="39"/>
      <c r="K474" s="37">
        <v>0</v>
      </c>
      <c r="L474" s="37" t="s">
        <v>606</v>
      </c>
      <c r="M474" s="40">
        <v>1</v>
      </c>
      <c r="N474" s="38">
        <v>120</v>
      </c>
      <c r="O474" s="37" t="s">
        <v>111</v>
      </c>
      <c r="P474" s="41">
        <v>20500</v>
      </c>
      <c r="Q474" s="42"/>
      <c r="R474" s="48" t="s">
        <v>275</v>
      </c>
      <c r="S474" s="49"/>
      <c r="T474" s="44"/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2460000</v>
      </c>
      <c r="Y474" s="50">
        <f>IF(NOTA[[#This Row],[JUMLAH]]="","",NOTA[[#This Row],[JUMLAH]]*NOTA[[#This Row],[DISC 1]])</f>
        <v>0</v>
      </c>
      <c r="Z474" s="50">
        <f>IF(NOTA[[#This Row],[JUMLAH]]="","",(NOTA[[#This Row],[JUMLAH]]-NOTA[[#This Row],[DISC 1-]])*NOTA[[#This Row],[DISC 2]])</f>
        <v>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0</v>
      </c>
      <c r="AC474" s="50">
        <f>IF(NOTA[[#This Row],[JUMLAH]]="","",NOTA[[#This Row],[JUMLAH]]-NOTA[[#This Row],[DISC]])</f>
        <v>2460000</v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74" s="50">
        <f>IF(OR(NOTA[[#This Row],[QTY]]="",NOTA[[#This Row],[HARGA SATUAN]]="",),"",NOTA[[#This Row],[QTY]]*NOTA[[#This Row],[HARGA SATUAN]])</f>
        <v>2460000</v>
      </c>
      <c r="AI474" s="39">
        <f ca="1">IF(NOTA[ID_H]="","",INDEX(NOTA[TANGGAL],MATCH(,INDIRECT(ADDRESS(ROW(NOTA[TANGGAL]),COLUMN(NOTA[TANGGAL]))&amp;":"&amp;ADDRESS(ROW(),COLUMN(NOTA[TANGGAL]))),-1)))</f>
        <v>45307</v>
      </c>
      <c r="AJ474" s="41" t="str">
        <f ca="1">IF(NOTA[[#This Row],[NAMA BARANG]]="","",INDEX(NOTA[SUPPLIER],MATCH(,INDIRECT(ADDRESS(ROW(NOTA[ID]),COLUMN(NOTA[ID]))&amp;":"&amp;ADDRESS(ROW(),COLUMN(NOTA[ID]))),-1)))</f>
        <v>DB STATIONERY</v>
      </c>
      <c r="AK474" s="41" t="str">
        <f ca="1">IF(NOTA[[#This Row],[ID_H]]="","",IF(NOTA[[#This Row],[FAKTUR]]="",INDIRECT(ADDRESS(ROW()-1,COLUMN())),NOTA[[#This Row],[FAKTUR]]))</f>
        <v>UNTANA</v>
      </c>
      <c r="AL474" s="38" t="str">
        <f ca="1">IF(NOTA[[#This Row],[ID]]="","",COUNTIF(NOTA[ID_H],NOTA[[#This Row],[ID_H]]))</f>
        <v/>
      </c>
      <c r="AM474" s="38" t="e">
        <f ca="1">IF(NOTA[[#This Row],[TGL.NOTA]]="",IF(NOTA[[#This Row],[SUPPLIER_H]]="","",AM473),MONTH(NOTA[[#This Row],[TGL.NOTA]]))</f>
        <v>#REF!</v>
      </c>
      <c r="AN474" s="38" t="str">
        <f>LOWER(SUBSTITUTE(SUBSTITUTE(SUBSTITUTE(SUBSTITUTE(SUBSTITUTE(SUBSTITUTE(SUBSTITUTE(SUBSTITUTE(SUBSTITUTE(NOTA[NAMA BARANG]," ",),".",""),"-",""),"(",""),")",""),",",""),"/",""),"""",""),"+",""))</f>
        <v>gelklikfancyloveink15</v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gelklikfancyloveink152460000</v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gelklikfancyloveink152460000</v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Row],[CONCAT4]],[2]!RAW[CONCAT_H],0),FALSE))</f>
        <v/>
      </c>
      <c r="AS474" s="38">
        <f>IF(NOTA[[#This Row],[CONCAT1]]="","",MATCH(NOTA[[#This Row],[CONCAT1]],[3]!db[NB NOTA_C],0))</f>
        <v>1033</v>
      </c>
      <c r="AT474" s="38" t="b">
        <f>IF(NOTA[[#This Row],[QTY/ CTN]]="","",TRUE)</f>
        <v>1</v>
      </c>
      <c r="AU474" s="38" t="str">
        <f ca="1">IF(NOTA[[#This Row],[ID_H]]="","",IF(NOTA[[#This Row],[Column3]]=TRUE,NOTA[[#This Row],[QTY/ CTN]],INDEX([3]!db[QTY/ CTN],NOTA[[#This Row],[//DB]])))</f>
        <v>120 LSN</v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gelklikfancyloveink15120lsnuntana</v>
      </c>
      <c r="AW474" s="38" t="e">
        <f ca="1">IF(NOTA[[#This Row],[ID_H]]="","",MATCH(NOTA[[#This Row],[NB NOTA_C_QTY]],[4]!db[NB NOTA_C_QTY+F],0))</f>
        <v>#REF!</v>
      </c>
      <c r="AX474" s="53">
        <f ca="1">IF(NOTA[[#This Row],[NB NOTA_C_QTY]]="","",ROW()-2)</f>
        <v>472</v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73</v>
      </c>
      <c r="E475" s="46"/>
      <c r="F475" s="37"/>
      <c r="G475" s="37"/>
      <c r="H475" s="47"/>
      <c r="I475" s="37"/>
      <c r="J475" s="39"/>
      <c r="K475" s="37">
        <v>0</v>
      </c>
      <c r="L475" s="37" t="s">
        <v>607</v>
      </c>
      <c r="M475" s="40">
        <v>1</v>
      </c>
      <c r="N475" s="38">
        <v>120</v>
      </c>
      <c r="O475" s="37" t="s">
        <v>111</v>
      </c>
      <c r="P475" s="41">
        <v>20500</v>
      </c>
      <c r="Q475" s="42"/>
      <c r="R475" s="48" t="s">
        <v>275</v>
      </c>
      <c r="S475" s="49"/>
      <c r="T475" s="44"/>
      <c r="U475" s="44"/>
      <c r="V475" s="50"/>
      <c r="W475" s="45"/>
      <c r="X475" s="50">
        <f>IF(NOTA[[#This Row],[HARGA/ CTN]]="",NOTA[[#This Row],[JUMLAH_H]],NOTA[[#This Row],[HARGA/ CTN]]*IF(NOTA[[#This Row],[C]]="",0,NOTA[[#This Row],[C]]))</f>
        <v>2460000</v>
      </c>
      <c r="Y475" s="50">
        <f>IF(NOTA[[#This Row],[JUMLAH]]="","",NOTA[[#This Row],[JUMLAH]]*NOTA[[#This Row],[DISC 1]])</f>
        <v>0</v>
      </c>
      <c r="Z475" s="50">
        <f>IF(NOTA[[#This Row],[JUMLAH]]="","",(NOTA[[#This Row],[JUMLAH]]-NOTA[[#This Row],[DISC 1-]])*NOTA[[#This Row],[DISC 2]])</f>
        <v>0</v>
      </c>
      <c r="AA475" s="50">
        <f>IF(NOTA[[#This Row],[JUMLAH]]="","",(NOTA[[#This Row],[JUMLAH]]-NOTA[[#This Row],[DISC 1-]]-NOTA[[#This Row],[DISC 2-]])*NOTA[[#This Row],[DISC 3]])</f>
        <v>0</v>
      </c>
      <c r="AB475" s="50">
        <f>IF(NOTA[[#This Row],[JUMLAH]]="","",NOTA[[#This Row],[DISC 1-]]+NOTA[[#This Row],[DISC 2-]]+NOTA[[#This Row],[DISC 3-]])</f>
        <v>0</v>
      </c>
      <c r="AC475" s="50">
        <f>IF(NOTA[[#This Row],[JUMLAH]]="","",NOTA[[#This Row],[JUMLAH]]-NOTA[[#This Row],[DISC]])</f>
        <v>2460000</v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75" s="50">
        <f>IF(OR(NOTA[[#This Row],[QTY]]="",NOTA[[#This Row],[HARGA SATUAN]]="",),"",NOTA[[#This Row],[QTY]]*NOTA[[#This Row],[HARGA SATUAN]])</f>
        <v>2460000</v>
      </c>
      <c r="AI475" s="39">
        <f ca="1">IF(NOTA[ID_H]="","",INDEX(NOTA[TANGGAL],MATCH(,INDIRECT(ADDRESS(ROW(NOTA[TANGGAL]),COLUMN(NOTA[TANGGAL]))&amp;":"&amp;ADDRESS(ROW(),COLUMN(NOTA[TANGGAL]))),-1)))</f>
        <v>45307</v>
      </c>
      <c r="AJ475" s="41" t="str">
        <f ca="1">IF(NOTA[[#This Row],[NAMA BARANG]]="","",INDEX(NOTA[SUPPLIER],MATCH(,INDIRECT(ADDRESS(ROW(NOTA[ID]),COLUMN(NOTA[ID]))&amp;":"&amp;ADDRESS(ROW(),COLUMN(NOTA[ID]))),-1)))</f>
        <v>DB STATIONERY</v>
      </c>
      <c r="AK475" s="41" t="str">
        <f ca="1">IF(NOTA[[#This Row],[ID_H]]="","",IF(NOTA[[#This Row],[FAKTUR]]="",INDIRECT(ADDRESS(ROW()-1,COLUMN())),NOTA[[#This Row],[FAKTUR]]))</f>
        <v>UNTANA</v>
      </c>
      <c r="AL475" s="38" t="str">
        <f ca="1">IF(NOTA[[#This Row],[ID]]="","",COUNTIF(NOTA[ID_H],NOTA[[#This Row],[ID_H]]))</f>
        <v/>
      </c>
      <c r="AM475" s="38" t="e">
        <f ca="1">IF(NOTA[[#This Row],[TGL.NOTA]]="",IF(NOTA[[#This Row],[SUPPLIER_H]]="","",AM474),MONTH(NOTA[[#This Row],[TGL.NOTA]]))</f>
        <v>#REF!</v>
      </c>
      <c r="AN475" s="38" t="str">
        <f>LOWER(SUBSTITUTE(SUBSTITUTE(SUBSTITUTE(SUBSTITUTE(SUBSTITUTE(SUBSTITUTE(SUBSTITUTE(SUBSTITUTE(SUBSTITUTE(NOTA[NAMA BARANG]," ",),".",""),"-",""),"(",""),")",""),",",""),"/",""),"""",""),"+",""))</f>
        <v>gelklikfancyloveink17</v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gelklikfancyloveink172460000</v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gelklikfancyloveink172460000</v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>
        <f>IF(NOTA[[#This Row],[CONCAT1]]="","",MATCH(NOTA[[#This Row],[CONCAT1]],[3]!db[NB NOTA_C],0))</f>
        <v>1032</v>
      </c>
      <c r="AT475" s="38" t="b">
        <f>IF(NOTA[[#This Row],[QTY/ CTN]]="","",TRUE)</f>
        <v>1</v>
      </c>
      <c r="AU475" s="38" t="str">
        <f ca="1">IF(NOTA[[#This Row],[ID_H]]="","",IF(NOTA[[#This Row],[Column3]]=TRUE,NOTA[[#This Row],[QTY/ CTN]],INDEX([3]!db[QTY/ CTN],NOTA[[#This Row],[//DB]])))</f>
        <v>120 LSN</v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gelklikfancyloveink17120lsnuntana</v>
      </c>
      <c r="AW475" s="38" t="e">
        <f ca="1">IF(NOTA[[#This Row],[ID_H]]="","",MATCH(NOTA[[#This Row],[NB NOTA_C_QTY]],[4]!db[NB NOTA_C_QTY+F],0))</f>
        <v>#REF!</v>
      </c>
      <c r="AX475" s="53">
        <f ca="1">IF(NOTA[[#This Row],[NB NOTA_C_QTY]]="","",ROW()-2)</f>
        <v>473</v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73</v>
      </c>
      <c r="E476" s="46"/>
      <c r="F476" s="37"/>
      <c r="G476" s="37"/>
      <c r="H476" s="47"/>
      <c r="I476" s="37"/>
      <c r="J476" s="39"/>
      <c r="K476" s="37">
        <v>0</v>
      </c>
      <c r="L476" s="37" t="s">
        <v>608</v>
      </c>
      <c r="M476" s="40">
        <v>1</v>
      </c>
      <c r="N476" s="38">
        <v>288</v>
      </c>
      <c r="O476" s="37" t="s">
        <v>115</v>
      </c>
      <c r="P476" s="41">
        <v>6000</v>
      </c>
      <c r="Q476" s="42"/>
      <c r="R476" s="48" t="s">
        <v>609</v>
      </c>
      <c r="S476" s="49"/>
      <c r="T476" s="44"/>
      <c r="U476" s="44"/>
      <c r="V476" s="50"/>
      <c r="W476" s="45"/>
      <c r="X476" s="50">
        <f>IF(NOTA[[#This Row],[HARGA/ CTN]]="",NOTA[[#This Row],[JUMLAH_H]],NOTA[[#This Row],[HARGA/ CTN]]*IF(NOTA[[#This Row],[C]]="",0,NOTA[[#This Row],[C]]))</f>
        <v>1728000</v>
      </c>
      <c r="Y476" s="50">
        <f>IF(NOTA[[#This Row],[JUMLAH]]="","",NOTA[[#This Row],[JUMLAH]]*NOTA[[#This Row],[DISC 1]])</f>
        <v>0</v>
      </c>
      <c r="Z476" s="50">
        <f>IF(NOTA[[#This Row],[JUMLAH]]="","",(NOTA[[#This Row],[JUMLAH]]-NOTA[[#This Row],[DISC 1-]])*NOTA[[#This Row],[DISC 2]])</f>
        <v>0</v>
      </c>
      <c r="AA476" s="50">
        <f>IF(NOTA[[#This Row],[JUMLAH]]="","",(NOTA[[#This Row],[JUMLAH]]-NOTA[[#This Row],[DISC 1-]]-NOTA[[#This Row],[DISC 2-]])*NOTA[[#This Row],[DISC 3]])</f>
        <v>0</v>
      </c>
      <c r="AB476" s="50">
        <f>IF(NOTA[[#This Row],[JUMLAH]]="","",NOTA[[#This Row],[DISC 1-]]+NOTA[[#This Row],[DISC 2-]]+NOTA[[#This Row],[DISC 3-]])</f>
        <v>0</v>
      </c>
      <c r="AC476" s="50">
        <f>IF(NOTA[[#This Row],[JUMLAH]]="","",NOTA[[#This Row],[JUMLAH]]-NOTA[[#This Row],[DISC]])</f>
        <v>1728000</v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476" s="50">
        <f>IF(OR(NOTA[[#This Row],[QTY]]="",NOTA[[#This Row],[HARGA SATUAN]]="",),"",NOTA[[#This Row],[QTY]]*NOTA[[#This Row],[HARGA SATUAN]])</f>
        <v>1728000</v>
      </c>
      <c r="AI476" s="39">
        <f ca="1">IF(NOTA[ID_H]="","",INDEX(NOTA[TANGGAL],MATCH(,INDIRECT(ADDRESS(ROW(NOTA[TANGGAL]),COLUMN(NOTA[TANGGAL]))&amp;":"&amp;ADDRESS(ROW(),COLUMN(NOTA[TANGGAL]))),-1)))</f>
        <v>45307</v>
      </c>
      <c r="AJ476" s="41" t="str">
        <f ca="1">IF(NOTA[[#This Row],[NAMA BARANG]]="","",INDEX(NOTA[SUPPLIER],MATCH(,INDIRECT(ADDRESS(ROW(NOTA[ID]),COLUMN(NOTA[ID]))&amp;":"&amp;ADDRESS(ROW(),COLUMN(NOTA[ID]))),-1)))</f>
        <v>DB STATIONERY</v>
      </c>
      <c r="AK476" s="41" t="str">
        <f ca="1">IF(NOTA[[#This Row],[ID_H]]="","",IF(NOTA[[#This Row],[FAKTUR]]="",INDIRECT(ADDRESS(ROW()-1,COLUMN())),NOTA[[#This Row],[FAKTUR]]))</f>
        <v>UNTANA</v>
      </c>
      <c r="AL476" s="38" t="str">
        <f ca="1">IF(NOTA[[#This Row],[ID]]="","",COUNTIF(NOTA[ID_H],NOTA[[#This Row],[ID_H]]))</f>
        <v/>
      </c>
      <c r="AM476" s="38" t="e">
        <f ca="1">IF(NOTA[[#This Row],[TGL.NOTA]]="",IF(NOTA[[#This Row],[SUPPLIER_H]]="","",AM475),MONTH(NOTA[[#This Row],[TGL.NOTA]]))</f>
        <v>#REF!</v>
      </c>
      <c r="AN476" s="38" t="str">
        <f>LOWER(SUBSTITUTE(SUBSTITUTE(SUBSTITUTE(SUBSTITUTE(SUBSTITUTE(SUBSTITUTE(SUBSTITUTE(SUBSTITUTE(SUBSTITUTE(NOTA[NAMA BARANG]," ",),".",""),"-",""),"(",""),")",""),",",""),"/",""),"""",""),"+",""))</f>
        <v>jangkabesidbc4001</v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jangkabesidbc40011728000</v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jangkabesidbc40011728000</v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>
        <f>IF(NOTA[[#This Row],[CONCAT1]]="","",MATCH(NOTA[[#This Row],[CONCAT1]],[3]!db[NB NOTA_C],0))</f>
        <v>1439</v>
      </c>
      <c r="AT476" s="38" t="b">
        <f>IF(NOTA[[#This Row],[QTY/ CTN]]="","",TRUE)</f>
        <v>1</v>
      </c>
      <c r="AU476" s="38" t="str">
        <f ca="1">IF(NOTA[[#This Row],[ID_H]]="","",IF(NOTA[[#This Row],[Column3]]=TRUE,NOTA[[#This Row],[QTY/ CTN]],INDEX([3]!db[QTY/ CTN],NOTA[[#This Row],[//DB]])))</f>
        <v>288 PCS</v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jangkabesidbc4001288pcsuntana</v>
      </c>
      <c r="AW476" s="38" t="e">
        <f ca="1">IF(NOTA[[#This Row],[ID_H]]="","",MATCH(NOTA[[#This Row],[NB NOTA_C_QTY]],[4]!db[NB NOTA_C_QTY+F],0))</f>
        <v>#REF!</v>
      </c>
      <c r="AX476" s="53">
        <f ca="1">IF(NOTA[[#This Row],[NB NOTA_C_QTY]]="","",ROW()-2)</f>
        <v>474</v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73</v>
      </c>
      <c r="E477" s="46"/>
      <c r="F477" s="37"/>
      <c r="G477" s="37"/>
      <c r="H477" s="47"/>
      <c r="I477" s="37"/>
      <c r="J477" s="39"/>
      <c r="K477" s="37">
        <v>1</v>
      </c>
      <c r="L477" s="37" t="s">
        <v>610</v>
      </c>
      <c r="M477" s="40">
        <v>2</v>
      </c>
      <c r="N477" s="38">
        <v>288</v>
      </c>
      <c r="O477" s="37" t="s">
        <v>111</v>
      </c>
      <c r="P477" s="41">
        <v>21000</v>
      </c>
      <c r="Q477" s="42"/>
      <c r="R477" s="48" t="s">
        <v>597</v>
      </c>
      <c r="S477" s="49"/>
      <c r="T477" s="44"/>
      <c r="U477" s="44"/>
      <c r="V477" s="50"/>
      <c r="W477" s="45"/>
      <c r="X477" s="50">
        <f>IF(NOTA[[#This Row],[HARGA/ CTN]]="",NOTA[[#This Row],[JUMLAH_H]],NOTA[[#This Row],[HARGA/ CTN]]*IF(NOTA[[#This Row],[C]]="",0,NOTA[[#This Row],[C]]))</f>
        <v>6048000</v>
      </c>
      <c r="Y477" s="50">
        <f>IF(NOTA[[#This Row],[JUMLAH]]="","",NOTA[[#This Row],[JUMLAH]]*NOTA[[#This Row],[DISC 1]])</f>
        <v>0</v>
      </c>
      <c r="Z477" s="50">
        <f>IF(NOTA[[#This Row],[JUMLAH]]="","",(NOTA[[#This Row],[JUMLAH]]-NOTA[[#This Row],[DISC 1-]])*NOTA[[#This Row],[DISC 2]])</f>
        <v>0</v>
      </c>
      <c r="AA477" s="50">
        <f>IF(NOTA[[#This Row],[JUMLAH]]="","",(NOTA[[#This Row],[JUMLAH]]-NOTA[[#This Row],[DISC 1-]]-NOTA[[#This Row],[DISC 2-]])*NOTA[[#This Row],[DISC 3]])</f>
        <v>0</v>
      </c>
      <c r="AB477" s="50">
        <f>IF(NOTA[[#This Row],[JUMLAH]]="","",NOTA[[#This Row],[DISC 1-]]+NOTA[[#This Row],[DISC 2-]]+NOTA[[#This Row],[DISC 3-]])</f>
        <v>0</v>
      </c>
      <c r="AC477" s="50">
        <f>IF(NOTA[[#This Row],[JUMLAH]]="","",NOTA[[#This Row],[JUMLAH]]-NOTA[[#This Row],[DISC]])</f>
        <v>6048000</v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77" s="50">
        <f>IF(OR(NOTA[[#This Row],[QTY]]="",NOTA[[#This Row],[HARGA SATUAN]]="",),"",NOTA[[#This Row],[QTY]]*NOTA[[#This Row],[HARGA SATUAN]])</f>
        <v>6048000</v>
      </c>
      <c r="AI477" s="39">
        <f ca="1">IF(NOTA[ID_H]="","",INDEX(NOTA[TANGGAL],MATCH(,INDIRECT(ADDRESS(ROW(NOTA[TANGGAL]),COLUMN(NOTA[TANGGAL]))&amp;":"&amp;ADDRESS(ROW(),COLUMN(NOTA[TANGGAL]))),-1)))</f>
        <v>45307</v>
      </c>
      <c r="AJ477" s="41" t="str">
        <f ca="1">IF(NOTA[[#This Row],[NAMA BARANG]]="","",INDEX(NOTA[SUPPLIER],MATCH(,INDIRECT(ADDRESS(ROW(NOTA[ID]),COLUMN(NOTA[ID]))&amp;":"&amp;ADDRESS(ROW(),COLUMN(NOTA[ID]))),-1)))</f>
        <v>DB STATIONERY</v>
      </c>
      <c r="AK477" s="41" t="str">
        <f ca="1">IF(NOTA[[#This Row],[ID_H]]="","",IF(NOTA[[#This Row],[FAKTUR]]="",INDIRECT(ADDRESS(ROW()-1,COLUMN())),NOTA[[#This Row],[FAKTUR]]))</f>
        <v>UNTANA</v>
      </c>
      <c r="AL477" s="38" t="str">
        <f ca="1">IF(NOTA[[#This Row],[ID]]="","",COUNTIF(NOTA[ID_H],NOTA[[#This Row],[ID_H]]))</f>
        <v/>
      </c>
      <c r="AM477" s="38" t="e">
        <f ca="1">IF(NOTA[[#This Row],[TGL.NOTA]]="",IF(NOTA[[#This Row],[SUPPLIER_H]]="","",AM476),MONTH(NOTA[[#This Row],[TGL.NOTA]]))</f>
        <v>#REF!</v>
      </c>
      <c r="AN477" s="38" t="str">
        <f>LOWER(SUBSTITUTE(SUBSTITUTE(SUBSTITUTE(SUBSTITUTE(SUBSTITUTE(SUBSTITUTE(SUBSTITUTE(SUBSTITUTE(SUBSTITUTE(NOTA[NAMA BARANG]," ",),".",""),"-",""),"(",""),")",""),",",""),"/",""),"""",""),"+",""))</f>
        <v>geltizotg31220</v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>
        <f>IF(NOTA[[#This Row],[CONCAT1]]="","",MATCH(NOTA[[#This Row],[CONCAT1]],[3]!db[NB NOTA_C],0))</f>
        <v>1218</v>
      </c>
      <c r="AT477" s="38" t="b">
        <f>IF(NOTA[[#This Row],[QTY/ CTN]]="","",TRUE)</f>
        <v>1</v>
      </c>
      <c r="AU477" s="38" t="str">
        <f ca="1">IF(NOTA[[#This Row],[ID_H]]="","",IF(NOTA[[#This Row],[Column3]]=TRUE,NOTA[[#This Row],[QTY/ CTN]],INDEX([3]!db[QTY/ CTN],NOTA[[#This Row],[//DB]])))</f>
        <v>144 LSN</v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geltizotg31220144lsnuntana</v>
      </c>
      <c r="AW477" s="38" t="e">
        <f ca="1">IF(NOTA[[#This Row],[ID_H]]="","",MATCH(NOTA[[#This Row],[NB NOTA_C_QTY]],[4]!db[NB NOTA_C_QTY+F],0))</f>
        <v>#REF!</v>
      </c>
      <c r="AX477" s="53">
        <f ca="1">IF(NOTA[[#This Row],[NB NOTA_C_QTY]]="","",ROW()-2)</f>
        <v>475</v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73</v>
      </c>
      <c r="E478" s="46"/>
      <c r="F478" s="37"/>
      <c r="G478" s="37"/>
      <c r="H478" s="47"/>
      <c r="I478" s="37"/>
      <c r="J478" s="39"/>
      <c r="K478" s="37"/>
      <c r="L478" s="37" t="s">
        <v>611</v>
      </c>
      <c r="M478" s="40">
        <v>2</v>
      </c>
      <c r="N478" s="38">
        <v>240</v>
      </c>
      <c r="O478" s="37" t="s">
        <v>111</v>
      </c>
      <c r="P478" s="41">
        <v>25500</v>
      </c>
      <c r="Q478" s="42"/>
      <c r="R478" s="48" t="s">
        <v>275</v>
      </c>
      <c r="S478" s="49"/>
      <c r="T478" s="44"/>
      <c r="U478" s="44"/>
      <c r="V478" s="50"/>
      <c r="W478" s="45"/>
      <c r="X478" s="50">
        <f>IF(NOTA[[#This Row],[HARGA/ CTN]]="",NOTA[[#This Row],[JUMLAH_H]],NOTA[[#This Row],[HARGA/ CTN]]*IF(NOTA[[#This Row],[C]]="",0,NOTA[[#This Row],[C]]))</f>
        <v>6120000</v>
      </c>
      <c r="Y478" s="50">
        <f>IF(NOTA[[#This Row],[JUMLAH]]="","",NOTA[[#This Row],[JUMLAH]]*NOTA[[#This Row],[DISC 1]])</f>
        <v>0</v>
      </c>
      <c r="Z478" s="50">
        <f>IF(NOTA[[#This Row],[JUMLAH]]="","",(NOTA[[#This Row],[JUMLAH]]-NOTA[[#This Row],[DISC 1-]])*NOTA[[#This Row],[DISC 2]])</f>
        <v>0</v>
      </c>
      <c r="AA478" s="50">
        <f>IF(NOTA[[#This Row],[JUMLAH]]="","",(NOTA[[#This Row],[JUMLAH]]-NOTA[[#This Row],[DISC 1-]]-NOTA[[#This Row],[DISC 2-]])*NOTA[[#This Row],[DISC 3]])</f>
        <v>0</v>
      </c>
      <c r="AB478" s="50">
        <f>IF(NOTA[[#This Row],[JUMLAH]]="","",NOTA[[#This Row],[DISC 1-]]+NOTA[[#This Row],[DISC 2-]]+NOTA[[#This Row],[DISC 3-]])</f>
        <v>0</v>
      </c>
      <c r="AC478" s="50">
        <f>IF(NOTA[[#This Row],[JUMLAH]]="","",NOTA[[#This Row],[JUMLAH]]-NOTA[[#This Row],[DISC]])</f>
        <v>6120000</v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478" s="50">
        <f>IF(OR(NOTA[[#This Row],[QTY]]="",NOTA[[#This Row],[HARGA SATUAN]]="",),"",NOTA[[#This Row],[QTY]]*NOTA[[#This Row],[HARGA SATUAN]])</f>
        <v>6120000</v>
      </c>
      <c r="AI478" s="39">
        <f ca="1">IF(NOTA[ID_H]="","",INDEX(NOTA[TANGGAL],MATCH(,INDIRECT(ADDRESS(ROW(NOTA[TANGGAL]),COLUMN(NOTA[TANGGAL]))&amp;":"&amp;ADDRESS(ROW(),COLUMN(NOTA[TANGGAL]))),-1)))</f>
        <v>45307</v>
      </c>
      <c r="AJ478" s="41" t="str">
        <f ca="1">IF(NOTA[[#This Row],[NAMA BARANG]]="","",INDEX(NOTA[SUPPLIER],MATCH(,INDIRECT(ADDRESS(ROW(NOTA[ID]),COLUMN(NOTA[ID]))&amp;":"&amp;ADDRESS(ROW(),COLUMN(NOTA[ID]))),-1)))</f>
        <v>DB STATIONERY</v>
      </c>
      <c r="AK478" s="41" t="str">
        <f ca="1">IF(NOTA[[#This Row],[ID_H]]="","",IF(NOTA[[#This Row],[FAKTUR]]="",INDIRECT(ADDRESS(ROW()-1,COLUMN())),NOTA[[#This Row],[FAKTUR]]))</f>
        <v>UNTANA</v>
      </c>
      <c r="AL478" s="38" t="str">
        <f ca="1">IF(NOTA[[#This Row],[ID]]="","",COUNTIF(NOTA[ID_H],NOTA[[#This Row],[ID_H]]))</f>
        <v/>
      </c>
      <c r="AM478" s="38" t="e">
        <f ca="1">IF(NOTA[[#This Row],[TGL.NOTA]]="",IF(NOTA[[#This Row],[SUPPLIER_H]]="","",AM477),MONTH(NOTA[[#This Row],[TGL.NOTA]]))</f>
        <v>#REF!</v>
      </c>
      <c r="AN478" s="38" t="str">
        <f>LOWER(SUBSTITUTE(SUBSTITUTE(SUBSTITUTE(SUBSTITUTE(SUBSTITUTE(SUBSTITUTE(SUBSTITUTE(SUBSTITUTE(SUBSTITUTE(NOTA[NAMA BARANG]," ",),".",""),"-",""),"(",""),")",""),",",""),"/",""),"""",""),"+",""))</f>
        <v>geldebozz05dbg05</v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>
        <f>IF(NOTA[[#This Row],[CONCAT1]]="","",MATCH(NOTA[[#This Row],[CONCAT1]],[3]!db[NB NOTA_C],0))</f>
        <v>1019</v>
      </c>
      <c r="AT478" s="38" t="b">
        <f>IF(NOTA[[#This Row],[QTY/ CTN]]="","",TRUE)</f>
        <v>1</v>
      </c>
      <c r="AU478" s="38" t="str">
        <f ca="1">IF(NOTA[[#This Row],[ID_H]]="","",IF(NOTA[[#This Row],[Column3]]=TRUE,NOTA[[#This Row],[QTY/ CTN]],INDEX([3]!db[QTY/ CTN],NOTA[[#This Row],[//DB]])))</f>
        <v>120 LSN</v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geldebozz05dbg05120lsnuntana</v>
      </c>
      <c r="AW478" s="38" t="e">
        <f ca="1">IF(NOTA[[#This Row],[ID_H]]="","",MATCH(NOTA[[#This Row],[NB NOTA_C_QTY]],[4]!db[NB NOTA_C_QTY+F],0))</f>
        <v>#REF!</v>
      </c>
      <c r="AX478" s="53">
        <f ca="1">IF(NOTA[[#This Row],[NB NOTA_C_QTY]]="","",ROW()-2)</f>
        <v>476</v>
      </c>
    </row>
    <row r="479" spans="1:50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>
        <f ca="1">IF(NOTA[[#This Row],[NAMA BARANG]]="","",INDEX(NOTA[ID],MATCH(,INDIRECT(ADDRESS(ROW(NOTA[ID]),COLUMN(NOTA[ID]))&amp;":"&amp;ADDRESS(ROW(),COLUMN(NOTA[ID]))),-1)))</f>
        <v>73</v>
      </c>
      <c r="E479" s="46"/>
      <c r="F479" s="37"/>
      <c r="G479" s="37"/>
      <c r="H479" s="47"/>
      <c r="I479" s="37"/>
      <c r="J479" s="39"/>
      <c r="K479" s="37">
        <v>1</v>
      </c>
      <c r="L479" s="37" t="s">
        <v>612</v>
      </c>
      <c r="M479" s="40">
        <v>5</v>
      </c>
      <c r="N479" s="38">
        <v>720</v>
      </c>
      <c r="O479" s="37" t="s">
        <v>111</v>
      </c>
      <c r="P479" s="41">
        <v>21000</v>
      </c>
      <c r="Q479" s="42"/>
      <c r="R479" s="48" t="s">
        <v>597</v>
      </c>
      <c r="S479" s="49"/>
      <c r="T479" s="44"/>
      <c r="U479" s="44"/>
      <c r="V479" s="50"/>
      <c r="W479" s="45"/>
      <c r="X479" s="50">
        <f>IF(NOTA[[#This Row],[HARGA/ CTN]]="",NOTA[[#This Row],[JUMLAH_H]],NOTA[[#This Row],[HARGA/ CTN]]*IF(NOTA[[#This Row],[C]]="",0,NOTA[[#This Row],[C]]))</f>
        <v>15120000</v>
      </c>
      <c r="Y479" s="50">
        <f>IF(NOTA[[#This Row],[JUMLAH]]="","",NOTA[[#This Row],[JUMLAH]]*NOTA[[#This Row],[DISC 1]])</f>
        <v>0</v>
      </c>
      <c r="Z479" s="50">
        <f>IF(NOTA[[#This Row],[JUMLAH]]="","",(NOTA[[#This Row],[JUMLAH]]-NOTA[[#This Row],[DISC 1-]])*NOTA[[#This Row],[DISC 2]])</f>
        <v>0</v>
      </c>
      <c r="AA479" s="50">
        <f>IF(NOTA[[#This Row],[JUMLAH]]="","",(NOTA[[#This Row],[JUMLAH]]-NOTA[[#This Row],[DISC 1-]]-NOTA[[#This Row],[DISC 2-]])*NOTA[[#This Row],[DISC 3]])</f>
        <v>0</v>
      </c>
      <c r="AB479" s="50">
        <f>IF(NOTA[[#This Row],[JUMLAH]]="","",NOTA[[#This Row],[DISC 1-]]+NOTA[[#This Row],[DISC 2-]]+NOTA[[#This Row],[DISC 3-]])</f>
        <v>0</v>
      </c>
      <c r="AC479" s="50">
        <f>IF(NOTA[[#This Row],[JUMLAH]]="","",NOTA[[#This Row],[JUMLAH]]-NOTA[[#This Row],[DISC]])</f>
        <v>15120000</v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79" s="50">
        <f>IF(OR(NOTA[[#This Row],[QTY]]="",NOTA[[#This Row],[HARGA SATUAN]]="",),"",NOTA[[#This Row],[QTY]]*NOTA[[#This Row],[HARGA SATUAN]])</f>
        <v>15120000</v>
      </c>
      <c r="AI479" s="39">
        <f ca="1">IF(NOTA[ID_H]="","",INDEX(NOTA[TANGGAL],MATCH(,INDIRECT(ADDRESS(ROW(NOTA[TANGGAL]),COLUMN(NOTA[TANGGAL]))&amp;":"&amp;ADDRESS(ROW(),COLUMN(NOTA[TANGGAL]))),-1)))</f>
        <v>45307</v>
      </c>
      <c r="AJ479" s="41" t="str">
        <f ca="1">IF(NOTA[[#This Row],[NAMA BARANG]]="","",INDEX(NOTA[SUPPLIER],MATCH(,INDIRECT(ADDRESS(ROW(NOTA[ID]),COLUMN(NOTA[ID]))&amp;":"&amp;ADDRESS(ROW(),COLUMN(NOTA[ID]))),-1)))</f>
        <v>DB STATIONERY</v>
      </c>
      <c r="AK479" s="41" t="str">
        <f ca="1">IF(NOTA[[#This Row],[ID_H]]="","",IF(NOTA[[#This Row],[FAKTUR]]="",INDIRECT(ADDRESS(ROW()-1,COLUMN())),NOTA[[#This Row],[FAKTUR]]))</f>
        <v>UNTANA</v>
      </c>
      <c r="AL479" s="38" t="str">
        <f ca="1">IF(NOTA[[#This Row],[ID]]="","",COUNTIF(NOTA[ID_H],NOTA[[#This Row],[ID_H]]))</f>
        <v/>
      </c>
      <c r="AM479" s="38" t="e">
        <f ca="1">IF(NOTA[[#This Row],[TGL.NOTA]]="",IF(NOTA[[#This Row],[SUPPLIER_H]]="","",AM478),MONTH(NOTA[[#This Row],[TGL.NOTA]]))</f>
        <v>#REF!</v>
      </c>
      <c r="AN479" s="38" t="str">
        <f>LOWER(SUBSTITUTE(SUBSTITUTE(SUBSTITUTE(SUBSTITUTE(SUBSTITUTE(SUBSTITUTE(SUBSTITUTE(SUBSTITUTE(SUBSTITUTE(NOTA[NAMA BARANG]," ",),".",""),"-",""),"(",""),")",""),",",""),"/",""),"""",""),"+",""))</f>
        <v>geldebozz028hiqdbgp800</v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geldebozz028hiqdbgp8003024000</v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geldebozz028hiqdbgp8003024000</v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38" t="str">
        <f>IF(NOTA[[#This Row],[CONCAT4]]="","",_xlfn.IFNA(MATCH(NOTA[[#This Row],[CONCAT4]],[2]!RAW[CONCAT_H],0),FALSE))</f>
        <v/>
      </c>
      <c r="AS479" s="38" t="e">
        <f>IF(NOTA[[#This Row],[CONCAT1]]="","",MATCH(NOTA[[#This Row],[CONCAT1]],[3]!db[NB NOTA_C],0))</f>
        <v>#N/A</v>
      </c>
      <c r="AT479" s="38" t="b">
        <f>IF(NOTA[[#This Row],[QTY/ CTN]]="","",TRUE)</f>
        <v>1</v>
      </c>
      <c r="AU479" s="38" t="str">
        <f ca="1">IF(NOTA[[#This Row],[ID_H]]="","",IF(NOTA[[#This Row],[Column3]]=TRUE,NOTA[[#This Row],[QTY/ CTN]],INDEX([3]!db[QTY/ CTN],NOTA[[#This Row],[//DB]])))</f>
        <v>144 LSN</v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geldebozz028hiqdbgp800144lsnuntana</v>
      </c>
      <c r="AW479" s="38" t="e">
        <f ca="1">IF(NOTA[[#This Row],[ID_H]]="","",MATCH(NOTA[[#This Row],[NB NOTA_C_QTY]],[4]!db[NB NOTA_C_QTY+F],0))</f>
        <v>#REF!</v>
      </c>
      <c r="AX479" s="53">
        <f ca="1">IF(NOTA[[#This Row],[NB NOTA_C_QTY]]="","",ROW()-2)</f>
        <v>477</v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>
        <f ca="1">IF(NOTA[[#This Row],[NAMA BARANG]]="","",INDEX(NOTA[ID],MATCH(,INDIRECT(ADDRESS(ROW(NOTA[ID]),COLUMN(NOTA[ID]))&amp;":"&amp;ADDRESS(ROW(),COLUMN(NOTA[ID]))),-1)))</f>
        <v>73</v>
      </c>
      <c r="E480" s="46"/>
      <c r="F480" s="37"/>
      <c r="G480" s="37"/>
      <c r="H480" s="47"/>
      <c r="I480" s="37"/>
      <c r="J480" s="39"/>
      <c r="K480" s="37">
        <v>1</v>
      </c>
      <c r="L480" s="37" t="s">
        <v>613</v>
      </c>
      <c r="M480" s="40"/>
      <c r="N480" s="38">
        <v>72</v>
      </c>
      <c r="O480" s="37" t="s">
        <v>111</v>
      </c>
      <c r="P480" s="41"/>
      <c r="Q480" s="42"/>
      <c r="R480" s="48"/>
      <c r="S480" s="49"/>
      <c r="T480" s="44"/>
      <c r="U480" s="44"/>
      <c r="V480" s="50"/>
      <c r="W480" s="45" t="s">
        <v>250</v>
      </c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80" s="50" t="str">
        <f>IF(OR(NOTA[[#This Row],[QTY]]="",NOTA[[#This Row],[HARGA SATUAN]]="",),"",NOTA[[#This Row],[QTY]]*NOTA[[#This Row],[HARGA SATUAN]])</f>
        <v/>
      </c>
      <c r="AI480" s="39">
        <f ca="1">IF(NOTA[ID_H]="","",INDEX(NOTA[TANGGAL],MATCH(,INDIRECT(ADDRESS(ROW(NOTA[TANGGAL]),COLUMN(NOTA[TANGGAL]))&amp;":"&amp;ADDRESS(ROW(),COLUMN(NOTA[TANGGAL]))),-1)))</f>
        <v>45307</v>
      </c>
      <c r="AJ480" s="41" t="str">
        <f ca="1">IF(NOTA[[#This Row],[NAMA BARANG]]="","",INDEX(NOTA[SUPPLIER],MATCH(,INDIRECT(ADDRESS(ROW(NOTA[ID]),COLUMN(NOTA[ID]))&amp;":"&amp;ADDRESS(ROW(),COLUMN(NOTA[ID]))),-1)))</f>
        <v>DB STATIONERY</v>
      </c>
      <c r="AK480" s="41" t="str">
        <f ca="1">IF(NOTA[[#This Row],[ID_H]]="","",IF(NOTA[[#This Row],[FAKTUR]]="",INDIRECT(ADDRESS(ROW()-1,COLUMN())),NOTA[[#This Row],[FAKTUR]]))</f>
        <v>UNTANA</v>
      </c>
      <c r="AL480" s="38" t="str">
        <f ca="1">IF(NOTA[[#This Row],[ID]]="","",COUNTIF(NOTA[ID_H],NOTA[[#This Row],[ID_H]]))</f>
        <v/>
      </c>
      <c r="AM480" s="38" t="e">
        <f ca="1">IF(NOTA[[#This Row],[TGL.NOTA]]="",IF(NOTA[[#This Row],[SUPPLIER_H]]="","",AM479),MONTH(NOTA[[#This Row],[TGL.NOTA]]))</f>
        <v>#REF!</v>
      </c>
      <c r="AN480" s="38" t="str">
        <f>LOWER(SUBSTITUTE(SUBSTITUTE(SUBSTITUTE(SUBSTITUTE(SUBSTITUTE(SUBSTITUTE(SUBSTITUTE(SUBSTITUTE(SUBSTITUTE(NOTA[NAMA BARANG]," ",),".",""),"-",""),"(",""),")",""),",",""),"/",""),"""",""),"+",""))</f>
        <v>geldebozz028birudbgp800bl</v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geldebozz028birudbgp800bl0</v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geldebozz028birudbgp800bl0</v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e">
        <f>IF(NOTA[[#This Row],[CONCAT1]]="","",MATCH(NOTA[[#This Row],[CONCAT1]],[3]!db[NB NOTA_C],0))</f>
        <v>#N/A</v>
      </c>
      <c r="AT480" s="38" t="str">
        <f>IF(NOTA[[#This Row],[QTY/ CTN]]="","",TRUE)</f>
        <v/>
      </c>
      <c r="AU480" s="38" t="e">
        <f ca="1">IF(NOTA[[#This Row],[ID_H]]="","",IF(NOTA[[#This Row],[Column3]]=TRUE,NOTA[[#This Row],[QTY/ CTN]],INDEX([3]!db[QTY/ CTN],NOTA[[#This Row],[//DB]])))</f>
        <v>#N/A</v>
      </c>
      <c r="AV48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80" s="38" t="e">
        <f ca="1">IF(NOTA[[#This Row],[ID_H]]="","",MATCH(NOTA[[#This Row],[NB NOTA_C_QTY]],[4]!db[NB NOTA_C_QTY+F],0))</f>
        <v>#N/A</v>
      </c>
      <c r="AX480" s="53" t="e">
        <f ca="1">IF(NOTA[[#This Row],[NB NOTA_C_QTY]]="","",ROW()-2)</f>
        <v>#N/A</v>
      </c>
    </row>
    <row r="481" spans="1:50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>
        <f ca="1">IF(NOTA[[#This Row],[NAMA BARANG]]="","",INDEX(NOTA[ID],MATCH(,INDIRECT(ADDRESS(ROW(NOTA[ID]),COLUMN(NOTA[ID]))&amp;":"&amp;ADDRESS(ROW(),COLUMN(NOTA[ID]))),-1)))</f>
        <v>73</v>
      </c>
      <c r="E481" s="46"/>
      <c r="F481" s="37"/>
      <c r="G481" s="37"/>
      <c r="H481" s="47"/>
      <c r="I481" s="37"/>
      <c r="J481" s="39"/>
      <c r="K481" s="37"/>
      <c r="L481" s="37" t="s">
        <v>614</v>
      </c>
      <c r="M481" s="40">
        <v>4</v>
      </c>
      <c r="N481" s="38">
        <v>384</v>
      </c>
      <c r="O481" s="37" t="s">
        <v>111</v>
      </c>
      <c r="P481" s="41">
        <v>9500</v>
      </c>
      <c r="Q481" s="42"/>
      <c r="R481" s="48" t="s">
        <v>403</v>
      </c>
      <c r="S481" s="49"/>
      <c r="T481" s="44"/>
      <c r="U481" s="44"/>
      <c r="V481" s="50"/>
      <c r="W481" s="45"/>
      <c r="X481" s="50">
        <f>IF(NOTA[[#This Row],[HARGA/ CTN]]="",NOTA[[#This Row],[JUMLAH_H]],NOTA[[#This Row],[HARGA/ CTN]]*IF(NOTA[[#This Row],[C]]="",0,NOTA[[#This Row],[C]]))</f>
        <v>3648000</v>
      </c>
      <c r="Y481" s="50">
        <f>IF(NOTA[[#This Row],[JUMLAH]]="","",NOTA[[#This Row],[JUMLAH]]*NOTA[[#This Row],[DISC 1]])</f>
        <v>0</v>
      </c>
      <c r="Z481" s="50">
        <f>IF(NOTA[[#This Row],[JUMLAH]]="","",(NOTA[[#This Row],[JUMLAH]]-NOTA[[#This Row],[DISC 1-]])*NOTA[[#This Row],[DISC 2]])</f>
        <v>0</v>
      </c>
      <c r="AA481" s="50">
        <f>IF(NOTA[[#This Row],[JUMLAH]]="","",(NOTA[[#This Row],[JUMLAH]]-NOTA[[#This Row],[DISC 1-]]-NOTA[[#This Row],[DISC 2-]])*NOTA[[#This Row],[DISC 3]])</f>
        <v>0</v>
      </c>
      <c r="AB481" s="50">
        <f>IF(NOTA[[#This Row],[JUMLAH]]="","",NOTA[[#This Row],[DISC 1-]]+NOTA[[#This Row],[DISC 2-]]+NOTA[[#This Row],[DISC 3-]])</f>
        <v>0</v>
      </c>
      <c r="AC481" s="50">
        <f>IF(NOTA[[#This Row],[JUMLAH]]="","",NOTA[[#This Row],[JUMLAH]]-NOTA[[#This Row],[DISC]])</f>
        <v>3648000</v>
      </c>
      <c r="AD481" s="50"/>
      <c r="AE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77976000</v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H481" s="50">
        <f>IF(OR(NOTA[[#This Row],[QTY]]="",NOTA[[#This Row],[HARGA SATUAN]]="",),"",NOTA[[#This Row],[QTY]]*NOTA[[#This Row],[HARGA SATUAN]])</f>
        <v>3648000</v>
      </c>
      <c r="AI481" s="39">
        <f ca="1">IF(NOTA[ID_H]="","",INDEX(NOTA[TANGGAL],MATCH(,INDIRECT(ADDRESS(ROW(NOTA[TANGGAL]),COLUMN(NOTA[TANGGAL]))&amp;":"&amp;ADDRESS(ROW(),COLUMN(NOTA[TANGGAL]))),-1)))</f>
        <v>45307</v>
      </c>
      <c r="AJ481" s="41" t="str">
        <f ca="1">IF(NOTA[[#This Row],[NAMA BARANG]]="","",INDEX(NOTA[SUPPLIER],MATCH(,INDIRECT(ADDRESS(ROW(NOTA[ID]),COLUMN(NOTA[ID]))&amp;":"&amp;ADDRESS(ROW(),COLUMN(NOTA[ID]))),-1)))</f>
        <v>DB STATIONERY</v>
      </c>
      <c r="AK481" s="41" t="str">
        <f ca="1">IF(NOTA[[#This Row],[ID_H]]="","",IF(NOTA[[#This Row],[FAKTUR]]="",INDIRECT(ADDRESS(ROW()-1,COLUMN())),NOTA[[#This Row],[FAKTUR]]))</f>
        <v>UNTANA</v>
      </c>
      <c r="AL481" s="38" t="str">
        <f ca="1">IF(NOTA[[#This Row],[ID]]="","",COUNTIF(NOTA[ID_H],NOTA[[#This Row],[ID_H]]))</f>
        <v/>
      </c>
      <c r="AM481" s="38" t="e">
        <f ca="1">IF(NOTA[[#This Row],[TGL.NOTA]]="",IF(NOTA[[#This Row],[SUPPLIER_H]]="","",AM480),MONTH(NOTA[[#This Row],[TGL.NOTA]]))</f>
        <v>#REF!</v>
      </c>
      <c r="AN481" s="38" t="str">
        <f>LOWER(SUBSTITUTE(SUBSTITUTE(SUBSTITUTE(SUBSTITUTE(SUBSTITUTE(SUBSTITUTE(SUBSTITUTE(SUBSTITUTE(SUBSTITUTE(NOTA[NAMA BARANG]," ",),".",""),"-",""),"(",""),")",""),",",""),"/",""),"""",""),"+",""))</f>
        <v>isigelinktz501r</v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isigelinktz501r912000</v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isigelinktz501r912000</v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Row],[CONCAT4]],[2]!RAW[CONCAT_H],0),FALSE))</f>
        <v/>
      </c>
      <c r="AS481" s="38">
        <f>IF(NOTA[[#This Row],[CONCAT1]]="","",MATCH(NOTA[[#This Row],[CONCAT1]],[3]!db[NB NOTA_C],0))</f>
        <v>1428</v>
      </c>
      <c r="AT481" s="38" t="b">
        <f>IF(NOTA[[#This Row],[QTY/ CTN]]="","",TRUE)</f>
        <v>1</v>
      </c>
      <c r="AU481" s="38" t="str">
        <f ca="1">IF(NOTA[[#This Row],[ID_H]]="","",IF(NOTA[[#This Row],[Column3]]=TRUE,NOTA[[#This Row],[QTY/ CTN]],INDEX([3]!db[QTY/ CTN],NOTA[[#This Row],[//DB]])))</f>
        <v>96 LSN</v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isigelinktz501r96lsnuntana</v>
      </c>
      <c r="AW481" s="38" t="e">
        <f ca="1">IF(NOTA[[#This Row],[ID_H]]="","",MATCH(NOTA[[#This Row],[NB NOTA_C_QTY]],[4]!db[NB NOTA_C_QTY+F],0))</f>
        <v>#REF!</v>
      </c>
      <c r="AX481" s="53">
        <f ca="1">IF(NOTA[[#This Row],[NB NOTA_C_QTY]]="","",ROW()-2)</f>
        <v>479</v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4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44"/>
      <c r="V482" s="50"/>
      <c r="W482" s="45"/>
      <c r="X482" s="50" t="str">
        <f>IF(NOTA[[#This Row],[HARGA/ CTN]]="",NOTA[[#This Row],[JUMLAH_H]],NOTA[[#This Row],[HARGA/ CTN]]*IF(NOTA[[#This Row],[C]]="",0,NOTA[[#This Row],[C]]))</f>
        <v/>
      </c>
      <c r="Y482" s="50" t="str">
        <f>IF(NOTA[[#This Row],[JUMLAH]]="","",NOTA[[#This Row],[JUMLAH]]*NOTA[[#This Row],[DISC 1]])</f>
        <v/>
      </c>
      <c r="Z482" s="50" t="str">
        <f>IF(NOTA[[#This Row],[JUMLAH]]="","",(NOTA[[#This Row],[JUMLAH]]-NOTA[[#This Row],[DISC 1-]])*NOTA[[#This Row],[DISC 2]])</f>
        <v/>
      </c>
      <c r="AA482" s="50" t="str">
        <f>IF(NOTA[[#This Row],[JUMLAH]]="","",(NOTA[[#This Row],[JUMLAH]]-NOTA[[#This Row],[DISC 1-]]-NOTA[[#This Row],[DISC 2-]])*NOTA[[#This Row],[DISC 3]])</f>
        <v/>
      </c>
      <c r="AB482" s="50" t="str">
        <f>IF(NOTA[[#This Row],[JUMLAH]]="","",NOTA[[#This Row],[DISC 1-]]+NOTA[[#This Row],[DISC 2-]]+NOTA[[#This Row],[DISC 3-]])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41" t="str">
        <f ca="1">IF(NOTA[[#This Row],[NAMA BARANG]]="","",INDEX(NOTA[SUPPLIER],MATCH(,INDIRECT(ADDRESS(ROW(NOTA[ID]),COLUMN(NOTA[ID]))&amp;":"&amp;ADDRESS(ROW(),COLUMN(NOTA[ID]))),-1)))</f>
        <v/>
      </c>
      <c r="AK482" s="41" t="str">
        <f ca="1">IF(NOTA[[#This Row],[ID_H]]="","",IF(NOTA[[#This Row],[FAKTUR]]="",INDIRECT(ADDRESS(ROW()-1,COLUMN())),NOTA[[#This Row],[FAKTUR]]))</f>
        <v/>
      </c>
      <c r="AL482" s="38" t="str">
        <f ca="1">IF(NOTA[[#This Row],[ID]]="","",COUNTIF(NOTA[ID_H],NOTA[[#This Row],[ID_H]]))</f>
        <v/>
      </c>
      <c r="AM482" s="38" t="str">
        <f ca="1">IF(NOTA[[#This Row],[TGL.NOTA]]="",IF(NOTA[[#This Row],[SUPPLIER_H]]="","",AM481),MONTH(NOTA[[#This Row],[TGL.NOTA]]))</f>
        <v/>
      </c>
      <c r="AN482" s="38" t="str">
        <f>LOWER(SUBSTITUTE(SUBSTITUTE(SUBSTITUTE(SUBSTITUTE(SUBSTITUTE(SUBSTITUTE(SUBSTITUTE(SUBSTITUTE(SUBSTITUTE(NOTA[NAMA BARANG]," ",),".",""),"-",""),"(",""),")",""),",",""),"/",""),"""",""),"+",""))</f>
        <v/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str">
        <f>IF(NOTA[[#This Row],[CONCAT1]]="","",MATCH(NOTA[[#This Row],[CONCAT1]],[3]!db[NB NOTA_C],0))</f>
        <v/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/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38" t="str">
        <f ca="1">IF(NOTA[[#This Row],[ID_H]]="","",MATCH(NOTA[[#This Row],[NB NOTA_C_QTY]],[4]!db[NB NOTA_C_QTY+F],0))</f>
        <v/>
      </c>
      <c r="AX482" s="53" t="str">
        <f ca="1">IF(NOTA[[#This Row],[NB NOTA_C_QTY]]="","",ROW()-2)</f>
        <v/>
      </c>
    </row>
    <row r="483" spans="1:50" s="38" customFormat="1" ht="20.100000000000001" customHeight="1" x14ac:dyDescent="0.25">
      <c r="A483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4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TRI_1601_740-1</v>
      </c>
      <c r="C483" s="38" t="e">
        <f ca="1">IF(NOTA[[#This Row],[ID_P]]="","",MATCH(NOTA[[#This Row],[ID_P]],[1]!B_MSK[N_ID],0))</f>
        <v>#REF!</v>
      </c>
      <c r="D483" s="38">
        <f ca="1">IF(NOTA[[#This Row],[NAMA BARANG]]="","",INDEX(NOTA[ID],MATCH(,INDIRECT(ADDRESS(ROW(NOTA[ID]),COLUMN(NOTA[ID]))&amp;":"&amp;ADDRESS(ROW(),COLUMN(NOTA[ID]))),-1)))</f>
        <v>74</v>
      </c>
      <c r="E483" s="46">
        <v>45307</v>
      </c>
      <c r="F483" s="37" t="s">
        <v>615</v>
      </c>
      <c r="G483" s="37" t="s">
        <v>110</v>
      </c>
      <c r="H483" s="47" t="s">
        <v>616</v>
      </c>
      <c r="I483" s="37"/>
      <c r="J483" s="39">
        <v>45306</v>
      </c>
      <c r="K483" s="37"/>
      <c r="L483" s="37" t="s">
        <v>617</v>
      </c>
      <c r="M483" s="40">
        <v>26</v>
      </c>
      <c r="N483" s="38">
        <f>120*26</f>
        <v>3120</v>
      </c>
      <c r="O483" s="37" t="s">
        <v>117</v>
      </c>
      <c r="P483" s="41">
        <v>4615</v>
      </c>
      <c r="Q483" s="42"/>
      <c r="R483" s="48" t="s">
        <v>618</v>
      </c>
      <c r="S483" s="49">
        <v>0.02</v>
      </c>
      <c r="T483" s="44"/>
      <c r="U483" s="44"/>
      <c r="V483" s="50"/>
      <c r="W483" s="45"/>
      <c r="X483" s="50">
        <f>IF(NOTA[[#This Row],[HARGA/ CTN]]="",NOTA[[#This Row],[JUMLAH_H]],NOTA[[#This Row],[HARGA/ CTN]]*IF(NOTA[[#This Row],[C]]="",0,NOTA[[#This Row],[C]]))</f>
        <v>14398800</v>
      </c>
      <c r="Y483" s="50">
        <f>IF(NOTA[[#This Row],[JUMLAH]]="","",NOTA[[#This Row],[JUMLAH]]*NOTA[[#This Row],[DISC 1]])</f>
        <v>287976</v>
      </c>
      <c r="Z483" s="50">
        <f>IF(NOTA[[#This Row],[JUMLAH]]="","",(NOTA[[#This Row],[JUMLAH]]-NOTA[[#This Row],[DISC 1-]])*NOTA[[#This Row],[DISC 2]])</f>
        <v>0</v>
      </c>
      <c r="AA483" s="50">
        <f>IF(NOTA[[#This Row],[JUMLAH]]="","",(NOTA[[#This Row],[JUMLAH]]-NOTA[[#This Row],[DISC 1-]]-NOTA[[#This Row],[DISC 2-]])*NOTA[[#This Row],[DISC 3]])</f>
        <v>0</v>
      </c>
      <c r="AB483" s="50">
        <f>IF(NOTA[[#This Row],[JUMLAH]]="","",NOTA[[#This Row],[DISC 1-]]+NOTA[[#This Row],[DISC 2-]]+NOTA[[#This Row],[DISC 3-]])</f>
        <v>287976</v>
      </c>
      <c r="AC483" s="50">
        <f>IF(NOTA[[#This Row],[JUMLAH]]="","",NOTA[[#This Row],[JUMLAH]]-NOTA[[#This Row],[DISC]])</f>
        <v>14110824</v>
      </c>
      <c r="AD483" s="50"/>
      <c r="AE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287976</v>
      </c>
      <c r="AF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14110824</v>
      </c>
      <c r="AG483" s="41">
        <f>IF(NOTA[[#This Row],[NAMA BARANG]]="","",IF(NOTA[[#This Row],[JUMLAH_H]]="",NOTA[[#This Row],[HARGA/ CTN]],NOTA[[#This Row],[QTY]]*NOTA[[#This Row],[HARGA SATUAN]]/IF(ISNUMBER(NOTA[[#This Row],[C]]),NOTA[[#This Row],[C]],1)))</f>
        <v>553800</v>
      </c>
      <c r="AH483" s="50">
        <f>IF(OR(NOTA[[#This Row],[QTY]]="",NOTA[[#This Row],[HARGA SATUAN]]="",),"",NOTA[[#This Row],[QTY]]*NOTA[[#This Row],[HARGA SATUAN]])</f>
        <v>14398800</v>
      </c>
      <c r="AI483" s="39">
        <f ca="1">IF(NOTA[ID_H]="","",INDEX(NOTA[TANGGAL],MATCH(,INDIRECT(ADDRESS(ROW(NOTA[TANGGAL]),COLUMN(NOTA[TANGGAL]))&amp;":"&amp;ADDRESS(ROW(),COLUMN(NOTA[TANGGAL]))),-1)))</f>
        <v>45307</v>
      </c>
      <c r="AJ483" s="41" t="str">
        <f ca="1">IF(NOTA[[#This Row],[NAMA BARANG]]="","",INDEX(NOTA[SUPPLIER],MATCH(,INDIRECT(ADDRESS(ROW(NOTA[ID]),COLUMN(NOTA[ID]))&amp;":"&amp;ADDRESS(ROW(),COLUMN(NOTA[ID]))),-1)))</f>
        <v>TRI MITRA SEJATI</v>
      </c>
      <c r="AK483" s="41" t="str">
        <f ca="1">IF(NOTA[[#This Row],[ID_H]]="","",IF(NOTA[[#This Row],[FAKTUR]]="",INDIRECT(ADDRESS(ROW()-1,COLUMN())),NOTA[[#This Row],[FAKTUR]]))</f>
        <v>UNTANA</v>
      </c>
      <c r="AL483" s="38">
        <f ca="1">IF(NOTA[[#This Row],[ID]]="","",COUNTIF(NOTA[ID_H],NOTA[[#This Row],[ID_H]]))</f>
        <v>1</v>
      </c>
      <c r="AM483" s="38">
        <f>IF(NOTA[[#This Row],[TGL.NOTA]]="",IF(NOTA[[#This Row],[SUPPLIER_H]]="","",AM482),MONTH(NOTA[[#This Row],[TGL.NOTA]]))</f>
        <v>1</v>
      </c>
      <c r="AN483" s="38" t="str">
        <f>LOWER(SUBSTITUTE(SUBSTITUTE(SUBSTITUTE(SUBSTITUTE(SUBSTITUTE(SUBSTITUTE(SUBSTITUTE(SUBSTITUTE(SUBSTITUTE(NOTA[NAMA BARANG]," ",),".",""),"-",""),"(",""),")",""),",",""),"/",""),"""",""),"+",""))</f>
        <v>elecnational20mx120roll</v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elecnational20mx120roll5538000.02</v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elecnational20mx120roll5538000.02</v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>TRI MITRA SEJATIUNTANA03574045306elecnational20mx120roll</v>
      </c>
      <c r="AR483" s="38" t="e">
        <f>IF(NOTA[[#This Row],[CONCAT4]]="","",_xlfn.IFNA(MATCH(NOTA[[#This Row],[CONCAT4]],[2]!RAW[CONCAT_H],0),FALSE))</f>
        <v>#REF!</v>
      </c>
      <c r="AS483" s="38">
        <f>IF(NOTA[[#This Row],[CONCAT1]]="","",MATCH(NOTA[[#This Row],[CONCAT1]],[3]!db[NB NOTA_C],0))</f>
        <v>907</v>
      </c>
      <c r="AT483" s="38" t="b">
        <f>IF(NOTA[[#This Row],[QTY/ CTN]]="","",TRUE)</f>
        <v>1</v>
      </c>
      <c r="AU483" s="38" t="str">
        <f ca="1">IF(NOTA[[#This Row],[ID_H]]="","",IF(NOTA[[#This Row],[Column3]]=TRUE,NOTA[[#This Row],[QTY/ CTN]],INDEX([3]!db[QTY/ CTN],NOTA[[#This Row],[//DB]])))</f>
        <v>120 ROL</v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elecnational20mx120roll120roluntana</v>
      </c>
      <c r="AW483" s="38" t="e">
        <f ca="1">IF(NOTA[[#This Row],[ID_H]]="","",MATCH(NOTA[[#This Row],[NB NOTA_C_QTY]],[4]!db[NB NOTA_C_QTY+F],0))</f>
        <v>#REF!</v>
      </c>
      <c r="AX483" s="53">
        <f ca="1">IF(NOTA[[#This Row],[NB NOTA_C_QTY]]="","",ROW()-2)</f>
        <v>481</v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45"/>
      <c r="X484" s="50" t="str">
        <f>IF(NOTA[[#This Row],[HARGA/ CTN]]="",NOTA[[#This Row],[JUMLAH_H]],NOTA[[#This Row],[HARGA/ CTN]]*IF(NOTA[[#This Row],[C]]="",0,NOTA[[#This Row],[C]]))</f>
        <v/>
      </c>
      <c r="Y484" s="50" t="str">
        <f>IF(NOTA[[#This Row],[JUMLAH]]="","",NOTA[[#This Row],[JUMLAH]]*NOTA[[#This Row],[DISC 1]])</f>
        <v/>
      </c>
      <c r="Z484" s="50" t="str">
        <f>IF(NOTA[[#This Row],[JUMLAH]]="","",(NOTA[[#This Row],[JUMLAH]]-NOTA[[#This Row],[DISC 1-]])*NOTA[[#This Row],[DISC 2]])</f>
        <v/>
      </c>
      <c r="AA484" s="50" t="str">
        <f>IF(NOTA[[#This Row],[JUMLAH]]="","",(NOTA[[#This Row],[JUMLAH]]-NOTA[[#This Row],[DISC 1-]]-NOTA[[#This Row],[DISC 2-]])*NOTA[[#This Row],[DISC 3]])</f>
        <v/>
      </c>
      <c r="AB484" s="50" t="str">
        <f>IF(NOTA[[#This Row],[JUMLAH]]="","",NOTA[[#This Row],[DISC 1-]]+NOTA[[#This Row],[DISC 2-]]+NOTA[[#This Row],[DISC 3-]])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41" t="str">
        <f ca="1">IF(NOTA[[#This Row],[NAMA BARANG]]="","",INDEX(NOTA[SUPPLIER],MATCH(,INDIRECT(ADDRESS(ROW(NOTA[ID]),COLUMN(NOTA[ID]))&amp;":"&amp;ADDRESS(ROW(),COLUMN(NOTA[ID]))),-1)))</f>
        <v/>
      </c>
      <c r="AK484" s="41" t="str">
        <f ca="1">IF(NOTA[[#This Row],[ID_H]]="","",IF(NOTA[[#This Row],[FAKTUR]]="",INDIRECT(ADDRESS(ROW()-1,COLUMN())),NOTA[[#This Row],[FAKTUR]]))</f>
        <v/>
      </c>
      <c r="AL484" s="38" t="str">
        <f ca="1">IF(NOTA[[#This Row],[ID]]="","",COUNTIF(NOTA[ID_H],NOTA[[#This Row],[ID_H]]))</f>
        <v/>
      </c>
      <c r="AM484" s="38" t="str">
        <f ca="1">IF(NOTA[[#This Row],[TGL.NOTA]]="",IF(NOTA[[#This Row],[SUPPLIER_H]]="","",AM483),MONTH(NOTA[[#This Row],[TGL.NOTA]]))</f>
        <v/>
      </c>
      <c r="AN484" s="38" t="str">
        <f>LOWER(SUBSTITUTE(SUBSTITUTE(SUBSTITUTE(SUBSTITUTE(SUBSTITUTE(SUBSTITUTE(SUBSTITUTE(SUBSTITUTE(SUBSTITUTE(NOTA[NAMA BARANG]," ",),".",""),"-",""),"(",""),")",""),",",""),"/",""),"""",""),"+",""))</f>
        <v/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 t="str">
        <f>IF(NOTA[[#This Row],[CONCAT1]]="","",MATCH(NOTA[[#This Row],[CONCAT1]],[3]!db[NB NOTA_C],0))</f>
        <v/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/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38" t="str">
        <f ca="1">IF(NOTA[[#This Row],[ID_H]]="","",MATCH(NOTA[[#This Row],[NB NOTA_C_QTY]],[4]!db[NB NOTA_C_QTY+F],0))</f>
        <v/>
      </c>
      <c r="AX484" s="53" t="str">
        <f ca="1">IF(NOTA[[#This Row],[NB NOTA_C_QTY]]="","",ROW()-2)</f>
        <v/>
      </c>
    </row>
    <row r="485" spans="1:50" s="38" customFormat="1" ht="20.100000000000001" customHeight="1" x14ac:dyDescent="0.25">
      <c r="A485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4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NEW_1801_066-2</v>
      </c>
      <c r="C485" s="38" t="e">
        <f ca="1">IF(NOTA[[#This Row],[ID_P]]="","",MATCH(NOTA[[#This Row],[ID_P]],[1]!B_MSK[N_ID],0))</f>
        <v>#REF!</v>
      </c>
      <c r="D485" s="38">
        <f ca="1">IF(NOTA[[#This Row],[NAMA BARANG]]="","",INDEX(NOTA[ID],MATCH(,INDIRECT(ADDRESS(ROW(NOTA[ID]),COLUMN(NOTA[ID]))&amp;":"&amp;ADDRESS(ROW(),COLUMN(NOTA[ID]))),-1)))</f>
        <v>75</v>
      </c>
      <c r="E485" s="46">
        <v>45309</v>
      </c>
      <c r="F485" s="37" t="s">
        <v>619</v>
      </c>
      <c r="G485" s="37" t="s">
        <v>110</v>
      </c>
      <c r="H485" s="37">
        <v>246084066</v>
      </c>
      <c r="I485" s="39"/>
      <c r="J485" s="39">
        <v>45307</v>
      </c>
      <c r="K485" s="37"/>
      <c r="L485" s="37" t="s">
        <v>635</v>
      </c>
      <c r="M485" s="40">
        <v>5</v>
      </c>
      <c r="N485" s="38">
        <v>600</v>
      </c>
      <c r="O485" s="37" t="s">
        <v>111</v>
      </c>
      <c r="P485" s="41">
        <v>18430</v>
      </c>
      <c r="Q485" s="42"/>
      <c r="R485" s="48" t="s">
        <v>275</v>
      </c>
      <c r="S485" s="49"/>
      <c r="T485" s="44"/>
      <c r="U485" s="44"/>
      <c r="V485" s="50"/>
      <c r="W485" s="45"/>
      <c r="X485" s="50">
        <f>IF(NOTA[[#This Row],[HARGA/ CTN]]="",NOTA[[#This Row],[JUMLAH_H]],NOTA[[#This Row],[HARGA/ CTN]]*IF(NOTA[[#This Row],[C]]="",0,NOTA[[#This Row],[C]]))</f>
        <v>11058000</v>
      </c>
      <c r="Y485" s="50">
        <f>IF(NOTA[[#This Row],[JUMLAH]]="","",NOTA[[#This Row],[JUMLAH]]*NOTA[[#This Row],[DISC 1]])</f>
        <v>0</v>
      </c>
      <c r="Z485" s="50">
        <f>IF(NOTA[[#This Row],[JUMLAH]]="","",(NOTA[[#This Row],[JUMLAH]]-NOTA[[#This Row],[DISC 1-]])*NOTA[[#This Row],[DISC 2]])</f>
        <v>0</v>
      </c>
      <c r="AA485" s="50">
        <f>IF(NOTA[[#This Row],[JUMLAH]]="","",(NOTA[[#This Row],[JUMLAH]]-NOTA[[#This Row],[DISC 1-]]-NOTA[[#This Row],[DISC 2-]])*NOTA[[#This Row],[DISC 3]])</f>
        <v>0</v>
      </c>
      <c r="AB485" s="50">
        <f>IF(NOTA[[#This Row],[JUMLAH]]="","",NOTA[[#This Row],[DISC 1-]]+NOTA[[#This Row],[DISC 2-]]+NOTA[[#This Row],[DISC 3-]])</f>
        <v>0</v>
      </c>
      <c r="AC485" s="50">
        <f>IF(NOTA[[#This Row],[JUMLAH]]="","",NOTA[[#This Row],[JUMLAH]]-NOTA[[#This Row],[DISC]])</f>
        <v>11058000</v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>
        <f>IF(NOTA[[#This Row],[NAMA BARANG]]="","",IF(NOTA[[#This Row],[JUMLAH_H]]="",NOTA[[#This Row],[HARGA/ CTN]],NOTA[[#This Row],[QTY]]*NOTA[[#This Row],[HARGA SATUAN]]/IF(ISNUMBER(NOTA[[#This Row],[C]]),NOTA[[#This Row],[C]],1)))</f>
        <v>2211600</v>
      </c>
      <c r="AH485" s="50">
        <f>IF(OR(NOTA[[#This Row],[QTY]]="",NOTA[[#This Row],[HARGA SATUAN]]="",),"",NOTA[[#This Row],[QTY]]*NOTA[[#This Row],[HARGA SATUAN]])</f>
        <v>11058000</v>
      </c>
      <c r="AI485" s="39">
        <f ca="1">IF(NOTA[ID_H]="","",INDEX(NOTA[TANGGAL],MATCH(,INDIRECT(ADDRESS(ROW(NOTA[TANGGAL]),COLUMN(NOTA[TANGGAL]))&amp;":"&amp;ADDRESS(ROW(),COLUMN(NOTA[TANGGAL]))),-1)))</f>
        <v>45309</v>
      </c>
      <c r="AJ485" s="41" t="str">
        <f ca="1">IF(NOTA[[#This Row],[NAMA BARANG]]="","",INDEX(NOTA[SUPPLIER],MATCH(,INDIRECT(ADDRESS(ROW(NOTA[ID]),COLUMN(NOTA[ID]))&amp;":"&amp;ADDRESS(ROW(),COLUMN(NOTA[ID]))),-1)))</f>
        <v>NEW GOTO</v>
      </c>
      <c r="AK485" s="41" t="str">
        <f ca="1">IF(NOTA[[#This Row],[ID_H]]="","",IF(NOTA[[#This Row],[FAKTUR]]="",INDIRECT(ADDRESS(ROW()-1,COLUMN())),NOTA[[#This Row],[FAKTUR]]))</f>
        <v>UNTANA</v>
      </c>
      <c r="AL485" s="38">
        <f ca="1">IF(NOTA[[#This Row],[ID]]="","",COUNTIF(NOTA[ID_H],NOTA[[#This Row],[ID_H]]))</f>
        <v>2</v>
      </c>
      <c r="AM485" s="38">
        <f>IF(NOTA[[#This Row],[TGL.NOTA]]="",IF(NOTA[[#This Row],[SUPPLIER_H]]="","",AM484),MONTH(NOTA[[#This Row],[TGL.NOTA]]))</f>
        <v>1</v>
      </c>
      <c r="AN485" s="38" t="str">
        <f>LOWER(SUBSTITUTE(SUBSTITUTE(SUBSTITUTE(SUBSTITUTE(SUBSTITUTE(SUBSTITUTE(SUBSTITUTE(SUBSTITUTE(SUBSTITUTE(NOTA[NAMA BARANG]," ",),".",""),"-",""),"(",""),")",""),",",""),"/",""),"""",""),"+",""))</f>
        <v>tasif4sisi30x40</v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tasif4sisi30x402211600</v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tasif4sisi30x402211600</v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>NEW GOTOUNTANA24608406645307tasif4sisi30x40</v>
      </c>
      <c r="AR485" s="38" t="e">
        <f>IF(NOTA[[#This Row],[CONCAT4]]="","",_xlfn.IFNA(MATCH(NOTA[[#This Row],[CONCAT4]],[2]!RAW[CONCAT_H],0),FALSE))</f>
        <v>#REF!</v>
      </c>
      <c r="AS485" s="38" t="e">
        <f>IF(NOTA[[#This Row],[CONCAT1]]="","",MATCH(NOTA[[#This Row],[CONCAT1]],[3]!db[NB NOTA_C],0))</f>
        <v>#N/A</v>
      </c>
      <c r="AT485" s="38" t="b">
        <f>IF(NOTA[[#This Row],[QTY/ CTN]]="","",TRUE)</f>
        <v>1</v>
      </c>
      <c r="AU485" s="38" t="str">
        <f ca="1">IF(NOTA[[#This Row],[ID_H]]="","",IF(NOTA[[#This Row],[Column3]]=TRUE,NOTA[[#This Row],[QTY/ CTN]],INDEX([3]!db[QTY/ CTN],NOTA[[#This Row],[//DB]])))</f>
        <v>120 LSN</v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tasif4sisi30x40120lsnuntana</v>
      </c>
      <c r="AW485" s="38" t="e">
        <f ca="1">IF(NOTA[[#This Row],[ID_H]]="","",MATCH(NOTA[[#This Row],[NB NOTA_C_QTY]],[4]!db[NB NOTA_C_QTY+F],0))</f>
        <v>#REF!</v>
      </c>
      <c r="AX485" s="53">
        <f ca="1">IF(NOTA[[#This Row],[NB NOTA_C_QTY]]="","",ROW()-2)</f>
        <v>483</v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>
        <f ca="1">IF(NOTA[[#This Row],[NAMA BARANG]]="","",INDEX(NOTA[ID],MATCH(,INDIRECT(ADDRESS(ROW(NOTA[ID]),COLUMN(NOTA[ID]))&amp;":"&amp;ADDRESS(ROW(),COLUMN(NOTA[ID]))),-1)))</f>
        <v>75</v>
      </c>
      <c r="E486" s="46"/>
      <c r="F486" s="37"/>
      <c r="G486" s="37"/>
      <c r="H486" s="47"/>
      <c r="I486" s="37"/>
      <c r="J486" s="39"/>
      <c r="K486" s="37"/>
      <c r="L486" s="37" t="s">
        <v>636</v>
      </c>
      <c r="M486" s="40">
        <v>5</v>
      </c>
      <c r="N486" s="38">
        <v>500</v>
      </c>
      <c r="O486" s="37" t="s">
        <v>111</v>
      </c>
      <c r="P486" s="41">
        <v>20370</v>
      </c>
      <c r="Q486" s="42"/>
      <c r="R486" s="48" t="s">
        <v>370</v>
      </c>
      <c r="S486" s="49"/>
      <c r="T486" s="44"/>
      <c r="U486" s="44"/>
      <c r="V486" s="50"/>
      <c r="W486" s="45"/>
      <c r="X486" s="50">
        <f>IF(NOTA[[#This Row],[HARGA/ CTN]]="",NOTA[[#This Row],[JUMLAH_H]],NOTA[[#This Row],[HARGA/ CTN]]*IF(NOTA[[#This Row],[C]]="",0,NOTA[[#This Row],[C]]))</f>
        <v>10185000</v>
      </c>
      <c r="Y486" s="50">
        <f>IF(NOTA[[#This Row],[JUMLAH]]="","",NOTA[[#This Row],[JUMLAH]]*NOTA[[#This Row],[DISC 1]])</f>
        <v>0</v>
      </c>
      <c r="Z486" s="50">
        <f>IF(NOTA[[#This Row],[JUMLAH]]="","",(NOTA[[#This Row],[JUMLAH]]-NOTA[[#This Row],[DISC 1-]])*NOTA[[#This Row],[DISC 2]])</f>
        <v>0</v>
      </c>
      <c r="AA486" s="50">
        <f>IF(NOTA[[#This Row],[JUMLAH]]="","",(NOTA[[#This Row],[JUMLAH]]-NOTA[[#This Row],[DISC 1-]]-NOTA[[#This Row],[DISC 2-]])*NOTA[[#This Row],[DISC 3]])</f>
        <v>0</v>
      </c>
      <c r="AB486" s="50">
        <f>IF(NOTA[[#This Row],[JUMLAH]]="","",NOTA[[#This Row],[DISC 1-]]+NOTA[[#This Row],[DISC 2-]]+NOTA[[#This Row],[DISC 3-]])</f>
        <v>0</v>
      </c>
      <c r="AC486" s="50">
        <f>IF(NOTA[[#This Row],[JUMLAH]]="","",NOTA[[#This Row],[JUMLAH]]-NOTA[[#This Row],[DISC]])</f>
        <v>10185000</v>
      </c>
      <c r="AD486" s="50"/>
      <c r="AE4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21243000</v>
      </c>
      <c r="AG486" s="41">
        <f>IF(NOTA[[#This Row],[NAMA BARANG]]="","",IF(NOTA[[#This Row],[JUMLAH_H]]="",NOTA[[#This Row],[HARGA/ CTN]],NOTA[[#This Row],[QTY]]*NOTA[[#This Row],[HARGA SATUAN]]/IF(ISNUMBER(NOTA[[#This Row],[C]]),NOTA[[#This Row],[C]],1)))</f>
        <v>2037000</v>
      </c>
      <c r="AH486" s="50">
        <f>IF(OR(NOTA[[#This Row],[QTY]]="",NOTA[[#This Row],[HARGA SATUAN]]="",),"",NOTA[[#This Row],[QTY]]*NOTA[[#This Row],[HARGA SATUAN]])</f>
        <v>10185000</v>
      </c>
      <c r="AI486" s="39">
        <f ca="1">IF(NOTA[ID_H]="","",INDEX(NOTA[TANGGAL],MATCH(,INDIRECT(ADDRESS(ROW(NOTA[TANGGAL]),COLUMN(NOTA[TANGGAL]))&amp;":"&amp;ADDRESS(ROW(),COLUMN(NOTA[TANGGAL]))),-1)))</f>
        <v>45309</v>
      </c>
      <c r="AJ486" s="41" t="str">
        <f ca="1">IF(NOTA[[#This Row],[NAMA BARANG]]="","",INDEX(NOTA[SUPPLIER],MATCH(,INDIRECT(ADDRESS(ROW(NOTA[ID]),COLUMN(NOTA[ID]))&amp;":"&amp;ADDRESS(ROW(),COLUMN(NOTA[ID]))),-1)))</f>
        <v>NEW GOTO</v>
      </c>
      <c r="AK486" s="41" t="str">
        <f ca="1">IF(NOTA[[#This Row],[ID_H]]="","",IF(NOTA[[#This Row],[FAKTUR]]="",INDIRECT(ADDRESS(ROW()-1,COLUMN())),NOTA[[#This Row],[FAKTUR]]))</f>
        <v>UNTANA</v>
      </c>
      <c r="AL486" s="38" t="str">
        <f ca="1">IF(NOTA[[#This Row],[ID]]="","",COUNTIF(NOTA[ID_H],NOTA[[#This Row],[ID_H]]))</f>
        <v/>
      </c>
      <c r="AM486" s="38">
        <f ca="1">IF(NOTA[[#This Row],[TGL.NOTA]]="",IF(NOTA[[#This Row],[SUPPLIER_H]]="","",AM485),MONTH(NOTA[[#This Row],[TGL.NOTA]]))</f>
        <v>1</v>
      </c>
      <c r="AN486" s="38" t="str">
        <f>LOWER(SUBSTITUTE(SUBSTITUTE(SUBSTITUTE(SUBSTITUTE(SUBSTITUTE(SUBSTITUTE(SUBSTITUTE(SUBSTITUTE(SUBSTITUTE(NOTA[NAMA BARANG]," ",),".",""),"-",""),"(",""),")",""),",",""),"/",""),"""",""),"+",""))</f>
        <v>tasif4sisi38x45</v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tasif4sisi38x452037000</v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tasif4sisi38x452037000</v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e">
        <f>IF(NOTA[[#This Row],[CONCAT1]]="","",MATCH(NOTA[[#This Row],[CONCAT1]],[3]!db[NB NOTA_C],0))</f>
        <v>#N/A</v>
      </c>
      <c r="AT486" s="38" t="b">
        <f>IF(NOTA[[#This Row],[QTY/ CTN]]="","",TRUE)</f>
        <v>1</v>
      </c>
      <c r="AU486" s="38" t="str">
        <f ca="1">IF(NOTA[[#This Row],[ID_H]]="","",IF(NOTA[[#This Row],[Column3]]=TRUE,NOTA[[#This Row],[QTY/ CTN]],INDEX([3]!db[QTY/ CTN],NOTA[[#This Row],[//DB]])))</f>
        <v>100 LSN</v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tasif4sisi38x45100lsnuntana</v>
      </c>
      <c r="AW486" s="38" t="e">
        <f ca="1">IF(NOTA[[#This Row],[ID_H]]="","",MATCH(NOTA[[#This Row],[NB NOTA_C_QTY]],[4]!db[NB NOTA_C_QTY+F],0))</f>
        <v>#REF!</v>
      </c>
      <c r="AX486" s="53">
        <f ca="1">IF(NOTA[[#This Row],[NB NOTA_C_QTY]]="","",ROW()-2)</f>
        <v>484</v>
      </c>
    </row>
    <row r="487" spans="1:50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 t="str">
        <f ca="1">IF(NOTA[[#This Row],[NAMA BARANG]]="","",INDEX(NOTA[ID],MATCH(,INDIRECT(ADDRESS(ROW(NOTA[ID]),COLUMN(NOTA[ID]))&amp;":"&amp;ADDRESS(ROW(),COLUMN(NOTA[ID]))),-1)))</f>
        <v/>
      </c>
      <c r="E487" s="46"/>
      <c r="F487" s="37"/>
      <c r="G487" s="37"/>
      <c r="H487" s="47"/>
      <c r="I487" s="37"/>
      <c r="J487" s="39"/>
      <c r="K487" s="37"/>
      <c r="L487" s="37"/>
      <c r="M487" s="40"/>
      <c r="O487" s="37"/>
      <c r="P487" s="41"/>
      <c r="Q487" s="42"/>
      <c r="R487" s="48"/>
      <c r="S487" s="49"/>
      <c r="T487" s="44"/>
      <c r="U487" s="44"/>
      <c r="V487" s="50"/>
      <c r="W487" s="45"/>
      <c r="X487" s="50" t="str">
        <f>IF(NOTA[[#This Row],[HARGA/ CTN]]="",NOTA[[#This Row],[JUMLAH_H]],NOTA[[#This Row],[HARGA/ CTN]]*IF(NOTA[[#This Row],[C]]="",0,NOTA[[#This Row],[C]]))</f>
        <v/>
      </c>
      <c r="Y487" s="50" t="str">
        <f>IF(NOTA[[#This Row],[JUMLAH]]="","",NOTA[[#This Row],[JUMLAH]]*NOTA[[#This Row],[DISC 1]])</f>
        <v/>
      </c>
      <c r="Z487" s="50" t="str">
        <f>IF(NOTA[[#This Row],[JUMLAH]]="","",(NOTA[[#This Row],[JUMLAH]]-NOTA[[#This Row],[DISC 1-]])*NOTA[[#This Row],[DISC 2]])</f>
        <v/>
      </c>
      <c r="AA487" s="50" t="str">
        <f>IF(NOTA[[#This Row],[JUMLAH]]="","",(NOTA[[#This Row],[JUMLAH]]-NOTA[[#This Row],[DISC 1-]]-NOTA[[#This Row],[DISC 2-]])*NOTA[[#This Row],[DISC 3]])</f>
        <v/>
      </c>
      <c r="AB487" s="50" t="str">
        <f>IF(NOTA[[#This Row],[JUMLAH]]="","",NOTA[[#This Row],[DISC 1-]]+NOTA[[#This Row],[DISC 2-]]+NOTA[[#This Row],[DISC 3-]])</f>
        <v/>
      </c>
      <c r="AC487" s="50" t="str">
        <f>IF(NOTA[[#This Row],[JUMLAH]]="","",NOTA[[#This Row],[JUMLAH]]-NOTA[[#This Row],[DISC]])</f>
        <v/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7" s="50" t="str">
        <f>IF(OR(NOTA[[#This Row],[QTY]]="",NOTA[[#This Row],[HARGA SATUAN]]="",),"",NOTA[[#This Row],[QTY]]*NOTA[[#This Row],[HARGA SATUAN]])</f>
        <v/>
      </c>
      <c r="AI487" s="39" t="str">
        <f ca="1">IF(NOTA[ID_H]="","",INDEX(NOTA[TANGGAL],MATCH(,INDIRECT(ADDRESS(ROW(NOTA[TANGGAL]),COLUMN(NOTA[TANGGAL]))&amp;":"&amp;ADDRESS(ROW(),COLUMN(NOTA[TANGGAL]))),-1)))</f>
        <v/>
      </c>
      <c r="AJ487" s="41" t="str">
        <f ca="1">IF(NOTA[[#This Row],[NAMA BARANG]]="","",INDEX(NOTA[SUPPLIER],MATCH(,INDIRECT(ADDRESS(ROW(NOTA[ID]),COLUMN(NOTA[ID]))&amp;":"&amp;ADDRESS(ROW(),COLUMN(NOTA[ID]))),-1)))</f>
        <v/>
      </c>
      <c r="AK487" s="41" t="str">
        <f ca="1">IF(NOTA[[#This Row],[ID_H]]="","",IF(NOTA[[#This Row],[FAKTUR]]="",INDIRECT(ADDRESS(ROW()-1,COLUMN())),NOTA[[#This Row],[FAKTUR]]))</f>
        <v/>
      </c>
      <c r="AL487" s="38" t="str">
        <f ca="1">IF(NOTA[[#This Row],[ID]]="","",COUNTIF(NOTA[ID_H],NOTA[[#This Row],[ID_H]]))</f>
        <v/>
      </c>
      <c r="AM487" s="38" t="str">
        <f ca="1">IF(NOTA[[#This Row],[TGL.NOTA]]="",IF(NOTA[[#This Row],[SUPPLIER_H]]="","",AM486),MONTH(NOTA[[#This Row],[TGL.NOTA]]))</f>
        <v/>
      </c>
      <c r="AN487" s="38" t="str">
        <f>LOWER(SUBSTITUTE(SUBSTITUTE(SUBSTITUTE(SUBSTITUTE(SUBSTITUTE(SUBSTITUTE(SUBSTITUTE(SUBSTITUTE(SUBSTITUTE(NOTA[NAMA BARANG]," ",),".",""),"-",""),"(",""),")",""),",",""),"/",""),"""",""),"+",""))</f>
        <v/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38" t="str">
        <f>IF(NOTA[[#This Row],[CONCAT4]]="","",_xlfn.IFNA(MATCH(NOTA[[#This Row],[CONCAT4]],[2]!RAW[CONCAT_H],0),FALSE))</f>
        <v/>
      </c>
      <c r="AS487" s="38" t="str">
        <f>IF(NOTA[[#This Row],[CONCAT1]]="","",MATCH(NOTA[[#This Row],[CONCAT1]],[3]!db[NB NOTA_C],0))</f>
        <v/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/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7" s="38" t="str">
        <f ca="1">IF(NOTA[[#This Row],[ID_H]]="","",MATCH(NOTA[[#This Row],[NB NOTA_C_QTY]],[4]!db[NB NOTA_C_QTY+F],0))</f>
        <v/>
      </c>
      <c r="AX487" s="53" t="str">
        <f ca="1">IF(NOTA[[#This Row],[NB NOTA_C_QTY]]="","",ROW()-2)</f>
        <v/>
      </c>
    </row>
    <row r="488" spans="1:50" s="38" customFormat="1" ht="20.100000000000001" customHeight="1" x14ac:dyDescent="0.25">
      <c r="A488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4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PAR_1801_-3</v>
      </c>
      <c r="C488" s="38" t="e">
        <f ca="1">IF(NOTA[[#This Row],[ID_P]]="","",MATCH(NOTA[[#This Row],[ID_P]],[1]!B_MSK[N_ID],0))</f>
        <v>#REF!</v>
      </c>
      <c r="D488" s="38">
        <f ca="1">IF(NOTA[[#This Row],[NAMA BARANG]]="","",INDEX(NOTA[ID],MATCH(,INDIRECT(ADDRESS(ROW(NOTA[ID]),COLUMN(NOTA[ID]))&amp;":"&amp;ADDRESS(ROW(),COLUMN(NOTA[ID]))),-1)))</f>
        <v>76</v>
      </c>
      <c r="E488" s="46">
        <v>45309</v>
      </c>
      <c r="F488" s="37" t="s">
        <v>95</v>
      </c>
      <c r="G488" s="37" t="s">
        <v>110</v>
      </c>
      <c r="H488" s="47"/>
      <c r="I488" s="37"/>
      <c r="J488" s="39">
        <v>45307</v>
      </c>
      <c r="K488" s="37"/>
      <c r="L488" s="37" t="s">
        <v>620</v>
      </c>
      <c r="M488" s="40">
        <v>2</v>
      </c>
      <c r="N488" s="38">
        <v>480</v>
      </c>
      <c r="O488" s="37" t="s">
        <v>115</v>
      </c>
      <c r="P488" s="41">
        <f>1240800/240</f>
        <v>5170</v>
      </c>
      <c r="Q488" s="42"/>
      <c r="R488" s="48" t="s">
        <v>623</v>
      </c>
      <c r="S488" s="49">
        <v>0.1</v>
      </c>
      <c r="T488" s="44">
        <v>0.1</v>
      </c>
      <c r="U488" s="44">
        <v>0.02</v>
      </c>
      <c r="V488" s="50"/>
      <c r="W488" s="45" t="s">
        <v>625</v>
      </c>
      <c r="X488" s="50">
        <f>IF(NOTA[[#This Row],[HARGA/ CTN]]="",NOTA[[#This Row],[JUMLAH_H]],NOTA[[#This Row],[HARGA/ CTN]]*IF(NOTA[[#This Row],[C]]="",0,NOTA[[#This Row],[C]]))</f>
        <v>2481600</v>
      </c>
      <c r="Y488" s="50">
        <f>IF(NOTA[[#This Row],[JUMLAH]]="","",NOTA[[#This Row],[JUMLAH]]*NOTA[[#This Row],[DISC 1]])</f>
        <v>248160</v>
      </c>
      <c r="Z488" s="50">
        <f>IF(NOTA[[#This Row],[JUMLAH]]="","",(NOTA[[#This Row],[JUMLAH]]-NOTA[[#This Row],[DISC 1-]])*NOTA[[#This Row],[DISC 2]])</f>
        <v>223344</v>
      </c>
      <c r="AA488" s="50">
        <f>IF(NOTA[[#This Row],[JUMLAH]]="","",(NOTA[[#This Row],[JUMLAH]]-NOTA[[#This Row],[DISC 1-]]-NOTA[[#This Row],[DISC 2-]])*NOTA[[#This Row],[DISC 3]])</f>
        <v>40201.919999999998</v>
      </c>
      <c r="AB488" s="50">
        <f>IF(NOTA[[#This Row],[JUMLAH]]="","",NOTA[[#This Row],[DISC 1-]]+NOTA[[#This Row],[DISC 2-]]+NOTA[[#This Row],[DISC 3-]])</f>
        <v>511705.92</v>
      </c>
      <c r="AC488" s="50">
        <f>IF(NOTA[[#This Row],[JUMLAH]]="","",NOTA[[#This Row],[JUMLAH]]-NOTA[[#This Row],[DISC]])</f>
        <v>1969894.08</v>
      </c>
      <c r="AD488" s="50"/>
      <c r="AE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1240800</v>
      </c>
      <c r="AH488" s="50">
        <f>IF(OR(NOTA[[#This Row],[QTY]]="",NOTA[[#This Row],[HARGA SATUAN]]="",),"",NOTA[[#This Row],[QTY]]*NOTA[[#This Row],[HARGA SATUAN]])</f>
        <v>2481600</v>
      </c>
      <c r="AI488" s="39">
        <f ca="1">IF(NOTA[ID_H]="","",INDEX(NOTA[TANGGAL],MATCH(,INDIRECT(ADDRESS(ROW(NOTA[TANGGAL]),COLUMN(NOTA[TANGGAL]))&amp;":"&amp;ADDRESS(ROW(),COLUMN(NOTA[TANGGAL]))),-1)))</f>
        <v>45309</v>
      </c>
      <c r="AJ488" s="41" t="str">
        <f ca="1">IF(NOTA[[#This Row],[NAMA BARANG]]="","",INDEX(NOTA[SUPPLIER],MATCH(,INDIRECT(ADDRESS(ROW(NOTA[ID]),COLUMN(NOTA[ID]))&amp;":"&amp;ADDRESS(ROW(),COLUMN(NOTA[ID]))),-1)))</f>
        <v>PARAMA</v>
      </c>
      <c r="AK488" s="41" t="str">
        <f ca="1">IF(NOTA[[#This Row],[ID_H]]="","",IF(NOTA[[#This Row],[FAKTUR]]="",INDIRECT(ADDRESS(ROW()-1,COLUMN())),NOTA[[#This Row],[FAKTUR]]))</f>
        <v>UNTANA</v>
      </c>
      <c r="AL488" s="38">
        <f ca="1">IF(NOTA[[#This Row],[ID]]="","",COUNTIF(NOTA[ID_H],NOTA[[#This Row],[ID_H]]))</f>
        <v>3</v>
      </c>
      <c r="AM488" s="38">
        <f>IF(NOTA[[#This Row],[TGL.NOTA]]="",IF(NOTA[[#This Row],[SUPPLIER_H]]="","",AM487),MONTH(NOTA[[#This Row],[TGL.NOTA]]))</f>
        <v>1</v>
      </c>
      <c r="AN488" s="38" t="str">
        <f>LOWER(SUBSTITUTE(SUBSTITUTE(SUBSTITUTE(SUBSTITUTE(SUBSTITUTE(SUBSTITUTE(SUBSTITUTE(SUBSTITUTE(SUBSTITUTE(NOTA[NAMA BARANG]," ",),".",""),"-",""),"(",""),")",""),",",""),"/",""),"""",""),"+",""))</f>
        <v>paperbagidulfitribesar</v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paperbagidulfitribesar12408000.10.1</v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paperbagidulfitribesar12408000.10.1</v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>PARAMAUNTANA45307paperbagidulfitribesar</v>
      </c>
      <c r="AR488" s="38" t="e">
        <f>IF(NOTA[[#This Row],[CONCAT4]]="","",_xlfn.IFNA(MATCH(NOTA[[#This Row],[CONCAT4]],[2]!RAW[CONCAT_H],0),FALSE))</f>
        <v>#REF!</v>
      </c>
      <c r="AS488" s="38" t="e">
        <f>IF(NOTA[[#This Row],[CONCAT1]]="","",MATCH(NOTA[[#This Row],[CONCAT1]],[3]!db[NB NOTA_C],0))</f>
        <v>#N/A</v>
      </c>
      <c r="AT488" s="38" t="b">
        <f>IF(NOTA[[#This Row],[QTY/ CTN]]="","",TRUE)</f>
        <v>1</v>
      </c>
      <c r="AU488" s="38" t="str">
        <f ca="1">IF(NOTA[[#This Row],[ID_H]]="","",IF(NOTA[[#This Row],[Column3]]=TRUE,NOTA[[#This Row],[QTY/ CTN]],INDEX([3]!db[QTY/ CTN],NOTA[[#This Row],[//DB]])))</f>
        <v>240 PCS</v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paperbagidulfitribesar240pcsuntana</v>
      </c>
      <c r="AW488" s="38" t="e">
        <f ca="1">IF(NOTA[[#This Row],[ID_H]]="","",MATCH(NOTA[[#This Row],[NB NOTA_C_QTY]],[4]!db[NB NOTA_C_QTY+F],0))</f>
        <v>#REF!</v>
      </c>
      <c r="AX488" s="53">
        <f ca="1">IF(NOTA[[#This Row],[NB NOTA_C_QTY]]="","",ROW()-2)</f>
        <v>486</v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>
        <f ca="1">IF(NOTA[[#This Row],[NAMA BARANG]]="","",INDEX(NOTA[ID],MATCH(,INDIRECT(ADDRESS(ROW(NOTA[ID]),COLUMN(NOTA[ID]))&amp;":"&amp;ADDRESS(ROW(),COLUMN(NOTA[ID]))),-1)))</f>
        <v>76</v>
      </c>
      <c r="E489" s="46"/>
      <c r="F489" s="37"/>
      <c r="G489" s="37"/>
      <c r="H489" s="47"/>
      <c r="I489" s="37"/>
      <c r="J489" s="39"/>
      <c r="K489" s="37"/>
      <c r="L489" s="37" t="s">
        <v>622</v>
      </c>
      <c r="M489" s="40">
        <v>2</v>
      </c>
      <c r="N489" s="38">
        <v>576</v>
      </c>
      <c r="O489" s="37" t="s">
        <v>115</v>
      </c>
      <c r="P489" s="41">
        <f>1157760/288</f>
        <v>4020</v>
      </c>
      <c r="Q489" s="42"/>
      <c r="R489" s="48" t="s">
        <v>609</v>
      </c>
      <c r="S489" s="49">
        <v>0.1</v>
      </c>
      <c r="T489" s="44">
        <v>0.1</v>
      </c>
      <c r="U489" s="44">
        <v>0.02</v>
      </c>
      <c r="V489" s="50"/>
      <c r="W489" s="45" t="s">
        <v>625</v>
      </c>
      <c r="X489" s="50">
        <f>IF(NOTA[[#This Row],[HARGA/ CTN]]="",NOTA[[#This Row],[JUMLAH_H]],NOTA[[#This Row],[HARGA/ CTN]]*IF(NOTA[[#This Row],[C]]="",0,NOTA[[#This Row],[C]]))</f>
        <v>2315520</v>
      </c>
      <c r="Y489" s="50">
        <f>IF(NOTA[[#This Row],[JUMLAH]]="","",NOTA[[#This Row],[JUMLAH]]*NOTA[[#This Row],[DISC 1]])</f>
        <v>231552</v>
      </c>
      <c r="Z489" s="50">
        <f>IF(NOTA[[#This Row],[JUMLAH]]="","",(NOTA[[#This Row],[JUMLAH]]-NOTA[[#This Row],[DISC 1-]])*NOTA[[#This Row],[DISC 2]])</f>
        <v>208396.80000000002</v>
      </c>
      <c r="AA489" s="50">
        <f>IF(NOTA[[#This Row],[JUMLAH]]="","",(NOTA[[#This Row],[JUMLAH]]-NOTA[[#This Row],[DISC 1-]]-NOTA[[#This Row],[DISC 2-]])*NOTA[[#This Row],[DISC 3]])</f>
        <v>37511.423999999999</v>
      </c>
      <c r="AB489" s="50">
        <f>IF(NOTA[[#This Row],[JUMLAH]]="","",NOTA[[#This Row],[DISC 1-]]+NOTA[[#This Row],[DISC 2-]]+NOTA[[#This Row],[DISC 3-]])</f>
        <v>477460.22400000005</v>
      </c>
      <c r="AC489" s="50">
        <f>IF(NOTA[[#This Row],[JUMLAH]]="","",NOTA[[#This Row],[JUMLAH]]-NOTA[[#This Row],[DISC]])</f>
        <v>1838059.7760000001</v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>
        <f>IF(NOTA[[#This Row],[NAMA BARANG]]="","",IF(NOTA[[#This Row],[JUMLAH_H]]="",NOTA[[#This Row],[HARGA/ CTN]],NOTA[[#This Row],[QTY]]*NOTA[[#This Row],[HARGA SATUAN]]/IF(ISNUMBER(NOTA[[#This Row],[C]]),NOTA[[#This Row],[C]],1)))</f>
        <v>1157760</v>
      </c>
      <c r="AH489" s="50">
        <f>IF(OR(NOTA[[#This Row],[QTY]]="",NOTA[[#This Row],[HARGA SATUAN]]="",),"",NOTA[[#This Row],[QTY]]*NOTA[[#This Row],[HARGA SATUAN]])</f>
        <v>2315520</v>
      </c>
      <c r="AI489" s="39">
        <f ca="1">IF(NOTA[ID_H]="","",INDEX(NOTA[TANGGAL],MATCH(,INDIRECT(ADDRESS(ROW(NOTA[TANGGAL]),COLUMN(NOTA[TANGGAL]))&amp;":"&amp;ADDRESS(ROW(),COLUMN(NOTA[TANGGAL]))),-1)))</f>
        <v>45309</v>
      </c>
      <c r="AJ489" s="41" t="str">
        <f ca="1">IF(NOTA[[#This Row],[NAMA BARANG]]="","",INDEX(NOTA[SUPPLIER],MATCH(,INDIRECT(ADDRESS(ROW(NOTA[ID]),COLUMN(NOTA[ID]))&amp;":"&amp;ADDRESS(ROW(),COLUMN(NOTA[ID]))),-1)))</f>
        <v>PARAMA</v>
      </c>
      <c r="AK489" s="41" t="str">
        <f ca="1">IF(NOTA[[#This Row],[ID_H]]="","",IF(NOTA[[#This Row],[FAKTUR]]="",INDIRECT(ADDRESS(ROW()-1,COLUMN())),NOTA[[#This Row],[FAKTUR]]))</f>
        <v>UNTANA</v>
      </c>
      <c r="AL489" s="38" t="str">
        <f ca="1">IF(NOTA[[#This Row],[ID]]="","",COUNTIF(NOTA[ID_H],NOTA[[#This Row],[ID_H]]))</f>
        <v/>
      </c>
      <c r="AM489" s="38">
        <f ca="1">IF(NOTA[[#This Row],[TGL.NOTA]]="",IF(NOTA[[#This Row],[SUPPLIER_H]]="","",AM488),MONTH(NOTA[[#This Row],[TGL.NOTA]]))</f>
        <v>1</v>
      </c>
      <c r="AN489" s="38" t="str">
        <f>LOWER(SUBSTITUTE(SUBSTITUTE(SUBSTITUTE(SUBSTITUTE(SUBSTITUTE(SUBSTITUTE(SUBSTITUTE(SUBSTITUTE(SUBSTITUTE(NOTA[NAMA BARANG]," ",),".",""),"-",""),"(",""),")",""),",",""),"/",""),"""",""),"+",""))</f>
        <v>paperbagidulfitritanggung</v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paperbagidulfitritanggung11577600.10.1</v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paperbagidulfitritanggung11577600.10.1</v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e">
        <f>IF(NOTA[[#This Row],[CONCAT1]]="","",MATCH(NOTA[[#This Row],[CONCAT1]],[3]!db[NB NOTA_C],0))</f>
        <v>#N/A</v>
      </c>
      <c r="AT489" s="38" t="b">
        <f>IF(NOTA[[#This Row],[QTY/ CTN]]="","",TRUE)</f>
        <v>1</v>
      </c>
      <c r="AU489" s="38" t="str">
        <f ca="1">IF(NOTA[[#This Row],[ID_H]]="","",IF(NOTA[[#This Row],[Column3]]=TRUE,NOTA[[#This Row],[QTY/ CTN]],INDEX([3]!db[QTY/ CTN],NOTA[[#This Row],[//DB]])))</f>
        <v>288 PCS</v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paperbagidulfitritanggung288pcsuntana</v>
      </c>
      <c r="AW489" s="38" t="e">
        <f ca="1">IF(NOTA[[#This Row],[ID_H]]="","",MATCH(NOTA[[#This Row],[NB NOTA_C_QTY]],[4]!db[NB NOTA_C_QTY+F],0))</f>
        <v>#REF!</v>
      </c>
      <c r="AX489" s="53">
        <f ca="1">IF(NOTA[[#This Row],[NB NOTA_C_QTY]]="","",ROW()-2)</f>
        <v>487</v>
      </c>
    </row>
    <row r="490" spans="1:50" s="38" customFormat="1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>
        <f ca="1">IF(NOTA[[#This Row],[NAMA BARANG]]="","",INDEX(NOTA[ID],MATCH(,INDIRECT(ADDRESS(ROW(NOTA[ID]),COLUMN(NOTA[ID]))&amp;":"&amp;ADDRESS(ROW(),COLUMN(NOTA[ID]))),-1)))</f>
        <v>76</v>
      </c>
      <c r="E490" s="46"/>
      <c r="F490" s="37"/>
      <c r="G490" s="37"/>
      <c r="H490" s="47"/>
      <c r="I490" s="37"/>
      <c r="J490" s="39"/>
      <c r="K490" s="37"/>
      <c r="L490" s="37" t="s">
        <v>621</v>
      </c>
      <c r="M490" s="40">
        <v>2</v>
      </c>
      <c r="N490" s="38">
        <v>720</v>
      </c>
      <c r="O490" s="37" t="s">
        <v>115</v>
      </c>
      <c r="P490" s="41">
        <f>1170000/360</f>
        <v>3250</v>
      </c>
      <c r="Q490" s="42"/>
      <c r="R490" s="48" t="s">
        <v>624</v>
      </c>
      <c r="S490" s="49">
        <v>0.1</v>
      </c>
      <c r="T490" s="44">
        <v>0.1</v>
      </c>
      <c r="U490" s="44">
        <v>0.02</v>
      </c>
      <c r="V490" s="50"/>
      <c r="W490" s="45" t="s">
        <v>625</v>
      </c>
      <c r="X490" s="50">
        <f>IF(NOTA[[#This Row],[HARGA/ CTN]]="",NOTA[[#This Row],[JUMLAH_H]],NOTA[[#This Row],[HARGA/ CTN]]*IF(NOTA[[#This Row],[C]]="",0,NOTA[[#This Row],[C]]))</f>
        <v>2340000</v>
      </c>
      <c r="Y490" s="50">
        <f>IF(NOTA[[#This Row],[JUMLAH]]="","",NOTA[[#This Row],[JUMLAH]]*NOTA[[#This Row],[DISC 1]])</f>
        <v>234000</v>
      </c>
      <c r="Z490" s="50">
        <f>IF(NOTA[[#This Row],[JUMLAH]]="","",(NOTA[[#This Row],[JUMLAH]]-NOTA[[#This Row],[DISC 1-]])*NOTA[[#This Row],[DISC 2]])</f>
        <v>210600</v>
      </c>
      <c r="AA490" s="50">
        <f>IF(NOTA[[#This Row],[JUMLAH]]="","",(NOTA[[#This Row],[JUMLAH]]-NOTA[[#This Row],[DISC 1-]]-NOTA[[#This Row],[DISC 2-]])*NOTA[[#This Row],[DISC 3]])</f>
        <v>37908</v>
      </c>
      <c r="AB490" s="50">
        <f>IF(NOTA[[#This Row],[JUMLAH]]="","",NOTA[[#This Row],[DISC 1-]]+NOTA[[#This Row],[DISC 2-]]+NOTA[[#This Row],[DISC 3-]])</f>
        <v>482508</v>
      </c>
      <c r="AC490" s="50">
        <f>IF(NOTA[[#This Row],[JUMLAH]]="","",NOTA[[#This Row],[JUMLAH]]-NOTA[[#This Row],[DISC]])</f>
        <v>1857492</v>
      </c>
      <c r="AD490" s="50"/>
      <c r="AE4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1471674.1440000001</v>
      </c>
      <c r="AF4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5665445.8560000006</v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H490" s="50">
        <f>IF(OR(NOTA[[#This Row],[QTY]]="",NOTA[[#This Row],[HARGA SATUAN]]="",),"",NOTA[[#This Row],[QTY]]*NOTA[[#This Row],[HARGA SATUAN]])</f>
        <v>2340000</v>
      </c>
      <c r="AI490" s="39">
        <f ca="1">IF(NOTA[ID_H]="","",INDEX(NOTA[TANGGAL],MATCH(,INDIRECT(ADDRESS(ROW(NOTA[TANGGAL]),COLUMN(NOTA[TANGGAL]))&amp;":"&amp;ADDRESS(ROW(),COLUMN(NOTA[TANGGAL]))),-1)))</f>
        <v>45309</v>
      </c>
      <c r="AJ490" s="41" t="str">
        <f ca="1">IF(NOTA[[#This Row],[NAMA BARANG]]="","",INDEX(NOTA[SUPPLIER],MATCH(,INDIRECT(ADDRESS(ROW(NOTA[ID]),COLUMN(NOTA[ID]))&amp;":"&amp;ADDRESS(ROW(),COLUMN(NOTA[ID]))),-1)))</f>
        <v>PARAMA</v>
      </c>
      <c r="AK490" s="41" t="str">
        <f ca="1">IF(NOTA[[#This Row],[ID_H]]="","",IF(NOTA[[#This Row],[FAKTUR]]="",INDIRECT(ADDRESS(ROW()-1,COLUMN())),NOTA[[#This Row],[FAKTUR]]))</f>
        <v>UNTANA</v>
      </c>
      <c r="AL490" s="38" t="str">
        <f ca="1">IF(NOTA[[#This Row],[ID]]="","",COUNTIF(NOTA[ID_H],NOTA[[#This Row],[ID_H]]))</f>
        <v/>
      </c>
      <c r="AM490" s="38">
        <f ca="1">IF(NOTA[[#This Row],[TGL.NOTA]]="",IF(NOTA[[#This Row],[SUPPLIER_H]]="","",AM489),MONTH(NOTA[[#This Row],[TGL.NOTA]]))</f>
        <v>1</v>
      </c>
      <c r="AN490" s="38" t="str">
        <f>LOWER(SUBSTITUTE(SUBSTITUTE(SUBSTITUTE(SUBSTITUTE(SUBSTITUTE(SUBSTITUTE(SUBSTITUTE(SUBSTITUTE(SUBSTITUTE(NOTA[NAMA BARANG]," ",),".",""),"-",""),"(",""),")",""),",",""),"/",""),"""",""),"+",""))</f>
        <v>paperbagidulfitrikecil</v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paperbagidulfitrikecil11700000.10.1</v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paperbagidulfitrikecil11700000.10.1</v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0" s="38" t="str">
        <f>IF(NOTA[[#This Row],[CONCAT4]]="","",_xlfn.IFNA(MATCH(NOTA[[#This Row],[CONCAT4]],[2]!RAW[CONCAT_H],0),FALSE))</f>
        <v/>
      </c>
      <c r="AS490" s="38" t="e">
        <f>IF(NOTA[[#This Row],[CONCAT1]]="","",MATCH(NOTA[[#This Row],[CONCAT1]],[3]!db[NB NOTA_C],0))</f>
        <v>#N/A</v>
      </c>
      <c r="AT490" s="38" t="b">
        <f>IF(NOTA[[#This Row],[QTY/ CTN]]="","",TRUE)</f>
        <v>1</v>
      </c>
      <c r="AU490" s="38" t="str">
        <f ca="1">IF(NOTA[[#This Row],[ID_H]]="","",IF(NOTA[[#This Row],[Column3]]=TRUE,NOTA[[#This Row],[QTY/ CTN]],INDEX([3]!db[QTY/ CTN],NOTA[[#This Row],[//DB]])))</f>
        <v>360 PCS</v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paperbagidulfitrikecil360pcsuntana</v>
      </c>
      <c r="AW490" s="38" t="e">
        <f ca="1">IF(NOTA[[#This Row],[ID_H]]="","",MATCH(NOTA[[#This Row],[NB NOTA_C_QTY]],[4]!db[NB NOTA_C_QTY+F],0))</f>
        <v>#REF!</v>
      </c>
      <c r="AX490" s="53">
        <f ca="1">IF(NOTA[[#This Row],[NB NOTA_C_QTY]]="","",ROW()-2)</f>
        <v>488</v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F491" s="37"/>
      <c r="G491" s="37"/>
      <c r="H491" s="47"/>
      <c r="I491" s="37"/>
      <c r="J491" s="39"/>
      <c r="K491" s="37"/>
      <c r="L491" s="37"/>
      <c r="M491" s="40"/>
      <c r="O491" s="37"/>
      <c r="P491" s="41"/>
      <c r="Q491" s="42"/>
      <c r="R491" s="48"/>
      <c r="S491" s="49"/>
      <c r="T491" s="44"/>
      <c r="U491" s="44"/>
      <c r="V491" s="50"/>
      <c r="W491" s="45"/>
      <c r="X491" s="50" t="str">
        <f>IF(NOTA[[#This Row],[HARGA/ CTN]]="",NOTA[[#This Row],[JUMLAH_H]],NOTA[[#This Row],[HARGA/ CTN]]*IF(NOTA[[#This Row],[C]]="",0,NOTA[[#This Row],[C]]))</f>
        <v/>
      </c>
      <c r="Y491" s="50" t="str">
        <f>IF(NOTA[[#This Row],[JUMLAH]]="","",NOTA[[#This Row],[JUMLAH]]*NOTA[[#This Row],[DISC 1]])</f>
        <v/>
      </c>
      <c r="Z491" s="50" t="str">
        <f>IF(NOTA[[#This Row],[JUMLAH]]="","",(NOTA[[#This Row],[JUMLAH]]-NOTA[[#This Row],[DISC 1-]])*NOTA[[#This Row],[DISC 2]])</f>
        <v/>
      </c>
      <c r="AA491" s="50" t="str">
        <f>IF(NOTA[[#This Row],[JUMLAH]]="","",(NOTA[[#This Row],[JUMLAH]]-NOTA[[#This Row],[DISC 1-]]-NOTA[[#This Row],[DISC 2-]])*NOTA[[#This Row],[DISC 3]])</f>
        <v/>
      </c>
      <c r="AB491" s="50" t="str">
        <f>IF(NOTA[[#This Row],[JUMLAH]]="","",NOTA[[#This Row],[DISC 1-]]+NOTA[[#This Row],[DISC 2-]]+NOTA[[#This Row],[DISC 3-]])</f>
        <v/>
      </c>
      <c r="AC491" s="50" t="str">
        <f>IF(NOTA[[#This Row],[JUMLAH]]="","",NOTA[[#This Row],[JUMLAH]]-NOTA[[#This Row],[DISC]])</f>
        <v/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50" t="str">
        <f>IF(OR(NOTA[[#This Row],[QTY]]="",NOTA[[#This Row],[HARGA SATUAN]]="",),"",NOTA[[#This Row],[QTY]]*NOTA[[#This Row],[HARGA SATUAN]])</f>
        <v/>
      </c>
      <c r="AI491" s="39" t="str">
        <f ca="1">IF(NOTA[ID_H]="","",INDEX(NOTA[TANGGAL],MATCH(,INDIRECT(ADDRESS(ROW(NOTA[TANGGAL]),COLUMN(NOTA[TANGGAL]))&amp;":"&amp;ADDRESS(ROW(),COLUMN(NOTA[TANGGAL]))),-1)))</f>
        <v/>
      </c>
      <c r="AJ491" s="41" t="str">
        <f ca="1">IF(NOTA[[#This Row],[NAMA BARANG]]="","",INDEX(NOTA[SUPPLIER],MATCH(,INDIRECT(ADDRESS(ROW(NOTA[ID]),COLUMN(NOTA[ID]))&amp;":"&amp;ADDRESS(ROW(),COLUMN(NOTA[ID]))),-1)))</f>
        <v/>
      </c>
      <c r="AK491" s="41" t="str">
        <f ca="1">IF(NOTA[[#This Row],[ID_H]]="","",IF(NOTA[[#This Row],[FAKTUR]]="",INDIRECT(ADDRESS(ROW()-1,COLUMN())),NOTA[[#This Row],[FAKTUR]]))</f>
        <v/>
      </c>
      <c r="AL491" s="38" t="str">
        <f ca="1">IF(NOTA[[#This Row],[ID]]="","",COUNTIF(NOTA[ID_H],NOTA[[#This Row],[ID_H]]))</f>
        <v/>
      </c>
      <c r="AM491" s="38" t="str">
        <f ca="1">IF(NOTA[[#This Row],[TGL.NOTA]]="",IF(NOTA[[#This Row],[SUPPLIER_H]]="","",AM490),MONTH(NOTA[[#This Row],[TGL.NOTA]]))</f>
        <v/>
      </c>
      <c r="AN491" s="38" t="str">
        <f>LOWER(SUBSTITUTE(SUBSTITUTE(SUBSTITUTE(SUBSTITUTE(SUBSTITUTE(SUBSTITUTE(SUBSTITUTE(SUBSTITUTE(SUBSTITUTE(NOTA[NAMA BARANG]," ",),".",""),"-",""),"(",""),")",""),",",""),"/",""),"""",""),"+",""))</f>
        <v/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 t="str">
        <f>IF(NOTA[[#This Row],[CONCAT1]]="","",MATCH(NOTA[[#This Row],[CONCAT1]],[3]!db[NB NOTA_C],0))</f>
        <v/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/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38" t="str">
        <f ca="1">IF(NOTA[[#This Row],[ID_H]]="","",MATCH(NOTA[[#This Row],[NB NOTA_C_QTY]],[4]!db[NB NOTA_C_QTY+F],0))</f>
        <v/>
      </c>
      <c r="AX491" s="53" t="str">
        <f ca="1">IF(NOTA[[#This Row],[NB NOTA_C_QTY]]="","",ROW()-2)</f>
        <v/>
      </c>
    </row>
    <row r="492" spans="1:50" s="38" customFormat="1" ht="20.100000000000001" customHeight="1" x14ac:dyDescent="0.25">
      <c r="A492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4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COM_1801_117-1</v>
      </c>
      <c r="C492" s="38" t="e">
        <f ca="1">IF(NOTA[[#This Row],[ID_P]]="","",MATCH(NOTA[[#This Row],[ID_P]],[1]!B_MSK[N_ID],0))</f>
        <v>#REF!</v>
      </c>
      <c r="D492" s="38">
        <f ca="1">IF(NOTA[[#This Row],[NAMA BARANG]]="","",INDEX(NOTA[ID],MATCH(,INDIRECT(ADDRESS(ROW(NOTA[ID]),COLUMN(NOTA[ID]))&amp;":"&amp;ADDRESS(ROW(),COLUMN(NOTA[ID]))),-1)))</f>
        <v>77</v>
      </c>
      <c r="E492" s="46">
        <v>45309</v>
      </c>
      <c r="F492" s="37" t="s">
        <v>114</v>
      </c>
      <c r="G492" s="37" t="s">
        <v>110</v>
      </c>
      <c r="H492" s="47" t="s">
        <v>632</v>
      </c>
      <c r="I492" s="37"/>
      <c r="J492" s="39">
        <v>45309</v>
      </c>
      <c r="K492" s="37">
        <v>0</v>
      </c>
      <c r="L492" s="37" t="s">
        <v>626</v>
      </c>
      <c r="M492" s="40"/>
      <c r="N492" s="38">
        <v>1</v>
      </c>
      <c r="O492" s="37" t="s">
        <v>111</v>
      </c>
      <c r="P492" s="41">
        <v>213000</v>
      </c>
      <c r="Q492" s="42"/>
      <c r="R492" s="48"/>
      <c r="S492" s="49"/>
      <c r="T492" s="44"/>
      <c r="U492" s="44"/>
      <c r="V492" s="50"/>
      <c r="W492" s="45"/>
      <c r="X492" s="50">
        <f>IF(NOTA[[#This Row],[HARGA/ CTN]]="",NOTA[[#This Row],[JUMLAH_H]],NOTA[[#This Row],[HARGA/ CTN]]*IF(NOTA[[#This Row],[C]]="",0,NOTA[[#This Row],[C]]))</f>
        <v>213000</v>
      </c>
      <c r="Y492" s="50">
        <f>IF(NOTA[[#This Row],[JUMLAH]]="","",NOTA[[#This Row],[JUMLAH]]*NOTA[[#This Row],[DISC 1]])</f>
        <v>0</v>
      </c>
      <c r="Z492" s="50">
        <f>IF(NOTA[[#This Row],[JUMLAH]]="","",(NOTA[[#This Row],[JUMLAH]]-NOTA[[#This Row],[DISC 1-]])*NOTA[[#This Row],[DISC 2]])</f>
        <v>0</v>
      </c>
      <c r="AA492" s="50">
        <f>IF(NOTA[[#This Row],[JUMLAH]]="","",(NOTA[[#This Row],[JUMLAH]]-NOTA[[#This Row],[DISC 1-]]-NOTA[[#This Row],[DISC 2-]])*NOTA[[#This Row],[DISC 3]])</f>
        <v>0</v>
      </c>
      <c r="AB492" s="50">
        <f>IF(NOTA[[#This Row],[JUMLAH]]="","",NOTA[[#This Row],[DISC 1-]]+NOTA[[#This Row],[DISC 2-]]+NOTA[[#This Row],[DISC 3-]])</f>
        <v>0</v>
      </c>
      <c r="AC492" s="50">
        <f>IF(NOTA[[#This Row],[JUMLAH]]="","",NOTA[[#This Row],[JUMLAH]]-NOTA[[#This Row],[DISC]])</f>
        <v>213000</v>
      </c>
      <c r="AD492" s="50"/>
      <c r="AE4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213000</v>
      </c>
      <c r="AG492" s="41">
        <f>IF(NOTA[[#This Row],[NAMA BARANG]]="","",IF(NOTA[[#This Row],[JUMLAH_H]]="",NOTA[[#This Row],[HARGA/ CTN]],NOTA[[#This Row],[QTY]]*NOTA[[#This Row],[HARGA SATUAN]]/IF(ISNUMBER(NOTA[[#This Row],[C]]),NOTA[[#This Row],[C]],1)))</f>
        <v>213000</v>
      </c>
      <c r="AH492" s="50">
        <f>IF(OR(NOTA[[#This Row],[QTY]]="",NOTA[[#This Row],[HARGA SATUAN]]="",),"",NOTA[[#This Row],[QTY]]*NOTA[[#This Row],[HARGA SATUAN]])</f>
        <v>213000</v>
      </c>
      <c r="AI492" s="39">
        <f ca="1">IF(NOTA[ID_H]="","",INDEX(NOTA[TANGGAL],MATCH(,INDIRECT(ADDRESS(ROW(NOTA[TANGGAL]),COLUMN(NOTA[TANGGAL]))&amp;":"&amp;ADDRESS(ROW(),COLUMN(NOTA[TANGGAL]))),-1)))</f>
        <v>45309</v>
      </c>
      <c r="AJ492" s="41" t="str">
        <f ca="1">IF(NOTA[[#This Row],[NAMA BARANG]]="","",INDEX(NOTA[SUPPLIER],MATCH(,INDIRECT(ADDRESS(ROW(NOTA[ID]),COLUMN(NOTA[ID]))&amp;":"&amp;ADDRESS(ROW(),COLUMN(NOTA[ID]))),-1)))</f>
        <v>COMBI</v>
      </c>
      <c r="AK492" s="41" t="str">
        <f ca="1">IF(NOTA[[#This Row],[ID_H]]="","",IF(NOTA[[#This Row],[FAKTUR]]="",INDIRECT(ADDRESS(ROW()-1,COLUMN())),NOTA[[#This Row],[FAKTUR]]))</f>
        <v>UNTANA</v>
      </c>
      <c r="AL492" s="38">
        <f ca="1">IF(NOTA[[#This Row],[ID]]="","",COUNTIF(NOTA[ID_H],NOTA[[#This Row],[ID_H]]))</f>
        <v>1</v>
      </c>
      <c r="AM492" s="38">
        <f>IF(NOTA[[#This Row],[TGL.NOTA]]="",IF(NOTA[[#This Row],[SUPPLIER_H]]="","",AM491),MONTH(NOTA[[#This Row],[TGL.NOTA]]))</f>
        <v>1</v>
      </c>
      <c r="AN492" s="38" t="str">
        <f>LOWER(SUBSTITUTE(SUBSTITUTE(SUBSTITUTE(SUBSTITUTE(SUBSTITUTE(SUBSTITUTE(SUBSTITUTE(SUBSTITUTE(SUBSTITUTE(NOTA[NAMA BARANG]," ",),".",""),"-",""),"(",""),")",""),",",""),"/",""),"""",""),"+",""))</f>
        <v>docautentikdk512</v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docautentikdk512213000</v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docautentikdk512213000</v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COMBIUNTANA011745309docautentikdk512</v>
      </c>
      <c r="AR492" s="38" t="e">
        <f>IF(NOTA[[#This Row],[CONCAT4]]="","",_xlfn.IFNA(MATCH(NOTA[[#This Row],[CONCAT4]],[2]!RAW[CONCAT_H],0),FALSE))</f>
        <v>#REF!</v>
      </c>
      <c r="AS492" s="38" t="e">
        <f>IF(NOTA[[#This Row],[CONCAT1]]="","",MATCH(NOTA[[#This Row],[CONCAT1]],[3]!db[NB NOTA_C],0))</f>
        <v>#N/A</v>
      </c>
      <c r="AT492" s="38" t="str">
        <f>IF(NOTA[[#This Row],[QTY/ CTN]]="","",TRUE)</f>
        <v/>
      </c>
      <c r="AU492" s="38" t="e">
        <f ca="1">IF(NOTA[[#This Row],[ID_H]]="","",IF(NOTA[[#This Row],[Column3]]=TRUE,NOTA[[#This Row],[QTY/ CTN]],INDEX([3]!db[QTY/ CTN],NOTA[[#This Row],[//DB]])))</f>
        <v>#N/A</v>
      </c>
      <c r="AV49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92" s="38" t="e">
        <f ca="1">IF(NOTA[[#This Row],[ID_H]]="","",MATCH(NOTA[[#This Row],[NB NOTA_C_QTY]],[4]!db[NB NOTA_C_QTY+F],0))</f>
        <v>#N/A</v>
      </c>
      <c r="AX492" s="53" t="e">
        <f ca="1">IF(NOTA[[#This Row],[NB NOTA_C_QTY]]="","",ROW()-2)</f>
        <v>#N/A</v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F493" s="37"/>
      <c r="G493" s="37"/>
      <c r="H493" s="47"/>
      <c r="I493" s="37"/>
      <c r="J493" s="39"/>
      <c r="K493" s="37"/>
      <c r="L493" s="37"/>
      <c r="M493" s="40"/>
      <c r="O493" s="37"/>
      <c r="P493" s="41"/>
      <c r="Q493" s="42"/>
      <c r="R493" s="48"/>
      <c r="S493" s="49"/>
      <c r="T493" s="44"/>
      <c r="U493" s="44"/>
      <c r="V493" s="50"/>
      <c r="W493" s="45"/>
      <c r="X493" s="50" t="str">
        <f>IF(NOTA[[#This Row],[HARGA/ CTN]]="",NOTA[[#This Row],[JUMLAH_H]],NOTA[[#This Row],[HARGA/ CTN]]*IF(NOTA[[#This Row],[C]]="",0,NOTA[[#This Row],[C]]))</f>
        <v/>
      </c>
      <c r="Y493" s="50" t="str">
        <f>IF(NOTA[[#This Row],[JUMLAH]]="","",NOTA[[#This Row],[JUMLAH]]*NOTA[[#This Row],[DISC 1]])</f>
        <v/>
      </c>
      <c r="Z493" s="50" t="str">
        <f>IF(NOTA[[#This Row],[JUMLAH]]="","",(NOTA[[#This Row],[JUMLAH]]-NOTA[[#This Row],[DISC 1-]])*NOTA[[#This Row],[DISC 2]])</f>
        <v/>
      </c>
      <c r="AA493" s="50" t="str">
        <f>IF(NOTA[[#This Row],[JUMLAH]]="","",(NOTA[[#This Row],[JUMLAH]]-NOTA[[#This Row],[DISC 1-]]-NOTA[[#This Row],[DISC 2-]])*NOTA[[#This Row],[DISC 3]])</f>
        <v/>
      </c>
      <c r="AB493" s="50" t="str">
        <f>IF(NOTA[[#This Row],[JUMLAH]]="","",NOTA[[#This Row],[DISC 1-]]+NOTA[[#This Row],[DISC 2-]]+NOTA[[#This Row],[DISC 3-]])</f>
        <v/>
      </c>
      <c r="AC493" s="50" t="str">
        <f>IF(NOTA[[#This Row],[JUMLAH]]="","",NOTA[[#This Row],[JUMLAH]]-NOTA[[#This Row],[DISC]])</f>
        <v/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50" t="str">
        <f>IF(OR(NOTA[[#This Row],[QTY]]="",NOTA[[#This Row],[HARGA SATUAN]]="",),"",NOTA[[#This Row],[QTY]]*NOTA[[#This Row],[HARGA SATUAN]])</f>
        <v/>
      </c>
      <c r="AI493" s="39" t="str">
        <f ca="1">IF(NOTA[ID_H]="","",INDEX(NOTA[TANGGAL],MATCH(,INDIRECT(ADDRESS(ROW(NOTA[TANGGAL]),COLUMN(NOTA[TANGGAL]))&amp;":"&amp;ADDRESS(ROW(),COLUMN(NOTA[TANGGAL]))),-1)))</f>
        <v/>
      </c>
      <c r="AJ493" s="41" t="str">
        <f ca="1">IF(NOTA[[#This Row],[NAMA BARANG]]="","",INDEX(NOTA[SUPPLIER],MATCH(,INDIRECT(ADDRESS(ROW(NOTA[ID]),COLUMN(NOTA[ID]))&amp;":"&amp;ADDRESS(ROW(),COLUMN(NOTA[ID]))),-1)))</f>
        <v/>
      </c>
      <c r="AK493" s="41" t="str">
        <f ca="1">IF(NOTA[[#This Row],[ID_H]]="","",IF(NOTA[[#This Row],[FAKTUR]]="",INDIRECT(ADDRESS(ROW()-1,COLUMN())),NOTA[[#This Row],[FAKTUR]]))</f>
        <v/>
      </c>
      <c r="AL493" s="38" t="str">
        <f ca="1">IF(NOTA[[#This Row],[ID]]="","",COUNTIF(NOTA[ID_H],NOTA[[#This Row],[ID_H]]))</f>
        <v/>
      </c>
      <c r="AM493" s="38" t="str">
        <f ca="1">IF(NOTA[[#This Row],[TGL.NOTA]]="",IF(NOTA[[#This Row],[SUPPLIER_H]]="","",AM492),MONTH(NOTA[[#This Row],[TGL.NOTA]]))</f>
        <v/>
      </c>
      <c r="AN493" s="38" t="str">
        <f>LOWER(SUBSTITUTE(SUBSTITUTE(SUBSTITUTE(SUBSTITUTE(SUBSTITUTE(SUBSTITUTE(SUBSTITUTE(SUBSTITUTE(SUBSTITUTE(NOTA[NAMA BARANG]," ",),".",""),"-",""),"(",""),")",""),",",""),"/",""),"""",""),"+",""))</f>
        <v/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 t="str">
        <f>IF(NOTA[[#This Row],[CONCAT1]]="","",MATCH(NOTA[[#This Row],[CONCAT1]],[3]!db[NB NOTA_C],0))</f>
        <v/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/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38" t="str">
        <f ca="1">IF(NOTA[[#This Row],[ID_H]]="","",MATCH(NOTA[[#This Row],[NB NOTA_C_QTY]],[4]!db[NB NOTA_C_QTY+F],0))</f>
        <v/>
      </c>
      <c r="AX493" s="53" t="str">
        <f ca="1">IF(NOTA[[#This Row],[NB NOTA_C_QTY]]="","",ROW()-2)</f>
        <v/>
      </c>
    </row>
    <row r="494" spans="1:50" s="38" customFormat="1" ht="20.100000000000001" customHeight="1" x14ac:dyDescent="0.25">
      <c r="A494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MIR_1701_122-1</v>
      </c>
      <c r="C494" s="38" t="e">
        <f ca="1">IF(NOTA[[#This Row],[ID_P]]="","",MATCH(NOTA[[#This Row],[ID_P]],[1]!B_MSK[N_ID],0))</f>
        <v>#REF!</v>
      </c>
      <c r="D494" s="38">
        <f ca="1">IF(NOTA[[#This Row],[NAMA BARANG]]="","",INDEX(NOTA[ID],MATCH(,INDIRECT(ADDRESS(ROW(NOTA[ID]),COLUMN(NOTA[ID]))&amp;":"&amp;ADDRESS(ROW(),COLUMN(NOTA[ID]))),-1)))</f>
        <v>78</v>
      </c>
      <c r="E494" s="46">
        <v>45308</v>
      </c>
      <c r="F494" s="37" t="s">
        <v>627</v>
      </c>
      <c r="G494" s="37" t="s">
        <v>110</v>
      </c>
      <c r="H494" s="47" t="s">
        <v>628</v>
      </c>
      <c r="I494" s="37"/>
      <c r="J494" s="39">
        <v>45303</v>
      </c>
      <c r="K494" s="37"/>
      <c r="L494" s="37" t="s">
        <v>629</v>
      </c>
      <c r="M494" s="40">
        <v>8</v>
      </c>
      <c r="N494" s="38">
        <f>1175</f>
        <v>1175</v>
      </c>
      <c r="O494" s="37" t="s">
        <v>135</v>
      </c>
      <c r="P494" s="41">
        <v>5750</v>
      </c>
      <c r="Q494" s="48"/>
      <c r="R494" s="48" t="s">
        <v>630</v>
      </c>
      <c r="S494" s="49"/>
      <c r="T494" s="44"/>
      <c r="U494" s="44"/>
      <c r="V494" s="50"/>
      <c r="W494" s="45"/>
      <c r="X494" s="50">
        <f>IF(NOTA[[#This Row],[HARGA/ CTN]]="",NOTA[[#This Row],[JUMLAH_H]],NOTA[[#This Row],[HARGA/ CTN]]*IF(NOTA[[#This Row],[C]]="",0,NOTA[[#This Row],[C]]))</f>
        <v>6756250</v>
      </c>
      <c r="Y494" s="50">
        <f>IF(NOTA[[#This Row],[JUMLAH]]="","",NOTA[[#This Row],[JUMLAH]]*NOTA[[#This Row],[DISC 1]])</f>
        <v>0</v>
      </c>
      <c r="Z494" s="50">
        <f>IF(NOTA[[#This Row],[JUMLAH]]="","",(NOTA[[#This Row],[JUMLAH]]-NOTA[[#This Row],[DISC 1-]])*NOTA[[#This Row],[DISC 2]])</f>
        <v>0</v>
      </c>
      <c r="AA494" s="50">
        <f>IF(NOTA[[#This Row],[JUMLAH]]="","",(NOTA[[#This Row],[JUMLAH]]-NOTA[[#This Row],[DISC 1-]]-NOTA[[#This Row],[DISC 2-]])*NOTA[[#This Row],[DISC 3]])</f>
        <v>0</v>
      </c>
      <c r="AB494" s="50">
        <f>IF(NOTA[[#This Row],[JUMLAH]]="","",NOTA[[#This Row],[DISC 1-]]+NOTA[[#This Row],[DISC 2-]]+NOTA[[#This Row],[DISC 3-]])</f>
        <v>0</v>
      </c>
      <c r="AC494" s="50">
        <f>IF(NOTA[[#This Row],[JUMLAH]]="","",NOTA[[#This Row],[JUMLAH]]-NOTA[[#This Row],[DISC]])</f>
        <v>6756250</v>
      </c>
      <c r="AD494" s="50"/>
      <c r="AE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6756250</v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844531.25</v>
      </c>
      <c r="AH494" s="50">
        <f>IF(OR(NOTA[[#This Row],[QTY]]="",NOTA[[#This Row],[HARGA SATUAN]]="",),"",NOTA[[#This Row],[QTY]]*NOTA[[#This Row],[HARGA SATUAN]])</f>
        <v>6756250</v>
      </c>
      <c r="AI494" s="39">
        <f ca="1">IF(NOTA[ID_H]="","",INDEX(NOTA[TANGGAL],MATCH(,INDIRECT(ADDRESS(ROW(NOTA[TANGGAL]),COLUMN(NOTA[TANGGAL]))&amp;":"&amp;ADDRESS(ROW(),COLUMN(NOTA[TANGGAL]))),-1)))</f>
        <v>45308</v>
      </c>
      <c r="AJ494" s="41" t="str">
        <f ca="1">IF(NOTA[[#This Row],[NAMA BARANG]]="","",INDEX(NOTA[SUPPLIER],MATCH(,INDIRECT(ADDRESS(ROW(NOTA[ID]),COLUMN(NOTA[ID]))&amp;":"&amp;ADDRESS(ROW(),COLUMN(NOTA[ID]))),-1)))</f>
        <v>MIRACLE ABADI</v>
      </c>
      <c r="AK494" s="41" t="str">
        <f ca="1">IF(NOTA[[#This Row],[ID_H]]="","",IF(NOTA[[#This Row],[FAKTUR]]="",INDIRECT(ADDRESS(ROW()-1,COLUMN())),NOTA[[#This Row],[FAKTUR]]))</f>
        <v>UNTANA</v>
      </c>
      <c r="AL494" s="38">
        <f ca="1">IF(NOTA[[#This Row],[ID]]="","",COUNTIF(NOTA[ID_H],NOTA[[#This Row],[ID_H]]))</f>
        <v>1</v>
      </c>
      <c r="AM494" s="38">
        <f>IF(NOTA[[#This Row],[TGL.NOTA]]="",IF(NOTA[[#This Row],[SUPPLIER_H]]="","",AM493),MONTH(NOTA[[#This Row],[TGL.NOTA]]))</f>
        <v>1</v>
      </c>
      <c r="AN494" s="38" t="str">
        <f>LOWER(SUBSTITUTE(SUBSTITUTE(SUBSTITUTE(SUBSTITUTE(SUBSTITUTE(SUBSTITUTE(SUBSTITUTE(SUBSTITUTE(SUBSTITUTE(NOTA[NAMA BARANG]," ",),".",""),"-",""),"(",""),")",""),",",""),"/",""),"""",""),"+",""))</f>
        <v>kertaskreppotonganjersy</v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kertaskreppotonganjersy844531.25</v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kertaskreppotonganjersy844531.25</v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>MIRACLE ABADIUNTANAFP/2401/0012245303kertaskreppotonganjersy</v>
      </c>
      <c r="AR494" s="38" t="e">
        <f>IF(NOTA[[#This Row],[CONCAT4]]="","",_xlfn.IFNA(MATCH(NOTA[[#This Row],[CONCAT4]],[2]!RAW[CONCAT_H],0),FALSE))</f>
        <v>#REF!</v>
      </c>
      <c r="AS494" s="38" t="e">
        <f>IF(NOTA[[#This Row],[CONCAT1]]="","",MATCH(NOTA[[#This Row],[CONCAT1]],[3]!db[NB NOTA_C],0))</f>
        <v>#N/A</v>
      </c>
      <c r="AT494" s="38" t="b">
        <f>IF(NOTA[[#This Row],[QTY/ CTN]]="","",TRUE)</f>
        <v>1</v>
      </c>
      <c r="AU494" s="38" t="str">
        <f ca="1">IF(NOTA[[#This Row],[ID_H]]="","",IF(NOTA[[#This Row],[Column3]]=TRUE,NOTA[[#This Row],[QTY/ CTN]],INDEX([3]!db[QTY/ CTN],NOTA[[#This Row],[//DB]])))</f>
        <v>235 PAK</v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kertaskreppotonganjersy235pakuntana</v>
      </c>
      <c r="AW494" s="38" t="e">
        <f ca="1">IF(NOTA[[#This Row],[ID_H]]="","",MATCH(NOTA[[#This Row],[NB NOTA_C_QTY]],[4]!db[NB NOTA_C_QTY+F],0))</f>
        <v>#REF!</v>
      </c>
      <c r="AX494" s="53">
        <f ca="1">IF(NOTA[[#This Row],[NB NOTA_C_QTY]]="","",ROW()-2)</f>
        <v>492</v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44"/>
      <c r="V495" s="50"/>
      <c r="W495" s="45"/>
      <c r="X495" s="50" t="str">
        <f>IF(NOTA[[#This Row],[HARGA/ CTN]]="",NOTA[[#This Row],[JUMLAH_H]],NOTA[[#This Row],[HARGA/ CTN]]*IF(NOTA[[#This Row],[C]]="",0,NOTA[[#This Row],[C]]))</f>
        <v/>
      </c>
      <c r="Y495" s="50" t="str">
        <f>IF(NOTA[[#This Row],[JUMLAH]]="","",NOTA[[#This Row],[JUMLAH]]*NOTA[[#This Row],[DISC 1]])</f>
        <v/>
      </c>
      <c r="Z495" s="50" t="str">
        <f>IF(NOTA[[#This Row],[JUMLAH]]="","",(NOTA[[#This Row],[JUMLAH]]-NOTA[[#This Row],[DISC 1-]])*NOTA[[#This Row],[DISC 2]])</f>
        <v/>
      </c>
      <c r="AA495" s="50" t="str">
        <f>IF(NOTA[[#This Row],[JUMLAH]]="","",(NOTA[[#This Row],[JUMLAH]]-NOTA[[#This Row],[DISC 1-]]-NOTA[[#This Row],[DISC 2-]])*NOTA[[#This Row],[DISC 3]])</f>
        <v/>
      </c>
      <c r="AB495" s="50" t="str">
        <f>IF(NOTA[[#This Row],[JUMLAH]]="","",NOTA[[#This Row],[DISC 1-]]+NOTA[[#This Row],[DISC 2-]]+NOTA[[#This Row],[DISC 3-]])</f>
        <v/>
      </c>
      <c r="AC495" s="50" t="str">
        <f>IF(NOTA[[#This Row],[JUMLAH]]="","",NOTA[[#This Row],[JUMLAH]]-NOTA[[#This Row],[DISC]])</f>
        <v/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50" t="str">
        <f>IF(OR(NOTA[[#This Row],[QTY]]="",NOTA[[#This Row],[HARGA SATUAN]]="",),"",NOTA[[#This Row],[QTY]]*NOTA[[#This Row],[HARGA SATUAN]])</f>
        <v/>
      </c>
      <c r="AI495" s="39" t="str">
        <f ca="1">IF(NOTA[ID_H]="","",INDEX(NOTA[TANGGAL],MATCH(,INDIRECT(ADDRESS(ROW(NOTA[TANGGAL]),COLUMN(NOTA[TANGGAL]))&amp;":"&amp;ADDRESS(ROW(),COLUMN(NOTA[TANGGAL]))),-1)))</f>
        <v/>
      </c>
      <c r="AJ495" s="41" t="str">
        <f ca="1">IF(NOTA[[#This Row],[NAMA BARANG]]="","",INDEX(NOTA[SUPPLIER],MATCH(,INDIRECT(ADDRESS(ROW(NOTA[ID]),COLUMN(NOTA[ID]))&amp;":"&amp;ADDRESS(ROW(),COLUMN(NOTA[ID]))),-1)))</f>
        <v/>
      </c>
      <c r="AK495" s="41" t="str">
        <f ca="1">IF(NOTA[[#This Row],[ID_H]]="","",IF(NOTA[[#This Row],[FAKTUR]]="",INDIRECT(ADDRESS(ROW()-1,COLUMN())),NOTA[[#This Row],[FAKTUR]]))</f>
        <v/>
      </c>
      <c r="AL495" s="38" t="str">
        <f ca="1">IF(NOTA[[#This Row],[ID]]="","",COUNTIF(NOTA[ID_H],NOTA[[#This Row],[ID_H]]))</f>
        <v/>
      </c>
      <c r="AM495" s="38" t="str">
        <f ca="1">IF(NOTA[[#This Row],[TGL.NOTA]]="",IF(NOTA[[#This Row],[SUPPLIER_H]]="","",AM494),MONTH(NOTA[[#This Row],[TGL.NOTA]]))</f>
        <v/>
      </c>
      <c r="AN495" s="38" t="str">
        <f>LOWER(SUBSTITUTE(SUBSTITUTE(SUBSTITUTE(SUBSTITUTE(SUBSTITUTE(SUBSTITUTE(SUBSTITUTE(SUBSTITUTE(SUBSTITUTE(NOTA[NAMA BARANG]," ",),".",""),"-",""),"(",""),")",""),",",""),"/",""),"""",""),"+",""))</f>
        <v/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 t="str">
        <f>IF(NOTA[[#This Row],[CONCAT1]]="","",MATCH(NOTA[[#This Row],[CONCAT1]],[3]!db[NB NOTA_C],0))</f>
        <v/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/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38" t="str">
        <f ca="1">IF(NOTA[[#This Row],[ID_H]]="","",MATCH(NOTA[[#This Row],[NB NOTA_C_QTY]],[4]!db[NB NOTA_C_QTY+F],0))</f>
        <v/>
      </c>
      <c r="AX495" s="53" t="str">
        <f ca="1">IF(NOTA[[#This Row],[NB NOTA_C_QTY]]="","",ROW()-2)</f>
        <v/>
      </c>
    </row>
    <row r="496" spans="1:50" s="38" customFormat="1" ht="20.100000000000001" customHeight="1" x14ac:dyDescent="0.25">
      <c r="A496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COM_1701_116-1</v>
      </c>
      <c r="C496" s="38" t="e">
        <f ca="1">IF(NOTA[[#This Row],[ID_P]]="","",MATCH(NOTA[[#This Row],[ID_P]],[1]!B_MSK[N_ID],0))</f>
        <v>#REF!</v>
      </c>
      <c r="D496" s="38">
        <f ca="1">IF(NOTA[[#This Row],[NAMA BARANG]]="","",INDEX(NOTA[ID],MATCH(,INDIRECT(ADDRESS(ROW(NOTA[ID]),COLUMN(NOTA[ID]))&amp;":"&amp;ADDRESS(ROW(),COLUMN(NOTA[ID]))),-1)))</f>
        <v>79</v>
      </c>
      <c r="E496" s="46">
        <v>45308</v>
      </c>
      <c r="F496" s="37" t="s">
        <v>114</v>
      </c>
      <c r="G496" s="37" t="s">
        <v>110</v>
      </c>
      <c r="H496" s="47" t="s">
        <v>631</v>
      </c>
      <c r="I496" s="37"/>
      <c r="J496" s="39">
        <v>45308</v>
      </c>
      <c r="K496" s="37"/>
      <c r="L496" s="37" t="s">
        <v>133</v>
      </c>
      <c r="M496" s="40">
        <v>1</v>
      </c>
      <c r="N496" s="38">
        <v>8</v>
      </c>
      <c r="O496" s="37" t="s">
        <v>111</v>
      </c>
      <c r="P496" s="41">
        <v>195000</v>
      </c>
      <c r="Q496" s="42"/>
      <c r="R496" s="48" t="s">
        <v>134</v>
      </c>
      <c r="S496" s="49"/>
      <c r="T496" s="44"/>
      <c r="U496" s="44"/>
      <c r="V496" s="50"/>
      <c r="W496" s="45"/>
      <c r="X496" s="50">
        <f>IF(NOTA[[#This Row],[HARGA/ CTN]]="",NOTA[[#This Row],[JUMLAH_H]],NOTA[[#This Row],[HARGA/ CTN]]*IF(NOTA[[#This Row],[C]]="",0,NOTA[[#This Row],[C]]))</f>
        <v>1560000</v>
      </c>
      <c r="Y496" s="50">
        <f>IF(NOTA[[#This Row],[JUMLAH]]="","",NOTA[[#This Row],[JUMLAH]]*NOTA[[#This Row],[DISC 1]])</f>
        <v>0</v>
      </c>
      <c r="Z496" s="50">
        <f>IF(NOTA[[#This Row],[JUMLAH]]="","",(NOTA[[#This Row],[JUMLAH]]-NOTA[[#This Row],[DISC 1-]])*NOTA[[#This Row],[DISC 2]])</f>
        <v>0</v>
      </c>
      <c r="AA496" s="50">
        <f>IF(NOTA[[#This Row],[JUMLAH]]="","",(NOTA[[#This Row],[JUMLAH]]-NOTA[[#This Row],[DISC 1-]]-NOTA[[#This Row],[DISC 2-]])*NOTA[[#This Row],[DISC 3]])</f>
        <v>0</v>
      </c>
      <c r="AB496" s="50">
        <f>IF(NOTA[[#This Row],[JUMLAH]]="","",NOTA[[#This Row],[DISC 1-]]+NOTA[[#This Row],[DISC 2-]]+NOTA[[#This Row],[DISC 3-]])</f>
        <v>0</v>
      </c>
      <c r="AC496" s="50">
        <f>IF(NOTA[[#This Row],[JUMLAH]]="","",NOTA[[#This Row],[JUMLAH]]-NOTA[[#This Row],[DISC]])</f>
        <v>1560000</v>
      </c>
      <c r="AD496" s="50"/>
      <c r="AE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1560000</v>
      </c>
      <c r="AG496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496" s="50">
        <f>IF(OR(NOTA[[#This Row],[QTY]]="",NOTA[[#This Row],[HARGA SATUAN]]="",),"",NOTA[[#This Row],[QTY]]*NOTA[[#This Row],[HARGA SATUAN]])</f>
        <v>1560000</v>
      </c>
      <c r="AI496" s="39">
        <f ca="1">IF(NOTA[ID_H]="","",INDEX(NOTA[TANGGAL],MATCH(,INDIRECT(ADDRESS(ROW(NOTA[TANGGAL]),COLUMN(NOTA[TANGGAL]))&amp;":"&amp;ADDRESS(ROW(),COLUMN(NOTA[TANGGAL]))),-1)))</f>
        <v>45308</v>
      </c>
      <c r="AJ496" s="41" t="str">
        <f ca="1">IF(NOTA[[#This Row],[NAMA BARANG]]="","",INDEX(NOTA[SUPPLIER],MATCH(,INDIRECT(ADDRESS(ROW(NOTA[ID]),COLUMN(NOTA[ID]))&amp;":"&amp;ADDRESS(ROW(),COLUMN(NOTA[ID]))),-1)))</f>
        <v>COMBI</v>
      </c>
      <c r="AK496" s="41" t="str">
        <f ca="1">IF(NOTA[[#This Row],[ID_H]]="","",IF(NOTA[[#This Row],[FAKTUR]]="",INDIRECT(ADDRESS(ROW()-1,COLUMN())),NOTA[[#This Row],[FAKTUR]]))</f>
        <v>UNTANA</v>
      </c>
      <c r="AL496" s="38">
        <f ca="1">IF(NOTA[[#This Row],[ID]]="","",COUNTIF(NOTA[ID_H],NOTA[[#This Row],[ID_H]]))</f>
        <v>1</v>
      </c>
      <c r="AM496" s="38">
        <f>IF(NOTA[[#This Row],[TGL.NOTA]]="",IF(NOTA[[#This Row],[SUPPLIER_H]]="","",AM495),MONTH(NOTA[[#This Row],[TGL.NOTA]]))</f>
        <v>1</v>
      </c>
      <c r="AN496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COMBIUNTANA011645308docritprestige</v>
      </c>
      <c r="AR496" s="38" t="e">
        <f>IF(NOTA[[#This Row],[CONCAT4]]="","",_xlfn.IFNA(MATCH(NOTA[[#This Row],[CONCAT4]],[2]!RAW[CONCAT_H],0),FALSE))</f>
        <v>#REF!</v>
      </c>
      <c r="AS496" s="38">
        <f>IF(NOTA[[#This Row],[CONCAT1]]="","",MATCH(NOTA[[#This Row],[CONCAT1]],[3]!db[NB NOTA_C],0))</f>
        <v>852</v>
      </c>
      <c r="AT496" s="38" t="b">
        <f>IF(NOTA[[#This Row],[QTY/ CTN]]="","",TRUE)</f>
        <v>1</v>
      </c>
      <c r="AU496" s="38" t="str">
        <f ca="1">IF(NOTA[[#This Row],[ID_H]]="","",IF(NOTA[[#This Row],[Column3]]=TRUE,NOTA[[#This Row],[QTY/ CTN]],INDEX([3]!db[QTY/ CTN],NOTA[[#This Row],[//DB]])))</f>
        <v>8 LSN</v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496" s="38" t="e">
        <f ca="1">IF(NOTA[[#This Row],[ID_H]]="","",MATCH(NOTA[[#This Row],[NB NOTA_C_QTY]],[4]!db[NB NOTA_C_QTY+F],0))</f>
        <v>#REF!</v>
      </c>
      <c r="AX496" s="53">
        <f ca="1">IF(NOTA[[#This Row],[NB NOTA_C_QTY]]="","",ROW()-2)</f>
        <v>494</v>
      </c>
    </row>
    <row r="497" spans="1:50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F497" s="37"/>
      <c r="G497" s="37"/>
      <c r="H497" s="47"/>
      <c r="I497" s="37"/>
      <c r="J497" s="39"/>
      <c r="K497" s="37"/>
      <c r="L497" s="37"/>
      <c r="M497" s="40"/>
      <c r="O497" s="37"/>
      <c r="P497" s="41"/>
      <c r="Q497" s="42"/>
      <c r="R497" s="48"/>
      <c r="S497" s="49"/>
      <c r="T497" s="44"/>
      <c r="U497" s="44"/>
      <c r="V497" s="50"/>
      <c r="W497" s="45"/>
      <c r="X497" s="50" t="str">
        <f>IF(NOTA[[#This Row],[HARGA/ CTN]]="",NOTA[[#This Row],[JUMLAH_H]],NOTA[[#This Row],[HARGA/ CTN]]*IF(NOTA[[#This Row],[C]]="",0,NOTA[[#This Row],[C]]))</f>
        <v/>
      </c>
      <c r="Y497" s="50" t="str">
        <f>IF(NOTA[[#This Row],[JUMLAH]]="","",NOTA[[#This Row],[JUMLAH]]*NOTA[[#This Row],[DISC 1]])</f>
        <v/>
      </c>
      <c r="Z497" s="50" t="str">
        <f>IF(NOTA[[#This Row],[JUMLAH]]="","",(NOTA[[#This Row],[JUMLAH]]-NOTA[[#This Row],[DISC 1-]])*NOTA[[#This Row],[DISC 2]])</f>
        <v/>
      </c>
      <c r="AA497" s="50" t="str">
        <f>IF(NOTA[[#This Row],[JUMLAH]]="","",(NOTA[[#This Row],[JUMLAH]]-NOTA[[#This Row],[DISC 1-]]-NOTA[[#This Row],[DISC 2-]])*NOTA[[#This Row],[DISC 3]])</f>
        <v/>
      </c>
      <c r="AB497" s="50" t="str">
        <f>IF(NOTA[[#This Row],[JUMLAH]]="","",NOTA[[#This Row],[DISC 1-]]+NOTA[[#This Row],[DISC 2-]]+NOTA[[#This Row],[DISC 3-]])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41" t="str">
        <f ca="1">IF(NOTA[[#This Row],[NAMA BARANG]]="","",INDEX(NOTA[SUPPLIER],MATCH(,INDIRECT(ADDRESS(ROW(NOTA[ID]),COLUMN(NOTA[ID]))&amp;":"&amp;ADDRESS(ROW(),COLUMN(NOTA[ID]))),-1)))</f>
        <v/>
      </c>
      <c r="AK497" s="41" t="str">
        <f ca="1">IF(NOTA[[#This Row],[ID_H]]="","",IF(NOTA[[#This Row],[FAKTUR]]="",INDIRECT(ADDRESS(ROW()-1,COLUMN())),NOTA[[#This Row],[FAKTUR]]))</f>
        <v/>
      </c>
      <c r="AL497" s="38" t="str">
        <f ca="1">IF(NOTA[[#This Row],[ID]]="","",COUNTIF(NOTA[ID_H],NOTA[[#This Row],[ID_H]]))</f>
        <v/>
      </c>
      <c r="AM497" s="38" t="str">
        <f ca="1">IF(NOTA[[#This Row],[TGL.NOTA]]="",IF(NOTA[[#This Row],[SUPPLIER_H]]="","",AM496),MONTH(NOTA[[#This Row],[TGL.NOTA]]))</f>
        <v/>
      </c>
      <c r="AN497" s="38" t="str">
        <f>LOWER(SUBSTITUTE(SUBSTITUTE(SUBSTITUTE(SUBSTITUTE(SUBSTITUTE(SUBSTITUTE(SUBSTITUTE(SUBSTITUTE(SUBSTITUTE(NOTA[NAMA BARANG]," ",),".",""),"-",""),"(",""),")",""),",",""),"/",""),"""",""),"+",""))</f>
        <v/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38" t="str">
        <f>IF(NOTA[[#This Row],[CONCAT4]]="","",_xlfn.IFNA(MATCH(NOTA[[#This Row],[CONCAT4]],[2]!RAW[CONCAT_H],0),FALSE))</f>
        <v/>
      </c>
      <c r="AS497" s="38" t="str">
        <f>IF(NOTA[[#This Row],[CONCAT1]]="","",MATCH(NOTA[[#This Row],[CONCAT1]],[3]!db[NB NOTA_C],0))</f>
        <v/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/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38" t="str">
        <f ca="1">IF(NOTA[[#This Row],[ID_H]]="","",MATCH(NOTA[[#This Row],[NB NOTA_C_QTY]],[4]!db[NB NOTA_C_QTY+F],0))</f>
        <v/>
      </c>
      <c r="AX497" s="53" t="str">
        <f ca="1">IF(NOTA[[#This Row],[NB NOTA_C_QTY]]="","",ROW()-2)</f>
        <v/>
      </c>
    </row>
    <row r="498" spans="1:50" s="38" customFormat="1" ht="20.100000000000001" customHeight="1" x14ac:dyDescent="0.25">
      <c r="A498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KAL_1701_141-1</v>
      </c>
      <c r="C498" s="38" t="e">
        <f ca="1">IF(NOTA[[#This Row],[ID_P]]="","",MATCH(NOTA[[#This Row],[ID_P]],[1]!B_MSK[N_ID],0))</f>
        <v>#REF!</v>
      </c>
      <c r="D498" s="38">
        <f ca="1">IF(NOTA[[#This Row],[NAMA BARANG]]="","",INDEX(NOTA[ID],MATCH(,INDIRECT(ADDRESS(ROW(NOTA[ID]),COLUMN(NOTA[ID]))&amp;":"&amp;ADDRESS(ROW(),COLUMN(NOTA[ID]))),-1)))</f>
        <v>80</v>
      </c>
      <c r="E498" s="46">
        <v>45308</v>
      </c>
      <c r="F498" s="37" t="s">
        <v>51</v>
      </c>
      <c r="G498" s="37" t="s">
        <v>23</v>
      </c>
      <c r="H498" s="47" t="s">
        <v>633</v>
      </c>
      <c r="I498" s="37"/>
      <c r="J498" s="39">
        <v>45304</v>
      </c>
      <c r="K498" s="37">
        <v>0</v>
      </c>
      <c r="L498" s="37" t="s">
        <v>634</v>
      </c>
      <c r="M498" s="40">
        <v>2</v>
      </c>
      <c r="N498" s="38">
        <v>120</v>
      </c>
      <c r="O498" s="37" t="s">
        <v>115</v>
      </c>
      <c r="P498" s="41">
        <v>74000</v>
      </c>
      <c r="Q498" s="42"/>
      <c r="R498" s="48"/>
      <c r="S498" s="49">
        <v>0.125</v>
      </c>
      <c r="T498" s="44">
        <v>0.05</v>
      </c>
      <c r="U498" s="44"/>
      <c r="V498" s="50"/>
      <c r="W498" s="45"/>
      <c r="X498" s="50">
        <f>IF(NOTA[[#This Row],[HARGA/ CTN]]="",NOTA[[#This Row],[JUMLAH_H]],NOTA[[#This Row],[HARGA/ CTN]]*IF(NOTA[[#This Row],[C]]="",0,NOTA[[#This Row],[C]]))</f>
        <v>8880000</v>
      </c>
      <c r="Y498" s="50">
        <f>IF(NOTA[[#This Row],[JUMLAH]]="","",NOTA[[#This Row],[JUMLAH]]*NOTA[[#This Row],[DISC 1]])</f>
        <v>1110000</v>
      </c>
      <c r="Z498" s="50">
        <f>IF(NOTA[[#This Row],[JUMLAH]]="","",(NOTA[[#This Row],[JUMLAH]]-NOTA[[#This Row],[DISC 1-]])*NOTA[[#This Row],[DISC 2]])</f>
        <v>388500</v>
      </c>
      <c r="AA498" s="50">
        <f>IF(NOTA[[#This Row],[JUMLAH]]="","",(NOTA[[#This Row],[JUMLAH]]-NOTA[[#This Row],[DISC 1-]]-NOTA[[#This Row],[DISC 2-]])*NOTA[[#This Row],[DISC 3]])</f>
        <v>0</v>
      </c>
      <c r="AB498" s="50">
        <f>IF(NOTA[[#This Row],[JUMLAH]]="","",NOTA[[#This Row],[DISC 1-]]+NOTA[[#This Row],[DISC 2-]]+NOTA[[#This Row],[DISC 3-]])</f>
        <v>1498500</v>
      </c>
      <c r="AC498" s="50">
        <f>IF(NOTA[[#This Row],[JUMLAH]]="","",NOTA[[#This Row],[JUMLAH]]-NOTA[[#This Row],[DISC]])</f>
        <v>7381500</v>
      </c>
      <c r="AD498" s="50"/>
      <c r="AE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1498500</v>
      </c>
      <c r="AF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7381500</v>
      </c>
      <c r="AG498" s="41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H498" s="50">
        <f>IF(OR(NOTA[[#This Row],[QTY]]="",NOTA[[#This Row],[HARGA SATUAN]]="",),"",NOTA[[#This Row],[QTY]]*NOTA[[#This Row],[HARGA SATUAN]])</f>
        <v>8880000</v>
      </c>
      <c r="AI498" s="39">
        <f ca="1">IF(NOTA[ID_H]="","",INDEX(NOTA[TANGGAL],MATCH(,INDIRECT(ADDRESS(ROW(NOTA[TANGGAL]),COLUMN(NOTA[TANGGAL]))&amp;":"&amp;ADDRESS(ROW(),COLUMN(NOTA[TANGGAL]))),-1)))</f>
        <v>45308</v>
      </c>
      <c r="AJ498" s="41" t="str">
        <f ca="1">IF(NOTA[[#This Row],[NAMA BARANG]]="","",INDEX(NOTA[SUPPLIER],MATCH(,INDIRECT(ADDRESS(ROW(NOTA[ID]),COLUMN(NOTA[ID]))&amp;":"&amp;ADDRESS(ROW(),COLUMN(NOTA[ID]))),-1)))</f>
        <v>KALINDO SUKSES</v>
      </c>
      <c r="AK498" s="41" t="str">
        <f ca="1">IF(NOTA[[#This Row],[ID_H]]="","",IF(NOTA[[#This Row],[FAKTUR]]="",INDIRECT(ADDRESS(ROW()-1,COLUMN())),NOTA[[#This Row],[FAKTUR]]))</f>
        <v>ARTO MORO</v>
      </c>
      <c r="AL498" s="38">
        <f ca="1">IF(NOTA[[#This Row],[ID]]="","",COUNTIF(NOTA[ID_H],NOTA[[#This Row],[ID_H]]))</f>
        <v>1</v>
      </c>
      <c r="AM498" s="38">
        <f>IF(NOTA[[#This Row],[TGL.NOTA]]="",IF(NOTA[[#This Row],[SUPPLIER_H]]="","",AM497),MONTH(NOTA[[#This Row],[TGL.NOTA]]))</f>
        <v>1</v>
      </c>
      <c r="AN498" s="38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MOROSN2401014145304calculatorjoykocc41</v>
      </c>
      <c r="AR498" s="38" t="e">
        <f>IF(NOTA[[#This Row],[CONCAT4]]="","",_xlfn.IFNA(MATCH(NOTA[[#This Row],[CONCAT4]],[2]!RAW[CONCAT_H],0),FALSE))</f>
        <v>#REF!</v>
      </c>
      <c r="AS498" s="38">
        <f>IF(NOTA[[#This Row],[CONCAT1]]="","",MATCH(NOTA[[#This Row],[CONCAT1]],[3]!db[NB NOTA_C],0))</f>
        <v>592</v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>60 PCS</v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calculatorjoykocc4160pcsartomoro</v>
      </c>
      <c r="AW498" s="38" t="e">
        <f ca="1">IF(NOTA[[#This Row],[ID_H]]="","",MATCH(NOTA[[#This Row],[NB NOTA_C_QTY]],[4]!db[NB NOTA_C_QTY+F],0))</f>
        <v>#REF!</v>
      </c>
      <c r="AX498" s="53">
        <f ca="1">IF(NOTA[[#This Row],[NB NOTA_C_QTY]]="","",ROW()-2)</f>
        <v>496</v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F499" s="37"/>
      <c r="G499" s="37"/>
      <c r="H499" s="37"/>
      <c r="I499" s="37"/>
      <c r="J499" s="39"/>
      <c r="K499" s="37"/>
      <c r="L499" s="37"/>
      <c r="M499" s="40"/>
      <c r="O499" s="37"/>
      <c r="P499" s="41"/>
      <c r="Q499" s="42"/>
      <c r="R499" s="48"/>
      <c r="S499" s="49"/>
      <c r="T499" s="44"/>
      <c r="U499" s="44"/>
      <c r="V499" s="50"/>
      <c r="W499" s="45"/>
      <c r="X499" s="50" t="str">
        <f>IF(NOTA[[#This Row],[HARGA/ CTN]]="",NOTA[[#This Row],[JUMLAH_H]],NOTA[[#This Row],[HARGA/ CTN]]*IF(NOTA[[#This Row],[C]]="",0,NOTA[[#This Row],[C]]))</f>
        <v/>
      </c>
      <c r="Y499" s="50" t="str">
        <f>IF(NOTA[[#This Row],[JUMLAH]]="","",NOTA[[#This Row],[JUMLAH]]*NOTA[[#This Row],[DISC 1]])</f>
        <v/>
      </c>
      <c r="Z499" s="50" t="str">
        <f>IF(NOTA[[#This Row],[JUMLAH]]="","",(NOTA[[#This Row],[JUMLAH]]-NOTA[[#This Row],[DISC 1-]])*NOTA[[#This Row],[DISC 2]])</f>
        <v/>
      </c>
      <c r="AA499" s="50" t="str">
        <f>IF(NOTA[[#This Row],[JUMLAH]]="","",(NOTA[[#This Row],[JUMLAH]]-NOTA[[#This Row],[DISC 1-]]-NOTA[[#This Row],[DISC 2-]])*NOTA[[#This Row],[DISC 3]])</f>
        <v/>
      </c>
      <c r="AB499" s="50" t="str">
        <f>IF(NOTA[[#This Row],[JUMLAH]]="","",NOTA[[#This Row],[DISC 1-]]+NOTA[[#This Row],[DISC 2-]]+NOTA[[#This Row],[DISC 3-]])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41" t="str">
        <f ca="1">IF(NOTA[[#This Row],[NAMA BARANG]]="","",INDEX(NOTA[SUPPLIER],MATCH(,INDIRECT(ADDRESS(ROW(NOTA[ID]),COLUMN(NOTA[ID]))&amp;":"&amp;ADDRESS(ROW(),COLUMN(NOTA[ID]))),-1)))</f>
        <v/>
      </c>
      <c r="AK499" s="41" t="str">
        <f ca="1">IF(NOTA[[#This Row],[ID_H]]="","",IF(NOTA[[#This Row],[FAKTUR]]="",INDIRECT(ADDRESS(ROW()-1,COLUMN())),NOTA[[#This Row],[FAKTUR]]))</f>
        <v/>
      </c>
      <c r="AL499" s="38" t="str">
        <f ca="1">IF(NOTA[[#This Row],[ID]]="","",COUNTIF(NOTA[ID_H],NOTA[[#This Row],[ID_H]]))</f>
        <v/>
      </c>
      <c r="AM499" s="38" t="str">
        <f ca="1">IF(NOTA[[#This Row],[TGL.NOTA]]="",IF(NOTA[[#This Row],[SUPPLIER_H]]="","",AM498),MONTH(NOTA[[#This Row],[TGL.NOTA]]))</f>
        <v/>
      </c>
      <c r="AN499" s="38" t="str">
        <f>LOWER(SUBSTITUTE(SUBSTITUTE(SUBSTITUTE(SUBSTITUTE(SUBSTITUTE(SUBSTITUTE(SUBSTITUTE(SUBSTITUTE(SUBSTITUTE(NOTA[NAMA BARANG]," ",),".",""),"-",""),"(",""),")",""),",",""),"/",""),"""",""),"+",""))</f>
        <v/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 t="str">
        <f>IF(NOTA[[#This Row],[CONCAT1]]="","",MATCH(NOTA[[#This Row],[CONCAT1]],[3]!db[NB NOTA_C],0))</f>
        <v/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/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38" t="str">
        <f ca="1">IF(NOTA[[#This Row],[ID_H]]="","",MATCH(NOTA[[#This Row],[NB NOTA_C_QTY]],[4]!db[NB NOTA_C_QTY+F],0))</f>
        <v/>
      </c>
      <c r="AX499" s="53" t="str">
        <f ca="1">IF(NOTA[[#This Row],[NB NOTA_C_QTY]]="","",ROW()-2)</f>
        <v/>
      </c>
    </row>
    <row r="500" spans="1:50" s="38" customFormat="1" ht="20.100000000000001" customHeight="1" x14ac:dyDescent="0.25">
      <c r="A500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5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ATA_1701_801-8</v>
      </c>
      <c r="C500" s="38" t="e">
        <f ca="1">IF(NOTA[[#This Row],[ID_P]]="","",MATCH(NOTA[[#This Row],[ID_P]],[1]!B_MSK[N_ID],0))</f>
        <v>#REF!</v>
      </c>
      <c r="D500" s="38">
        <f ca="1">IF(NOTA[[#This Row],[NAMA BARANG]]="","",INDEX(NOTA[ID],MATCH(,INDIRECT(ADDRESS(ROW(NOTA[ID]),COLUMN(NOTA[ID]))&amp;":"&amp;ADDRESS(ROW(),COLUMN(NOTA[ID]))),-1)))</f>
        <v>81</v>
      </c>
      <c r="E500" s="46"/>
      <c r="F500" s="37" t="s">
        <v>24</v>
      </c>
      <c r="G500" s="37" t="s">
        <v>23</v>
      </c>
      <c r="H500" s="47" t="s">
        <v>637</v>
      </c>
      <c r="I500" s="37"/>
      <c r="J500" s="39">
        <v>45303</v>
      </c>
      <c r="K500" s="37">
        <v>0</v>
      </c>
      <c r="L500" s="37" t="s">
        <v>182</v>
      </c>
      <c r="M500" s="40">
        <v>1</v>
      </c>
      <c r="N500" s="38">
        <v>144</v>
      </c>
      <c r="O500" s="37" t="s">
        <v>116</v>
      </c>
      <c r="P500" s="41">
        <v>18600</v>
      </c>
      <c r="Q500" s="42"/>
      <c r="R500" s="48"/>
      <c r="S500" s="49">
        <v>0.125</v>
      </c>
      <c r="T500" s="44">
        <v>0.05</v>
      </c>
      <c r="U500" s="44"/>
      <c r="V500" s="50"/>
      <c r="W500" s="45"/>
      <c r="X500" s="50">
        <f>IF(NOTA[[#This Row],[HARGA/ CTN]]="",NOTA[[#This Row],[JUMLAH_H]],NOTA[[#This Row],[HARGA/ CTN]]*IF(NOTA[[#This Row],[C]]="",0,NOTA[[#This Row],[C]]))</f>
        <v>2678400</v>
      </c>
      <c r="Y500" s="50">
        <f>IF(NOTA[[#This Row],[JUMLAH]]="","",NOTA[[#This Row],[JUMLAH]]*NOTA[[#This Row],[DISC 1]])</f>
        <v>334800</v>
      </c>
      <c r="Z500" s="50">
        <f>IF(NOTA[[#This Row],[JUMLAH]]="","",(NOTA[[#This Row],[JUMLAH]]-NOTA[[#This Row],[DISC 1-]])*NOTA[[#This Row],[DISC 2]])</f>
        <v>117180</v>
      </c>
      <c r="AA500" s="50">
        <f>IF(NOTA[[#This Row],[JUMLAH]]="","",(NOTA[[#This Row],[JUMLAH]]-NOTA[[#This Row],[DISC 1-]]-NOTA[[#This Row],[DISC 2-]])*NOTA[[#This Row],[DISC 3]])</f>
        <v>0</v>
      </c>
      <c r="AB500" s="50">
        <f>IF(NOTA[[#This Row],[JUMLAH]]="","",NOTA[[#This Row],[DISC 1-]]+NOTA[[#This Row],[DISC 2-]]+NOTA[[#This Row],[DISC 3-]])</f>
        <v>451980</v>
      </c>
      <c r="AC500" s="50">
        <f>IF(NOTA[[#This Row],[JUMLAH]]="","",NOTA[[#This Row],[JUMLAH]]-NOTA[[#This Row],[DISC]])</f>
        <v>2226420</v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00" s="50">
        <f>IF(OR(NOTA[[#This Row],[QTY]]="",NOTA[[#This Row],[HARGA SATUAN]]="",),"",NOTA[[#This Row],[QTY]]*NOTA[[#This Row],[HARGA SATUAN]])</f>
        <v>2678400</v>
      </c>
      <c r="AI500" s="39">
        <f ca="1">IF(NOTA[ID_H]="","",INDEX(NOTA[TANGGAL],MATCH(,INDIRECT(ADDRESS(ROW(NOTA[TANGGAL]),COLUMN(NOTA[TANGGAL]))&amp;":"&amp;ADDRESS(ROW(),COLUMN(NOTA[TANGGAL]))),-1)))</f>
        <v>45308</v>
      </c>
      <c r="AJ500" s="41" t="str">
        <f ca="1">IF(NOTA[[#This Row],[NAMA BARANG]]="","",INDEX(NOTA[SUPPLIER],MATCH(,INDIRECT(ADDRESS(ROW(NOTA[ID]),COLUMN(NOTA[ID]))&amp;":"&amp;ADDRESS(ROW(),COLUMN(NOTA[ID]))),-1)))</f>
        <v>ATALI MAKMUR</v>
      </c>
      <c r="AK500" s="41" t="str">
        <f ca="1">IF(NOTA[[#This Row],[ID_H]]="","",IF(NOTA[[#This Row],[FAKTUR]]="",INDIRECT(ADDRESS(ROW()-1,COLUMN())),NOTA[[#This Row],[FAKTUR]]))</f>
        <v>ARTO MORO</v>
      </c>
      <c r="AL500" s="38">
        <f ca="1">IF(NOTA[[#This Row],[ID]]="","",COUNTIF(NOTA[ID_H],NOTA[[#This Row],[ID_H]]))</f>
        <v>8</v>
      </c>
      <c r="AM500" s="38">
        <f>IF(NOTA[[#This Row],[TGL.NOTA]]="",IF(NOTA[[#This Row],[SUPPLIER_H]]="","",AM499),MONTH(NOTA[[#This Row],[TGL.NOTA]]))</f>
        <v>1</v>
      </c>
      <c r="AN500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MOROSA24010080145303crayonputartwcr12minijk</v>
      </c>
      <c r="AR500" s="38" t="e">
        <f>IF(NOTA[[#This Row],[CONCAT4]]="","",_xlfn.IFNA(MATCH(NOTA[[#This Row],[CONCAT4]],[2]!RAW[CONCAT_H],0),FALSE))</f>
        <v>#REF!</v>
      </c>
      <c r="AS500" s="38">
        <f>IF(NOTA[[#This Row],[CONCAT1]]="","",MATCH(NOTA[[#This Row],[CONCAT1]],[3]!db[NB NOTA_C],0))</f>
        <v>763</v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>12 LSN</v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500" s="38" t="e">
        <f ca="1">IF(NOTA[[#This Row],[ID_H]]="","",MATCH(NOTA[[#This Row],[NB NOTA_C_QTY]],[4]!db[NB NOTA_C_QTY+F],0))</f>
        <v>#REF!</v>
      </c>
      <c r="AX500" s="53">
        <f ca="1">IF(NOTA[[#This Row],[NB NOTA_C_QTY]]="","",ROW()-2)</f>
        <v>498</v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81</v>
      </c>
      <c r="E501" s="46"/>
      <c r="F501" s="37"/>
      <c r="G501" s="37"/>
      <c r="H501" s="47"/>
      <c r="I501" s="37"/>
      <c r="J501" s="39"/>
      <c r="K501" s="37">
        <v>0</v>
      </c>
      <c r="L501" s="37" t="s">
        <v>638</v>
      </c>
      <c r="M501" s="40">
        <v>1</v>
      </c>
      <c r="N501" s="38">
        <v>144</v>
      </c>
      <c r="O501" s="37" t="s">
        <v>116</v>
      </c>
      <c r="P501" s="41">
        <v>11900</v>
      </c>
      <c r="Q501" s="42"/>
      <c r="R501" s="48"/>
      <c r="S501" s="49">
        <v>0.125</v>
      </c>
      <c r="T501" s="44">
        <v>0.05</v>
      </c>
      <c r="U501" s="44"/>
      <c r="V501" s="50"/>
      <c r="W501" s="45"/>
      <c r="X501" s="50">
        <f>IF(NOTA[[#This Row],[HARGA/ CTN]]="",NOTA[[#This Row],[JUMLAH_H]],NOTA[[#This Row],[HARGA/ CTN]]*IF(NOTA[[#This Row],[C]]="",0,NOTA[[#This Row],[C]]))</f>
        <v>1713600</v>
      </c>
      <c r="Y501" s="50">
        <f>IF(NOTA[[#This Row],[JUMLAH]]="","",NOTA[[#This Row],[JUMLAH]]*NOTA[[#This Row],[DISC 1]])</f>
        <v>214200</v>
      </c>
      <c r="Z501" s="50">
        <f>IF(NOTA[[#This Row],[JUMLAH]]="","",(NOTA[[#This Row],[JUMLAH]]-NOTA[[#This Row],[DISC 1-]])*NOTA[[#This Row],[DISC 2]])</f>
        <v>74970</v>
      </c>
      <c r="AA501" s="50">
        <f>IF(NOTA[[#This Row],[JUMLAH]]="","",(NOTA[[#This Row],[JUMLAH]]-NOTA[[#This Row],[DISC 1-]]-NOTA[[#This Row],[DISC 2-]])*NOTA[[#This Row],[DISC 3]])</f>
        <v>0</v>
      </c>
      <c r="AB501" s="50">
        <f>IF(NOTA[[#This Row],[JUMLAH]]="","",NOTA[[#This Row],[DISC 1-]]+NOTA[[#This Row],[DISC 2-]]+NOTA[[#This Row],[DISC 3-]])</f>
        <v>289170</v>
      </c>
      <c r="AC501" s="50">
        <f>IF(NOTA[[#This Row],[JUMLAH]]="","",NOTA[[#This Row],[JUMLAH]]-NOTA[[#This Row],[DISC]])</f>
        <v>1424430</v>
      </c>
      <c r="AD501" s="50"/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01" s="50">
        <f>IF(OR(NOTA[[#This Row],[QTY]]="",NOTA[[#This Row],[HARGA SATUAN]]="",),"",NOTA[[#This Row],[QTY]]*NOTA[[#This Row],[HARGA SATUAN]])</f>
        <v>1713600</v>
      </c>
      <c r="AI501" s="39">
        <f ca="1">IF(NOTA[ID_H]="","",INDEX(NOTA[TANGGAL],MATCH(,INDIRECT(ADDRESS(ROW(NOTA[TANGGAL]),COLUMN(NOTA[TANGGAL]))&amp;":"&amp;ADDRESS(ROW(),COLUMN(NOTA[TANGGAL]))),-1)))</f>
        <v>45308</v>
      </c>
      <c r="AJ501" s="41" t="str">
        <f ca="1">IF(NOTA[[#This Row],[NAMA BARANG]]="","",INDEX(NOTA[SUPPLIER],MATCH(,INDIRECT(ADDRESS(ROW(NOTA[ID]),COLUMN(NOTA[ID]))&amp;":"&amp;ADDRESS(ROW(),COLUMN(NOTA[ID]))),-1)))</f>
        <v>ATALI MAKMUR</v>
      </c>
      <c r="AK501" s="41" t="str">
        <f ca="1">IF(NOTA[[#This Row],[ID_H]]="","",IF(NOTA[[#This Row],[FAKTUR]]="",INDIRECT(ADDRESS(ROW()-1,COLUMN())),NOTA[[#This Row],[FAKTUR]]))</f>
        <v>ARTO MORO</v>
      </c>
      <c r="AL501" s="38" t="str">
        <f ca="1">IF(NOTA[[#This Row],[ID]]="","",COUNTIF(NOTA[ID_H],NOTA[[#This Row],[ID_H]]))</f>
        <v/>
      </c>
      <c r="AM501" s="38">
        <f ca="1">IF(NOTA[[#This Row],[TGL.NOTA]]="",IF(NOTA[[#This Row],[SUPPLIER_H]]="","",AM500),MONTH(NOTA[[#This Row],[TGL.NOTA]]))</f>
        <v>1</v>
      </c>
      <c r="AN501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>
        <f>IF(NOTA[[#This Row],[CONCAT1]]="","",MATCH(NOTA[[#This Row],[CONCAT1]],[3]!db[NB NOTA_C],0))</f>
        <v>2174</v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>12 LSN</v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501" s="38" t="e">
        <f ca="1">IF(NOTA[[#This Row],[ID_H]]="","",MATCH(NOTA[[#This Row],[NB NOTA_C_QTY]],[4]!db[NB NOTA_C_QTY+F],0))</f>
        <v>#REF!</v>
      </c>
      <c r="AX501" s="53">
        <f ca="1">IF(NOTA[[#This Row],[NB NOTA_C_QTY]]="","",ROW()-2)</f>
        <v>499</v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>
        <f ca="1">IF(NOTA[[#This Row],[NAMA BARANG]]="","",INDEX(NOTA[ID],MATCH(,INDIRECT(ADDRESS(ROW(NOTA[ID]),COLUMN(NOTA[ID]))&amp;":"&amp;ADDRESS(ROW(),COLUMN(NOTA[ID]))),-1)))</f>
        <v>81</v>
      </c>
      <c r="E502" s="46"/>
      <c r="F502" s="37"/>
      <c r="G502" s="37"/>
      <c r="H502" s="47"/>
      <c r="I502" s="37"/>
      <c r="J502" s="39"/>
      <c r="K502" s="37">
        <v>0</v>
      </c>
      <c r="L502" s="37" t="s">
        <v>639</v>
      </c>
      <c r="M502" s="40">
        <v>1</v>
      </c>
      <c r="N502" s="38">
        <v>48</v>
      </c>
      <c r="O502" s="37" t="s">
        <v>116</v>
      </c>
      <c r="P502" s="41">
        <v>29600</v>
      </c>
      <c r="Q502" s="42"/>
      <c r="R502" s="48"/>
      <c r="S502" s="49">
        <v>0.125</v>
      </c>
      <c r="T502" s="44">
        <v>0.05</v>
      </c>
      <c r="U502" s="44"/>
      <c r="V502" s="50"/>
      <c r="W502" s="45"/>
      <c r="X502" s="50">
        <f>IF(NOTA[[#This Row],[HARGA/ CTN]]="",NOTA[[#This Row],[JUMLAH_H]],NOTA[[#This Row],[HARGA/ CTN]]*IF(NOTA[[#This Row],[C]]="",0,NOTA[[#This Row],[C]]))</f>
        <v>1420800</v>
      </c>
      <c r="Y502" s="50">
        <f>IF(NOTA[[#This Row],[JUMLAH]]="","",NOTA[[#This Row],[JUMLAH]]*NOTA[[#This Row],[DISC 1]])</f>
        <v>177600</v>
      </c>
      <c r="Z502" s="50">
        <f>IF(NOTA[[#This Row],[JUMLAH]]="","",(NOTA[[#This Row],[JUMLAH]]-NOTA[[#This Row],[DISC 1-]])*NOTA[[#This Row],[DISC 2]])</f>
        <v>62160</v>
      </c>
      <c r="AA502" s="50">
        <f>IF(NOTA[[#This Row],[JUMLAH]]="","",(NOTA[[#This Row],[JUMLAH]]-NOTA[[#This Row],[DISC 1-]]-NOTA[[#This Row],[DISC 2-]])*NOTA[[#This Row],[DISC 3]])</f>
        <v>0</v>
      </c>
      <c r="AB502" s="50">
        <f>IF(NOTA[[#This Row],[JUMLAH]]="","",NOTA[[#This Row],[DISC 1-]]+NOTA[[#This Row],[DISC 2-]]+NOTA[[#This Row],[DISC 3-]])</f>
        <v>239760</v>
      </c>
      <c r="AC502" s="50">
        <f>IF(NOTA[[#This Row],[JUMLAH]]="","",NOTA[[#This Row],[JUMLAH]]-NOTA[[#This Row],[DISC]])</f>
        <v>1181040</v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502" s="50">
        <f>IF(OR(NOTA[[#This Row],[QTY]]="",NOTA[[#This Row],[HARGA SATUAN]]="",),"",NOTA[[#This Row],[QTY]]*NOTA[[#This Row],[HARGA SATUAN]])</f>
        <v>1420800</v>
      </c>
      <c r="AI502" s="39">
        <f ca="1">IF(NOTA[ID_H]="","",INDEX(NOTA[TANGGAL],MATCH(,INDIRECT(ADDRESS(ROW(NOTA[TANGGAL]),COLUMN(NOTA[TANGGAL]))&amp;":"&amp;ADDRESS(ROW(),COLUMN(NOTA[TANGGAL]))),-1)))</f>
        <v>45308</v>
      </c>
      <c r="AJ502" s="41" t="str">
        <f ca="1">IF(NOTA[[#This Row],[NAMA BARANG]]="","",INDEX(NOTA[SUPPLIER],MATCH(,INDIRECT(ADDRESS(ROW(NOTA[ID]),COLUMN(NOTA[ID]))&amp;":"&amp;ADDRESS(ROW(),COLUMN(NOTA[ID]))),-1)))</f>
        <v>ATALI MAKMUR</v>
      </c>
      <c r="AK502" s="41" t="str">
        <f ca="1">IF(NOTA[[#This Row],[ID_H]]="","",IF(NOTA[[#This Row],[FAKTUR]]="",INDIRECT(ADDRESS(ROW()-1,COLUMN())),NOTA[[#This Row],[FAKTUR]]))</f>
        <v>ARTO MORO</v>
      </c>
      <c r="AL502" s="38" t="str">
        <f ca="1">IF(NOTA[[#This Row],[ID]]="","",COUNTIF(NOTA[ID_H],NOTA[[#This Row],[ID_H]]))</f>
        <v/>
      </c>
      <c r="AM502" s="38">
        <f ca="1">IF(NOTA[[#This Row],[TGL.NOTA]]="",IF(NOTA[[#This Row],[SUPPLIER_H]]="","",AM501),MONTH(NOTA[[#This Row],[TGL.NOTA]]))</f>
        <v>1</v>
      </c>
      <c r="AN502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>
        <f>IF(NOTA[[#This Row],[CONCAT1]]="","",MATCH(NOTA[[#This Row],[CONCAT1]],[3]!db[NB NOTA_C],0))</f>
        <v>2176</v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>8 BOX (6 SET)</v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502" s="38" t="e">
        <f ca="1">IF(NOTA[[#This Row],[ID_H]]="","",MATCH(NOTA[[#This Row],[NB NOTA_C_QTY]],[4]!db[NB NOTA_C_QTY+F],0))</f>
        <v>#REF!</v>
      </c>
      <c r="AX502" s="53">
        <f ca="1">IF(NOTA[[#This Row],[NB NOTA_C_QTY]]="","",ROW()-2)</f>
        <v>500</v>
      </c>
    </row>
    <row r="503" spans="1:50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>
        <f ca="1">IF(NOTA[[#This Row],[NAMA BARANG]]="","",INDEX(NOTA[ID],MATCH(,INDIRECT(ADDRESS(ROW(NOTA[ID]),COLUMN(NOTA[ID]))&amp;":"&amp;ADDRESS(ROW(),COLUMN(NOTA[ID]))),-1)))</f>
        <v>81</v>
      </c>
      <c r="E503" s="46"/>
      <c r="F503" s="37"/>
      <c r="G503" s="37"/>
      <c r="H503" s="47"/>
      <c r="I503" s="37"/>
      <c r="J503" s="39"/>
      <c r="K503" s="37"/>
      <c r="L503" s="37" t="s">
        <v>119</v>
      </c>
      <c r="M503" s="40"/>
      <c r="N503" s="38">
        <v>72</v>
      </c>
      <c r="O503" s="37" t="s">
        <v>115</v>
      </c>
      <c r="P503" s="41">
        <v>2300</v>
      </c>
      <c r="Q503" s="42"/>
      <c r="R503" s="48"/>
      <c r="S503" s="49">
        <v>0.125</v>
      </c>
      <c r="T503" s="44">
        <v>0.05</v>
      </c>
      <c r="U503" s="44"/>
      <c r="V503" s="50"/>
      <c r="W503" s="45"/>
      <c r="X503" s="50">
        <f>IF(NOTA[[#This Row],[HARGA/ CTN]]="",NOTA[[#This Row],[JUMLAH_H]],NOTA[[#This Row],[HARGA/ CTN]]*IF(NOTA[[#This Row],[C]]="",0,NOTA[[#This Row],[C]]))</f>
        <v>165600</v>
      </c>
      <c r="Y503" s="50">
        <f>IF(NOTA[[#This Row],[JUMLAH]]="","",NOTA[[#This Row],[JUMLAH]]*NOTA[[#This Row],[DISC 1]])</f>
        <v>20700</v>
      </c>
      <c r="Z503" s="50">
        <f>IF(NOTA[[#This Row],[JUMLAH]]="","",(NOTA[[#This Row],[JUMLAH]]-NOTA[[#This Row],[DISC 1-]])*NOTA[[#This Row],[DISC 2]])</f>
        <v>7245</v>
      </c>
      <c r="AA503" s="50">
        <f>IF(NOTA[[#This Row],[JUMLAH]]="","",(NOTA[[#This Row],[JUMLAH]]-NOTA[[#This Row],[DISC 1-]]-NOTA[[#This Row],[DISC 2-]])*NOTA[[#This Row],[DISC 3]])</f>
        <v>0</v>
      </c>
      <c r="AB503" s="50">
        <f>IF(NOTA[[#This Row],[JUMLAH]]="","",NOTA[[#This Row],[DISC 1-]]+NOTA[[#This Row],[DISC 2-]]+NOTA[[#This Row],[DISC 3-]])</f>
        <v>27945</v>
      </c>
      <c r="AC503" s="50">
        <f>IF(NOTA[[#This Row],[JUMLAH]]="","",NOTA[[#This Row],[JUMLAH]]-NOTA[[#This Row],[DISC]])</f>
        <v>137655</v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H503" s="50">
        <f>IF(OR(NOTA[[#This Row],[QTY]]="",NOTA[[#This Row],[HARGA SATUAN]]="",),"",NOTA[[#This Row],[QTY]]*NOTA[[#This Row],[HARGA SATUAN]])</f>
        <v>165600</v>
      </c>
      <c r="AI503" s="39">
        <f ca="1">IF(NOTA[ID_H]="","",INDEX(NOTA[TANGGAL],MATCH(,INDIRECT(ADDRESS(ROW(NOTA[TANGGAL]),COLUMN(NOTA[TANGGAL]))&amp;":"&amp;ADDRESS(ROW(),COLUMN(NOTA[TANGGAL]))),-1)))</f>
        <v>45308</v>
      </c>
      <c r="AJ503" s="41" t="str">
        <f ca="1">IF(NOTA[[#This Row],[NAMA BARANG]]="","",INDEX(NOTA[SUPPLIER],MATCH(,INDIRECT(ADDRESS(ROW(NOTA[ID]),COLUMN(NOTA[ID]))&amp;":"&amp;ADDRESS(ROW(),COLUMN(NOTA[ID]))),-1)))</f>
        <v>ATALI MAKMUR</v>
      </c>
      <c r="AK503" s="41" t="str">
        <f ca="1">IF(NOTA[[#This Row],[ID_H]]="","",IF(NOTA[[#This Row],[FAKTUR]]="",INDIRECT(ADDRESS(ROW()-1,COLUMN())),NOTA[[#This Row],[FAKTUR]]))</f>
        <v>ARTO MORO</v>
      </c>
      <c r="AL503" s="38" t="str">
        <f ca="1">IF(NOTA[[#This Row],[ID]]="","",COUNTIF(NOTA[ID_H],NOTA[[#This Row],[ID_H]]))</f>
        <v/>
      </c>
      <c r="AM503" s="38">
        <f ca="1">IF(NOTA[[#This Row],[TGL.NOTA]]="",IF(NOTA[[#This Row],[SUPPLIER_H]]="","",AM502),MONTH(NOTA[[#This Row],[TGL.NOTA]]))</f>
        <v>1</v>
      </c>
      <c r="AN503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whiteboardmarkerwm65blackjkbonus1656000.1250.05</v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38" t="str">
        <f>IF(NOTA[[#This Row],[CONCAT4]]="","",_xlfn.IFNA(MATCH(NOTA[[#This Row],[CONCAT4]],[2]!RAW[CONCAT_H],0),FALSE))</f>
        <v/>
      </c>
      <c r="AS503" s="38">
        <f>IF(NOTA[[#This Row],[CONCAT1]]="","",MATCH(NOTA[[#This Row],[CONCAT1]],[3]!db[NB NOTA_C],0))</f>
        <v>3070</v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>48 LSN</v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03" s="38" t="e">
        <f ca="1">IF(NOTA[[#This Row],[ID_H]]="","",MATCH(NOTA[[#This Row],[NB NOTA_C_QTY]],[4]!db[NB NOTA_C_QTY+F],0))</f>
        <v>#REF!</v>
      </c>
      <c r="AX503" s="53">
        <f ca="1">IF(NOTA[[#This Row],[NB NOTA_C_QTY]]="","",ROW()-2)</f>
        <v>501</v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81</v>
      </c>
      <c r="E504" s="46"/>
      <c r="F504" s="37"/>
      <c r="G504" s="37"/>
      <c r="H504" s="47"/>
      <c r="I504" s="37"/>
      <c r="J504" s="39"/>
      <c r="K504" s="37">
        <v>0</v>
      </c>
      <c r="L504" s="37" t="s">
        <v>640</v>
      </c>
      <c r="M504" s="40">
        <v>1</v>
      </c>
      <c r="N504" s="38">
        <v>60</v>
      </c>
      <c r="O504" s="37" t="s">
        <v>120</v>
      </c>
      <c r="P504" s="41">
        <v>27600</v>
      </c>
      <c r="Q504" s="42"/>
      <c r="R504" s="48"/>
      <c r="S504" s="49">
        <v>0.125</v>
      </c>
      <c r="T504" s="44">
        <v>0.05</v>
      </c>
      <c r="U504" s="44"/>
      <c r="V504" s="50"/>
      <c r="W504" s="45"/>
      <c r="X504" s="50">
        <f>IF(NOTA[[#This Row],[HARGA/ CTN]]="",NOTA[[#This Row],[JUMLAH_H]],NOTA[[#This Row],[HARGA/ CTN]]*IF(NOTA[[#This Row],[C]]="",0,NOTA[[#This Row],[C]]))</f>
        <v>1656000</v>
      </c>
      <c r="Y504" s="50">
        <f>IF(NOTA[[#This Row],[JUMLAH]]="","",NOTA[[#This Row],[JUMLAH]]*NOTA[[#This Row],[DISC 1]])</f>
        <v>207000</v>
      </c>
      <c r="Z504" s="50">
        <f>IF(NOTA[[#This Row],[JUMLAH]]="","",(NOTA[[#This Row],[JUMLAH]]-NOTA[[#This Row],[DISC 1-]])*NOTA[[#This Row],[DISC 2]])</f>
        <v>72450</v>
      </c>
      <c r="AA504" s="50">
        <f>IF(NOTA[[#This Row],[JUMLAH]]="","",(NOTA[[#This Row],[JUMLAH]]-NOTA[[#This Row],[DISC 1-]]-NOTA[[#This Row],[DISC 2-]])*NOTA[[#This Row],[DISC 3]])</f>
        <v>0</v>
      </c>
      <c r="AB504" s="50">
        <f>IF(NOTA[[#This Row],[JUMLAH]]="","",NOTA[[#This Row],[DISC 1-]]+NOTA[[#This Row],[DISC 2-]]+NOTA[[#This Row],[DISC 3-]])</f>
        <v>279450</v>
      </c>
      <c r="AC504" s="50">
        <f>IF(NOTA[[#This Row],[JUMLAH]]="","",NOTA[[#This Row],[JUMLAH]]-NOTA[[#This Row],[DISC]])</f>
        <v>1376550</v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504" s="50">
        <f>IF(OR(NOTA[[#This Row],[QTY]]="",NOTA[[#This Row],[HARGA SATUAN]]="",),"",NOTA[[#This Row],[QTY]]*NOTA[[#This Row],[HARGA SATUAN]])</f>
        <v>1656000</v>
      </c>
      <c r="AI504" s="39">
        <f ca="1">IF(NOTA[ID_H]="","",INDEX(NOTA[TANGGAL],MATCH(,INDIRECT(ADDRESS(ROW(NOTA[TANGGAL]),COLUMN(NOTA[TANGGAL]))&amp;":"&amp;ADDRESS(ROW(),COLUMN(NOTA[TANGGAL]))),-1)))</f>
        <v>45308</v>
      </c>
      <c r="AJ504" s="41" t="str">
        <f ca="1">IF(NOTA[[#This Row],[NAMA BARANG]]="","",INDEX(NOTA[SUPPLIER],MATCH(,INDIRECT(ADDRESS(ROW(NOTA[ID]),COLUMN(NOTA[ID]))&amp;":"&amp;ADDRESS(ROW(),COLUMN(NOTA[ID]))),-1)))</f>
        <v>ATALI MAKMUR</v>
      </c>
      <c r="AK504" s="41" t="str">
        <f ca="1">IF(NOTA[[#This Row],[ID_H]]="","",IF(NOTA[[#This Row],[FAKTUR]]="",INDIRECT(ADDRESS(ROW()-1,COLUMN())),NOTA[[#This Row],[FAKTUR]]))</f>
        <v>ARTO MORO</v>
      </c>
      <c r="AL504" s="38" t="str">
        <f ca="1">IF(NOTA[[#This Row],[ID]]="","",COUNTIF(NOTA[ID_H],NOTA[[#This Row],[ID_H]]))</f>
        <v/>
      </c>
      <c r="AM504" s="38">
        <f ca="1">IF(NOTA[[#This Row],[TGL.NOTA]]="",IF(NOTA[[#This Row],[SUPPLIER_H]]="","",AM503),MONTH(NOTA[[#This Row],[TGL.NOTA]]))</f>
        <v>1</v>
      </c>
      <c r="AN504" s="38" t="str">
        <f>LOWER(SUBSTITUTE(SUBSTITUTE(SUBSTITUTE(SUBSTITUTE(SUBSTITUTE(SUBSTITUTE(SUBSTITUTE(SUBSTITUTE(SUBSTITUTE(NOTA[NAMA BARANG]," ",),".",""),"-",""),"(",""),")",""),",",""),"/",""),"""",""),"+",""))</f>
        <v>binderclip105jk</v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binderclip105jk16560000.1250.05</v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binderclip105jk16560000.1250.05</v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>
        <f>IF(NOTA[[#This Row],[CONCAT1]]="","",MATCH(NOTA[[#This Row],[CONCAT1]],[3]!db[NB NOTA_C],0))</f>
        <v>289</v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>60 GRS</v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binderclip105jk60grsartomoro</v>
      </c>
      <c r="AW504" s="38" t="e">
        <f ca="1">IF(NOTA[[#This Row],[ID_H]]="","",MATCH(NOTA[[#This Row],[NB NOTA_C_QTY]],[4]!db[NB NOTA_C_QTY+F],0))</f>
        <v>#REF!</v>
      </c>
      <c r="AX504" s="53">
        <f ca="1">IF(NOTA[[#This Row],[NB NOTA_C_QTY]]="","",ROW()-2)</f>
        <v>502</v>
      </c>
    </row>
    <row r="505" spans="1:50" s="38" customFormat="1" ht="20.100000000000001" customHeight="1" x14ac:dyDescent="0.25">
      <c r="A5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6" t="str">
        <f>IF(NOTA[[#This Row],[ID_P]]="","",MATCH(NOTA[[#This Row],[ID_P]],[1]!B_MSK[N_ID],0))</f>
        <v/>
      </c>
      <c r="D505" s="56">
        <f ca="1">IF(NOTA[[#This Row],[NAMA BARANG]]="","",INDEX(NOTA[ID],MATCH(,INDIRECT(ADDRESS(ROW(NOTA[ID]),COLUMN(NOTA[ID]))&amp;":"&amp;ADDRESS(ROW(),COLUMN(NOTA[ID]))),-1)))</f>
        <v>81</v>
      </c>
      <c r="E505" s="57"/>
      <c r="F505" s="58"/>
      <c r="G505" s="58"/>
      <c r="H505" s="59"/>
      <c r="I505" s="58"/>
      <c r="J505" s="60"/>
      <c r="K505" s="58">
        <v>0</v>
      </c>
      <c r="L505" s="37" t="s">
        <v>343</v>
      </c>
      <c r="M505" s="61">
        <v>1</v>
      </c>
      <c r="N505" s="56">
        <v>20</v>
      </c>
      <c r="O505" s="37" t="s">
        <v>120</v>
      </c>
      <c r="P505" s="55">
        <v>67800</v>
      </c>
      <c r="Q505" s="62"/>
      <c r="R505" s="48"/>
      <c r="S505" s="64">
        <v>0.125</v>
      </c>
      <c r="T505" s="65">
        <v>0.05</v>
      </c>
      <c r="U505" s="65"/>
      <c r="V505" s="66"/>
      <c r="W505" s="67"/>
      <c r="X505" s="66">
        <f>IF(NOTA[[#This Row],[HARGA/ CTN]]="",NOTA[[#This Row],[JUMLAH_H]],NOTA[[#This Row],[HARGA/ CTN]]*IF(NOTA[[#This Row],[C]]="",0,NOTA[[#This Row],[C]]))</f>
        <v>1356000</v>
      </c>
      <c r="Y505" s="66">
        <f>IF(NOTA[[#This Row],[JUMLAH]]="","",NOTA[[#This Row],[JUMLAH]]*NOTA[[#This Row],[DISC 1]])</f>
        <v>169500</v>
      </c>
      <c r="Z505" s="66">
        <f>IF(NOTA[[#This Row],[JUMLAH]]="","",(NOTA[[#This Row],[JUMLAH]]-NOTA[[#This Row],[DISC 1-]])*NOTA[[#This Row],[DISC 2]])</f>
        <v>59325</v>
      </c>
      <c r="AA505" s="66">
        <f>IF(NOTA[[#This Row],[JUMLAH]]="","",(NOTA[[#This Row],[JUMLAH]]-NOTA[[#This Row],[DISC 1-]]-NOTA[[#This Row],[DISC 2-]])*NOTA[[#This Row],[DISC 3]])</f>
        <v>0</v>
      </c>
      <c r="AB505" s="66">
        <f>IF(NOTA[[#This Row],[JUMLAH]]="","",NOTA[[#This Row],[DISC 1-]]+NOTA[[#This Row],[DISC 2-]]+NOTA[[#This Row],[DISC 3-]])</f>
        <v>228825</v>
      </c>
      <c r="AC505" s="66">
        <f>IF(NOTA[[#This Row],[JUMLAH]]="","",NOTA[[#This Row],[JUMLAH]]-NOTA[[#This Row],[DISC]])</f>
        <v>1127175</v>
      </c>
      <c r="AD505" s="66"/>
      <c r="AE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55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505" s="66">
        <f>IF(OR(NOTA[[#This Row],[QTY]]="",NOTA[[#This Row],[HARGA SATUAN]]="",),"",NOTA[[#This Row],[QTY]]*NOTA[[#This Row],[HARGA SATUAN]])</f>
        <v>1356000</v>
      </c>
      <c r="AI505" s="60">
        <f ca="1">IF(NOTA[ID_H]="","",INDEX(NOTA[TANGGAL],MATCH(,INDIRECT(ADDRESS(ROW(NOTA[TANGGAL]),COLUMN(NOTA[TANGGAL]))&amp;":"&amp;ADDRESS(ROW(),COLUMN(NOTA[TANGGAL]))),-1)))</f>
        <v>45308</v>
      </c>
      <c r="AJ505" s="55" t="str">
        <f ca="1">IF(NOTA[[#This Row],[NAMA BARANG]]="","",INDEX(NOTA[SUPPLIER],MATCH(,INDIRECT(ADDRESS(ROW(NOTA[ID]),COLUMN(NOTA[ID]))&amp;":"&amp;ADDRESS(ROW(),COLUMN(NOTA[ID]))),-1)))</f>
        <v>ATALI MAKMUR</v>
      </c>
      <c r="AK505" s="55" t="str">
        <f ca="1">IF(NOTA[[#This Row],[ID_H]]="","",IF(NOTA[[#This Row],[FAKTUR]]="",INDIRECT(ADDRESS(ROW()-1,COLUMN())),NOTA[[#This Row],[FAKTUR]]))</f>
        <v>ARTO MORO</v>
      </c>
      <c r="AL505" s="56" t="str">
        <f ca="1">IF(NOTA[[#This Row],[ID]]="","",COUNTIF(NOTA[ID_H],NOTA[[#This Row],[ID_H]]))</f>
        <v/>
      </c>
      <c r="AM505" s="56">
        <f ca="1">IF(NOTA[[#This Row],[TGL.NOTA]]="",IF(NOTA[[#This Row],[SUPPLIER_H]]="","",AM504),MONTH(NOTA[[#This Row],[TGL.NOTA]]))</f>
        <v>1</v>
      </c>
      <c r="AN505" s="56" t="str">
        <f>LOWER(SUBSTITUTE(SUBSTITUTE(SUBSTITUTE(SUBSTITUTE(SUBSTITUTE(SUBSTITUTE(SUBSTITUTE(SUBSTITUTE(SUBSTITUTE(NOTA[NAMA BARANG]," ",),".",""),"-",""),"(",""),")",""),",",""),"/",""),"""",""),"+",""))</f>
        <v>binderclip155jk</v>
      </c>
      <c r="AO5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5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5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56" t="str">
        <f>IF(NOTA[[#This Row],[CONCAT4]]="","",_xlfn.IFNA(MATCH(NOTA[[#This Row],[CONCAT4]],[2]!RAW[CONCAT_H],0),FALSE))</f>
        <v/>
      </c>
      <c r="AS505" s="56">
        <f>IF(NOTA[[#This Row],[CONCAT1]]="","",MATCH(NOTA[[#This Row],[CONCAT1]],[3]!db[NB NOTA_C],0))</f>
        <v>296</v>
      </c>
      <c r="AT505" s="56" t="str">
        <f>IF(NOTA[[#This Row],[QTY/ CTN]]="","",TRUE)</f>
        <v/>
      </c>
      <c r="AU505" s="56" t="str">
        <f ca="1">IF(NOTA[[#This Row],[ID_H]]="","",IF(NOTA[[#This Row],[Column3]]=TRUE,NOTA[[#This Row],[QTY/ CTN]],INDEX([3]!db[QTY/ CTN],NOTA[[#This Row],[//DB]])))</f>
        <v>20 GRS</v>
      </c>
      <c r="AV5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505" s="56" t="e">
        <f ca="1">IF(NOTA[[#This Row],[ID_H]]="","",MATCH(NOTA[[#This Row],[NB NOTA_C_QTY]],[4]!db[NB NOTA_C_QTY+F],0))</f>
        <v>#REF!</v>
      </c>
      <c r="AX505" s="68">
        <f ca="1">IF(NOTA[[#This Row],[NB NOTA_C_QTY]]="","",ROW()-2)</f>
        <v>503</v>
      </c>
    </row>
    <row r="506" spans="1:50" s="38" customFormat="1" ht="20.100000000000001" customHeight="1" x14ac:dyDescent="0.25">
      <c r="A5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56" t="str">
        <f>IF(NOTA[[#This Row],[ID_P]]="","",MATCH(NOTA[[#This Row],[ID_P]],[1]!B_MSK[N_ID],0))</f>
        <v/>
      </c>
      <c r="D506" s="56">
        <f ca="1">IF(NOTA[[#This Row],[NAMA BARANG]]="","",INDEX(NOTA[ID],MATCH(,INDIRECT(ADDRESS(ROW(NOTA[ID]),COLUMN(NOTA[ID]))&amp;":"&amp;ADDRESS(ROW(),COLUMN(NOTA[ID]))),-1)))</f>
        <v>81</v>
      </c>
      <c r="E506" s="57"/>
      <c r="F506" s="37"/>
      <c r="G506" s="37"/>
      <c r="H506" s="47"/>
      <c r="I506" s="58"/>
      <c r="J506" s="60"/>
      <c r="K506" s="58"/>
      <c r="L506" s="37" t="s">
        <v>641</v>
      </c>
      <c r="M506" s="61"/>
      <c r="N506" s="56">
        <v>12</v>
      </c>
      <c r="O506" s="37" t="s">
        <v>111</v>
      </c>
      <c r="P506" s="55">
        <v>13200</v>
      </c>
      <c r="Q506" s="62"/>
      <c r="R506" s="48"/>
      <c r="S506" s="64">
        <v>0.125</v>
      </c>
      <c r="T506" s="65">
        <v>0.05</v>
      </c>
      <c r="U506" s="65"/>
      <c r="V506" s="66"/>
      <c r="W506" s="67"/>
      <c r="X506" s="66">
        <f>IF(NOTA[[#This Row],[HARGA/ CTN]]="",NOTA[[#This Row],[JUMLAH_H]],NOTA[[#This Row],[HARGA/ CTN]]*IF(NOTA[[#This Row],[C]]="",0,NOTA[[#This Row],[C]]))</f>
        <v>158400</v>
      </c>
      <c r="Y506" s="66">
        <f>IF(NOTA[[#This Row],[JUMLAH]]="","",NOTA[[#This Row],[JUMLAH]]*NOTA[[#This Row],[DISC 1]])</f>
        <v>19800</v>
      </c>
      <c r="Z506" s="66">
        <f>IF(NOTA[[#This Row],[JUMLAH]]="","",(NOTA[[#This Row],[JUMLAH]]-NOTA[[#This Row],[DISC 1-]])*NOTA[[#This Row],[DISC 2]])</f>
        <v>6930</v>
      </c>
      <c r="AA506" s="66">
        <f>IF(NOTA[[#This Row],[JUMLAH]]="","",(NOTA[[#This Row],[JUMLAH]]-NOTA[[#This Row],[DISC 1-]]-NOTA[[#This Row],[DISC 2-]])*NOTA[[#This Row],[DISC 3]])</f>
        <v>0</v>
      </c>
      <c r="AB506" s="66">
        <f>IF(NOTA[[#This Row],[JUMLAH]]="","",NOTA[[#This Row],[DISC 1-]]+NOTA[[#This Row],[DISC 2-]]+NOTA[[#This Row],[DISC 3-]])</f>
        <v>26730</v>
      </c>
      <c r="AC506" s="66">
        <f>IF(NOTA[[#This Row],[JUMLAH]]="","",NOTA[[#This Row],[JUMLAH]]-NOTA[[#This Row],[DISC]])</f>
        <v>131670</v>
      </c>
      <c r="AD506" s="66"/>
      <c r="AE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5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506" s="66">
        <f>IF(OR(NOTA[[#This Row],[QTY]]="",NOTA[[#This Row],[HARGA SATUAN]]="",),"",NOTA[[#This Row],[QTY]]*NOTA[[#This Row],[HARGA SATUAN]])</f>
        <v>158400</v>
      </c>
      <c r="AI506" s="60">
        <f ca="1">IF(NOTA[ID_H]="","",INDEX(NOTA[TANGGAL],MATCH(,INDIRECT(ADDRESS(ROW(NOTA[TANGGAL]),COLUMN(NOTA[TANGGAL]))&amp;":"&amp;ADDRESS(ROW(),COLUMN(NOTA[TANGGAL]))),-1)))</f>
        <v>45308</v>
      </c>
      <c r="AJ506" s="55" t="str">
        <f ca="1">IF(NOTA[[#This Row],[NAMA BARANG]]="","",INDEX(NOTA[SUPPLIER],MATCH(,INDIRECT(ADDRESS(ROW(NOTA[ID]),COLUMN(NOTA[ID]))&amp;":"&amp;ADDRESS(ROW(),COLUMN(NOTA[ID]))),-1)))</f>
        <v>ATALI MAKMUR</v>
      </c>
      <c r="AK506" s="55" t="str">
        <f ca="1">IF(NOTA[[#This Row],[ID_H]]="","",IF(NOTA[[#This Row],[FAKTUR]]="",INDIRECT(ADDRESS(ROW()-1,COLUMN())),NOTA[[#This Row],[FAKTUR]]))</f>
        <v>ARTO MORO</v>
      </c>
      <c r="AL506" s="56" t="str">
        <f ca="1">IF(NOTA[[#This Row],[ID]]="","",COUNTIF(NOTA[ID_H],NOTA[[#This Row],[ID_H]]))</f>
        <v/>
      </c>
      <c r="AM506" s="56">
        <f ca="1">IF(NOTA[[#This Row],[TGL.NOTA]]="",IF(NOTA[[#This Row],[SUPPLIER_H]]="","",AM505),MONTH(NOTA[[#This Row],[TGL.NOTA]]))</f>
        <v>1</v>
      </c>
      <c r="AN506" s="5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5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5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5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56" t="str">
        <f>IF(NOTA[[#This Row],[CONCAT4]]="","",_xlfn.IFNA(MATCH(NOTA[[#This Row],[CONCAT4]],[2]!RAW[CONCAT_H],0),FALSE))</f>
        <v/>
      </c>
      <c r="AS506" s="56">
        <f>IF(NOTA[[#This Row],[CONCAT1]]="","",MATCH(NOTA[[#This Row],[CONCAT1]],[3]!db[NB NOTA_C],0))</f>
        <v>131</v>
      </c>
      <c r="AT506" s="56" t="str">
        <f>IF(NOTA[[#This Row],[QTY/ CTN]]="","",TRUE)</f>
        <v/>
      </c>
      <c r="AU506" s="56" t="str">
        <f ca="1">IF(NOTA[[#This Row],[ID_H]]="","",IF(NOTA[[#This Row],[Column3]]=TRUE,NOTA[[#This Row],[QTY/ CTN]],INDEX([3]!db[QTY/ CTN],NOTA[[#This Row],[//DB]])))</f>
        <v>144 LSN</v>
      </c>
      <c r="AV5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506" s="56" t="e">
        <f ca="1">IF(NOTA[[#This Row],[ID_H]]="","",MATCH(NOTA[[#This Row],[NB NOTA_C_QTY]],[4]!db[NB NOTA_C_QTY+F],0))</f>
        <v>#REF!</v>
      </c>
      <c r="AX506" s="68">
        <f ca="1">IF(NOTA[[#This Row],[NB NOTA_C_QTY]]="","",ROW()-2)</f>
        <v>504</v>
      </c>
    </row>
    <row r="507" spans="1:50" s="38" customFormat="1" ht="20.100000000000001" customHeight="1" x14ac:dyDescent="0.25">
      <c r="A5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6" t="str">
        <f>IF(NOTA[[#This Row],[ID_P]]="","",MATCH(NOTA[[#This Row],[ID_P]],[1]!B_MSK[N_ID],0))</f>
        <v/>
      </c>
      <c r="D507" s="56">
        <f ca="1">IF(NOTA[[#This Row],[NAMA BARANG]]="","",INDEX(NOTA[ID],MATCH(,INDIRECT(ADDRESS(ROW(NOTA[ID]),COLUMN(NOTA[ID]))&amp;":"&amp;ADDRESS(ROW(),COLUMN(NOTA[ID]))),-1)))</f>
        <v>81</v>
      </c>
      <c r="E507" s="57"/>
      <c r="F507" s="58"/>
      <c r="G507" s="58"/>
      <c r="H507" s="59"/>
      <c r="I507" s="58"/>
      <c r="J507" s="60"/>
      <c r="K507" s="58">
        <v>0</v>
      </c>
      <c r="L507" s="37" t="s">
        <v>121</v>
      </c>
      <c r="M507" s="61">
        <v>1</v>
      </c>
      <c r="N507" s="56">
        <v>30</v>
      </c>
      <c r="O507" s="37" t="s">
        <v>120</v>
      </c>
      <c r="P507" s="55">
        <v>104400</v>
      </c>
      <c r="Q507" s="62"/>
      <c r="R507" s="63"/>
      <c r="S507" s="64">
        <v>0.125</v>
      </c>
      <c r="T507" s="65">
        <v>0.05</v>
      </c>
      <c r="U507" s="65"/>
      <c r="V507" s="66">
        <v>269325</v>
      </c>
      <c r="W507" s="67"/>
      <c r="X507" s="66">
        <f>IF(NOTA[[#This Row],[HARGA/ CTN]]="",NOTA[[#This Row],[JUMLAH_H]],NOTA[[#This Row],[HARGA/ CTN]]*IF(NOTA[[#This Row],[C]]="",0,NOTA[[#This Row],[C]]))</f>
        <v>3132000</v>
      </c>
      <c r="Y507" s="66">
        <f>IF(NOTA[[#This Row],[JUMLAH]]="","",NOTA[[#This Row],[JUMLAH]]*NOTA[[#This Row],[DISC 1]])</f>
        <v>391500</v>
      </c>
      <c r="Z507" s="66">
        <f>IF(NOTA[[#This Row],[JUMLAH]]="","",(NOTA[[#This Row],[JUMLAH]]-NOTA[[#This Row],[DISC 1-]])*NOTA[[#This Row],[DISC 2]])</f>
        <v>137025</v>
      </c>
      <c r="AA507" s="66">
        <f>IF(NOTA[[#This Row],[JUMLAH]]="","",(NOTA[[#This Row],[JUMLAH]]-NOTA[[#This Row],[DISC 1-]]-NOTA[[#This Row],[DISC 2-]])*NOTA[[#This Row],[DISC 3]])</f>
        <v>0</v>
      </c>
      <c r="AB507" s="66">
        <f>IF(NOTA[[#This Row],[JUMLAH]]="","",NOTA[[#This Row],[DISC 1-]]+NOTA[[#This Row],[DISC 2-]]+NOTA[[#This Row],[DISC 3-]])</f>
        <v>528525</v>
      </c>
      <c r="AC507" s="66">
        <f>IF(NOTA[[#This Row],[JUMLAH]]="","",NOTA[[#This Row],[JUMLAH]]-NOTA[[#This Row],[DISC]])</f>
        <v>2603475</v>
      </c>
      <c r="AD507" s="66"/>
      <c r="AE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2341710</v>
      </c>
      <c r="AF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9939090</v>
      </c>
      <c r="AG507" s="5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507" s="66">
        <f>IF(OR(NOTA[[#This Row],[QTY]]="",NOTA[[#This Row],[HARGA SATUAN]]="",),"",NOTA[[#This Row],[QTY]]*NOTA[[#This Row],[HARGA SATUAN]])</f>
        <v>3132000</v>
      </c>
      <c r="AI507" s="60">
        <f ca="1">IF(NOTA[ID_H]="","",INDEX(NOTA[TANGGAL],MATCH(,INDIRECT(ADDRESS(ROW(NOTA[TANGGAL]),COLUMN(NOTA[TANGGAL]))&amp;":"&amp;ADDRESS(ROW(),COLUMN(NOTA[TANGGAL]))),-1)))</f>
        <v>45308</v>
      </c>
      <c r="AJ507" s="55" t="str">
        <f ca="1">IF(NOTA[[#This Row],[NAMA BARANG]]="","",INDEX(NOTA[SUPPLIER],MATCH(,INDIRECT(ADDRESS(ROW(NOTA[ID]),COLUMN(NOTA[ID]))&amp;":"&amp;ADDRESS(ROW(),COLUMN(NOTA[ID]))),-1)))</f>
        <v>ATALI MAKMUR</v>
      </c>
      <c r="AK507" s="55" t="str">
        <f ca="1">IF(NOTA[[#This Row],[ID_H]]="","",IF(NOTA[[#This Row],[FAKTUR]]="",INDIRECT(ADDRESS(ROW()-1,COLUMN())),NOTA[[#This Row],[FAKTUR]]))</f>
        <v>ARTO MORO</v>
      </c>
      <c r="AL507" s="56" t="str">
        <f ca="1">IF(NOTA[[#This Row],[ID]]="","",COUNTIF(NOTA[ID_H],NOTA[[#This Row],[ID_H]]))</f>
        <v/>
      </c>
      <c r="AM507" s="56">
        <f ca="1">IF(NOTA[[#This Row],[TGL.NOTA]]="",IF(NOTA[[#This Row],[SUPPLIER_H]]="","",AM506),MONTH(NOTA[[#This Row],[TGL.NOTA]]))</f>
        <v>1</v>
      </c>
      <c r="AN507" s="56" t="str">
        <f>LOWER(SUBSTITUTE(SUBSTITUTE(SUBSTITUTE(SUBSTITUTE(SUBSTITUTE(SUBSTITUTE(SUBSTITUTE(SUBSTITUTE(SUBSTITUTE(NOTA[NAMA BARANG]," ",),".",""),"-",""),"(",""),")",""),",",""),"/",""),"""",""),"+",""))</f>
        <v>pencilp882bjk</v>
      </c>
      <c r="AO5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5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5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56" t="str">
        <f>IF(NOTA[[#This Row],[CONCAT4]]="","",_xlfn.IFNA(MATCH(NOTA[[#This Row],[CONCAT4]],[2]!RAW[CONCAT_H],0),FALSE))</f>
        <v/>
      </c>
      <c r="AS507" s="56">
        <f>IF(NOTA[[#This Row],[CONCAT1]]="","",MATCH(NOTA[[#This Row],[CONCAT1]],[3]!db[NB NOTA_C],0))</f>
        <v>2483</v>
      </c>
      <c r="AT507" s="56" t="str">
        <f>IF(NOTA[[#This Row],[QTY/ CTN]]="","",TRUE)</f>
        <v/>
      </c>
      <c r="AU507" s="56" t="str">
        <f ca="1">IF(NOTA[[#This Row],[ID_H]]="","",IF(NOTA[[#This Row],[Column3]]=TRUE,NOTA[[#This Row],[QTY/ CTN]],INDEX([3]!db[QTY/ CTN],NOTA[[#This Row],[//DB]])))</f>
        <v>30 GRS</v>
      </c>
      <c r="AV5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507" s="56" t="e">
        <f ca="1">IF(NOTA[[#This Row],[ID_H]]="","",MATCH(NOTA[[#This Row],[NB NOTA_C_QTY]],[4]!db[NB NOTA_C_QTY+F],0))</f>
        <v>#REF!</v>
      </c>
      <c r="AX507" s="68">
        <f ca="1">IF(NOTA[[#This Row],[NB NOTA_C_QTY]]="","",ROW()-2)</f>
        <v>505</v>
      </c>
    </row>
    <row r="508" spans="1:50" s="38" customFormat="1" ht="20.100000000000001" customHeight="1" x14ac:dyDescent="0.25">
      <c r="A5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6" t="str">
        <f>IF(NOTA[[#This Row],[ID_P]]="","",MATCH(NOTA[[#This Row],[ID_P]],[1]!B_MSK[N_ID],0))</f>
        <v/>
      </c>
      <c r="D508" s="56" t="str">
        <f ca="1">IF(NOTA[[#This Row],[NAMA BARANG]]="","",INDEX(NOTA[ID],MATCH(,INDIRECT(ADDRESS(ROW(NOTA[ID]),COLUMN(NOTA[ID]))&amp;":"&amp;ADDRESS(ROW(),COLUMN(NOTA[ID]))),-1)))</f>
        <v/>
      </c>
      <c r="E508" s="57"/>
      <c r="F508" s="37"/>
      <c r="G508" s="37"/>
      <c r="H508" s="47"/>
      <c r="I508" s="58"/>
      <c r="J508" s="60"/>
      <c r="K508" s="58"/>
      <c r="L508" s="37"/>
      <c r="M508" s="61"/>
      <c r="N508" s="56"/>
      <c r="O508" s="37"/>
      <c r="P508" s="55"/>
      <c r="Q508" s="62"/>
      <c r="R508" s="48"/>
      <c r="S508" s="64"/>
      <c r="T508" s="65"/>
      <c r="U508" s="65"/>
      <c r="V508" s="66"/>
      <c r="W508" s="67"/>
      <c r="X508" s="66" t="str">
        <f>IF(NOTA[[#This Row],[HARGA/ CTN]]="",NOTA[[#This Row],[JUMLAH_H]],NOTA[[#This Row],[HARGA/ CTN]]*IF(NOTA[[#This Row],[C]]="",0,NOTA[[#This Row],[C]]))</f>
        <v/>
      </c>
      <c r="Y508" s="66" t="str">
        <f>IF(NOTA[[#This Row],[JUMLAH]]="","",NOTA[[#This Row],[JUMLAH]]*NOTA[[#This Row],[DISC 1]])</f>
        <v/>
      </c>
      <c r="Z508" s="66" t="str">
        <f>IF(NOTA[[#This Row],[JUMLAH]]="","",(NOTA[[#This Row],[JUMLAH]]-NOTA[[#This Row],[DISC 1-]])*NOTA[[#This Row],[DISC 2]])</f>
        <v/>
      </c>
      <c r="AA508" s="66" t="str">
        <f>IF(NOTA[[#This Row],[JUMLAH]]="","",(NOTA[[#This Row],[JUMLAH]]-NOTA[[#This Row],[DISC 1-]]-NOTA[[#This Row],[DISC 2-]])*NOTA[[#This Row],[DISC 3]])</f>
        <v/>
      </c>
      <c r="AB508" s="66" t="str">
        <f>IF(NOTA[[#This Row],[JUMLAH]]="","",NOTA[[#This Row],[DISC 1-]]+NOTA[[#This Row],[DISC 2-]]+NOTA[[#This Row],[DISC 3-]])</f>
        <v/>
      </c>
      <c r="AC508" s="66" t="str">
        <f>IF(NOTA[[#This Row],[JUMLAH]]="","",NOTA[[#This Row],[JUMLAH]]-NOTA[[#This Row],[DISC]])</f>
        <v/>
      </c>
      <c r="AD508" s="66"/>
      <c r="AE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66" t="str">
        <f>IF(OR(NOTA[[#This Row],[QTY]]="",NOTA[[#This Row],[HARGA SATUAN]]="",),"",NOTA[[#This Row],[QTY]]*NOTA[[#This Row],[HARGA SATUAN]])</f>
        <v/>
      </c>
      <c r="AI508" s="60" t="str">
        <f ca="1">IF(NOTA[ID_H]="","",INDEX(NOTA[TANGGAL],MATCH(,INDIRECT(ADDRESS(ROW(NOTA[TANGGAL]),COLUMN(NOTA[TANGGAL]))&amp;":"&amp;ADDRESS(ROW(),COLUMN(NOTA[TANGGAL]))),-1)))</f>
        <v/>
      </c>
      <c r="AJ508" s="55" t="str">
        <f ca="1">IF(NOTA[[#This Row],[NAMA BARANG]]="","",INDEX(NOTA[SUPPLIER],MATCH(,INDIRECT(ADDRESS(ROW(NOTA[ID]),COLUMN(NOTA[ID]))&amp;":"&amp;ADDRESS(ROW(),COLUMN(NOTA[ID]))),-1)))</f>
        <v/>
      </c>
      <c r="AK508" s="55" t="str">
        <f ca="1">IF(NOTA[[#This Row],[ID_H]]="","",IF(NOTA[[#This Row],[FAKTUR]]="",INDIRECT(ADDRESS(ROW()-1,COLUMN())),NOTA[[#This Row],[FAKTUR]]))</f>
        <v/>
      </c>
      <c r="AL508" s="56" t="str">
        <f ca="1">IF(NOTA[[#This Row],[ID]]="","",COUNTIF(NOTA[ID_H],NOTA[[#This Row],[ID_H]]))</f>
        <v/>
      </c>
      <c r="AM508" s="56" t="str">
        <f ca="1">IF(NOTA[[#This Row],[TGL.NOTA]]="",IF(NOTA[[#This Row],[SUPPLIER_H]]="","",AM507),MONTH(NOTA[[#This Row],[TGL.NOTA]]))</f>
        <v/>
      </c>
      <c r="AN508" s="56" t="str">
        <f>LOWER(SUBSTITUTE(SUBSTITUTE(SUBSTITUTE(SUBSTITUTE(SUBSTITUTE(SUBSTITUTE(SUBSTITUTE(SUBSTITUTE(SUBSTITUTE(NOTA[NAMA BARANG]," ",),".",""),"-",""),"(",""),")",""),",",""),"/",""),"""",""),"+",""))</f>
        <v/>
      </c>
      <c r="AO5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56" t="str">
        <f>IF(NOTA[[#This Row],[CONCAT4]]="","",_xlfn.IFNA(MATCH(NOTA[[#This Row],[CONCAT4]],[2]!RAW[CONCAT_H],0),FALSE))</f>
        <v/>
      </c>
      <c r="AS508" s="56" t="str">
        <f>IF(NOTA[[#This Row],[CONCAT1]]="","",MATCH(NOTA[[#This Row],[CONCAT1]],[3]!db[NB NOTA_C],0))</f>
        <v/>
      </c>
      <c r="AT508" s="56" t="str">
        <f>IF(NOTA[[#This Row],[QTY/ CTN]]="","",TRUE)</f>
        <v/>
      </c>
      <c r="AU508" s="56" t="str">
        <f ca="1">IF(NOTA[[#This Row],[ID_H]]="","",IF(NOTA[[#This Row],[Column3]]=TRUE,NOTA[[#This Row],[QTY/ CTN]],INDEX([3]!db[QTY/ CTN],NOTA[[#This Row],[//DB]])))</f>
        <v/>
      </c>
      <c r="AV5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8" s="56" t="str">
        <f ca="1">IF(NOTA[[#This Row],[ID_H]]="","",MATCH(NOTA[[#This Row],[NB NOTA_C_QTY]],[4]!db[NB NOTA_C_QTY+F],0))</f>
        <v/>
      </c>
      <c r="AX508" s="68" t="str">
        <f ca="1">IF(NOTA[[#This Row],[NB NOTA_C_QTY]]="","",ROW()-2)</f>
        <v/>
      </c>
    </row>
    <row r="509" spans="1:50" s="38" customFormat="1" ht="20.100000000000001" customHeight="1" x14ac:dyDescent="0.25">
      <c r="A509" s="55">
        <f ca="1">IF(INDIRECT(ADDRESS(ROW()-1,COLUMN(NOTA[[#Headers],[ID]])))="ID",1,IF(NOTA[[#This Row],[FAKTUR]]="","",COUNT(INDIRECT(ADDRESS(ROW(NOTA[ID]),COLUMN(NOTA[ID]))&amp;":"&amp;ADDRESS(ROW()-1,COLUMN(NOTA[ID]))))+1))</f>
        <v>82</v>
      </c>
      <c r="B50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ATA_1701_800-8</v>
      </c>
      <c r="C509" s="56" t="e">
        <f ca="1">IF(NOTA[[#This Row],[ID_P]]="","",MATCH(NOTA[[#This Row],[ID_P]],[1]!B_MSK[N_ID],0))</f>
        <v>#REF!</v>
      </c>
      <c r="D509" s="56">
        <f ca="1">IF(NOTA[[#This Row],[NAMA BARANG]]="","",INDEX(NOTA[ID],MATCH(,INDIRECT(ADDRESS(ROW(NOTA[ID]),COLUMN(NOTA[ID]))&amp;":"&amp;ADDRESS(ROW(),COLUMN(NOTA[ID]))),-1)))</f>
        <v>82</v>
      </c>
      <c r="E509" s="57">
        <v>45308</v>
      </c>
      <c r="F509" s="37" t="s">
        <v>24</v>
      </c>
      <c r="G509" s="37" t="s">
        <v>23</v>
      </c>
      <c r="H509" s="47" t="s">
        <v>642</v>
      </c>
      <c r="I509" s="58"/>
      <c r="J509" s="60">
        <v>45303</v>
      </c>
      <c r="K509" s="58">
        <v>0</v>
      </c>
      <c r="L509" s="37" t="s">
        <v>643</v>
      </c>
      <c r="M509" s="61">
        <v>1</v>
      </c>
      <c r="N509" s="56">
        <v>288</v>
      </c>
      <c r="O509" s="37" t="s">
        <v>115</v>
      </c>
      <c r="P509" s="55">
        <v>4800</v>
      </c>
      <c r="Q509" s="62"/>
      <c r="R509" s="63"/>
      <c r="S509" s="64">
        <v>0.125</v>
      </c>
      <c r="T509" s="65">
        <v>0.05</v>
      </c>
      <c r="U509" s="65"/>
      <c r="V509" s="66"/>
      <c r="W509" s="67"/>
      <c r="X509" s="66">
        <f>IF(NOTA[[#This Row],[HARGA/ CTN]]="",NOTA[[#This Row],[JUMLAH_H]],NOTA[[#This Row],[HARGA/ CTN]]*IF(NOTA[[#This Row],[C]]="",0,NOTA[[#This Row],[C]]))</f>
        <v>1382400</v>
      </c>
      <c r="Y509" s="66">
        <f>IF(NOTA[[#This Row],[JUMLAH]]="","",NOTA[[#This Row],[JUMLAH]]*NOTA[[#This Row],[DISC 1]])</f>
        <v>172800</v>
      </c>
      <c r="Z509" s="66">
        <f>IF(NOTA[[#This Row],[JUMLAH]]="","",(NOTA[[#This Row],[JUMLAH]]-NOTA[[#This Row],[DISC 1-]])*NOTA[[#This Row],[DISC 2]])</f>
        <v>60480</v>
      </c>
      <c r="AA509" s="66">
        <f>IF(NOTA[[#This Row],[JUMLAH]]="","",(NOTA[[#This Row],[JUMLAH]]-NOTA[[#This Row],[DISC 1-]]-NOTA[[#This Row],[DISC 2-]])*NOTA[[#This Row],[DISC 3]])</f>
        <v>0</v>
      </c>
      <c r="AB509" s="66">
        <f>IF(NOTA[[#This Row],[JUMLAH]]="","",NOTA[[#This Row],[DISC 1-]]+NOTA[[#This Row],[DISC 2-]]+NOTA[[#This Row],[DISC 3-]])</f>
        <v>233280</v>
      </c>
      <c r="AC509" s="66">
        <f>IF(NOTA[[#This Row],[JUMLAH]]="","",NOTA[[#This Row],[JUMLAH]]-NOTA[[#This Row],[DISC]])</f>
        <v>1149120</v>
      </c>
      <c r="AD509" s="66"/>
      <c r="AE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09" s="66">
        <f>IF(OR(NOTA[[#This Row],[QTY]]="",NOTA[[#This Row],[HARGA SATUAN]]="",),"",NOTA[[#This Row],[QTY]]*NOTA[[#This Row],[HARGA SATUAN]])</f>
        <v>1382400</v>
      </c>
      <c r="AI509" s="60">
        <f ca="1">IF(NOTA[ID_H]="","",INDEX(NOTA[TANGGAL],MATCH(,INDIRECT(ADDRESS(ROW(NOTA[TANGGAL]),COLUMN(NOTA[TANGGAL]))&amp;":"&amp;ADDRESS(ROW(),COLUMN(NOTA[TANGGAL]))),-1)))</f>
        <v>45308</v>
      </c>
      <c r="AJ509" s="55" t="str">
        <f ca="1">IF(NOTA[[#This Row],[NAMA BARANG]]="","",INDEX(NOTA[SUPPLIER],MATCH(,INDIRECT(ADDRESS(ROW(NOTA[ID]),COLUMN(NOTA[ID]))&amp;":"&amp;ADDRESS(ROW(),COLUMN(NOTA[ID]))),-1)))</f>
        <v>ATALI MAKMUR</v>
      </c>
      <c r="AK509" s="55" t="str">
        <f ca="1">IF(NOTA[[#This Row],[ID_H]]="","",IF(NOTA[[#This Row],[FAKTUR]]="",INDIRECT(ADDRESS(ROW()-1,COLUMN())),NOTA[[#This Row],[FAKTUR]]))</f>
        <v>ARTO MORO</v>
      </c>
      <c r="AL509" s="56">
        <f ca="1">IF(NOTA[[#This Row],[ID]]="","",COUNTIF(NOTA[ID_H],NOTA[[#This Row],[ID_H]]))</f>
        <v>8</v>
      </c>
      <c r="AM509" s="56">
        <f>IF(NOTA[[#This Row],[TGL.NOTA]]="",IF(NOTA[[#This Row],[SUPPLIER_H]]="","",AM508),MONTH(NOTA[[#This Row],[TGL.NOTA]]))</f>
        <v>1</v>
      </c>
      <c r="AN509" s="5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O5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P5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Q50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MOROSA24010080045303pencilcasepc0719ac36afanimalcalenderjk</v>
      </c>
      <c r="AR509" s="56" t="e">
        <f>IF(NOTA[[#This Row],[CONCAT4]]="","",_xlfn.IFNA(MATCH(NOTA[[#This Row],[CONCAT4]],[2]!RAW[CONCAT_H],0),FALSE))</f>
        <v>#REF!</v>
      </c>
      <c r="AS509" s="56">
        <f>IF(NOTA[[#This Row],[CONCAT1]]="","",MATCH(NOTA[[#This Row],[CONCAT1]],[3]!db[NB NOTA_C],0))</f>
        <v>2458</v>
      </c>
      <c r="AT509" s="56" t="str">
        <f>IF(NOTA[[#This Row],[QTY/ CTN]]="","",TRUE)</f>
        <v/>
      </c>
      <c r="AU509" s="56" t="str">
        <f ca="1">IF(NOTA[[#This Row],[ID_H]]="","",IF(NOTA[[#This Row],[Column3]]=TRUE,NOTA[[#This Row],[QTY/ CTN]],INDEX([3]!db[QTY/ CTN],NOTA[[#This Row],[//DB]])))</f>
        <v>288 PCS</v>
      </c>
      <c r="AV5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W509" s="56" t="e">
        <f ca="1">IF(NOTA[[#This Row],[ID_H]]="","",MATCH(NOTA[[#This Row],[NB NOTA_C_QTY]],[4]!db[NB NOTA_C_QTY+F],0))</f>
        <v>#REF!</v>
      </c>
      <c r="AX509" s="68">
        <f ca="1">IF(NOTA[[#This Row],[NB NOTA_C_QTY]]="","",ROW()-2)</f>
        <v>507</v>
      </c>
    </row>
    <row r="510" spans="1:50" s="38" customFormat="1" ht="20.100000000000001" customHeight="1" x14ac:dyDescent="0.25">
      <c r="A5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6" t="str">
        <f>IF(NOTA[[#This Row],[ID_P]]="","",MATCH(NOTA[[#This Row],[ID_P]],[1]!B_MSK[N_ID],0))</f>
        <v/>
      </c>
      <c r="D510" s="56">
        <f ca="1">IF(NOTA[[#This Row],[NAMA BARANG]]="","",INDEX(NOTA[ID],MATCH(,INDIRECT(ADDRESS(ROW(NOTA[ID]),COLUMN(NOTA[ID]))&amp;":"&amp;ADDRESS(ROW(),COLUMN(NOTA[ID]))),-1)))</f>
        <v>82</v>
      </c>
      <c r="E510" s="57"/>
      <c r="F510" s="37"/>
      <c r="G510" s="37"/>
      <c r="H510" s="47"/>
      <c r="I510" s="58"/>
      <c r="J510" s="60"/>
      <c r="K510" s="58">
        <v>0</v>
      </c>
      <c r="L510" s="37" t="s">
        <v>644</v>
      </c>
      <c r="M510" s="61">
        <v>1</v>
      </c>
      <c r="N510" s="56">
        <v>288</v>
      </c>
      <c r="O510" s="37" t="s">
        <v>115</v>
      </c>
      <c r="P510" s="55">
        <v>4800</v>
      </c>
      <c r="Q510" s="62"/>
      <c r="R510" s="63"/>
      <c r="S510" s="64">
        <v>0.125</v>
      </c>
      <c r="T510" s="65">
        <v>0.05</v>
      </c>
      <c r="U510" s="65"/>
      <c r="V510" s="66"/>
      <c r="W510" s="45"/>
      <c r="X510" s="66">
        <f>IF(NOTA[[#This Row],[HARGA/ CTN]]="",NOTA[[#This Row],[JUMLAH_H]],NOTA[[#This Row],[HARGA/ CTN]]*IF(NOTA[[#This Row],[C]]="",0,NOTA[[#This Row],[C]]))</f>
        <v>1382400</v>
      </c>
      <c r="Y510" s="66">
        <f>IF(NOTA[[#This Row],[JUMLAH]]="","",NOTA[[#This Row],[JUMLAH]]*NOTA[[#This Row],[DISC 1]])</f>
        <v>172800</v>
      </c>
      <c r="Z510" s="66">
        <f>IF(NOTA[[#This Row],[JUMLAH]]="","",(NOTA[[#This Row],[JUMLAH]]-NOTA[[#This Row],[DISC 1-]])*NOTA[[#This Row],[DISC 2]])</f>
        <v>60480</v>
      </c>
      <c r="AA510" s="66">
        <f>IF(NOTA[[#This Row],[JUMLAH]]="","",(NOTA[[#This Row],[JUMLAH]]-NOTA[[#This Row],[DISC 1-]]-NOTA[[#This Row],[DISC 2-]])*NOTA[[#This Row],[DISC 3]])</f>
        <v>0</v>
      </c>
      <c r="AB510" s="66">
        <f>IF(NOTA[[#This Row],[JUMLAH]]="","",NOTA[[#This Row],[DISC 1-]]+NOTA[[#This Row],[DISC 2-]]+NOTA[[#This Row],[DISC 3-]])</f>
        <v>233280</v>
      </c>
      <c r="AC510" s="66">
        <f>IF(NOTA[[#This Row],[JUMLAH]]="","",NOTA[[#This Row],[JUMLAH]]-NOTA[[#This Row],[DISC]])</f>
        <v>1149120</v>
      </c>
      <c r="AD510" s="66"/>
      <c r="AE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10" s="66">
        <f>IF(OR(NOTA[[#This Row],[QTY]]="",NOTA[[#This Row],[HARGA SATUAN]]="",),"",NOTA[[#This Row],[QTY]]*NOTA[[#This Row],[HARGA SATUAN]])</f>
        <v>1382400</v>
      </c>
      <c r="AI510" s="60">
        <f ca="1">IF(NOTA[ID_H]="","",INDEX(NOTA[TANGGAL],MATCH(,INDIRECT(ADDRESS(ROW(NOTA[TANGGAL]),COLUMN(NOTA[TANGGAL]))&amp;":"&amp;ADDRESS(ROW(),COLUMN(NOTA[TANGGAL]))),-1)))</f>
        <v>45308</v>
      </c>
      <c r="AJ510" s="55" t="str">
        <f ca="1">IF(NOTA[[#This Row],[NAMA BARANG]]="","",INDEX(NOTA[SUPPLIER],MATCH(,INDIRECT(ADDRESS(ROW(NOTA[ID]),COLUMN(NOTA[ID]))&amp;":"&amp;ADDRESS(ROW(),COLUMN(NOTA[ID]))),-1)))</f>
        <v>ATALI MAKMUR</v>
      </c>
      <c r="AK510" s="55" t="str">
        <f ca="1">IF(NOTA[[#This Row],[ID_H]]="","",IF(NOTA[[#This Row],[FAKTUR]]="",INDIRECT(ADDRESS(ROW()-1,COLUMN())),NOTA[[#This Row],[FAKTUR]]))</f>
        <v>ARTO MORO</v>
      </c>
      <c r="AL510" s="56" t="str">
        <f ca="1">IF(NOTA[[#This Row],[ID]]="","",COUNTIF(NOTA[ID_H],NOTA[[#This Row],[ID_H]]))</f>
        <v/>
      </c>
      <c r="AM510" s="56">
        <f ca="1">IF(NOTA[[#This Row],[TGL.NOTA]]="",IF(NOTA[[#This Row],[SUPPLIER_H]]="","",AM509),MONTH(NOTA[[#This Row],[TGL.NOTA]]))</f>
        <v>1</v>
      </c>
      <c r="AN510" s="56" t="str">
        <f>LOWER(SUBSTITUTE(SUBSTITUTE(SUBSTITUTE(SUBSTITUTE(SUBSTITUTE(SUBSTITUTE(SUBSTITUTE(SUBSTITUTE(SUBSTITUTE(NOTA[NAMA BARANG]," ",),".",""),"-",""),"(",""),")",""),",",""),"/",""),"""",""),"+",""))</f>
        <v>pencilcasepc0719ac37afanimalcalenderjk</v>
      </c>
      <c r="AO5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P5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Q5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56" t="str">
        <f>IF(NOTA[[#This Row],[CONCAT4]]="","",_xlfn.IFNA(MATCH(NOTA[[#This Row],[CONCAT4]],[2]!RAW[CONCAT_H],0),FALSE))</f>
        <v/>
      </c>
      <c r="AS510" s="56">
        <f>IF(NOTA[[#This Row],[CONCAT1]]="","",MATCH(NOTA[[#This Row],[CONCAT1]],[3]!db[NB NOTA_C],0))</f>
        <v>2459</v>
      </c>
      <c r="AT510" s="56" t="str">
        <f>IF(NOTA[[#This Row],[QTY/ CTN]]="","",TRUE)</f>
        <v/>
      </c>
      <c r="AU510" s="56" t="str">
        <f ca="1">IF(NOTA[[#This Row],[ID_H]]="","",IF(NOTA[[#This Row],[Column3]]=TRUE,NOTA[[#This Row],[QTY/ CTN]],INDEX([3]!db[QTY/ CTN],NOTA[[#This Row],[//DB]])))</f>
        <v>288 PCS</v>
      </c>
      <c r="AV5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pencilcasepc0719ac37afanimalcalenderjk288pcsartomoro</v>
      </c>
      <c r="AW510" s="56" t="e">
        <f ca="1">IF(NOTA[[#This Row],[ID_H]]="","",MATCH(NOTA[[#This Row],[NB NOTA_C_QTY]],[4]!db[NB NOTA_C_QTY+F],0))</f>
        <v>#REF!</v>
      </c>
      <c r="AX510" s="68">
        <f ca="1">IF(NOTA[[#This Row],[NB NOTA_C_QTY]]="","",ROW()-2)</f>
        <v>508</v>
      </c>
    </row>
    <row r="511" spans="1:50" s="38" customFormat="1" ht="20.100000000000001" customHeight="1" x14ac:dyDescent="0.25">
      <c r="A5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6" t="str">
        <f>IF(NOTA[[#This Row],[ID_P]]="","",MATCH(NOTA[[#This Row],[ID_P]],[1]!B_MSK[N_ID],0))</f>
        <v/>
      </c>
      <c r="D511" s="56">
        <f ca="1">IF(NOTA[[#This Row],[NAMA BARANG]]="","",INDEX(NOTA[ID],MATCH(,INDIRECT(ADDRESS(ROW(NOTA[ID]),COLUMN(NOTA[ID]))&amp;":"&amp;ADDRESS(ROW(),COLUMN(NOTA[ID]))),-1)))</f>
        <v>82</v>
      </c>
      <c r="E511" s="57"/>
      <c r="F511" s="58"/>
      <c r="G511" s="58"/>
      <c r="H511" s="59"/>
      <c r="I511" s="58"/>
      <c r="J511" s="60"/>
      <c r="K511" s="58">
        <v>0</v>
      </c>
      <c r="L511" s="37" t="s">
        <v>645</v>
      </c>
      <c r="M511" s="61">
        <v>1</v>
      </c>
      <c r="N511" s="56">
        <v>288</v>
      </c>
      <c r="O511" s="37" t="s">
        <v>115</v>
      </c>
      <c r="P511" s="55">
        <v>4800</v>
      </c>
      <c r="Q511" s="62"/>
      <c r="R511" s="63"/>
      <c r="S511" s="64">
        <v>0.125</v>
      </c>
      <c r="T511" s="65">
        <v>0.05</v>
      </c>
      <c r="U511" s="65"/>
      <c r="V511" s="66"/>
      <c r="W511" s="67"/>
      <c r="X511" s="66">
        <f>IF(NOTA[[#This Row],[HARGA/ CTN]]="",NOTA[[#This Row],[JUMLAH_H]],NOTA[[#This Row],[HARGA/ CTN]]*IF(NOTA[[#This Row],[C]]="",0,NOTA[[#This Row],[C]]))</f>
        <v>1382400</v>
      </c>
      <c r="Y511" s="66">
        <f>IF(NOTA[[#This Row],[JUMLAH]]="","",NOTA[[#This Row],[JUMLAH]]*NOTA[[#This Row],[DISC 1]])</f>
        <v>172800</v>
      </c>
      <c r="Z511" s="66">
        <f>IF(NOTA[[#This Row],[JUMLAH]]="","",(NOTA[[#This Row],[JUMLAH]]-NOTA[[#This Row],[DISC 1-]])*NOTA[[#This Row],[DISC 2]])</f>
        <v>60480</v>
      </c>
      <c r="AA511" s="66">
        <f>IF(NOTA[[#This Row],[JUMLAH]]="","",(NOTA[[#This Row],[JUMLAH]]-NOTA[[#This Row],[DISC 1-]]-NOTA[[#This Row],[DISC 2-]])*NOTA[[#This Row],[DISC 3]])</f>
        <v>0</v>
      </c>
      <c r="AB511" s="66">
        <f>IF(NOTA[[#This Row],[JUMLAH]]="","",NOTA[[#This Row],[DISC 1-]]+NOTA[[#This Row],[DISC 2-]]+NOTA[[#This Row],[DISC 3-]])</f>
        <v>233280</v>
      </c>
      <c r="AC511" s="66">
        <f>IF(NOTA[[#This Row],[JUMLAH]]="","",NOTA[[#This Row],[JUMLAH]]-NOTA[[#This Row],[DISC]])</f>
        <v>1149120</v>
      </c>
      <c r="AD511" s="66"/>
      <c r="AE5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11" s="66">
        <f>IF(OR(NOTA[[#This Row],[QTY]]="",NOTA[[#This Row],[HARGA SATUAN]]="",),"",NOTA[[#This Row],[QTY]]*NOTA[[#This Row],[HARGA SATUAN]])</f>
        <v>1382400</v>
      </c>
      <c r="AI511" s="60">
        <f ca="1">IF(NOTA[ID_H]="","",INDEX(NOTA[TANGGAL],MATCH(,INDIRECT(ADDRESS(ROW(NOTA[TANGGAL]),COLUMN(NOTA[TANGGAL]))&amp;":"&amp;ADDRESS(ROW(),COLUMN(NOTA[TANGGAL]))),-1)))</f>
        <v>45308</v>
      </c>
      <c r="AJ511" s="55" t="str">
        <f ca="1">IF(NOTA[[#This Row],[NAMA BARANG]]="","",INDEX(NOTA[SUPPLIER],MATCH(,INDIRECT(ADDRESS(ROW(NOTA[ID]),COLUMN(NOTA[ID]))&amp;":"&amp;ADDRESS(ROW(),COLUMN(NOTA[ID]))),-1)))</f>
        <v>ATALI MAKMUR</v>
      </c>
      <c r="AK511" s="55" t="str">
        <f ca="1">IF(NOTA[[#This Row],[ID_H]]="","",IF(NOTA[[#This Row],[FAKTUR]]="",INDIRECT(ADDRESS(ROW()-1,COLUMN())),NOTA[[#This Row],[FAKTUR]]))</f>
        <v>ARTO MORO</v>
      </c>
      <c r="AL511" s="56" t="str">
        <f ca="1">IF(NOTA[[#This Row],[ID]]="","",COUNTIF(NOTA[ID_H],NOTA[[#This Row],[ID_H]]))</f>
        <v/>
      </c>
      <c r="AM511" s="56">
        <f ca="1">IF(NOTA[[#This Row],[TGL.NOTA]]="",IF(NOTA[[#This Row],[SUPPLIER_H]]="","",AM510),MONTH(NOTA[[#This Row],[TGL.NOTA]]))</f>
        <v>1</v>
      </c>
      <c r="AN511" s="56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O5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P5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Q5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56" t="str">
        <f>IF(NOTA[[#This Row],[CONCAT4]]="","",_xlfn.IFNA(MATCH(NOTA[[#This Row],[CONCAT4]],[2]!RAW[CONCAT_H],0),FALSE))</f>
        <v/>
      </c>
      <c r="AS511" s="56">
        <f>IF(NOTA[[#This Row],[CONCAT1]]="","",MATCH(NOTA[[#This Row],[CONCAT1]],[3]!db[NB NOTA_C],0))</f>
        <v>2460</v>
      </c>
      <c r="AT511" s="56" t="str">
        <f>IF(NOTA[[#This Row],[QTY/ CTN]]="","",TRUE)</f>
        <v/>
      </c>
      <c r="AU511" s="56" t="str">
        <f ca="1">IF(NOTA[[#This Row],[ID_H]]="","",IF(NOTA[[#This Row],[Column3]]=TRUE,NOTA[[#This Row],[QTY/ CTN]],INDEX([3]!db[QTY/ CTN],NOTA[[#This Row],[//DB]])))</f>
        <v>288 PCS</v>
      </c>
      <c r="AV5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pencilcasepc0719gz34afgozzyjk288pcsartomoro</v>
      </c>
      <c r="AW511" s="56" t="e">
        <f ca="1">IF(NOTA[[#This Row],[ID_H]]="","",MATCH(NOTA[[#This Row],[NB NOTA_C_QTY]],[4]!db[NB NOTA_C_QTY+F],0))</f>
        <v>#REF!</v>
      </c>
      <c r="AX511" s="68">
        <f ca="1">IF(NOTA[[#This Row],[NB NOTA_C_QTY]]="","",ROW()-2)</f>
        <v>509</v>
      </c>
    </row>
    <row r="512" spans="1:50" s="38" customFormat="1" ht="20.100000000000001" customHeight="1" x14ac:dyDescent="0.25">
      <c r="A5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6" t="str">
        <f>IF(NOTA[[#This Row],[ID_P]]="","",MATCH(NOTA[[#This Row],[ID_P]],[1]!B_MSK[N_ID],0))</f>
        <v/>
      </c>
      <c r="D512" s="56">
        <f ca="1">IF(NOTA[[#This Row],[NAMA BARANG]]="","",INDEX(NOTA[ID],MATCH(,INDIRECT(ADDRESS(ROW(NOTA[ID]),COLUMN(NOTA[ID]))&amp;":"&amp;ADDRESS(ROW(),COLUMN(NOTA[ID]))),-1)))</f>
        <v>82</v>
      </c>
      <c r="E512" s="57"/>
      <c r="F512" s="58"/>
      <c r="G512" s="58"/>
      <c r="H512" s="59"/>
      <c r="I512" s="58"/>
      <c r="J512" s="60"/>
      <c r="K512" s="58">
        <v>0</v>
      </c>
      <c r="L512" s="37" t="s">
        <v>650</v>
      </c>
      <c r="M512" s="61">
        <v>1</v>
      </c>
      <c r="N512" s="56">
        <v>288</v>
      </c>
      <c r="O512" s="37" t="s">
        <v>115</v>
      </c>
      <c r="P512" s="55">
        <v>4800</v>
      </c>
      <c r="Q512" s="62"/>
      <c r="R512" s="63"/>
      <c r="S512" s="64">
        <v>0.125</v>
      </c>
      <c r="T512" s="65">
        <v>0.05</v>
      </c>
      <c r="U512" s="65"/>
      <c r="V512" s="66"/>
      <c r="W512" s="67"/>
      <c r="X512" s="66">
        <f>IF(NOTA[[#This Row],[HARGA/ CTN]]="",NOTA[[#This Row],[JUMLAH_H]],NOTA[[#This Row],[HARGA/ CTN]]*IF(NOTA[[#This Row],[C]]="",0,NOTA[[#This Row],[C]]))</f>
        <v>1382400</v>
      </c>
      <c r="Y512" s="66">
        <f>IF(NOTA[[#This Row],[JUMLAH]]="","",NOTA[[#This Row],[JUMLAH]]*NOTA[[#This Row],[DISC 1]])</f>
        <v>172800</v>
      </c>
      <c r="Z512" s="66">
        <f>IF(NOTA[[#This Row],[JUMLAH]]="","",(NOTA[[#This Row],[JUMLAH]]-NOTA[[#This Row],[DISC 1-]])*NOTA[[#This Row],[DISC 2]])</f>
        <v>60480</v>
      </c>
      <c r="AA512" s="66">
        <f>IF(NOTA[[#This Row],[JUMLAH]]="","",(NOTA[[#This Row],[JUMLAH]]-NOTA[[#This Row],[DISC 1-]]-NOTA[[#This Row],[DISC 2-]])*NOTA[[#This Row],[DISC 3]])</f>
        <v>0</v>
      </c>
      <c r="AB512" s="66">
        <f>IF(NOTA[[#This Row],[JUMLAH]]="","",NOTA[[#This Row],[DISC 1-]]+NOTA[[#This Row],[DISC 2-]]+NOTA[[#This Row],[DISC 3-]])</f>
        <v>233280</v>
      </c>
      <c r="AC512" s="66">
        <f>IF(NOTA[[#This Row],[JUMLAH]]="","",NOTA[[#This Row],[JUMLAH]]-NOTA[[#This Row],[DISC]])</f>
        <v>1149120</v>
      </c>
      <c r="AD512" s="66"/>
      <c r="AE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12" s="66">
        <f>IF(OR(NOTA[[#This Row],[QTY]]="",NOTA[[#This Row],[HARGA SATUAN]]="",),"",NOTA[[#This Row],[QTY]]*NOTA[[#This Row],[HARGA SATUAN]])</f>
        <v>1382400</v>
      </c>
      <c r="AI512" s="60">
        <f ca="1">IF(NOTA[ID_H]="","",INDEX(NOTA[TANGGAL],MATCH(,INDIRECT(ADDRESS(ROW(NOTA[TANGGAL]),COLUMN(NOTA[TANGGAL]))&amp;":"&amp;ADDRESS(ROW(),COLUMN(NOTA[TANGGAL]))),-1)))</f>
        <v>45308</v>
      </c>
      <c r="AJ512" s="55" t="str">
        <f ca="1">IF(NOTA[[#This Row],[NAMA BARANG]]="","",INDEX(NOTA[SUPPLIER],MATCH(,INDIRECT(ADDRESS(ROW(NOTA[ID]),COLUMN(NOTA[ID]))&amp;":"&amp;ADDRESS(ROW(),COLUMN(NOTA[ID]))),-1)))</f>
        <v>ATALI MAKMUR</v>
      </c>
      <c r="AK512" s="55" t="str">
        <f ca="1">IF(NOTA[[#This Row],[ID_H]]="","",IF(NOTA[[#This Row],[FAKTUR]]="",INDIRECT(ADDRESS(ROW()-1,COLUMN())),NOTA[[#This Row],[FAKTUR]]))</f>
        <v>ARTO MORO</v>
      </c>
      <c r="AL512" s="56" t="str">
        <f ca="1">IF(NOTA[[#This Row],[ID]]="","",COUNTIF(NOTA[ID_H],NOTA[[#This Row],[ID_H]]))</f>
        <v/>
      </c>
      <c r="AM512" s="56">
        <f ca="1">IF(NOTA[[#This Row],[TGL.NOTA]]="",IF(NOTA[[#This Row],[SUPPLIER_H]]="","",AM511),MONTH(NOTA[[#This Row],[TGL.NOTA]]))</f>
        <v>1</v>
      </c>
      <c r="AN512" s="56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O5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P5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Q5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56" t="str">
        <f>IF(NOTA[[#This Row],[CONCAT4]]="","",_xlfn.IFNA(MATCH(NOTA[[#This Row],[CONCAT4]],[2]!RAW[CONCAT_H],0),FALSE))</f>
        <v/>
      </c>
      <c r="AS512" s="56">
        <f>IF(NOTA[[#This Row],[CONCAT1]]="","",MATCH(NOTA[[#This Row],[CONCAT1]],[3]!db[NB NOTA_C],0))</f>
        <v>2471</v>
      </c>
      <c r="AT512" s="56" t="str">
        <f>IF(NOTA[[#This Row],[QTY/ CTN]]="","",TRUE)</f>
        <v/>
      </c>
      <c r="AU512" s="56" t="str">
        <f ca="1">IF(NOTA[[#This Row],[ID_H]]="","",IF(NOTA[[#This Row],[Column3]]=TRUE,NOTA[[#This Row],[QTY/ CTN]],INDEX([3]!db[QTY/ CTN],NOTA[[#This Row],[//DB]])))</f>
        <v>288 PCS</v>
      </c>
      <c r="AV5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W512" s="56" t="e">
        <f ca="1">IF(NOTA[[#This Row],[ID_H]]="","",MATCH(NOTA[[#This Row],[NB NOTA_C_QTY]],[4]!db[NB NOTA_C_QTY+F],0))</f>
        <v>#REF!</v>
      </c>
      <c r="AX512" s="68">
        <f ca="1">IF(NOTA[[#This Row],[NB NOTA_C_QTY]]="","",ROW()-2)</f>
        <v>510</v>
      </c>
    </row>
    <row r="513" spans="1:50" s="38" customFormat="1" ht="20.100000000000001" customHeight="1" x14ac:dyDescent="0.25">
      <c r="A5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56" t="str">
        <f>IF(NOTA[[#This Row],[ID_P]]="","",MATCH(NOTA[[#This Row],[ID_P]],[1]!B_MSK[N_ID],0))</f>
        <v/>
      </c>
      <c r="D513" s="56">
        <f ca="1">IF(NOTA[[#This Row],[NAMA BARANG]]="","",INDEX(NOTA[ID],MATCH(,INDIRECT(ADDRESS(ROW(NOTA[ID]),COLUMN(NOTA[ID]))&amp;":"&amp;ADDRESS(ROW(),COLUMN(NOTA[ID]))),-1)))</f>
        <v>82</v>
      </c>
      <c r="E513" s="57"/>
      <c r="F513" s="37"/>
      <c r="G513" s="37"/>
      <c r="H513" s="47"/>
      <c r="I513" s="58"/>
      <c r="J513" s="60"/>
      <c r="K513" s="58">
        <v>0</v>
      </c>
      <c r="L513" s="37" t="s">
        <v>646</v>
      </c>
      <c r="M513" s="61"/>
      <c r="N513" s="56">
        <v>72</v>
      </c>
      <c r="O513" s="37" t="s">
        <v>115</v>
      </c>
      <c r="P513" s="55">
        <v>4800</v>
      </c>
      <c r="Q513" s="62"/>
      <c r="R513" s="63"/>
      <c r="S513" s="64">
        <v>0.125</v>
      </c>
      <c r="T513" s="65">
        <v>0.05</v>
      </c>
      <c r="U513" s="65"/>
      <c r="V513" s="66"/>
      <c r="W513" s="45"/>
      <c r="X513" s="66">
        <f>IF(NOTA[[#This Row],[HARGA/ CTN]]="",NOTA[[#This Row],[JUMLAH_H]],NOTA[[#This Row],[HARGA/ CTN]]*IF(NOTA[[#This Row],[C]]="",0,NOTA[[#This Row],[C]]))</f>
        <v>345600</v>
      </c>
      <c r="Y513" s="66">
        <f>IF(NOTA[[#This Row],[JUMLAH]]="","",NOTA[[#This Row],[JUMLAH]]*NOTA[[#This Row],[DISC 1]])</f>
        <v>43200</v>
      </c>
      <c r="Z513" s="66">
        <f>IF(NOTA[[#This Row],[JUMLAH]]="","",(NOTA[[#This Row],[JUMLAH]]-NOTA[[#This Row],[DISC 1-]])*NOTA[[#This Row],[DISC 2]])</f>
        <v>15120</v>
      </c>
      <c r="AA513" s="66">
        <f>IF(NOTA[[#This Row],[JUMLAH]]="","",(NOTA[[#This Row],[JUMLAH]]-NOTA[[#This Row],[DISC 1-]]-NOTA[[#This Row],[DISC 2-]])*NOTA[[#This Row],[DISC 3]])</f>
        <v>0</v>
      </c>
      <c r="AB513" s="66">
        <f>IF(NOTA[[#This Row],[JUMLAH]]="","",NOTA[[#This Row],[DISC 1-]]+NOTA[[#This Row],[DISC 2-]]+NOTA[[#This Row],[DISC 3-]])</f>
        <v>58320</v>
      </c>
      <c r="AC513" s="66">
        <f>IF(NOTA[[#This Row],[JUMLAH]]="","",NOTA[[#This Row],[JUMLAH]]-NOTA[[#This Row],[DISC]])</f>
        <v>287280</v>
      </c>
      <c r="AD513" s="66"/>
      <c r="AE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3" s="66">
        <f>IF(OR(NOTA[[#This Row],[QTY]]="",NOTA[[#This Row],[HARGA SATUAN]]="",),"",NOTA[[#This Row],[QTY]]*NOTA[[#This Row],[HARGA SATUAN]])</f>
        <v>345600</v>
      </c>
      <c r="AI513" s="60">
        <f ca="1">IF(NOTA[ID_H]="","",INDEX(NOTA[TANGGAL],MATCH(,INDIRECT(ADDRESS(ROW(NOTA[TANGGAL]),COLUMN(NOTA[TANGGAL]))&amp;":"&amp;ADDRESS(ROW(),COLUMN(NOTA[TANGGAL]))),-1)))</f>
        <v>45308</v>
      </c>
      <c r="AJ513" s="55" t="str">
        <f ca="1">IF(NOTA[[#This Row],[NAMA BARANG]]="","",INDEX(NOTA[SUPPLIER],MATCH(,INDIRECT(ADDRESS(ROW(NOTA[ID]),COLUMN(NOTA[ID]))&amp;":"&amp;ADDRESS(ROW(),COLUMN(NOTA[ID]))),-1)))</f>
        <v>ATALI MAKMUR</v>
      </c>
      <c r="AK513" s="55" t="str">
        <f ca="1">IF(NOTA[[#This Row],[ID_H]]="","",IF(NOTA[[#This Row],[FAKTUR]]="",INDIRECT(ADDRESS(ROW()-1,COLUMN())),NOTA[[#This Row],[FAKTUR]]))</f>
        <v>ARTO MORO</v>
      </c>
      <c r="AL513" s="56" t="str">
        <f ca="1">IF(NOTA[[#This Row],[ID]]="","",COUNTIF(NOTA[ID_H],NOTA[[#This Row],[ID_H]]))</f>
        <v/>
      </c>
      <c r="AM513" s="56">
        <f ca="1">IF(NOTA[[#This Row],[TGL.NOTA]]="",IF(NOTA[[#This Row],[SUPPLIER_H]]="","",AM512),MONTH(NOTA[[#This Row],[TGL.NOTA]]))</f>
        <v>1</v>
      </c>
      <c r="AN513" s="56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O5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pencilcasepc0719pstl35bluejk3456000.1250.05</v>
      </c>
      <c r="AP5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pencilcasepc0719pstl35bluejk48000.1250.05</v>
      </c>
      <c r="AQ5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56" t="str">
        <f>IF(NOTA[[#This Row],[CONCAT4]]="","",_xlfn.IFNA(MATCH(NOTA[[#This Row],[CONCAT4]],[2]!RAW[CONCAT_H],0),FALSE))</f>
        <v/>
      </c>
      <c r="AS513" s="56">
        <f>IF(NOTA[[#This Row],[CONCAT1]]="","",MATCH(NOTA[[#This Row],[CONCAT1]],[3]!db[NB NOTA_C],0))</f>
        <v>2466</v>
      </c>
      <c r="AT513" s="56" t="str">
        <f>IF(NOTA[[#This Row],[QTY/ CTN]]="","",TRUE)</f>
        <v/>
      </c>
      <c r="AU513" s="56" t="str">
        <f ca="1">IF(NOTA[[#This Row],[ID_H]]="","",IF(NOTA[[#This Row],[Column3]]=TRUE,NOTA[[#This Row],[QTY/ CTN]],INDEX([3]!db[QTY/ CTN],NOTA[[#This Row],[//DB]])))</f>
        <v>288 PCS</v>
      </c>
      <c r="AV5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pencilcasepc0719pstl35bluejk288pcsartomoro</v>
      </c>
      <c r="AW513" s="56" t="e">
        <f ca="1">IF(NOTA[[#This Row],[ID_H]]="","",MATCH(NOTA[[#This Row],[NB NOTA_C_QTY]],[4]!db[NB NOTA_C_QTY+F],0))</f>
        <v>#REF!</v>
      </c>
      <c r="AX513" s="68">
        <f ca="1">IF(NOTA[[#This Row],[NB NOTA_C_QTY]]="","",ROW()-2)</f>
        <v>511</v>
      </c>
    </row>
    <row r="514" spans="1:50" s="38" customFormat="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>
        <f ca="1">IF(NOTA[[#This Row],[NAMA BARANG]]="","",INDEX(NOTA[ID],MATCH(,INDIRECT(ADDRESS(ROW(NOTA[ID]),COLUMN(NOTA[ID]))&amp;":"&amp;ADDRESS(ROW(),COLUMN(NOTA[ID]))),-1)))</f>
        <v>82</v>
      </c>
      <c r="E514" s="57"/>
      <c r="F514" s="37"/>
      <c r="G514" s="37"/>
      <c r="H514" s="47"/>
      <c r="I514" s="58"/>
      <c r="J514" s="60"/>
      <c r="K514" s="58">
        <v>0</v>
      </c>
      <c r="L514" s="37" t="s">
        <v>647</v>
      </c>
      <c r="M514" s="61"/>
      <c r="N514" s="56">
        <v>72</v>
      </c>
      <c r="O514" s="37" t="s">
        <v>115</v>
      </c>
      <c r="P514" s="55">
        <v>4800</v>
      </c>
      <c r="Q514" s="62"/>
      <c r="R514" s="63"/>
      <c r="S514" s="64">
        <v>0.125</v>
      </c>
      <c r="T514" s="65">
        <v>0.05</v>
      </c>
      <c r="U514" s="65"/>
      <c r="V514" s="66"/>
      <c r="W514" s="67"/>
      <c r="X514" s="66">
        <f>IF(NOTA[[#This Row],[HARGA/ CTN]]="",NOTA[[#This Row],[JUMLAH_H]],NOTA[[#This Row],[HARGA/ CTN]]*IF(NOTA[[#This Row],[C]]="",0,NOTA[[#This Row],[C]]))</f>
        <v>345600</v>
      </c>
      <c r="Y514" s="66">
        <f>IF(NOTA[[#This Row],[JUMLAH]]="","",NOTA[[#This Row],[JUMLAH]]*NOTA[[#This Row],[DISC 1]])</f>
        <v>43200</v>
      </c>
      <c r="Z514" s="66">
        <f>IF(NOTA[[#This Row],[JUMLAH]]="","",(NOTA[[#This Row],[JUMLAH]]-NOTA[[#This Row],[DISC 1-]])*NOTA[[#This Row],[DISC 2]])</f>
        <v>15120</v>
      </c>
      <c r="AA514" s="66">
        <f>IF(NOTA[[#This Row],[JUMLAH]]="","",(NOTA[[#This Row],[JUMLAH]]-NOTA[[#This Row],[DISC 1-]]-NOTA[[#This Row],[DISC 2-]])*NOTA[[#This Row],[DISC 3]])</f>
        <v>0</v>
      </c>
      <c r="AB514" s="66">
        <f>IF(NOTA[[#This Row],[JUMLAH]]="","",NOTA[[#This Row],[DISC 1-]]+NOTA[[#This Row],[DISC 2-]]+NOTA[[#This Row],[DISC 3-]])</f>
        <v>58320</v>
      </c>
      <c r="AC514" s="66">
        <f>IF(NOTA[[#This Row],[JUMLAH]]="","",NOTA[[#This Row],[JUMLAH]]-NOTA[[#This Row],[DISC]])</f>
        <v>287280</v>
      </c>
      <c r="AD514" s="66"/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4" s="66">
        <f>IF(OR(NOTA[[#This Row],[QTY]]="",NOTA[[#This Row],[HARGA SATUAN]]="",),"",NOTA[[#This Row],[QTY]]*NOTA[[#This Row],[HARGA SATUAN]])</f>
        <v>345600</v>
      </c>
      <c r="AI514" s="60">
        <f ca="1">IF(NOTA[ID_H]="","",INDEX(NOTA[TANGGAL],MATCH(,INDIRECT(ADDRESS(ROW(NOTA[TANGGAL]),COLUMN(NOTA[TANGGAL]))&amp;":"&amp;ADDRESS(ROW(),COLUMN(NOTA[TANGGAL]))),-1)))</f>
        <v>45308</v>
      </c>
      <c r="AJ514" s="55" t="str">
        <f ca="1">IF(NOTA[[#This Row],[NAMA BARANG]]="","",INDEX(NOTA[SUPPLIER],MATCH(,INDIRECT(ADDRESS(ROW(NOTA[ID]),COLUMN(NOTA[ID]))&amp;":"&amp;ADDRESS(ROW(),COLUMN(NOTA[ID]))),-1)))</f>
        <v>ATALI MAKMUR</v>
      </c>
      <c r="AK514" s="55" t="str">
        <f ca="1">IF(NOTA[[#This Row],[ID_H]]="","",IF(NOTA[[#This Row],[FAKTUR]]="",INDIRECT(ADDRESS(ROW()-1,COLUMN())),NOTA[[#This Row],[FAKTUR]]))</f>
        <v>ARTO MORO</v>
      </c>
      <c r="AL514" s="56" t="str">
        <f ca="1">IF(NOTA[[#This Row],[ID]]="","",COUNTIF(NOTA[ID_H],NOTA[[#This Row],[ID_H]]))</f>
        <v/>
      </c>
      <c r="AM514" s="56">
        <f ca="1">IF(NOTA[[#This Row],[TGL.NOTA]]="",IF(NOTA[[#This Row],[SUPPLIER_H]]="","",AM513),MONTH(NOTA[[#This Row],[TGL.NOTA]]))</f>
        <v>1</v>
      </c>
      <c r="AN514" s="56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O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pencilcasepc0719pstl35greenjk3456000.1250.05</v>
      </c>
      <c r="AP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pencilcasepc0719pstl35greenjk48000.1250.05</v>
      </c>
      <c r="AQ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56" t="str">
        <f>IF(NOTA[[#This Row],[CONCAT4]]="","",_xlfn.IFNA(MATCH(NOTA[[#This Row],[CONCAT4]],[2]!RAW[CONCAT_H],0),FALSE))</f>
        <v/>
      </c>
      <c r="AS514" s="56">
        <f>IF(NOTA[[#This Row],[CONCAT1]]="","",MATCH(NOTA[[#This Row],[CONCAT1]],[3]!db[NB NOTA_C],0))</f>
        <v>2467</v>
      </c>
      <c r="AT514" s="56" t="str">
        <f>IF(NOTA[[#This Row],[QTY/ CTN]]="","",TRUE)</f>
        <v/>
      </c>
      <c r="AU514" s="56" t="str">
        <f ca="1">IF(NOTA[[#This Row],[ID_H]]="","",IF(NOTA[[#This Row],[Column3]]=TRUE,NOTA[[#This Row],[QTY/ CTN]],INDEX([3]!db[QTY/ CTN],NOTA[[#This Row],[//DB]])))</f>
        <v>288 PCS</v>
      </c>
      <c r="AV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pencilcasepc0719pstl35greenjk288pcsartomoro</v>
      </c>
      <c r="AW514" s="56" t="e">
        <f ca="1">IF(NOTA[[#This Row],[ID_H]]="","",MATCH(NOTA[[#This Row],[NB NOTA_C_QTY]],[4]!db[NB NOTA_C_QTY+F],0))</f>
        <v>#REF!</v>
      </c>
      <c r="AX514" s="68">
        <f ca="1">IF(NOTA[[#This Row],[NB NOTA_C_QTY]]="","",ROW()-2)</f>
        <v>512</v>
      </c>
    </row>
    <row r="515" spans="1:50" s="38" customFormat="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>
        <f ca="1">IF(NOTA[[#This Row],[NAMA BARANG]]="","",INDEX(NOTA[ID],MATCH(,INDIRECT(ADDRESS(ROW(NOTA[ID]),COLUMN(NOTA[ID]))&amp;":"&amp;ADDRESS(ROW(),COLUMN(NOTA[ID]))),-1)))</f>
        <v>82</v>
      </c>
      <c r="E515" s="57"/>
      <c r="F515" s="37"/>
      <c r="G515" s="37"/>
      <c r="H515" s="47"/>
      <c r="I515" s="58"/>
      <c r="J515" s="60"/>
      <c r="K515" s="58">
        <v>0</v>
      </c>
      <c r="L515" s="37" t="s">
        <v>648</v>
      </c>
      <c r="M515" s="61"/>
      <c r="N515" s="56">
        <v>72</v>
      </c>
      <c r="O515" s="37" t="s">
        <v>115</v>
      </c>
      <c r="P515" s="55">
        <v>4800</v>
      </c>
      <c r="Q515" s="62"/>
      <c r="R515" s="63"/>
      <c r="S515" s="64">
        <v>0.125</v>
      </c>
      <c r="T515" s="65">
        <v>0.05</v>
      </c>
      <c r="U515" s="65"/>
      <c r="V515" s="66"/>
      <c r="W515" s="67"/>
      <c r="X515" s="66">
        <f>IF(NOTA[[#This Row],[HARGA/ CTN]]="",NOTA[[#This Row],[JUMLAH_H]],NOTA[[#This Row],[HARGA/ CTN]]*IF(NOTA[[#This Row],[C]]="",0,NOTA[[#This Row],[C]]))</f>
        <v>345600</v>
      </c>
      <c r="Y515" s="66">
        <f>IF(NOTA[[#This Row],[JUMLAH]]="","",NOTA[[#This Row],[JUMLAH]]*NOTA[[#This Row],[DISC 1]])</f>
        <v>43200</v>
      </c>
      <c r="Z515" s="66">
        <f>IF(NOTA[[#This Row],[JUMLAH]]="","",(NOTA[[#This Row],[JUMLAH]]-NOTA[[#This Row],[DISC 1-]])*NOTA[[#This Row],[DISC 2]])</f>
        <v>15120</v>
      </c>
      <c r="AA515" s="66">
        <f>IF(NOTA[[#This Row],[JUMLAH]]="","",(NOTA[[#This Row],[JUMLAH]]-NOTA[[#This Row],[DISC 1-]]-NOTA[[#This Row],[DISC 2-]])*NOTA[[#This Row],[DISC 3]])</f>
        <v>0</v>
      </c>
      <c r="AB515" s="66">
        <f>IF(NOTA[[#This Row],[JUMLAH]]="","",NOTA[[#This Row],[DISC 1-]]+NOTA[[#This Row],[DISC 2-]]+NOTA[[#This Row],[DISC 3-]])</f>
        <v>58320</v>
      </c>
      <c r="AC515" s="66">
        <f>IF(NOTA[[#This Row],[JUMLAH]]="","",NOTA[[#This Row],[JUMLAH]]-NOTA[[#This Row],[DISC]])</f>
        <v>287280</v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5" s="66">
        <f>IF(OR(NOTA[[#This Row],[QTY]]="",NOTA[[#This Row],[HARGA SATUAN]]="",),"",NOTA[[#This Row],[QTY]]*NOTA[[#This Row],[HARGA SATUAN]])</f>
        <v>345600</v>
      </c>
      <c r="AI515" s="60">
        <f ca="1">IF(NOTA[ID_H]="","",INDEX(NOTA[TANGGAL],MATCH(,INDIRECT(ADDRESS(ROW(NOTA[TANGGAL]),COLUMN(NOTA[TANGGAL]))&amp;":"&amp;ADDRESS(ROW(),COLUMN(NOTA[TANGGAL]))),-1)))</f>
        <v>45308</v>
      </c>
      <c r="AJ515" s="55" t="str">
        <f ca="1">IF(NOTA[[#This Row],[NAMA BARANG]]="","",INDEX(NOTA[SUPPLIER],MATCH(,INDIRECT(ADDRESS(ROW(NOTA[ID]),COLUMN(NOTA[ID]))&amp;":"&amp;ADDRESS(ROW(),COLUMN(NOTA[ID]))),-1)))</f>
        <v>ATALI MAKMUR</v>
      </c>
      <c r="AK515" s="55" t="str">
        <f ca="1">IF(NOTA[[#This Row],[ID_H]]="","",IF(NOTA[[#This Row],[FAKTUR]]="",INDIRECT(ADDRESS(ROW()-1,COLUMN())),NOTA[[#This Row],[FAKTUR]]))</f>
        <v>ARTO MORO</v>
      </c>
      <c r="AL515" s="56" t="str">
        <f ca="1">IF(NOTA[[#This Row],[ID]]="","",COUNTIF(NOTA[ID_H],NOTA[[#This Row],[ID_H]]))</f>
        <v/>
      </c>
      <c r="AM515" s="56">
        <f ca="1">IF(NOTA[[#This Row],[TGL.NOTA]]="",IF(NOTA[[#This Row],[SUPPLIER_H]]="","",AM514),MONTH(NOTA[[#This Row],[TGL.NOTA]]))</f>
        <v>1</v>
      </c>
      <c r="AN515" s="56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O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pencilcasepc0719pstl35pinkjk3456000.1250.05</v>
      </c>
      <c r="AP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pencilcasepc0719pstl35pinkjk48000.1250.05</v>
      </c>
      <c r="AQ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56" t="str">
        <f>IF(NOTA[[#This Row],[CONCAT4]]="","",_xlfn.IFNA(MATCH(NOTA[[#This Row],[CONCAT4]],[2]!RAW[CONCAT_H],0),FALSE))</f>
        <v/>
      </c>
      <c r="AS515" s="56">
        <f>IF(NOTA[[#This Row],[CONCAT1]]="","",MATCH(NOTA[[#This Row],[CONCAT1]],[3]!db[NB NOTA_C],0))</f>
        <v>2468</v>
      </c>
      <c r="AT515" s="56" t="str">
        <f>IF(NOTA[[#This Row],[QTY/ CTN]]="","",TRUE)</f>
        <v/>
      </c>
      <c r="AU515" s="56" t="str">
        <f ca="1">IF(NOTA[[#This Row],[ID_H]]="","",IF(NOTA[[#This Row],[Column3]]=TRUE,NOTA[[#This Row],[QTY/ CTN]],INDEX([3]!db[QTY/ CTN],NOTA[[#This Row],[//DB]])))</f>
        <v>288 PCS</v>
      </c>
      <c r="AV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pencilcasepc0719pstl35pinkjk288pcsartomoro</v>
      </c>
      <c r="AW515" s="56" t="e">
        <f ca="1">IF(NOTA[[#This Row],[ID_H]]="","",MATCH(NOTA[[#This Row],[NB NOTA_C_QTY]],[4]!db[NB NOTA_C_QTY+F],0))</f>
        <v>#REF!</v>
      </c>
      <c r="AX515" s="68">
        <f ca="1">IF(NOTA[[#This Row],[NB NOTA_C_QTY]]="","",ROW()-2)</f>
        <v>513</v>
      </c>
    </row>
    <row r="516" spans="1:50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>
        <f ca="1">IF(NOTA[[#This Row],[NAMA BARANG]]="","",INDEX(NOTA[ID],MATCH(,INDIRECT(ADDRESS(ROW(NOTA[ID]),COLUMN(NOTA[ID]))&amp;":"&amp;ADDRESS(ROW(),COLUMN(NOTA[ID]))),-1)))</f>
        <v>82</v>
      </c>
      <c r="E516" s="57"/>
      <c r="F516" s="58"/>
      <c r="G516" s="58"/>
      <c r="H516" s="59"/>
      <c r="I516" s="58"/>
      <c r="J516" s="60"/>
      <c r="K516" s="58">
        <v>0</v>
      </c>
      <c r="L516" s="37" t="s">
        <v>649</v>
      </c>
      <c r="M516" s="61"/>
      <c r="N516" s="56">
        <v>72</v>
      </c>
      <c r="O516" s="37" t="s">
        <v>115</v>
      </c>
      <c r="P516" s="55">
        <v>4800</v>
      </c>
      <c r="Q516" s="62"/>
      <c r="R516" s="63"/>
      <c r="S516" s="64">
        <v>0.125</v>
      </c>
      <c r="T516" s="65">
        <v>0.05</v>
      </c>
      <c r="U516" s="65"/>
      <c r="V516" s="66"/>
      <c r="W516" s="67"/>
      <c r="X516" s="66">
        <f>IF(NOTA[[#This Row],[HARGA/ CTN]]="",NOTA[[#This Row],[JUMLAH_H]],NOTA[[#This Row],[HARGA/ CTN]]*IF(NOTA[[#This Row],[C]]="",0,NOTA[[#This Row],[C]]))</f>
        <v>345600</v>
      </c>
      <c r="Y516" s="66">
        <f>IF(NOTA[[#This Row],[JUMLAH]]="","",NOTA[[#This Row],[JUMLAH]]*NOTA[[#This Row],[DISC 1]])</f>
        <v>43200</v>
      </c>
      <c r="Z516" s="66">
        <f>IF(NOTA[[#This Row],[JUMLAH]]="","",(NOTA[[#This Row],[JUMLAH]]-NOTA[[#This Row],[DISC 1-]])*NOTA[[#This Row],[DISC 2]])</f>
        <v>15120</v>
      </c>
      <c r="AA516" s="66">
        <f>IF(NOTA[[#This Row],[JUMLAH]]="","",(NOTA[[#This Row],[JUMLAH]]-NOTA[[#This Row],[DISC 1-]]-NOTA[[#This Row],[DISC 2-]])*NOTA[[#This Row],[DISC 3]])</f>
        <v>0</v>
      </c>
      <c r="AB516" s="66">
        <f>IF(NOTA[[#This Row],[JUMLAH]]="","",NOTA[[#This Row],[DISC 1-]]+NOTA[[#This Row],[DISC 2-]]+NOTA[[#This Row],[DISC 3-]])</f>
        <v>58320</v>
      </c>
      <c r="AC516" s="66">
        <f>IF(NOTA[[#This Row],[JUMLAH]]="","",NOTA[[#This Row],[JUMLAH]]-NOTA[[#This Row],[DISC]])</f>
        <v>287280</v>
      </c>
      <c r="AD516" s="66"/>
      <c r="AE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1166400</v>
      </c>
      <c r="AF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G516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6" s="66">
        <f>IF(OR(NOTA[[#This Row],[QTY]]="",NOTA[[#This Row],[HARGA SATUAN]]="",),"",NOTA[[#This Row],[QTY]]*NOTA[[#This Row],[HARGA SATUAN]])</f>
        <v>345600</v>
      </c>
      <c r="AI516" s="60">
        <f ca="1">IF(NOTA[ID_H]="","",INDEX(NOTA[TANGGAL],MATCH(,INDIRECT(ADDRESS(ROW(NOTA[TANGGAL]),COLUMN(NOTA[TANGGAL]))&amp;":"&amp;ADDRESS(ROW(),COLUMN(NOTA[TANGGAL]))),-1)))</f>
        <v>45308</v>
      </c>
      <c r="AJ516" s="55" t="str">
        <f ca="1">IF(NOTA[[#This Row],[NAMA BARANG]]="","",INDEX(NOTA[SUPPLIER],MATCH(,INDIRECT(ADDRESS(ROW(NOTA[ID]),COLUMN(NOTA[ID]))&amp;":"&amp;ADDRESS(ROW(),COLUMN(NOTA[ID]))),-1)))</f>
        <v>ATALI MAKMUR</v>
      </c>
      <c r="AK516" s="55" t="str">
        <f ca="1">IF(NOTA[[#This Row],[ID_H]]="","",IF(NOTA[[#This Row],[FAKTUR]]="",INDIRECT(ADDRESS(ROW()-1,COLUMN())),NOTA[[#This Row],[FAKTUR]]))</f>
        <v>ARTO MORO</v>
      </c>
      <c r="AL516" s="56" t="str">
        <f ca="1">IF(NOTA[[#This Row],[ID]]="","",COUNTIF(NOTA[ID_H],NOTA[[#This Row],[ID_H]]))</f>
        <v/>
      </c>
      <c r="AM516" s="56">
        <f ca="1">IF(NOTA[[#This Row],[TGL.NOTA]]="",IF(NOTA[[#This Row],[SUPPLIER_H]]="","",AM515),MONTH(NOTA[[#This Row],[TGL.NOTA]]))</f>
        <v>1</v>
      </c>
      <c r="AN516" s="56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O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pencilcasepc0719pstl35purplejk3456000.1250.05</v>
      </c>
      <c r="AP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pencilcasepc0719pstl35purplejk48000.1250.05</v>
      </c>
      <c r="AQ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56" t="str">
        <f>IF(NOTA[[#This Row],[CONCAT4]]="","",_xlfn.IFNA(MATCH(NOTA[[#This Row],[CONCAT4]],[2]!RAW[CONCAT_H],0),FALSE))</f>
        <v/>
      </c>
      <c r="AS516" s="56">
        <f>IF(NOTA[[#This Row],[CONCAT1]]="","",MATCH(NOTA[[#This Row],[CONCAT1]],[3]!db[NB NOTA_C],0))</f>
        <v>2469</v>
      </c>
      <c r="AT516" s="56" t="str">
        <f>IF(NOTA[[#This Row],[QTY/ CTN]]="","",TRUE)</f>
        <v/>
      </c>
      <c r="AU516" s="56" t="str">
        <f ca="1">IF(NOTA[[#This Row],[ID_H]]="","",IF(NOTA[[#This Row],[Column3]]=TRUE,NOTA[[#This Row],[QTY/ CTN]],INDEX([3]!db[QTY/ CTN],NOTA[[#This Row],[//DB]])))</f>
        <v>288 PCS</v>
      </c>
      <c r="AV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pencilcasepc0719pstl35purplejk288pcsartomoro</v>
      </c>
      <c r="AW516" s="56" t="e">
        <f ca="1">IF(NOTA[[#This Row],[ID_H]]="","",MATCH(NOTA[[#This Row],[NB NOTA_C_QTY]],[4]!db[NB NOTA_C_QTY+F],0))</f>
        <v>#REF!</v>
      </c>
      <c r="AX516" s="68">
        <f ca="1">IF(NOTA[[#This Row],[NB NOTA_C_QTY]]="","",ROW()-2)</f>
        <v>514</v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58"/>
      <c r="G517" s="58"/>
      <c r="H517" s="59"/>
      <c r="I517" s="58"/>
      <c r="J517" s="60"/>
      <c r="K517" s="58"/>
      <c r="L517" s="37"/>
      <c r="M517" s="61"/>
      <c r="N517" s="56"/>
      <c r="O517" s="37"/>
      <c r="P517" s="55"/>
      <c r="Q517" s="62"/>
      <c r="R517" s="63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55" t="str">
        <f ca="1">IF(NOTA[[#This Row],[NAMA BARANG]]="","",INDEX(NOTA[SUPPLIER],MATCH(,INDIRECT(ADDRESS(ROW(NOTA[ID]),COLUMN(NOTA[ID]))&amp;":"&amp;ADDRESS(ROW(),COLUMN(NOTA[ID]))),-1)))</f>
        <v/>
      </c>
      <c r="AK517" s="55" t="str">
        <f ca="1">IF(NOTA[[#This Row],[ID_H]]="","",IF(NOTA[[#This Row],[FAKTUR]]="",INDIRECT(ADDRESS(ROW()-1,COLUMN())),NOTA[[#This Row],[FAKTUR]]))</f>
        <v/>
      </c>
      <c r="AL517" s="56" t="str">
        <f ca="1">IF(NOTA[[#This Row],[ID]]="","",COUNTIF(NOTA[ID_H],NOTA[[#This Row],[ID_H]]))</f>
        <v/>
      </c>
      <c r="AM517" s="56" t="str">
        <f ca="1">IF(NOTA[[#This Row],[TGL.NOTA]]="",IF(NOTA[[#This Row],[SUPPLIER_H]]="","",AM516),MONTH(NOTA[[#This Row],[TGL.NOTA]]))</f>
        <v/>
      </c>
      <c r="AN517" s="56" t="str">
        <f>LOWER(SUBSTITUTE(SUBSTITUTE(SUBSTITUTE(SUBSTITUTE(SUBSTITUTE(SUBSTITUTE(SUBSTITUTE(SUBSTITUTE(SUBSTITUTE(NOTA[NAMA BARANG]," ",),".",""),"-",""),"(",""),")",""),",",""),"/",""),"""",""),"+",""))</f>
        <v/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 t="str">
        <f>IF(NOTA[[#This Row],[CONCAT1]]="","",MATCH(NOTA[[#This Row],[CONCAT1]],[3]!db[NB NOTA_C],0))</f>
        <v/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/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56" t="str">
        <f ca="1">IF(NOTA[[#This Row],[ID_H]]="","",MATCH(NOTA[[#This Row],[NB NOTA_C_QTY]],[4]!db[NB NOTA_C_QTY+F],0))</f>
        <v/>
      </c>
      <c r="AX517" s="68" t="str">
        <f ca="1">IF(NOTA[[#This Row],[NB NOTA_C_QTY]]="","",ROW()-2)</f>
        <v/>
      </c>
    </row>
    <row r="518" spans="1:50" s="38" customFormat="1" ht="20.100000000000001" customHeight="1" x14ac:dyDescent="0.25">
      <c r="A518" s="55">
        <f ca="1">IF(INDIRECT(ADDRESS(ROW()-1,COLUMN(NOTA[[#Headers],[ID]])))="ID",1,IF(NOTA[[#This Row],[FAKTUR]]="","",COUNT(INDIRECT(ADDRESS(ROW(NOTA[ID]),COLUMN(NOTA[ID]))&amp;":"&amp;ADDRESS(ROW()-1,COLUMN(NOTA[ID]))))+1))</f>
        <v>83</v>
      </c>
      <c r="B5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ATA_1701_798-11</v>
      </c>
      <c r="C518" s="56" t="e">
        <f ca="1">IF(NOTA[[#This Row],[ID_P]]="","",MATCH(NOTA[[#This Row],[ID_P]],[1]!B_MSK[N_ID],0))</f>
        <v>#REF!</v>
      </c>
      <c r="D518" s="56">
        <f ca="1">IF(NOTA[[#This Row],[NAMA BARANG]]="","",INDEX(NOTA[ID],MATCH(,INDIRECT(ADDRESS(ROW(NOTA[ID]),COLUMN(NOTA[ID]))&amp;":"&amp;ADDRESS(ROW(),COLUMN(NOTA[ID]))),-1)))</f>
        <v>83</v>
      </c>
      <c r="E518" s="46" t="s">
        <v>651</v>
      </c>
      <c r="F518" s="37" t="s">
        <v>24</v>
      </c>
      <c r="G518" s="37" t="s">
        <v>23</v>
      </c>
      <c r="H518" s="47" t="s">
        <v>652</v>
      </c>
      <c r="I518" s="58"/>
      <c r="J518" s="60">
        <v>45303</v>
      </c>
      <c r="K518" s="58">
        <v>0</v>
      </c>
      <c r="L518" s="37" t="s">
        <v>124</v>
      </c>
      <c r="M518" s="61">
        <v>2</v>
      </c>
      <c r="N518" s="56">
        <v>100</v>
      </c>
      <c r="O518" s="37" t="s">
        <v>118</v>
      </c>
      <c r="P518" s="55">
        <v>28300</v>
      </c>
      <c r="Q518" s="62"/>
      <c r="R518" s="63"/>
      <c r="S518" s="64">
        <v>0.125</v>
      </c>
      <c r="T518" s="65">
        <v>0.05</v>
      </c>
      <c r="U518" s="65"/>
      <c r="V518" s="66"/>
      <c r="W518" s="67"/>
      <c r="X518" s="66">
        <f>IF(NOTA[[#This Row],[HARGA/ CTN]]="",NOTA[[#This Row],[JUMLAH_H]],NOTA[[#This Row],[HARGA/ CTN]]*IF(NOTA[[#This Row],[C]]="",0,NOTA[[#This Row],[C]]))</f>
        <v>2830000</v>
      </c>
      <c r="Y518" s="66">
        <f>IF(NOTA[[#This Row],[JUMLAH]]="","",NOTA[[#This Row],[JUMLAH]]*NOTA[[#This Row],[DISC 1]])</f>
        <v>353750</v>
      </c>
      <c r="Z518" s="66">
        <f>IF(NOTA[[#This Row],[JUMLAH]]="","",(NOTA[[#This Row],[JUMLAH]]-NOTA[[#This Row],[DISC 1-]])*NOTA[[#This Row],[DISC 2]])</f>
        <v>123812.5</v>
      </c>
      <c r="AA518" s="66">
        <f>IF(NOTA[[#This Row],[JUMLAH]]="","",(NOTA[[#This Row],[JUMLAH]]-NOTA[[#This Row],[DISC 1-]]-NOTA[[#This Row],[DISC 2-]])*NOTA[[#This Row],[DISC 3]])</f>
        <v>0</v>
      </c>
      <c r="AB518" s="66">
        <f>IF(NOTA[[#This Row],[JUMLAH]]="","",NOTA[[#This Row],[DISC 1-]]+NOTA[[#This Row],[DISC 2-]]+NOTA[[#This Row],[DISC 3-]])</f>
        <v>477562.5</v>
      </c>
      <c r="AC518" s="66">
        <f>IF(NOTA[[#This Row],[JUMLAH]]="","",NOTA[[#This Row],[JUMLAH]]-NOTA[[#This Row],[DISC]])</f>
        <v>2352437.5</v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18" s="66">
        <f>IF(OR(NOTA[[#This Row],[QTY]]="",NOTA[[#This Row],[HARGA SATUAN]]="",),"",NOTA[[#This Row],[QTY]]*NOTA[[#This Row],[HARGA SATUAN]])</f>
        <v>2830000</v>
      </c>
      <c r="AI518" s="60">
        <f ca="1">IF(NOTA[ID_H]="","",INDEX(NOTA[TANGGAL],MATCH(,INDIRECT(ADDRESS(ROW(NOTA[TANGGAL]),COLUMN(NOTA[TANGGAL]))&amp;":"&amp;ADDRESS(ROW(),COLUMN(NOTA[TANGGAL]))),-1)))</f>
        <v>45308</v>
      </c>
      <c r="AJ518" s="55" t="str">
        <f ca="1">IF(NOTA[[#This Row],[NAMA BARANG]]="","",INDEX(NOTA[SUPPLIER],MATCH(,INDIRECT(ADDRESS(ROW(NOTA[ID]),COLUMN(NOTA[ID]))&amp;":"&amp;ADDRESS(ROW(),COLUMN(NOTA[ID]))),-1)))</f>
        <v>ATALI MAKMUR</v>
      </c>
      <c r="AK518" s="55" t="str">
        <f ca="1">IF(NOTA[[#This Row],[ID_H]]="","",IF(NOTA[[#This Row],[FAKTUR]]="",INDIRECT(ADDRESS(ROW()-1,COLUMN())),NOTA[[#This Row],[FAKTUR]]))</f>
        <v>ARTO MORO</v>
      </c>
      <c r="AL518" s="56">
        <f ca="1">IF(NOTA[[#This Row],[ID]]="","",COUNTIF(NOTA[ID_H],NOTA[[#This Row],[ID_H]]))</f>
        <v>11</v>
      </c>
      <c r="AM518" s="56">
        <f>IF(NOTA[[#This Row],[TGL.NOTA]]="",IF(NOTA[[#This Row],[SUPPLIER_H]]="","",AM517),MONTH(NOTA[[#This Row],[TGL.NOTA]]))</f>
        <v>1</v>
      </c>
      <c r="AN518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MOROSA24010079845303eraser526b40pjk</v>
      </c>
      <c r="AR518" s="56" t="e">
        <f>IF(NOTA[[#This Row],[CONCAT4]]="","",_xlfn.IFNA(MATCH(NOTA[[#This Row],[CONCAT4]],[2]!RAW[CONCAT_H],0),FALSE))</f>
        <v>#REF!</v>
      </c>
      <c r="AS518" s="56">
        <f>IF(NOTA[[#This Row],[CONCAT1]]="","",MATCH(NOTA[[#This Row],[CONCAT1]],[3]!db[NB NOTA_C],0))</f>
        <v>956</v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>50 BOX (40 PCS)</v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518" s="56" t="e">
        <f ca="1">IF(NOTA[[#This Row],[ID_H]]="","",MATCH(NOTA[[#This Row],[NB NOTA_C_QTY]],[4]!db[NB NOTA_C_QTY+F],0))</f>
        <v>#REF!</v>
      </c>
      <c r="AX518" s="68">
        <f ca="1">IF(NOTA[[#This Row],[NB NOTA_C_QTY]]="","",ROW()-2)</f>
        <v>516</v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>
        <f ca="1">IF(NOTA[[#This Row],[NAMA BARANG]]="","",INDEX(NOTA[ID],MATCH(,INDIRECT(ADDRESS(ROW(NOTA[ID]),COLUMN(NOTA[ID]))&amp;":"&amp;ADDRESS(ROW(),COLUMN(NOTA[ID]))),-1)))</f>
        <v>83</v>
      </c>
      <c r="E519" s="57"/>
      <c r="F519" s="58"/>
      <c r="G519" s="58"/>
      <c r="H519" s="59"/>
      <c r="I519" s="58"/>
      <c r="J519" s="60"/>
      <c r="K519" s="58">
        <v>0</v>
      </c>
      <c r="L519" s="37" t="s">
        <v>193</v>
      </c>
      <c r="M519" s="61">
        <v>1</v>
      </c>
      <c r="N519" s="56">
        <v>50</v>
      </c>
      <c r="O519" s="37" t="s">
        <v>118</v>
      </c>
      <c r="P519" s="55">
        <v>32000</v>
      </c>
      <c r="Q519" s="62"/>
      <c r="R519" s="63"/>
      <c r="S519" s="64">
        <v>0.125</v>
      </c>
      <c r="T519" s="65">
        <v>0.05</v>
      </c>
      <c r="U519" s="65"/>
      <c r="V519" s="66"/>
      <c r="W519" s="67"/>
      <c r="X519" s="66">
        <f>IF(NOTA[[#This Row],[HARGA/ CTN]]="",NOTA[[#This Row],[JUMLAH_H]],NOTA[[#This Row],[HARGA/ CTN]]*IF(NOTA[[#This Row],[C]]="",0,NOTA[[#This Row],[C]]))</f>
        <v>1600000</v>
      </c>
      <c r="Y519" s="66">
        <f>IF(NOTA[[#This Row],[JUMLAH]]="","",NOTA[[#This Row],[JUMLAH]]*NOTA[[#This Row],[DISC 1]])</f>
        <v>200000</v>
      </c>
      <c r="Z519" s="66">
        <f>IF(NOTA[[#This Row],[JUMLAH]]="","",(NOTA[[#This Row],[JUMLAH]]-NOTA[[#This Row],[DISC 1-]])*NOTA[[#This Row],[DISC 2]])</f>
        <v>70000</v>
      </c>
      <c r="AA519" s="66">
        <f>IF(NOTA[[#This Row],[JUMLAH]]="","",(NOTA[[#This Row],[JUMLAH]]-NOTA[[#This Row],[DISC 1-]]-NOTA[[#This Row],[DISC 2-]])*NOTA[[#This Row],[DISC 3]])</f>
        <v>0</v>
      </c>
      <c r="AB519" s="66">
        <f>IF(NOTA[[#This Row],[JUMLAH]]="","",NOTA[[#This Row],[DISC 1-]]+NOTA[[#This Row],[DISC 2-]]+NOTA[[#This Row],[DISC 3-]])</f>
        <v>270000</v>
      </c>
      <c r="AC519" s="66">
        <f>IF(NOTA[[#This Row],[JUMLAH]]="","",NOTA[[#This Row],[JUMLAH]]-NOTA[[#This Row],[DISC]])</f>
        <v>1330000</v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519" s="66">
        <f>IF(OR(NOTA[[#This Row],[QTY]]="",NOTA[[#This Row],[HARGA SATUAN]]="",),"",NOTA[[#This Row],[QTY]]*NOTA[[#This Row],[HARGA SATUAN]])</f>
        <v>1600000</v>
      </c>
      <c r="AI519" s="60">
        <f ca="1">IF(NOTA[ID_H]="","",INDEX(NOTA[TANGGAL],MATCH(,INDIRECT(ADDRESS(ROW(NOTA[TANGGAL]),COLUMN(NOTA[TANGGAL]))&amp;":"&amp;ADDRESS(ROW(),COLUMN(NOTA[TANGGAL]))),-1)))</f>
        <v>45308</v>
      </c>
      <c r="AJ519" s="55" t="str">
        <f ca="1">IF(NOTA[[#This Row],[NAMA BARANG]]="","",INDEX(NOTA[SUPPLIER],MATCH(,INDIRECT(ADDRESS(ROW(NOTA[ID]),COLUMN(NOTA[ID]))&amp;":"&amp;ADDRESS(ROW(),COLUMN(NOTA[ID]))),-1)))</f>
        <v>ATALI MAKMUR</v>
      </c>
      <c r="AK519" s="55" t="str">
        <f ca="1">IF(NOTA[[#This Row],[ID_H]]="","",IF(NOTA[[#This Row],[FAKTUR]]="",INDIRECT(ADDRESS(ROW()-1,COLUMN())),NOTA[[#This Row],[FAKTUR]]))</f>
        <v>ARTO MORO</v>
      </c>
      <c r="AL519" s="56" t="str">
        <f ca="1">IF(NOTA[[#This Row],[ID]]="","",COUNTIF(NOTA[ID_H],NOTA[[#This Row],[ID_H]]))</f>
        <v/>
      </c>
      <c r="AM519" s="56">
        <f ca="1">IF(NOTA[[#This Row],[TGL.NOTA]]="",IF(NOTA[[#This Row],[SUPPLIER_H]]="","",AM518),MONTH(NOTA[[#This Row],[TGL.NOTA]]))</f>
        <v>1</v>
      </c>
      <c r="AN519" s="56" t="str">
        <f>LOWER(SUBSTITUTE(SUBSTITUTE(SUBSTITUTE(SUBSTITUTE(SUBSTITUTE(SUBSTITUTE(SUBSTITUTE(SUBSTITUTE(SUBSTITUTE(NOTA[NAMA BARANG]," ",),".",""),"-",""),"(",""),")",""),",",""),"/",""),"""",""),"+",""))</f>
        <v>eraserer30wjk</v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>
        <f>IF(NOTA[[#This Row],[CONCAT1]]="","",MATCH(NOTA[[#This Row],[CONCAT1]],[3]!db[NB NOTA_C],0))</f>
        <v>963</v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>50 BOX (30 PCS)</v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519" s="56" t="e">
        <f ca="1">IF(NOTA[[#This Row],[ID_H]]="","",MATCH(NOTA[[#This Row],[NB NOTA_C_QTY]],[4]!db[NB NOTA_C_QTY+F],0))</f>
        <v>#REF!</v>
      </c>
      <c r="AX519" s="68">
        <f ca="1">IF(NOTA[[#This Row],[NB NOTA_C_QTY]]="","",ROW()-2)</f>
        <v>517</v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>
        <f ca="1">IF(NOTA[[#This Row],[NAMA BARANG]]="","",INDEX(NOTA[ID],MATCH(,INDIRECT(ADDRESS(ROW(NOTA[ID]),COLUMN(NOTA[ID]))&amp;":"&amp;ADDRESS(ROW(),COLUMN(NOTA[ID]))),-1)))</f>
        <v>83</v>
      </c>
      <c r="E520" s="57"/>
      <c r="F520" s="58"/>
      <c r="G520" s="58"/>
      <c r="H520" s="59"/>
      <c r="I520" s="58"/>
      <c r="J520" s="60"/>
      <c r="K520" s="58">
        <v>0</v>
      </c>
      <c r="L520" s="37" t="s">
        <v>136</v>
      </c>
      <c r="M520" s="61">
        <v>1</v>
      </c>
      <c r="N520" s="56">
        <v>72</v>
      </c>
      <c r="O520" s="37" t="s">
        <v>116</v>
      </c>
      <c r="P520" s="55">
        <v>21200</v>
      </c>
      <c r="Q520" s="62"/>
      <c r="R520" s="63"/>
      <c r="S520" s="64">
        <v>0.125</v>
      </c>
      <c r="T520" s="65">
        <v>0.05</v>
      </c>
      <c r="U520" s="65"/>
      <c r="V520" s="66"/>
      <c r="W520" s="67"/>
      <c r="X520" s="66">
        <f>IF(NOTA[[#This Row],[HARGA/ CTN]]="",NOTA[[#This Row],[JUMLAH_H]],NOTA[[#This Row],[HARGA/ CTN]]*IF(NOTA[[#This Row],[C]]="",0,NOTA[[#This Row],[C]]))</f>
        <v>1526400</v>
      </c>
      <c r="Y520" s="66">
        <f>IF(NOTA[[#This Row],[JUMLAH]]="","",NOTA[[#This Row],[JUMLAH]]*NOTA[[#This Row],[DISC 1]])</f>
        <v>190800</v>
      </c>
      <c r="Z520" s="66">
        <f>IF(NOTA[[#This Row],[JUMLAH]]="","",(NOTA[[#This Row],[JUMLAH]]-NOTA[[#This Row],[DISC 1-]])*NOTA[[#This Row],[DISC 2]])</f>
        <v>66780</v>
      </c>
      <c r="AA520" s="66">
        <f>IF(NOTA[[#This Row],[JUMLAH]]="","",(NOTA[[#This Row],[JUMLAH]]-NOTA[[#This Row],[DISC 1-]]-NOTA[[#This Row],[DISC 2-]])*NOTA[[#This Row],[DISC 3]])</f>
        <v>0</v>
      </c>
      <c r="AB520" s="66">
        <f>IF(NOTA[[#This Row],[JUMLAH]]="","",NOTA[[#This Row],[DISC 1-]]+NOTA[[#This Row],[DISC 2-]]+NOTA[[#This Row],[DISC 3-]])</f>
        <v>257580</v>
      </c>
      <c r="AC520" s="66">
        <f>IF(NOTA[[#This Row],[JUMLAH]]="","",NOTA[[#This Row],[JUMLAH]]-NOTA[[#This Row],[DISC]])</f>
        <v>1268820</v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20" s="66">
        <f>IF(OR(NOTA[[#This Row],[QTY]]="",NOTA[[#This Row],[HARGA SATUAN]]="",),"",NOTA[[#This Row],[QTY]]*NOTA[[#This Row],[HARGA SATUAN]])</f>
        <v>1526400</v>
      </c>
      <c r="AI520" s="60">
        <f ca="1">IF(NOTA[ID_H]="","",INDEX(NOTA[TANGGAL],MATCH(,INDIRECT(ADDRESS(ROW(NOTA[TANGGAL]),COLUMN(NOTA[TANGGAL]))&amp;":"&amp;ADDRESS(ROW(),COLUMN(NOTA[TANGGAL]))),-1)))</f>
        <v>45308</v>
      </c>
      <c r="AJ520" s="55" t="str">
        <f ca="1">IF(NOTA[[#This Row],[NAMA BARANG]]="","",INDEX(NOTA[SUPPLIER],MATCH(,INDIRECT(ADDRESS(ROW(NOTA[ID]),COLUMN(NOTA[ID]))&amp;":"&amp;ADDRESS(ROW(),COLUMN(NOTA[ID]))),-1)))</f>
        <v>ATALI MAKMUR</v>
      </c>
      <c r="AK520" s="55" t="str">
        <f ca="1">IF(NOTA[[#This Row],[ID_H]]="","",IF(NOTA[[#This Row],[FAKTUR]]="",INDIRECT(ADDRESS(ROW()-1,COLUMN())),NOTA[[#This Row],[FAKTUR]]))</f>
        <v>ARTO MORO</v>
      </c>
      <c r="AL520" s="56" t="str">
        <f ca="1">IF(NOTA[[#This Row],[ID]]="","",COUNTIF(NOTA[ID_H],NOTA[[#This Row],[ID_H]]))</f>
        <v/>
      </c>
      <c r="AM520" s="56">
        <f ca="1">IF(NOTA[[#This Row],[TGL.NOTA]]="",IF(NOTA[[#This Row],[SUPPLIER_H]]="","",AM519),MONTH(NOTA[[#This Row],[TGL.NOTA]]))</f>
        <v>1</v>
      </c>
      <c r="AN520" s="5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>
        <f>IF(NOTA[[#This Row],[CONCAT1]]="","",MATCH(NOTA[[#This Row],[CONCAT1]],[3]!db[NB NOTA_C],0))</f>
        <v>686</v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>12 BOX (6 SET)</v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520" s="56" t="e">
        <f ca="1">IF(NOTA[[#This Row],[ID_H]]="","",MATCH(NOTA[[#This Row],[NB NOTA_C_QTY]],[4]!db[NB NOTA_C_QTY+F],0))</f>
        <v>#REF!</v>
      </c>
      <c r="AX520" s="68">
        <f ca="1">IF(NOTA[[#This Row],[NB NOTA_C_QTY]]="","",ROW()-2)</f>
        <v>518</v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>
        <f ca="1">IF(NOTA[[#This Row],[NAMA BARANG]]="","",INDEX(NOTA[ID],MATCH(,INDIRECT(ADDRESS(ROW(NOTA[ID]),COLUMN(NOTA[ID]))&amp;":"&amp;ADDRESS(ROW(),COLUMN(NOTA[ID]))),-1)))</f>
        <v>83</v>
      </c>
      <c r="E521" s="57"/>
      <c r="F521" s="37"/>
      <c r="G521" s="37"/>
      <c r="H521" s="47"/>
      <c r="I521" s="58"/>
      <c r="J521" s="60"/>
      <c r="K521" s="58">
        <v>0</v>
      </c>
      <c r="L521" s="37" t="s">
        <v>653</v>
      </c>
      <c r="M521" s="61">
        <v>1</v>
      </c>
      <c r="N521" s="56">
        <v>36</v>
      </c>
      <c r="O521" s="37" t="s">
        <v>116</v>
      </c>
      <c r="P521" s="55">
        <v>49500</v>
      </c>
      <c r="Q521" s="62"/>
      <c r="R521" s="63"/>
      <c r="S521" s="64">
        <v>0.125</v>
      </c>
      <c r="T521" s="65">
        <v>0.05</v>
      </c>
      <c r="U521" s="65"/>
      <c r="V521" s="66"/>
      <c r="W521" s="67"/>
      <c r="X521" s="66">
        <f>IF(NOTA[[#This Row],[HARGA/ CTN]]="",NOTA[[#This Row],[JUMLAH_H]],NOTA[[#This Row],[HARGA/ CTN]]*IF(NOTA[[#This Row],[C]]="",0,NOTA[[#This Row],[C]]))</f>
        <v>1782000</v>
      </c>
      <c r="Y521" s="66">
        <f>IF(NOTA[[#This Row],[JUMLAH]]="","",NOTA[[#This Row],[JUMLAH]]*NOTA[[#This Row],[DISC 1]])</f>
        <v>222750</v>
      </c>
      <c r="Z521" s="66">
        <f>IF(NOTA[[#This Row],[JUMLAH]]="","",(NOTA[[#This Row],[JUMLAH]]-NOTA[[#This Row],[DISC 1-]])*NOTA[[#This Row],[DISC 2]])</f>
        <v>77962.5</v>
      </c>
      <c r="AA521" s="66">
        <f>IF(NOTA[[#This Row],[JUMLAH]]="","",(NOTA[[#This Row],[JUMLAH]]-NOTA[[#This Row],[DISC 1-]]-NOTA[[#This Row],[DISC 2-]])*NOTA[[#This Row],[DISC 3]])</f>
        <v>0</v>
      </c>
      <c r="AB521" s="66">
        <f>IF(NOTA[[#This Row],[JUMLAH]]="","",NOTA[[#This Row],[DISC 1-]]+NOTA[[#This Row],[DISC 2-]]+NOTA[[#This Row],[DISC 3-]])</f>
        <v>300712.5</v>
      </c>
      <c r="AC521" s="66">
        <f>IF(NOTA[[#This Row],[JUMLAH]]="","",NOTA[[#This Row],[JUMLAH]]-NOTA[[#This Row],[DISC]])</f>
        <v>1481287.5</v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>
        <f>IF(NOTA[[#This Row],[NAMA BARANG]]="","",IF(NOTA[[#This Row],[JUMLAH_H]]="",NOTA[[#This Row],[HARGA/ CTN]],NOTA[[#This Row],[QTY]]*NOTA[[#This Row],[HARGA SATUAN]]/IF(ISNUMBER(NOTA[[#This Row],[C]]),NOTA[[#This Row],[C]],1)))</f>
        <v>1782000</v>
      </c>
      <c r="AH521" s="66">
        <f>IF(OR(NOTA[[#This Row],[QTY]]="",NOTA[[#This Row],[HARGA SATUAN]]="",),"",NOTA[[#This Row],[QTY]]*NOTA[[#This Row],[HARGA SATUAN]])</f>
        <v>1782000</v>
      </c>
      <c r="AI521" s="60">
        <f ca="1">IF(NOTA[ID_H]="","",INDEX(NOTA[TANGGAL],MATCH(,INDIRECT(ADDRESS(ROW(NOTA[TANGGAL]),COLUMN(NOTA[TANGGAL]))&amp;":"&amp;ADDRESS(ROW(),COLUMN(NOTA[TANGGAL]))),-1)))</f>
        <v>45308</v>
      </c>
      <c r="AJ521" s="55" t="str">
        <f ca="1">IF(NOTA[[#This Row],[NAMA BARANG]]="","",INDEX(NOTA[SUPPLIER],MATCH(,INDIRECT(ADDRESS(ROW(NOTA[ID]),COLUMN(NOTA[ID]))&amp;":"&amp;ADDRESS(ROW(),COLUMN(NOTA[ID]))),-1)))</f>
        <v>ATALI MAKMUR</v>
      </c>
      <c r="AK521" s="55" t="str">
        <f ca="1">IF(NOTA[[#This Row],[ID_H]]="","",IF(NOTA[[#This Row],[FAKTUR]]="",INDIRECT(ADDRESS(ROW()-1,COLUMN())),NOTA[[#This Row],[FAKTUR]]))</f>
        <v>ARTO MORO</v>
      </c>
      <c r="AL521" s="56" t="str">
        <f ca="1">IF(NOTA[[#This Row],[ID]]="","",COUNTIF(NOTA[ID_H],NOTA[[#This Row],[ID_H]]))</f>
        <v/>
      </c>
      <c r="AM521" s="56">
        <f ca="1">IF(NOTA[[#This Row],[TGL.NOTA]]="",IF(NOTA[[#This Row],[SUPPLIER_H]]="","",AM520),MONTH(NOTA[[#This Row],[TGL.NOTA]]))</f>
        <v>1</v>
      </c>
      <c r="AN521" s="56" t="str">
        <f>LOWER(SUBSTITUTE(SUBSTITUTE(SUBSTITUTE(SUBSTITUTE(SUBSTITUTE(SUBSTITUTE(SUBSTITUTE(SUBSTITUTE(SUBSTITUTE(NOTA[NAMA BARANG]," ",),".",""),"-",""),"(",""),")",""),",",""),"/",""),"""",""),"+",""))</f>
        <v>colorpencilcp48pbjk</v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colorpencilcp48pbjk17820000.1250.05</v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colorpencilcp48pbjk17820000.1250.05</v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e">
        <f>IF(NOTA[[#This Row],[CONCAT1]]="","",MATCH(NOTA[[#This Row],[CONCAT1]],[3]!db[NB NOTA_C],0))</f>
        <v>#N/A</v>
      </c>
      <c r="AT521" s="56" t="str">
        <f>IF(NOTA[[#This Row],[QTY/ CTN]]="","",TRUE)</f>
        <v/>
      </c>
      <c r="AU521" s="56" t="e">
        <f ca="1">IF(NOTA[[#This Row],[ID_H]]="","",IF(NOTA[[#This Row],[Column3]]=TRUE,NOTA[[#This Row],[QTY/ CTN]],INDEX([3]!db[QTY/ CTN],NOTA[[#This Row],[//DB]])))</f>
        <v>#N/A</v>
      </c>
      <c r="AV52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21" s="56" t="e">
        <f ca="1">IF(NOTA[[#This Row],[ID_H]]="","",MATCH(NOTA[[#This Row],[NB NOTA_C_QTY]],[4]!db[NB NOTA_C_QTY+F],0))</f>
        <v>#N/A</v>
      </c>
      <c r="AX521" s="68" t="e">
        <f ca="1">IF(NOTA[[#This Row],[NB NOTA_C_QTY]]="","",ROW()-2)</f>
        <v>#N/A</v>
      </c>
    </row>
    <row r="522" spans="1:50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>
        <f ca="1">IF(NOTA[[#This Row],[NAMA BARANG]]="","",INDEX(NOTA[ID],MATCH(,INDIRECT(ADDRESS(ROW(NOTA[ID]),COLUMN(NOTA[ID]))&amp;":"&amp;ADDRESS(ROW(),COLUMN(NOTA[ID]))),-1)))</f>
        <v>83</v>
      </c>
      <c r="E522" s="57"/>
      <c r="F522" s="58"/>
      <c r="G522" s="58"/>
      <c r="H522" s="59"/>
      <c r="I522" s="58"/>
      <c r="J522" s="60"/>
      <c r="K522" s="58">
        <v>0</v>
      </c>
      <c r="L522" s="37" t="s">
        <v>122</v>
      </c>
      <c r="M522" s="61">
        <v>1</v>
      </c>
      <c r="N522" s="56">
        <v>144</v>
      </c>
      <c r="O522" s="37" t="s">
        <v>116</v>
      </c>
      <c r="P522" s="55">
        <v>10600</v>
      </c>
      <c r="Q522" s="62"/>
      <c r="R522" s="63"/>
      <c r="S522" s="64">
        <v>0.125</v>
      </c>
      <c r="T522" s="65">
        <v>0.05</v>
      </c>
      <c r="U522" s="65"/>
      <c r="V522" s="66"/>
      <c r="W522" s="67"/>
      <c r="X522" s="66">
        <f>IF(NOTA[[#This Row],[HARGA/ CTN]]="",NOTA[[#This Row],[JUMLAH_H]],NOTA[[#This Row],[HARGA/ CTN]]*IF(NOTA[[#This Row],[C]]="",0,NOTA[[#This Row],[C]]))</f>
        <v>1526400</v>
      </c>
      <c r="Y522" s="66">
        <f>IF(NOTA[[#This Row],[JUMLAH]]="","",NOTA[[#This Row],[JUMLAH]]*NOTA[[#This Row],[DISC 1]])</f>
        <v>190800</v>
      </c>
      <c r="Z522" s="66">
        <f>IF(NOTA[[#This Row],[JUMLAH]]="","",(NOTA[[#This Row],[JUMLAH]]-NOTA[[#This Row],[DISC 1-]])*NOTA[[#This Row],[DISC 2]])</f>
        <v>66780</v>
      </c>
      <c r="AA522" s="66">
        <f>IF(NOTA[[#This Row],[JUMLAH]]="","",(NOTA[[#This Row],[JUMLAH]]-NOTA[[#This Row],[DISC 1-]]-NOTA[[#This Row],[DISC 2-]])*NOTA[[#This Row],[DISC 3]])</f>
        <v>0</v>
      </c>
      <c r="AB522" s="66">
        <f>IF(NOTA[[#This Row],[JUMLAH]]="","",NOTA[[#This Row],[DISC 1-]]+NOTA[[#This Row],[DISC 2-]]+NOTA[[#This Row],[DISC 3-]])</f>
        <v>257580</v>
      </c>
      <c r="AC522" s="66">
        <f>IF(NOTA[[#This Row],[JUMLAH]]="","",NOTA[[#This Row],[JUMLAH]]-NOTA[[#This Row],[DISC]])</f>
        <v>1268820</v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22" s="66">
        <f>IF(OR(NOTA[[#This Row],[QTY]]="",NOTA[[#This Row],[HARGA SATUAN]]="",),"",NOTA[[#This Row],[QTY]]*NOTA[[#This Row],[HARGA SATUAN]])</f>
        <v>1526400</v>
      </c>
      <c r="AI522" s="60">
        <f ca="1">IF(NOTA[ID_H]="","",INDEX(NOTA[TANGGAL],MATCH(,INDIRECT(ADDRESS(ROW(NOTA[TANGGAL]),COLUMN(NOTA[TANGGAL]))&amp;":"&amp;ADDRESS(ROW(),COLUMN(NOTA[TANGGAL]))),-1)))</f>
        <v>45308</v>
      </c>
      <c r="AJ522" s="55" t="str">
        <f ca="1">IF(NOTA[[#This Row],[NAMA BARANG]]="","",INDEX(NOTA[SUPPLIER],MATCH(,INDIRECT(ADDRESS(ROW(NOTA[ID]),COLUMN(NOTA[ID]))&amp;":"&amp;ADDRESS(ROW(),COLUMN(NOTA[ID]))),-1)))</f>
        <v>ATALI MAKMUR</v>
      </c>
      <c r="AK522" s="55" t="str">
        <f ca="1">IF(NOTA[[#This Row],[ID_H]]="","",IF(NOTA[[#This Row],[FAKTUR]]="",INDIRECT(ADDRESS(ROW()-1,COLUMN())),NOTA[[#This Row],[FAKTUR]]))</f>
        <v>ARTO MORO</v>
      </c>
      <c r="AL522" s="56" t="str">
        <f ca="1">IF(NOTA[[#This Row],[ID]]="","",COUNTIF(NOTA[ID_H],NOTA[[#This Row],[ID_H]]))</f>
        <v/>
      </c>
      <c r="AM522" s="56">
        <f ca="1">IF(NOTA[[#This Row],[TGL.NOTA]]="",IF(NOTA[[#This Row],[SUPPLIER_H]]="","",AM521),MONTH(NOTA[[#This Row],[TGL.NOTA]]))</f>
        <v>1</v>
      </c>
      <c r="AN522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2" s="56" t="str">
        <f>IF(NOTA[[#This Row],[CONCAT4]]="","",_xlfn.IFNA(MATCH(NOTA[[#This Row],[CONCAT4]],[2]!RAW[CONCAT_H],0),FALSE))</f>
        <v/>
      </c>
      <c r="AS522" s="56">
        <f>IF(NOTA[[#This Row],[CONCAT1]]="","",MATCH(NOTA[[#This Row],[CONCAT1]],[3]!db[NB NOTA_C],0))</f>
        <v>684</v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>12 LSN</v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522" s="56" t="e">
        <f ca="1">IF(NOTA[[#This Row],[ID_H]]="","",MATCH(NOTA[[#This Row],[NB NOTA_C_QTY]],[4]!db[NB NOTA_C_QTY+F],0))</f>
        <v>#REF!</v>
      </c>
      <c r="AX522" s="68">
        <f ca="1">IF(NOTA[[#This Row],[NB NOTA_C_QTY]]="","",ROW()-2)</f>
        <v>520</v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>
        <f ca="1">IF(NOTA[[#This Row],[NAMA BARANG]]="","",INDEX(NOTA[ID],MATCH(,INDIRECT(ADDRESS(ROW(NOTA[ID]),COLUMN(NOTA[ID]))&amp;":"&amp;ADDRESS(ROW(),COLUMN(NOTA[ID]))),-1)))</f>
        <v>83</v>
      </c>
      <c r="E523" s="57"/>
      <c r="F523" s="37"/>
      <c r="G523" s="37"/>
      <c r="H523" s="47"/>
      <c r="I523" s="58"/>
      <c r="J523" s="60"/>
      <c r="K523" s="58">
        <v>0</v>
      </c>
      <c r="L523" s="37" t="s">
        <v>185</v>
      </c>
      <c r="M523" s="61">
        <v>1</v>
      </c>
      <c r="N523" s="56">
        <v>288</v>
      </c>
      <c r="O523" s="37" t="s">
        <v>116</v>
      </c>
      <c r="P523" s="55">
        <v>6700</v>
      </c>
      <c r="Q523" s="62"/>
      <c r="R523" s="63"/>
      <c r="S523" s="64">
        <v>0.125</v>
      </c>
      <c r="T523" s="65">
        <v>0.05</v>
      </c>
      <c r="U523" s="65"/>
      <c r="V523" s="66"/>
      <c r="W523" s="67"/>
      <c r="X523" s="66">
        <f>IF(NOTA[[#This Row],[HARGA/ CTN]]="",NOTA[[#This Row],[JUMLAH_H]],NOTA[[#This Row],[HARGA/ CTN]]*IF(NOTA[[#This Row],[C]]="",0,NOTA[[#This Row],[C]]))</f>
        <v>1929600</v>
      </c>
      <c r="Y523" s="66">
        <f>IF(NOTA[[#This Row],[JUMLAH]]="","",NOTA[[#This Row],[JUMLAH]]*NOTA[[#This Row],[DISC 1]])</f>
        <v>241200</v>
      </c>
      <c r="Z523" s="66">
        <f>IF(NOTA[[#This Row],[JUMLAH]]="","",(NOTA[[#This Row],[JUMLAH]]-NOTA[[#This Row],[DISC 1-]])*NOTA[[#This Row],[DISC 2]])</f>
        <v>84420</v>
      </c>
      <c r="AA523" s="66">
        <f>IF(NOTA[[#This Row],[JUMLAH]]="","",(NOTA[[#This Row],[JUMLAH]]-NOTA[[#This Row],[DISC 1-]]-NOTA[[#This Row],[DISC 2-]])*NOTA[[#This Row],[DISC 3]])</f>
        <v>0</v>
      </c>
      <c r="AB523" s="66">
        <f>IF(NOTA[[#This Row],[JUMLAH]]="","",NOTA[[#This Row],[DISC 1-]]+NOTA[[#This Row],[DISC 2-]]+NOTA[[#This Row],[DISC 3-]])</f>
        <v>325620</v>
      </c>
      <c r="AC523" s="66">
        <f>IF(NOTA[[#This Row],[JUMLAH]]="","",NOTA[[#This Row],[JUMLAH]]-NOTA[[#This Row],[DISC]])</f>
        <v>1603980</v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23" s="66">
        <f>IF(OR(NOTA[[#This Row],[QTY]]="",NOTA[[#This Row],[HARGA SATUAN]]="",),"",NOTA[[#This Row],[QTY]]*NOTA[[#This Row],[HARGA SATUAN]])</f>
        <v>1929600</v>
      </c>
      <c r="AI523" s="60">
        <f ca="1">IF(NOTA[ID_H]="","",INDEX(NOTA[TANGGAL],MATCH(,INDIRECT(ADDRESS(ROW(NOTA[TANGGAL]),COLUMN(NOTA[TANGGAL]))&amp;":"&amp;ADDRESS(ROW(),COLUMN(NOTA[TANGGAL]))),-1)))</f>
        <v>45308</v>
      </c>
      <c r="AJ523" s="55" t="str">
        <f ca="1">IF(NOTA[[#This Row],[NAMA BARANG]]="","",INDEX(NOTA[SUPPLIER],MATCH(,INDIRECT(ADDRESS(ROW(NOTA[ID]),COLUMN(NOTA[ID]))&amp;":"&amp;ADDRESS(ROW(),COLUMN(NOTA[ID]))),-1)))</f>
        <v>ATALI MAKMUR</v>
      </c>
      <c r="AK523" s="55" t="str">
        <f ca="1">IF(NOTA[[#This Row],[ID_H]]="","",IF(NOTA[[#This Row],[FAKTUR]]="",INDIRECT(ADDRESS(ROW()-1,COLUMN())),NOTA[[#This Row],[FAKTUR]]))</f>
        <v>ARTO MORO</v>
      </c>
      <c r="AL523" s="56" t="str">
        <f ca="1">IF(NOTA[[#This Row],[ID]]="","",COUNTIF(NOTA[ID_H],NOTA[[#This Row],[ID_H]]))</f>
        <v/>
      </c>
      <c r="AM523" s="56">
        <f ca="1">IF(NOTA[[#This Row],[TGL.NOTA]]="",IF(NOTA[[#This Row],[SUPPLIER_H]]="","",AM522),MONTH(NOTA[[#This Row],[TGL.NOTA]]))</f>
        <v>1</v>
      </c>
      <c r="AN523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>
        <f>IF(NOTA[[#This Row],[CONCAT1]]="","",MATCH(NOTA[[#This Row],[CONCAT1]],[3]!db[NB NOTA_C],0))</f>
        <v>691</v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>12 BOX (24 SET)</v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523" s="56" t="e">
        <f ca="1">IF(NOTA[[#This Row],[ID_H]]="","",MATCH(NOTA[[#This Row],[NB NOTA_C_QTY]],[4]!db[NB NOTA_C_QTY+F],0))</f>
        <v>#REF!</v>
      </c>
      <c r="AX523" s="68">
        <f ca="1">IF(NOTA[[#This Row],[NB NOTA_C_QTY]]="","",ROW()-2)</f>
        <v>521</v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>
        <f ca="1">IF(NOTA[[#This Row],[NAMA BARANG]]="","",INDEX(NOTA[ID],MATCH(,INDIRECT(ADDRESS(ROW(NOTA[ID]),COLUMN(NOTA[ID]))&amp;":"&amp;ADDRESS(ROW(),COLUMN(NOTA[ID]))),-1)))</f>
        <v>83</v>
      </c>
      <c r="E524" s="57"/>
      <c r="F524" s="37"/>
      <c r="G524" s="37"/>
      <c r="H524" s="47"/>
      <c r="I524" s="58"/>
      <c r="J524" s="60"/>
      <c r="K524" s="58">
        <v>0</v>
      </c>
      <c r="L524" s="37" t="s">
        <v>339</v>
      </c>
      <c r="M524" s="61">
        <v>3</v>
      </c>
      <c r="N524" s="56">
        <v>2160</v>
      </c>
      <c r="O524" s="37" t="s">
        <v>115</v>
      </c>
      <c r="P524" s="55">
        <v>4300</v>
      </c>
      <c r="Q524" s="62"/>
      <c r="R524" s="63"/>
      <c r="S524" s="64">
        <v>0.125</v>
      </c>
      <c r="T524" s="65">
        <v>0.05</v>
      </c>
      <c r="U524" s="65"/>
      <c r="V524" s="66"/>
      <c r="W524" s="67"/>
      <c r="X524" s="66">
        <f>IF(NOTA[[#This Row],[HARGA/ CTN]]="",NOTA[[#This Row],[JUMLAH_H]],NOTA[[#This Row],[HARGA/ CTN]]*IF(NOTA[[#This Row],[C]]="",0,NOTA[[#This Row],[C]]))</f>
        <v>9288000</v>
      </c>
      <c r="Y524" s="66">
        <f>IF(NOTA[[#This Row],[JUMLAH]]="","",NOTA[[#This Row],[JUMLAH]]*NOTA[[#This Row],[DISC 1]])</f>
        <v>1161000</v>
      </c>
      <c r="Z524" s="66">
        <f>IF(NOTA[[#This Row],[JUMLAH]]="","",(NOTA[[#This Row],[JUMLAH]]-NOTA[[#This Row],[DISC 1-]])*NOTA[[#This Row],[DISC 2]])</f>
        <v>406350</v>
      </c>
      <c r="AA524" s="66">
        <f>IF(NOTA[[#This Row],[JUMLAH]]="","",(NOTA[[#This Row],[JUMLAH]]-NOTA[[#This Row],[DISC 1-]]-NOTA[[#This Row],[DISC 2-]])*NOTA[[#This Row],[DISC 3]])</f>
        <v>0</v>
      </c>
      <c r="AB524" s="66">
        <f>IF(NOTA[[#This Row],[JUMLAH]]="","",NOTA[[#This Row],[DISC 1-]]+NOTA[[#This Row],[DISC 2-]]+NOTA[[#This Row],[DISC 3-]])</f>
        <v>1567350</v>
      </c>
      <c r="AC524" s="66">
        <f>IF(NOTA[[#This Row],[JUMLAH]]="","",NOTA[[#This Row],[JUMLAH]]-NOTA[[#This Row],[DISC]])</f>
        <v>7720650</v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524" s="66">
        <f>IF(OR(NOTA[[#This Row],[QTY]]="",NOTA[[#This Row],[HARGA SATUAN]]="",),"",NOTA[[#This Row],[QTY]]*NOTA[[#This Row],[HARGA SATUAN]])</f>
        <v>9288000</v>
      </c>
      <c r="AI524" s="60">
        <f ca="1">IF(NOTA[ID_H]="","",INDEX(NOTA[TANGGAL],MATCH(,INDIRECT(ADDRESS(ROW(NOTA[TANGGAL]),COLUMN(NOTA[TANGGAL]))&amp;":"&amp;ADDRESS(ROW(),COLUMN(NOTA[TANGGAL]))),-1)))</f>
        <v>45308</v>
      </c>
      <c r="AJ524" s="55" t="str">
        <f ca="1">IF(NOTA[[#This Row],[NAMA BARANG]]="","",INDEX(NOTA[SUPPLIER],MATCH(,INDIRECT(ADDRESS(ROW(NOTA[ID]),COLUMN(NOTA[ID]))&amp;":"&amp;ADDRESS(ROW(),COLUMN(NOTA[ID]))),-1)))</f>
        <v>ATALI MAKMUR</v>
      </c>
      <c r="AK524" s="55" t="str">
        <f ca="1">IF(NOTA[[#This Row],[ID_H]]="","",IF(NOTA[[#This Row],[FAKTUR]]="",INDIRECT(ADDRESS(ROW()-1,COLUMN())),NOTA[[#This Row],[FAKTUR]]))</f>
        <v>ARTO MORO</v>
      </c>
      <c r="AL524" s="56" t="str">
        <f ca="1">IF(NOTA[[#This Row],[ID]]="","",COUNTIF(NOTA[ID_H],NOTA[[#This Row],[ID_H]]))</f>
        <v/>
      </c>
      <c r="AM524" s="56">
        <f ca="1">IF(NOTA[[#This Row],[TGL.NOTA]]="",IF(NOTA[[#This Row],[SUPPLIER_H]]="","",AM523),MONTH(NOTA[[#This Row],[TGL.NOTA]]))</f>
        <v>1</v>
      </c>
      <c r="AN524" s="56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>
        <f>IF(NOTA[[#This Row],[CONCAT1]]="","",MATCH(NOTA[[#This Row],[CONCAT1]],[3]!db[NB NOTA_C],0))</f>
        <v>725</v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>60 LSN</v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524" s="56" t="e">
        <f ca="1">IF(NOTA[[#This Row],[ID_H]]="","",MATCH(NOTA[[#This Row],[NB NOTA_C_QTY]],[4]!db[NB NOTA_C_QTY+F],0))</f>
        <v>#REF!</v>
      </c>
      <c r="AX524" s="68">
        <f ca="1">IF(NOTA[[#This Row],[NB NOTA_C_QTY]]="","",ROW()-2)</f>
        <v>522</v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>
        <f ca="1">IF(NOTA[[#This Row],[NAMA BARANG]]="","",INDEX(NOTA[ID],MATCH(,INDIRECT(ADDRESS(ROW(NOTA[ID]),COLUMN(NOTA[ID]))&amp;":"&amp;ADDRESS(ROW(),COLUMN(NOTA[ID]))),-1)))</f>
        <v>83</v>
      </c>
      <c r="E525" s="57"/>
      <c r="F525" s="37"/>
      <c r="G525" s="37"/>
      <c r="H525" s="47"/>
      <c r="I525" s="58"/>
      <c r="J525" s="60"/>
      <c r="K525" s="58">
        <v>0</v>
      </c>
      <c r="L525" s="37" t="s">
        <v>654</v>
      </c>
      <c r="M525" s="61">
        <v>1</v>
      </c>
      <c r="N525" s="56">
        <v>720</v>
      </c>
      <c r="O525" s="37" t="s">
        <v>115</v>
      </c>
      <c r="P525" s="55">
        <v>4600</v>
      </c>
      <c r="Q525" s="62"/>
      <c r="R525" s="63"/>
      <c r="S525" s="49">
        <v>0.125</v>
      </c>
      <c r="T525" s="65">
        <v>0.05</v>
      </c>
      <c r="U525" s="65"/>
      <c r="V525" s="66"/>
      <c r="W525" s="67"/>
      <c r="X525" s="66">
        <f>IF(NOTA[[#This Row],[HARGA/ CTN]]="",NOTA[[#This Row],[JUMLAH_H]],NOTA[[#This Row],[HARGA/ CTN]]*IF(NOTA[[#This Row],[C]]="",0,NOTA[[#This Row],[C]]))</f>
        <v>3312000</v>
      </c>
      <c r="Y525" s="66">
        <f>IF(NOTA[[#This Row],[JUMLAH]]="","",NOTA[[#This Row],[JUMLAH]]*NOTA[[#This Row],[DISC 1]])</f>
        <v>414000</v>
      </c>
      <c r="Z525" s="66">
        <f>IF(NOTA[[#This Row],[JUMLAH]]="","",(NOTA[[#This Row],[JUMLAH]]-NOTA[[#This Row],[DISC 1-]])*NOTA[[#This Row],[DISC 2]])</f>
        <v>144900</v>
      </c>
      <c r="AA525" s="66">
        <f>IF(NOTA[[#This Row],[JUMLAH]]="","",(NOTA[[#This Row],[JUMLAH]]-NOTA[[#This Row],[DISC 1-]]-NOTA[[#This Row],[DISC 2-]])*NOTA[[#This Row],[DISC 3]])</f>
        <v>0</v>
      </c>
      <c r="AB525" s="66">
        <f>IF(NOTA[[#This Row],[JUMLAH]]="","",NOTA[[#This Row],[DISC 1-]]+NOTA[[#This Row],[DISC 2-]]+NOTA[[#This Row],[DISC 3-]])</f>
        <v>558900</v>
      </c>
      <c r="AC525" s="66">
        <f>IF(NOTA[[#This Row],[JUMLAH]]="","",NOTA[[#This Row],[JUMLAH]]-NOTA[[#This Row],[DISC]])</f>
        <v>2753100</v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525" s="66">
        <f>IF(OR(NOTA[[#This Row],[QTY]]="",NOTA[[#This Row],[HARGA SATUAN]]="",),"",NOTA[[#This Row],[QTY]]*NOTA[[#This Row],[HARGA SATUAN]])</f>
        <v>3312000</v>
      </c>
      <c r="AI525" s="60">
        <f ca="1">IF(NOTA[ID_H]="","",INDEX(NOTA[TANGGAL],MATCH(,INDIRECT(ADDRESS(ROW(NOTA[TANGGAL]),COLUMN(NOTA[TANGGAL]))&amp;":"&amp;ADDRESS(ROW(),COLUMN(NOTA[TANGGAL]))),-1)))</f>
        <v>45308</v>
      </c>
      <c r="AJ525" s="55" t="str">
        <f ca="1">IF(NOTA[[#This Row],[NAMA BARANG]]="","",INDEX(NOTA[SUPPLIER],MATCH(,INDIRECT(ADDRESS(ROW(NOTA[ID]),COLUMN(NOTA[ID]))&amp;":"&amp;ADDRESS(ROW(),COLUMN(NOTA[ID]))),-1)))</f>
        <v>ATALI MAKMUR</v>
      </c>
      <c r="AK525" s="55" t="str">
        <f ca="1">IF(NOTA[[#This Row],[ID_H]]="","",IF(NOTA[[#This Row],[FAKTUR]]="",INDIRECT(ADDRESS(ROW()-1,COLUMN())),NOTA[[#This Row],[FAKTUR]]))</f>
        <v>ARTO MORO</v>
      </c>
      <c r="AL525" s="56" t="str">
        <f ca="1">IF(NOTA[[#This Row],[ID]]="","",COUNTIF(NOTA[ID_H],NOTA[[#This Row],[ID_H]]))</f>
        <v/>
      </c>
      <c r="AM525" s="56">
        <f ca="1">IF(NOTA[[#This Row],[TGL.NOTA]]="",IF(NOTA[[#This Row],[SUPPLIER_H]]="","",AM524),MONTH(NOTA[[#This Row],[TGL.NOTA]]))</f>
        <v>1</v>
      </c>
      <c r="AN525" s="56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correctiontapect507jk33120000.1250.05</v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correctiontapect507jk33120000.1250.05</v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>
        <f>IF(NOTA[[#This Row],[CONCAT1]]="","",MATCH(NOTA[[#This Row],[CONCAT1]],[3]!db[NB NOTA_C],0))</f>
        <v>720</v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>60 LSN</v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525" s="56" t="e">
        <f ca="1">IF(NOTA[[#This Row],[ID_H]]="","",MATCH(NOTA[[#This Row],[NB NOTA_C_QTY]],[4]!db[NB NOTA_C_QTY+F],0))</f>
        <v>#REF!</v>
      </c>
      <c r="AX525" s="68">
        <f ca="1">IF(NOTA[[#This Row],[NB NOTA_C_QTY]]="","",ROW()-2)</f>
        <v>523</v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>
        <f ca="1">IF(NOTA[[#This Row],[NAMA BARANG]]="","",INDEX(NOTA[ID],MATCH(,INDIRECT(ADDRESS(ROW(NOTA[ID]),COLUMN(NOTA[ID]))&amp;":"&amp;ADDRESS(ROW(),COLUMN(NOTA[ID]))),-1)))</f>
        <v>83</v>
      </c>
      <c r="E526" s="57"/>
      <c r="F526" s="37"/>
      <c r="G526" s="37"/>
      <c r="H526" s="47"/>
      <c r="I526" s="58"/>
      <c r="J526" s="60"/>
      <c r="K526" s="58">
        <v>0</v>
      </c>
      <c r="L526" s="37" t="s">
        <v>655</v>
      </c>
      <c r="M526" s="61">
        <v>1</v>
      </c>
      <c r="N526" s="56">
        <v>480</v>
      </c>
      <c r="O526" s="37" t="s">
        <v>115</v>
      </c>
      <c r="P526" s="55">
        <v>8500</v>
      </c>
      <c r="Q526" s="62"/>
      <c r="R526" s="63"/>
      <c r="S526" s="64">
        <v>0.125</v>
      </c>
      <c r="T526" s="65">
        <v>0.05</v>
      </c>
      <c r="U526" s="65"/>
      <c r="V526" s="66"/>
      <c r="W526" s="67"/>
      <c r="X526" s="66">
        <f>IF(NOTA[[#This Row],[HARGA/ CTN]]="",NOTA[[#This Row],[JUMLAH_H]],NOTA[[#This Row],[HARGA/ CTN]]*IF(NOTA[[#This Row],[C]]="",0,NOTA[[#This Row],[C]]))</f>
        <v>4080000</v>
      </c>
      <c r="Y526" s="66">
        <f>IF(NOTA[[#This Row],[JUMLAH]]="","",NOTA[[#This Row],[JUMLAH]]*NOTA[[#This Row],[DISC 1]])</f>
        <v>510000</v>
      </c>
      <c r="Z526" s="66">
        <f>IF(NOTA[[#This Row],[JUMLAH]]="","",(NOTA[[#This Row],[JUMLAH]]-NOTA[[#This Row],[DISC 1-]])*NOTA[[#This Row],[DISC 2]])</f>
        <v>178500</v>
      </c>
      <c r="AA526" s="66">
        <f>IF(NOTA[[#This Row],[JUMLAH]]="","",(NOTA[[#This Row],[JUMLAH]]-NOTA[[#This Row],[DISC 1-]]-NOTA[[#This Row],[DISC 2-]])*NOTA[[#This Row],[DISC 3]])</f>
        <v>0</v>
      </c>
      <c r="AB526" s="66">
        <f>IF(NOTA[[#This Row],[JUMLAH]]="","",NOTA[[#This Row],[DISC 1-]]+NOTA[[#This Row],[DISC 2-]]+NOTA[[#This Row],[DISC 3-]])</f>
        <v>688500</v>
      </c>
      <c r="AC526" s="66">
        <f>IF(NOTA[[#This Row],[JUMLAH]]="","",NOTA[[#This Row],[JUMLAH]]-NOTA[[#This Row],[DISC]])</f>
        <v>3391500</v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526" s="66">
        <f>IF(OR(NOTA[[#This Row],[QTY]]="",NOTA[[#This Row],[HARGA SATUAN]]="",),"",NOTA[[#This Row],[QTY]]*NOTA[[#This Row],[HARGA SATUAN]])</f>
        <v>4080000</v>
      </c>
      <c r="AI526" s="60">
        <f ca="1">IF(NOTA[ID_H]="","",INDEX(NOTA[TANGGAL],MATCH(,INDIRECT(ADDRESS(ROW(NOTA[TANGGAL]),COLUMN(NOTA[TANGGAL]))&amp;":"&amp;ADDRESS(ROW(),COLUMN(NOTA[TANGGAL]))),-1)))</f>
        <v>45308</v>
      </c>
      <c r="AJ526" s="55" t="str">
        <f ca="1">IF(NOTA[[#This Row],[NAMA BARANG]]="","",INDEX(NOTA[SUPPLIER],MATCH(,INDIRECT(ADDRESS(ROW(NOTA[ID]),COLUMN(NOTA[ID]))&amp;":"&amp;ADDRESS(ROW(),COLUMN(NOTA[ID]))),-1)))</f>
        <v>ATALI MAKMUR</v>
      </c>
      <c r="AK526" s="55" t="str">
        <f ca="1">IF(NOTA[[#This Row],[ID_H]]="","",IF(NOTA[[#This Row],[FAKTUR]]="",INDIRECT(ADDRESS(ROW()-1,COLUMN())),NOTA[[#This Row],[FAKTUR]]))</f>
        <v>ARTO MORO</v>
      </c>
      <c r="AL526" s="56" t="str">
        <f ca="1">IF(NOTA[[#This Row],[ID]]="","",COUNTIF(NOTA[ID_H],NOTA[[#This Row],[ID_H]]))</f>
        <v/>
      </c>
      <c r="AM526" s="56">
        <f ca="1">IF(NOTA[[#This Row],[TGL.NOTA]]="",IF(NOTA[[#This Row],[SUPPLIER_H]]="","",AM525),MONTH(NOTA[[#This Row],[TGL.NOTA]]))</f>
        <v>1</v>
      </c>
      <c r="AN526" s="56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>
        <f>IF(NOTA[[#This Row],[CONCAT1]]="","",MATCH(NOTA[[#This Row],[CONCAT1]],[3]!db[NB NOTA_C],0))</f>
        <v>728</v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>40 LSN</v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W526" s="56" t="e">
        <f ca="1">IF(NOTA[[#This Row],[ID_H]]="","",MATCH(NOTA[[#This Row],[NB NOTA_C_QTY]],[4]!db[NB NOTA_C_QTY+F],0))</f>
        <v>#REF!</v>
      </c>
      <c r="AX526" s="68">
        <f ca="1">IF(NOTA[[#This Row],[NB NOTA_C_QTY]]="","",ROW()-2)</f>
        <v>524</v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83</v>
      </c>
      <c r="E527" s="57"/>
      <c r="F527" s="58"/>
      <c r="G527" s="58"/>
      <c r="H527" s="59"/>
      <c r="I527" s="58"/>
      <c r="J527" s="60"/>
      <c r="K527" s="58">
        <v>0</v>
      </c>
      <c r="L527" s="37" t="s">
        <v>656</v>
      </c>
      <c r="M527" s="61">
        <v>1</v>
      </c>
      <c r="N527" s="56">
        <v>144</v>
      </c>
      <c r="O527" s="37" t="s">
        <v>115</v>
      </c>
      <c r="P527" s="55">
        <v>4350</v>
      </c>
      <c r="Q527" s="62"/>
      <c r="R527" s="63"/>
      <c r="S527" s="64">
        <v>0.125</v>
      </c>
      <c r="T527" s="65">
        <v>0.05</v>
      </c>
      <c r="U527" s="65"/>
      <c r="V527" s="66"/>
      <c r="W527" s="67"/>
      <c r="X527" s="66">
        <f>IF(NOTA[[#This Row],[HARGA/ CTN]]="",NOTA[[#This Row],[JUMLAH_H]],NOTA[[#This Row],[HARGA/ CTN]]*IF(NOTA[[#This Row],[C]]="",0,NOTA[[#This Row],[C]]))</f>
        <v>626400</v>
      </c>
      <c r="Y527" s="66">
        <f>IF(NOTA[[#This Row],[JUMLAH]]="","",NOTA[[#This Row],[JUMLAH]]*NOTA[[#This Row],[DISC 1]])</f>
        <v>78300</v>
      </c>
      <c r="Z527" s="66">
        <f>IF(NOTA[[#This Row],[JUMLAH]]="","",(NOTA[[#This Row],[JUMLAH]]-NOTA[[#This Row],[DISC 1-]])*NOTA[[#This Row],[DISC 2]])</f>
        <v>27405</v>
      </c>
      <c r="AA527" s="66">
        <f>IF(NOTA[[#This Row],[JUMLAH]]="","",(NOTA[[#This Row],[JUMLAH]]-NOTA[[#This Row],[DISC 1-]]-NOTA[[#This Row],[DISC 2-]])*NOTA[[#This Row],[DISC 3]])</f>
        <v>0</v>
      </c>
      <c r="AB527" s="66">
        <f>IF(NOTA[[#This Row],[JUMLAH]]="","",NOTA[[#This Row],[DISC 1-]]+NOTA[[#This Row],[DISC 2-]]+NOTA[[#This Row],[DISC 3-]])</f>
        <v>105705</v>
      </c>
      <c r="AC527" s="66">
        <f>IF(NOTA[[#This Row],[JUMLAH]]="","",NOTA[[#This Row],[JUMLAH]]-NOTA[[#This Row],[DISC]])</f>
        <v>520695</v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527" s="66">
        <f>IF(OR(NOTA[[#This Row],[QTY]]="",NOTA[[#This Row],[HARGA SATUAN]]="",),"",NOTA[[#This Row],[QTY]]*NOTA[[#This Row],[HARGA SATUAN]])</f>
        <v>626400</v>
      </c>
      <c r="AI527" s="60">
        <f ca="1">IF(NOTA[ID_H]="","",INDEX(NOTA[TANGGAL],MATCH(,INDIRECT(ADDRESS(ROW(NOTA[TANGGAL]),COLUMN(NOTA[TANGGAL]))&amp;":"&amp;ADDRESS(ROW(),COLUMN(NOTA[TANGGAL]))),-1)))</f>
        <v>45308</v>
      </c>
      <c r="AJ527" s="55" t="str">
        <f ca="1">IF(NOTA[[#This Row],[NAMA BARANG]]="","",INDEX(NOTA[SUPPLIER],MATCH(,INDIRECT(ADDRESS(ROW(NOTA[ID]),COLUMN(NOTA[ID]))&amp;":"&amp;ADDRESS(ROW(),COLUMN(NOTA[ID]))),-1)))</f>
        <v>ATALI MAKMUR</v>
      </c>
      <c r="AK527" s="55" t="str">
        <f ca="1">IF(NOTA[[#This Row],[ID_H]]="","",IF(NOTA[[#This Row],[FAKTUR]]="",INDIRECT(ADDRESS(ROW()-1,COLUMN())),NOTA[[#This Row],[FAKTUR]]))</f>
        <v>ARTO MORO</v>
      </c>
      <c r="AL527" s="56" t="str">
        <f ca="1">IF(NOTA[[#This Row],[ID]]="","",COUNTIF(NOTA[ID_H],NOTA[[#This Row],[ID_H]]))</f>
        <v/>
      </c>
      <c r="AM527" s="56">
        <f ca="1">IF(NOTA[[#This Row],[TGL.NOTA]]="",IF(NOTA[[#This Row],[SUPPLIER_H]]="","",AM526),MONTH(NOTA[[#This Row],[TGL.NOTA]]))</f>
        <v>1</v>
      </c>
      <c r="AN527" s="56" t="str">
        <f>LOWER(SUBSTITUTE(SUBSTITUTE(SUBSTITUTE(SUBSTITUTE(SUBSTITUTE(SUBSTITUTE(SUBSTITUTE(SUBSTITUTE(SUBSTITUTE(NOTA[NAMA BARANG]," ",),".",""),"-",""),"(",""),")",""),",",""),"/",""),"""",""),"+",""))</f>
        <v>scissorssc828jk</v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>
        <f>IF(NOTA[[#This Row],[CONCAT1]]="","",MATCH(NOTA[[#This Row],[CONCAT1]],[3]!db[NB NOTA_C],0))</f>
        <v>2746</v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>12 LSN</v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527" s="56" t="e">
        <f ca="1">IF(NOTA[[#This Row],[ID_H]]="","",MATCH(NOTA[[#This Row],[NB NOTA_C_QTY]],[4]!db[NB NOTA_C_QTY+F],0))</f>
        <v>#REF!</v>
      </c>
      <c r="AX527" s="68">
        <f ca="1">IF(NOTA[[#This Row],[NB NOTA_C_QTY]]="","",ROW()-2)</f>
        <v>525</v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83</v>
      </c>
      <c r="E528" s="57"/>
      <c r="F528" s="37"/>
      <c r="G528" s="37"/>
      <c r="H528" s="47"/>
      <c r="I528" s="58"/>
      <c r="J528" s="60"/>
      <c r="K528" s="58">
        <v>0</v>
      </c>
      <c r="L528" s="37" t="s">
        <v>142</v>
      </c>
      <c r="M528" s="61">
        <v>1</v>
      </c>
      <c r="N528" s="56">
        <v>144</v>
      </c>
      <c r="O528" s="37" t="s">
        <v>115</v>
      </c>
      <c r="P528" s="55">
        <v>9750</v>
      </c>
      <c r="Q528" s="62"/>
      <c r="R528" s="63"/>
      <c r="S528" s="64">
        <v>0.125</v>
      </c>
      <c r="T528" s="65">
        <v>0.05</v>
      </c>
      <c r="U528" s="65"/>
      <c r="V528" s="66"/>
      <c r="W528" s="67"/>
      <c r="X528" s="66">
        <f>IF(NOTA[[#This Row],[HARGA/ CTN]]="",NOTA[[#This Row],[JUMLAH_H]],NOTA[[#This Row],[HARGA/ CTN]]*IF(NOTA[[#This Row],[C]]="",0,NOTA[[#This Row],[C]]))</f>
        <v>1404000</v>
      </c>
      <c r="Y528" s="66">
        <f>IF(NOTA[[#This Row],[JUMLAH]]="","",NOTA[[#This Row],[JUMLAH]]*NOTA[[#This Row],[DISC 1]])</f>
        <v>175500</v>
      </c>
      <c r="Z528" s="66">
        <f>IF(NOTA[[#This Row],[JUMLAH]]="","",(NOTA[[#This Row],[JUMLAH]]-NOTA[[#This Row],[DISC 1-]])*NOTA[[#This Row],[DISC 2]])</f>
        <v>61425</v>
      </c>
      <c r="AA528" s="66">
        <f>IF(NOTA[[#This Row],[JUMLAH]]="","",(NOTA[[#This Row],[JUMLAH]]-NOTA[[#This Row],[DISC 1-]]-NOTA[[#This Row],[DISC 2-]])*NOTA[[#This Row],[DISC 3]])</f>
        <v>0</v>
      </c>
      <c r="AB528" s="66">
        <f>IF(NOTA[[#This Row],[JUMLAH]]="","",NOTA[[#This Row],[DISC 1-]]+NOTA[[#This Row],[DISC 2-]]+NOTA[[#This Row],[DISC 3-]])</f>
        <v>236925</v>
      </c>
      <c r="AC528" s="66">
        <f>IF(NOTA[[#This Row],[JUMLAH]]="","",NOTA[[#This Row],[JUMLAH]]-NOTA[[#This Row],[DISC]])</f>
        <v>1167075</v>
      </c>
      <c r="AD528" s="66"/>
      <c r="AE5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5046435</v>
      </c>
      <c r="AF5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24858365</v>
      </c>
      <c r="AG528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528" s="66">
        <f>IF(OR(NOTA[[#This Row],[QTY]]="",NOTA[[#This Row],[HARGA SATUAN]]="",),"",NOTA[[#This Row],[QTY]]*NOTA[[#This Row],[HARGA SATUAN]])</f>
        <v>1404000</v>
      </c>
      <c r="AI528" s="60">
        <f ca="1">IF(NOTA[ID_H]="","",INDEX(NOTA[TANGGAL],MATCH(,INDIRECT(ADDRESS(ROW(NOTA[TANGGAL]),COLUMN(NOTA[TANGGAL]))&amp;":"&amp;ADDRESS(ROW(),COLUMN(NOTA[TANGGAL]))),-1)))</f>
        <v>45308</v>
      </c>
      <c r="AJ528" s="55" t="str">
        <f ca="1">IF(NOTA[[#This Row],[NAMA BARANG]]="","",INDEX(NOTA[SUPPLIER],MATCH(,INDIRECT(ADDRESS(ROW(NOTA[ID]),COLUMN(NOTA[ID]))&amp;":"&amp;ADDRESS(ROW(),COLUMN(NOTA[ID]))),-1)))</f>
        <v>ATALI MAKMUR</v>
      </c>
      <c r="AK528" s="55" t="str">
        <f ca="1">IF(NOTA[[#This Row],[ID_H]]="","",IF(NOTA[[#This Row],[FAKTUR]]="",INDIRECT(ADDRESS(ROW()-1,COLUMN())),NOTA[[#This Row],[FAKTUR]]))</f>
        <v>ARTO MORO</v>
      </c>
      <c r="AL528" s="56" t="str">
        <f ca="1">IF(NOTA[[#This Row],[ID]]="","",COUNTIF(NOTA[ID_H],NOTA[[#This Row],[ID_H]]))</f>
        <v/>
      </c>
      <c r="AM528" s="56">
        <f ca="1">IF(NOTA[[#This Row],[TGL.NOTA]]="",IF(NOTA[[#This Row],[SUPPLIER_H]]="","",AM527),MONTH(NOTA[[#This Row],[TGL.NOTA]]))</f>
        <v>1</v>
      </c>
      <c r="AN528" s="56" t="str">
        <f>LOWER(SUBSTITUTE(SUBSTITUTE(SUBSTITUTE(SUBSTITUTE(SUBSTITUTE(SUBSTITUTE(SUBSTITUTE(SUBSTITUTE(SUBSTITUTE(NOTA[NAMA BARANG]," ",),".",""),"-",""),"(",""),")",""),",",""),"/",""),"""",""),"+",""))</f>
        <v>scissorssc848jk</v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>
        <f>IF(NOTA[[#This Row],[CONCAT1]]="","",MATCH(NOTA[[#This Row],[CONCAT1]],[3]!db[NB NOTA_C],0))</f>
        <v>2749</v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>12 LSN</v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528" s="56" t="e">
        <f ca="1">IF(NOTA[[#This Row],[ID_H]]="","",MATCH(NOTA[[#This Row],[NB NOTA_C_QTY]],[4]!db[NB NOTA_C_QTY+F],0))</f>
        <v>#REF!</v>
      </c>
      <c r="AX528" s="68">
        <f ca="1">IF(NOTA[[#This Row],[NB NOTA_C_QTY]]="","",ROW()-2)</f>
        <v>526</v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 t="str">
        <f ca="1">IF(NOTA[[#This Row],[NAMA BARANG]]="","",INDEX(NOTA[ID],MATCH(,INDIRECT(ADDRESS(ROW(NOTA[ID]),COLUMN(NOTA[ID]))&amp;":"&amp;ADDRESS(ROW(),COLUMN(NOTA[ID]))),-1)))</f>
        <v/>
      </c>
      <c r="E529" s="46"/>
      <c r="F529" s="37"/>
      <c r="G529" s="37"/>
      <c r="H529" s="47"/>
      <c r="I529" s="58"/>
      <c r="J529" s="60"/>
      <c r="K529" s="58"/>
      <c r="L529" s="37"/>
      <c r="M529" s="61"/>
      <c r="N529" s="56"/>
      <c r="O529" s="37"/>
      <c r="P529" s="55"/>
      <c r="Q529" s="62"/>
      <c r="R529" s="63"/>
      <c r="S529" s="64"/>
      <c r="T529" s="65"/>
      <c r="U529" s="65"/>
      <c r="V529" s="66"/>
      <c r="W529" s="45"/>
      <c r="X529" s="66" t="str">
        <f>IF(NOTA[[#This Row],[HARGA/ CTN]]="",NOTA[[#This Row],[JUMLAH_H]],NOTA[[#This Row],[HARGA/ CTN]]*IF(NOTA[[#This Row],[C]]="",0,NOTA[[#This Row],[C]]))</f>
        <v/>
      </c>
      <c r="Y529" s="66" t="str">
        <f>IF(NOTA[[#This Row],[JUMLAH]]="","",NOTA[[#This Row],[JUMLAH]]*NOTA[[#This Row],[DISC 1]])</f>
        <v/>
      </c>
      <c r="Z529" s="66" t="str">
        <f>IF(NOTA[[#This Row],[JUMLAH]]="","",(NOTA[[#This Row],[JUMLAH]]-NOTA[[#This Row],[DISC 1-]])*NOTA[[#This Row],[DISC 2]])</f>
        <v/>
      </c>
      <c r="AA529" s="66" t="str">
        <f>IF(NOTA[[#This Row],[JUMLAH]]="","",(NOTA[[#This Row],[JUMLAH]]-NOTA[[#This Row],[DISC 1-]]-NOTA[[#This Row],[DISC 2-]])*NOTA[[#This Row],[DISC 3]])</f>
        <v/>
      </c>
      <c r="AB529" s="66" t="str">
        <f>IF(NOTA[[#This Row],[JUMLAH]]="","",NOTA[[#This Row],[DISC 1-]]+NOTA[[#This Row],[DISC 2-]]+NOTA[[#This Row],[DISC 3-]])</f>
        <v/>
      </c>
      <c r="AC529" s="66" t="str">
        <f>IF(NOTA[[#This Row],[JUMLAH]]="","",NOTA[[#This Row],[JUMLAH]]-NOTA[[#This Row],[DISC]])</f>
        <v/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66" t="str">
        <f>IF(OR(NOTA[[#This Row],[QTY]]="",NOTA[[#This Row],[HARGA SATUAN]]="",),"",NOTA[[#This Row],[QTY]]*NOTA[[#This Row],[HARGA SATUAN]])</f>
        <v/>
      </c>
      <c r="AI529" s="60" t="str">
        <f ca="1">IF(NOTA[ID_H]="","",INDEX(NOTA[TANGGAL],MATCH(,INDIRECT(ADDRESS(ROW(NOTA[TANGGAL]),COLUMN(NOTA[TANGGAL]))&amp;":"&amp;ADDRESS(ROW(),COLUMN(NOTA[TANGGAL]))),-1)))</f>
        <v/>
      </c>
      <c r="AJ529" s="55" t="str">
        <f ca="1">IF(NOTA[[#This Row],[NAMA BARANG]]="","",INDEX(NOTA[SUPPLIER],MATCH(,INDIRECT(ADDRESS(ROW(NOTA[ID]),COLUMN(NOTA[ID]))&amp;":"&amp;ADDRESS(ROW(),COLUMN(NOTA[ID]))),-1)))</f>
        <v/>
      </c>
      <c r="AK529" s="55" t="str">
        <f ca="1">IF(NOTA[[#This Row],[ID_H]]="","",IF(NOTA[[#This Row],[FAKTUR]]="",INDIRECT(ADDRESS(ROW()-1,COLUMN())),NOTA[[#This Row],[FAKTUR]]))</f>
        <v/>
      </c>
      <c r="AL529" s="56" t="str">
        <f ca="1">IF(NOTA[[#This Row],[ID]]="","",COUNTIF(NOTA[ID_H],NOTA[[#This Row],[ID_H]]))</f>
        <v/>
      </c>
      <c r="AM529" s="56" t="str">
        <f ca="1">IF(NOTA[[#This Row],[TGL.NOTA]]="",IF(NOTA[[#This Row],[SUPPLIER_H]]="","",AM528),MONTH(NOTA[[#This Row],[TGL.NOTA]]))</f>
        <v/>
      </c>
      <c r="AN529" s="56" t="str">
        <f>LOWER(SUBSTITUTE(SUBSTITUTE(SUBSTITUTE(SUBSTITUTE(SUBSTITUTE(SUBSTITUTE(SUBSTITUTE(SUBSTITUTE(SUBSTITUTE(NOTA[NAMA BARANG]," ",),".",""),"-",""),"(",""),")",""),",",""),"/",""),"""",""),"+",""))</f>
        <v/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 t="str">
        <f>IF(NOTA[[#This Row],[CONCAT1]]="","",MATCH(NOTA[[#This Row],[CONCAT1]],[3]!db[NB NOTA_C],0))</f>
        <v/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/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9" s="56" t="str">
        <f ca="1">IF(NOTA[[#This Row],[ID_H]]="","",MATCH(NOTA[[#This Row],[NB NOTA_C_QTY]],[4]!db[NB NOTA_C_QTY+F],0))</f>
        <v/>
      </c>
      <c r="AX529" s="68" t="str">
        <f ca="1">IF(NOTA[[#This Row],[NB NOTA_C_QTY]]="","",ROW()-2)</f>
        <v/>
      </c>
    </row>
    <row r="530" spans="1:50" s="38" customFormat="1" ht="20.100000000000001" customHeight="1" x14ac:dyDescent="0.25">
      <c r="A530" s="55">
        <f ca="1">IF(INDIRECT(ADDRESS(ROW()-1,COLUMN(NOTA[[#Headers],[ID]])))="ID",1,IF(NOTA[[#This Row],[FAKTUR]]="","",COUNT(INDIRECT(ADDRESS(ROW(NOTA[ID]),COLUMN(NOTA[ID]))&amp;":"&amp;ADDRESS(ROW()-1,COLUMN(NOTA[ID]))))+1))</f>
        <v>84</v>
      </c>
      <c r="B53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ATA_1701_799-8</v>
      </c>
      <c r="C530" s="56" t="e">
        <f ca="1">IF(NOTA[[#This Row],[ID_P]]="","",MATCH(NOTA[[#This Row],[ID_P]],[1]!B_MSK[N_ID],0))</f>
        <v>#REF!</v>
      </c>
      <c r="D530" s="56">
        <f ca="1">IF(NOTA[[#This Row],[NAMA BARANG]]="","",INDEX(NOTA[ID],MATCH(,INDIRECT(ADDRESS(ROW(NOTA[ID]),COLUMN(NOTA[ID]))&amp;":"&amp;ADDRESS(ROW(),COLUMN(NOTA[ID]))),-1)))</f>
        <v>84</v>
      </c>
      <c r="E530" s="46">
        <v>45308</v>
      </c>
      <c r="F530" s="37" t="s">
        <v>24</v>
      </c>
      <c r="G530" s="37" t="s">
        <v>23</v>
      </c>
      <c r="H530" s="47" t="s">
        <v>657</v>
      </c>
      <c r="I530" s="58"/>
      <c r="J530" s="60">
        <v>45303</v>
      </c>
      <c r="K530" s="58">
        <v>0</v>
      </c>
      <c r="L530" s="37" t="s">
        <v>658</v>
      </c>
      <c r="M530" s="61">
        <v>1</v>
      </c>
      <c r="N530" s="56">
        <v>12</v>
      </c>
      <c r="O530" s="37" t="s">
        <v>115</v>
      </c>
      <c r="P530" s="55">
        <v>97000</v>
      </c>
      <c r="Q530" s="62"/>
      <c r="R530" s="63"/>
      <c r="S530" s="64">
        <v>0.125</v>
      </c>
      <c r="T530" s="65">
        <v>0.05</v>
      </c>
      <c r="U530" s="65"/>
      <c r="V530" s="66"/>
      <c r="W530" s="67"/>
      <c r="X530" s="66">
        <f>IF(NOTA[[#This Row],[HARGA/ CTN]]="",NOTA[[#This Row],[JUMLAH_H]],NOTA[[#This Row],[HARGA/ CTN]]*IF(NOTA[[#This Row],[C]]="",0,NOTA[[#This Row],[C]]))</f>
        <v>1164000</v>
      </c>
      <c r="Y530" s="66">
        <f>IF(NOTA[[#This Row],[JUMLAH]]="","",NOTA[[#This Row],[JUMLAH]]*NOTA[[#This Row],[DISC 1]])</f>
        <v>145500</v>
      </c>
      <c r="Z530" s="66">
        <f>IF(NOTA[[#This Row],[JUMLAH]]="","",(NOTA[[#This Row],[JUMLAH]]-NOTA[[#This Row],[DISC 1-]])*NOTA[[#This Row],[DISC 2]])</f>
        <v>50925</v>
      </c>
      <c r="AA530" s="66">
        <f>IF(NOTA[[#This Row],[JUMLAH]]="","",(NOTA[[#This Row],[JUMLAH]]-NOTA[[#This Row],[DISC 1-]]-NOTA[[#This Row],[DISC 2-]])*NOTA[[#This Row],[DISC 3]])</f>
        <v>0</v>
      </c>
      <c r="AB530" s="66">
        <f>IF(NOTA[[#This Row],[JUMLAH]]="","",NOTA[[#This Row],[DISC 1-]]+NOTA[[#This Row],[DISC 2-]]+NOTA[[#This Row],[DISC 3-]])</f>
        <v>196425</v>
      </c>
      <c r="AC530" s="66">
        <f>IF(NOTA[[#This Row],[JUMLAH]]="","",NOTA[[#This Row],[JUMLAH]]-NOTA[[#This Row],[DISC]])</f>
        <v>967575</v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530" s="66">
        <f>IF(OR(NOTA[[#This Row],[QTY]]="",NOTA[[#This Row],[HARGA SATUAN]]="",),"",NOTA[[#This Row],[QTY]]*NOTA[[#This Row],[HARGA SATUAN]])</f>
        <v>1164000</v>
      </c>
      <c r="AI530" s="60">
        <f ca="1">IF(NOTA[ID_H]="","",INDEX(NOTA[TANGGAL],MATCH(,INDIRECT(ADDRESS(ROW(NOTA[TANGGAL]),COLUMN(NOTA[TANGGAL]))&amp;":"&amp;ADDRESS(ROW(),COLUMN(NOTA[TANGGAL]))),-1)))</f>
        <v>45308</v>
      </c>
      <c r="AJ530" s="55" t="str">
        <f ca="1">IF(NOTA[[#This Row],[NAMA BARANG]]="","",INDEX(NOTA[SUPPLIER],MATCH(,INDIRECT(ADDRESS(ROW(NOTA[ID]),COLUMN(NOTA[ID]))&amp;":"&amp;ADDRESS(ROW(),COLUMN(NOTA[ID]))),-1)))</f>
        <v>ATALI MAKMUR</v>
      </c>
      <c r="AK530" s="55" t="str">
        <f ca="1">IF(NOTA[[#This Row],[ID_H]]="","",IF(NOTA[[#This Row],[FAKTUR]]="",INDIRECT(ADDRESS(ROW()-1,COLUMN())),NOTA[[#This Row],[FAKTUR]]))</f>
        <v>ARTO MORO</v>
      </c>
      <c r="AL530" s="56">
        <f ca="1">IF(NOTA[[#This Row],[ID]]="","",COUNTIF(NOTA[ID_H],NOTA[[#This Row],[ID_H]]))</f>
        <v>8</v>
      </c>
      <c r="AM530" s="56">
        <f>IF(NOTA[[#This Row],[TGL.NOTA]]="",IF(NOTA[[#This Row],[SUPPLIER_H]]="","",AM529),MONTH(NOTA[[#This Row],[TGL.NOTA]]))</f>
        <v>1</v>
      </c>
      <c r="AN530" s="56" t="str">
        <f>LOWER(SUBSTITUTE(SUBSTITUTE(SUBSTITUTE(SUBSTITUTE(SUBSTITUTE(SUBSTITUTE(SUBSTITUTE(SUBSTITUTE(SUBSTITUTE(NOTA[NAMA BARANG]," ",),".",""),"-",""),"(",""),")",""),",",""),"/",""),"""",""),"+",""))</f>
        <v>hdstaplerhd12n13jk</v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MOROSA24010079945303hdstaplerhd12n13jk</v>
      </c>
      <c r="AR530" s="56" t="e">
        <f>IF(NOTA[[#This Row],[CONCAT4]]="","",_xlfn.IFNA(MATCH(NOTA[[#This Row],[CONCAT4]],[2]!RAW[CONCAT_H],0),FALSE))</f>
        <v>#REF!</v>
      </c>
      <c r="AS530" s="56">
        <f>IF(NOTA[[#This Row],[CONCAT1]]="","",MATCH(NOTA[[#This Row],[CONCAT1]],[3]!db[NB NOTA_C],0))</f>
        <v>1390</v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>12 PCS</v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530" s="56" t="e">
        <f ca="1">IF(NOTA[[#This Row],[ID_H]]="","",MATCH(NOTA[[#This Row],[NB NOTA_C_QTY]],[4]!db[NB NOTA_C_QTY+F],0))</f>
        <v>#REF!</v>
      </c>
      <c r="AX530" s="68">
        <f ca="1">IF(NOTA[[#This Row],[NB NOTA_C_QTY]]="","",ROW()-2)</f>
        <v>528</v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>
        <f ca="1">IF(NOTA[[#This Row],[NAMA BARANG]]="","",INDEX(NOTA[ID],MATCH(,INDIRECT(ADDRESS(ROW(NOTA[ID]),COLUMN(NOTA[ID]))&amp;":"&amp;ADDRESS(ROW(),COLUMN(NOTA[ID]))),-1)))</f>
        <v>84</v>
      </c>
      <c r="E531" s="57"/>
      <c r="F531" s="37"/>
      <c r="G531" s="37"/>
      <c r="H531" s="47"/>
      <c r="I531" s="58"/>
      <c r="J531" s="60"/>
      <c r="K531" s="58">
        <v>0</v>
      </c>
      <c r="L531" s="37" t="s">
        <v>659</v>
      </c>
      <c r="M531" s="61">
        <v>1</v>
      </c>
      <c r="N531" s="56">
        <v>6</v>
      </c>
      <c r="O531" s="37" t="s">
        <v>115</v>
      </c>
      <c r="P531" s="55">
        <v>187000</v>
      </c>
      <c r="Q531" s="62"/>
      <c r="R531" s="63"/>
      <c r="S531" s="64">
        <v>0.125</v>
      </c>
      <c r="T531" s="65">
        <v>0.05</v>
      </c>
      <c r="U531" s="65"/>
      <c r="V531" s="66"/>
      <c r="W531" s="67"/>
      <c r="X531" s="66">
        <f>IF(NOTA[[#This Row],[HARGA/ CTN]]="",NOTA[[#This Row],[JUMLAH_H]],NOTA[[#This Row],[HARGA/ CTN]]*IF(NOTA[[#This Row],[C]]="",0,NOTA[[#This Row],[C]]))</f>
        <v>1122000</v>
      </c>
      <c r="Y531" s="66">
        <f>IF(NOTA[[#This Row],[JUMLAH]]="","",NOTA[[#This Row],[JUMLAH]]*NOTA[[#This Row],[DISC 1]])</f>
        <v>140250</v>
      </c>
      <c r="Z531" s="66">
        <f>IF(NOTA[[#This Row],[JUMLAH]]="","",(NOTA[[#This Row],[JUMLAH]]-NOTA[[#This Row],[DISC 1-]])*NOTA[[#This Row],[DISC 2]])</f>
        <v>49087.5</v>
      </c>
      <c r="AA531" s="66">
        <f>IF(NOTA[[#This Row],[JUMLAH]]="","",(NOTA[[#This Row],[JUMLAH]]-NOTA[[#This Row],[DISC 1-]]-NOTA[[#This Row],[DISC 2-]])*NOTA[[#This Row],[DISC 3]])</f>
        <v>0</v>
      </c>
      <c r="AB531" s="66">
        <f>IF(NOTA[[#This Row],[JUMLAH]]="","",NOTA[[#This Row],[DISC 1-]]+NOTA[[#This Row],[DISC 2-]]+NOTA[[#This Row],[DISC 3-]])</f>
        <v>189337.5</v>
      </c>
      <c r="AC531" s="66">
        <f>IF(NOTA[[#This Row],[JUMLAH]]="","",NOTA[[#This Row],[JUMLAH]]-NOTA[[#This Row],[DISC]])</f>
        <v>932662.5</v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H531" s="66">
        <f>IF(OR(NOTA[[#This Row],[QTY]]="",NOTA[[#This Row],[HARGA SATUAN]]="",),"",NOTA[[#This Row],[QTY]]*NOTA[[#This Row],[HARGA SATUAN]])</f>
        <v>1122000</v>
      </c>
      <c r="AI531" s="60">
        <f ca="1">IF(NOTA[ID_H]="","",INDEX(NOTA[TANGGAL],MATCH(,INDIRECT(ADDRESS(ROW(NOTA[TANGGAL]),COLUMN(NOTA[TANGGAL]))&amp;":"&amp;ADDRESS(ROW(),COLUMN(NOTA[TANGGAL]))),-1)))</f>
        <v>45308</v>
      </c>
      <c r="AJ531" s="55" t="str">
        <f ca="1">IF(NOTA[[#This Row],[NAMA BARANG]]="","",INDEX(NOTA[SUPPLIER],MATCH(,INDIRECT(ADDRESS(ROW(NOTA[ID]),COLUMN(NOTA[ID]))&amp;":"&amp;ADDRESS(ROW(),COLUMN(NOTA[ID]))),-1)))</f>
        <v>ATALI MAKMUR</v>
      </c>
      <c r="AK531" s="55" t="str">
        <f ca="1">IF(NOTA[[#This Row],[ID_H]]="","",IF(NOTA[[#This Row],[FAKTUR]]="",INDIRECT(ADDRESS(ROW()-1,COLUMN())),NOTA[[#This Row],[FAKTUR]]))</f>
        <v>ARTO MORO</v>
      </c>
      <c r="AL531" s="56" t="str">
        <f ca="1">IF(NOTA[[#This Row],[ID]]="","",COUNTIF(NOTA[ID_H],NOTA[[#This Row],[ID_H]]))</f>
        <v/>
      </c>
      <c r="AM531" s="56">
        <f ca="1">IF(NOTA[[#This Row],[TGL.NOTA]]="",IF(NOTA[[#This Row],[SUPPLIER_H]]="","",AM530),MONTH(NOTA[[#This Row],[TGL.NOTA]]))</f>
        <v>1</v>
      </c>
      <c r="AN531" s="56" t="str">
        <f>LOWER(SUBSTITUTE(SUBSTITUTE(SUBSTITUTE(SUBSTITUTE(SUBSTITUTE(SUBSTITUTE(SUBSTITUTE(SUBSTITUTE(SUBSTITUTE(NOTA[NAMA BARANG]," ",),".",""),"-",""),"(",""),")",""),",",""),"/",""),"""",""),"+",""))</f>
        <v>staplerhd12n24jk</v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staplerhd12n24jk11220000.1250.05</v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staplerhd12n24jk11220000.1250.05</v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>
        <f>IF(NOTA[[#This Row],[CONCAT1]]="","",MATCH(NOTA[[#This Row],[CONCAT1]],[3]!db[NB NOTA_C],0))</f>
        <v>2849</v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>6 PCS</v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staplerhd12n24jk6pcsartomoro</v>
      </c>
      <c r="AW531" s="56" t="e">
        <f ca="1">IF(NOTA[[#This Row],[ID_H]]="","",MATCH(NOTA[[#This Row],[NB NOTA_C_QTY]],[4]!db[NB NOTA_C_QTY+F],0))</f>
        <v>#REF!</v>
      </c>
      <c r="AX531" s="68">
        <f ca="1">IF(NOTA[[#This Row],[NB NOTA_C_QTY]]="","",ROW()-2)</f>
        <v>529</v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>
        <f ca="1">IF(NOTA[[#This Row],[NAMA BARANG]]="","",INDEX(NOTA[ID],MATCH(,INDIRECT(ADDRESS(ROW(NOTA[ID]),COLUMN(NOTA[ID]))&amp;":"&amp;ADDRESS(ROW(),COLUMN(NOTA[ID]))),-1)))</f>
        <v>84</v>
      </c>
      <c r="E532" s="57"/>
      <c r="F532" s="58"/>
      <c r="G532" s="58"/>
      <c r="H532" s="59"/>
      <c r="I532" s="58"/>
      <c r="J532" s="60"/>
      <c r="K532" s="69">
        <v>0</v>
      </c>
      <c r="L532" s="37" t="s">
        <v>660</v>
      </c>
      <c r="M532" s="61">
        <v>1</v>
      </c>
      <c r="N532" s="56">
        <v>20</v>
      </c>
      <c r="O532" s="37" t="s">
        <v>111</v>
      </c>
      <c r="P532" s="55">
        <v>85200</v>
      </c>
      <c r="Q532" s="62"/>
      <c r="R532" s="63"/>
      <c r="S532" s="64">
        <v>0.125</v>
      </c>
      <c r="T532" s="65">
        <v>0.05</v>
      </c>
      <c r="U532" s="65"/>
      <c r="V532" s="66"/>
      <c r="W532" s="67"/>
      <c r="X532" s="66">
        <f>IF(NOTA[[#This Row],[HARGA/ CTN]]="",NOTA[[#This Row],[JUMLAH_H]],NOTA[[#This Row],[HARGA/ CTN]]*IF(NOTA[[#This Row],[C]]="",0,NOTA[[#This Row],[C]]))</f>
        <v>1704000</v>
      </c>
      <c r="Y532" s="66">
        <f>IF(NOTA[[#This Row],[JUMLAH]]="","",NOTA[[#This Row],[JUMLAH]]*NOTA[[#This Row],[DISC 1]])</f>
        <v>213000</v>
      </c>
      <c r="Z532" s="66">
        <f>IF(NOTA[[#This Row],[JUMLAH]]="","",(NOTA[[#This Row],[JUMLAH]]-NOTA[[#This Row],[DISC 1-]])*NOTA[[#This Row],[DISC 2]])</f>
        <v>74550</v>
      </c>
      <c r="AA532" s="66">
        <f>IF(NOTA[[#This Row],[JUMLAH]]="","",(NOTA[[#This Row],[JUMLAH]]-NOTA[[#This Row],[DISC 1-]]-NOTA[[#This Row],[DISC 2-]])*NOTA[[#This Row],[DISC 3]])</f>
        <v>0</v>
      </c>
      <c r="AB532" s="66">
        <f>IF(NOTA[[#This Row],[JUMLAH]]="","",NOTA[[#This Row],[DISC 1-]]+NOTA[[#This Row],[DISC 2-]]+NOTA[[#This Row],[DISC 3-]])</f>
        <v>287550</v>
      </c>
      <c r="AC532" s="66">
        <f>IF(NOTA[[#This Row],[JUMLAH]]="","",NOTA[[#This Row],[JUMLAH]]-NOTA[[#This Row],[DISC]])</f>
        <v>1416450</v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532" s="66">
        <f>IF(OR(NOTA[[#This Row],[QTY]]="",NOTA[[#This Row],[HARGA SATUAN]]="",),"",NOTA[[#This Row],[QTY]]*NOTA[[#This Row],[HARGA SATUAN]])</f>
        <v>1704000</v>
      </c>
      <c r="AI532" s="60">
        <f ca="1">IF(NOTA[ID_H]="","",INDEX(NOTA[TANGGAL],MATCH(,INDIRECT(ADDRESS(ROW(NOTA[TANGGAL]),COLUMN(NOTA[TANGGAL]))&amp;":"&amp;ADDRESS(ROW(),COLUMN(NOTA[TANGGAL]))),-1)))</f>
        <v>45308</v>
      </c>
      <c r="AJ532" s="55" t="str">
        <f ca="1">IF(NOTA[[#This Row],[NAMA BARANG]]="","",INDEX(NOTA[SUPPLIER],MATCH(,INDIRECT(ADDRESS(ROW(NOTA[ID]),COLUMN(NOTA[ID]))&amp;":"&amp;ADDRESS(ROW(),COLUMN(NOTA[ID]))),-1)))</f>
        <v>ATALI MAKMUR</v>
      </c>
      <c r="AK532" s="55" t="str">
        <f ca="1">IF(NOTA[[#This Row],[ID_H]]="","",IF(NOTA[[#This Row],[FAKTUR]]="",INDIRECT(ADDRESS(ROW()-1,COLUMN())),NOTA[[#This Row],[FAKTUR]]))</f>
        <v>ARTO MORO</v>
      </c>
      <c r="AL532" s="56" t="str">
        <f ca="1">IF(NOTA[[#This Row],[ID]]="","",COUNTIF(NOTA[ID_H],NOTA[[#This Row],[ID_H]]))</f>
        <v/>
      </c>
      <c r="AM532" s="56">
        <f ca="1">IF(NOTA[[#This Row],[TGL.NOTA]]="",IF(NOTA[[#This Row],[SUPPLIER_H]]="","",AM531),MONTH(NOTA[[#This Row],[TGL.NOTA]]))</f>
        <v>1</v>
      </c>
      <c r="AN532" s="56" t="str">
        <f>LOWER(SUBSTITUTE(SUBSTITUTE(SUBSTITUTE(SUBSTITUTE(SUBSTITUTE(SUBSTITUTE(SUBSTITUTE(SUBSTITUTE(SUBSTITUTE(NOTA[NAMA BARANG]," ",),".",""),"-",""),"(",""),")",""),",",""),"/",""),"""",""),"+",""))</f>
        <v>staplerhd10jk</v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>
        <f>IF(NOTA[[#This Row],[CONCAT1]]="","",MATCH(NOTA[[#This Row],[CONCAT1]],[3]!db[NB NOTA_C],0))</f>
        <v>2846</v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>20 LSN</v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532" s="56" t="e">
        <f ca="1">IF(NOTA[[#This Row],[ID_H]]="","",MATCH(NOTA[[#This Row],[NB NOTA_C_QTY]],[4]!db[NB NOTA_C_QTY+F],0))</f>
        <v>#REF!</v>
      </c>
      <c r="AX532" s="68">
        <f ca="1">IF(NOTA[[#This Row],[NB NOTA_C_QTY]]="","",ROW()-2)</f>
        <v>530</v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>
        <f ca="1">IF(NOTA[[#This Row],[NAMA BARANG]]="","",INDEX(NOTA[ID],MATCH(,INDIRECT(ADDRESS(ROW(NOTA[ID]),COLUMN(NOTA[ID]))&amp;":"&amp;ADDRESS(ROW(),COLUMN(NOTA[ID]))),-1)))</f>
        <v>84</v>
      </c>
      <c r="E533" s="57"/>
      <c r="F533" s="58"/>
      <c r="G533" s="58"/>
      <c r="H533" s="59"/>
      <c r="I533" s="58"/>
      <c r="J533" s="60"/>
      <c r="K533" s="58">
        <v>0</v>
      </c>
      <c r="L533" s="37" t="s">
        <v>555</v>
      </c>
      <c r="M533" s="61">
        <v>1</v>
      </c>
      <c r="N533" s="56">
        <v>72</v>
      </c>
      <c r="O533" s="37" t="s">
        <v>111</v>
      </c>
      <c r="P533" s="55">
        <v>37200</v>
      </c>
      <c r="Q533" s="62"/>
      <c r="R533" s="63"/>
      <c r="S533" s="64">
        <v>0.125</v>
      </c>
      <c r="T533" s="65">
        <v>0.05</v>
      </c>
      <c r="U533" s="65"/>
      <c r="V533" s="66"/>
      <c r="W533" s="67"/>
      <c r="X533" s="66">
        <f>IF(NOTA[[#This Row],[HARGA/ CTN]]="",NOTA[[#This Row],[JUMLAH_H]],NOTA[[#This Row],[HARGA/ CTN]]*IF(NOTA[[#This Row],[C]]="",0,NOTA[[#This Row],[C]]))</f>
        <v>2678400</v>
      </c>
      <c r="Y533" s="66">
        <f>IF(NOTA[[#This Row],[JUMLAH]]="","",NOTA[[#This Row],[JUMLAH]]*NOTA[[#This Row],[DISC 1]])</f>
        <v>334800</v>
      </c>
      <c r="Z533" s="66">
        <f>IF(NOTA[[#This Row],[JUMLAH]]="","",(NOTA[[#This Row],[JUMLAH]]-NOTA[[#This Row],[DISC 1-]])*NOTA[[#This Row],[DISC 2]])</f>
        <v>117180</v>
      </c>
      <c r="AA533" s="66">
        <f>IF(NOTA[[#This Row],[JUMLAH]]="","",(NOTA[[#This Row],[JUMLAH]]-NOTA[[#This Row],[DISC 1-]]-NOTA[[#This Row],[DISC 2-]])*NOTA[[#This Row],[DISC 3]])</f>
        <v>0</v>
      </c>
      <c r="AB533" s="66">
        <f>IF(NOTA[[#This Row],[JUMLAH]]="","",NOTA[[#This Row],[DISC 1-]]+NOTA[[#This Row],[DISC 2-]]+NOTA[[#This Row],[DISC 3-]])</f>
        <v>451980</v>
      </c>
      <c r="AC533" s="66">
        <f>IF(NOTA[[#This Row],[JUMLAH]]="","",NOTA[[#This Row],[JUMLAH]]-NOTA[[#This Row],[DISC]])</f>
        <v>2226420</v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33" s="66">
        <f>IF(OR(NOTA[[#This Row],[QTY]]="",NOTA[[#This Row],[HARGA SATUAN]]="",),"",NOTA[[#This Row],[QTY]]*NOTA[[#This Row],[HARGA SATUAN]])</f>
        <v>2678400</v>
      </c>
      <c r="AI533" s="60">
        <f ca="1">IF(NOTA[ID_H]="","",INDEX(NOTA[TANGGAL],MATCH(,INDIRECT(ADDRESS(ROW(NOTA[TANGGAL]),COLUMN(NOTA[TANGGAL]))&amp;":"&amp;ADDRESS(ROW(),COLUMN(NOTA[TANGGAL]))),-1)))</f>
        <v>45308</v>
      </c>
      <c r="AJ533" s="55" t="str">
        <f ca="1">IF(NOTA[[#This Row],[NAMA BARANG]]="","",INDEX(NOTA[SUPPLIER],MATCH(,INDIRECT(ADDRESS(ROW(NOTA[ID]),COLUMN(NOTA[ID]))&amp;":"&amp;ADDRESS(ROW(),COLUMN(NOTA[ID]))),-1)))</f>
        <v>ATALI MAKMUR</v>
      </c>
      <c r="AK533" s="55" t="str">
        <f ca="1">IF(NOTA[[#This Row],[ID_H]]="","",IF(NOTA[[#This Row],[FAKTUR]]="",INDIRECT(ADDRESS(ROW()-1,COLUMN())),NOTA[[#This Row],[FAKTUR]]))</f>
        <v>ARTO MORO</v>
      </c>
      <c r="AL533" s="56" t="str">
        <f ca="1">IF(NOTA[[#This Row],[ID]]="","",COUNTIF(NOTA[ID_H],NOTA[[#This Row],[ID_H]]))</f>
        <v/>
      </c>
      <c r="AM533" s="56">
        <f ca="1">IF(NOTA[[#This Row],[TGL.NOTA]]="",IF(NOTA[[#This Row],[SUPPLIER_H]]="","",AM532),MONTH(NOTA[[#This Row],[TGL.NOTA]]))</f>
        <v>1</v>
      </c>
      <c r="AN533" s="5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>
        <f>IF(NOTA[[#This Row],[CONCAT1]]="","",MATCH(NOTA[[#This Row],[CONCAT1]],[3]!db[NB NOTA_C],0))</f>
        <v>2480</v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>12 BOX (72 PCS)</v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533" s="56" t="e">
        <f ca="1">IF(NOTA[[#This Row],[ID_H]]="","",MATCH(NOTA[[#This Row],[NB NOTA_C_QTY]],[4]!db[NB NOTA_C_QTY+F],0))</f>
        <v>#REF!</v>
      </c>
      <c r="AX533" s="68">
        <f ca="1">IF(NOTA[[#This Row],[NB NOTA_C_QTY]]="","",ROW()-2)</f>
        <v>531</v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>
        <f ca="1">IF(NOTA[[#This Row],[NAMA BARANG]]="","",INDEX(NOTA[ID],MATCH(,INDIRECT(ADDRESS(ROW(NOTA[ID]),COLUMN(NOTA[ID]))&amp;":"&amp;ADDRESS(ROW(),COLUMN(NOTA[ID]))),-1)))</f>
        <v>84</v>
      </c>
      <c r="E534" s="57"/>
      <c r="F534" s="37"/>
      <c r="G534" s="37"/>
      <c r="H534" s="47"/>
      <c r="I534" s="58"/>
      <c r="J534" s="60"/>
      <c r="K534" s="58">
        <v>0</v>
      </c>
      <c r="L534" s="37" t="s">
        <v>554</v>
      </c>
      <c r="M534" s="61">
        <v>1</v>
      </c>
      <c r="N534" s="56">
        <v>144</v>
      </c>
      <c r="O534" s="37" t="s">
        <v>111</v>
      </c>
      <c r="P534" s="55">
        <v>19800</v>
      </c>
      <c r="Q534" s="62"/>
      <c r="R534" s="48"/>
      <c r="S534" s="49">
        <v>0.125</v>
      </c>
      <c r="T534" s="65">
        <v>0.05</v>
      </c>
      <c r="U534" s="65"/>
      <c r="V534" s="66"/>
      <c r="W534" s="67"/>
      <c r="X534" s="66">
        <f>IF(NOTA[[#This Row],[HARGA/ CTN]]="",NOTA[[#This Row],[JUMLAH_H]],NOTA[[#This Row],[HARGA/ CTN]]*IF(NOTA[[#This Row],[C]]="",0,NOTA[[#This Row],[C]]))</f>
        <v>2851200</v>
      </c>
      <c r="Y534" s="66">
        <f>IF(NOTA[[#This Row],[JUMLAH]]="","",NOTA[[#This Row],[JUMLAH]]*NOTA[[#This Row],[DISC 1]])</f>
        <v>356400</v>
      </c>
      <c r="Z534" s="66">
        <f>IF(NOTA[[#This Row],[JUMLAH]]="","",(NOTA[[#This Row],[JUMLAH]]-NOTA[[#This Row],[DISC 1-]])*NOTA[[#This Row],[DISC 2]])</f>
        <v>124740</v>
      </c>
      <c r="AA534" s="66">
        <f>IF(NOTA[[#This Row],[JUMLAH]]="","",(NOTA[[#This Row],[JUMLAH]]-NOTA[[#This Row],[DISC 1-]]-NOTA[[#This Row],[DISC 2-]])*NOTA[[#This Row],[DISC 3]])</f>
        <v>0</v>
      </c>
      <c r="AB534" s="66">
        <f>IF(NOTA[[#This Row],[JUMLAH]]="","",NOTA[[#This Row],[DISC 1-]]+NOTA[[#This Row],[DISC 2-]]+NOTA[[#This Row],[DISC 3-]])</f>
        <v>481140</v>
      </c>
      <c r="AC534" s="66">
        <f>IF(NOTA[[#This Row],[JUMLAH]]="","",NOTA[[#This Row],[JUMLAH]]-NOTA[[#This Row],[DISC]])</f>
        <v>2370060</v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534" s="66">
        <f>IF(OR(NOTA[[#This Row],[QTY]]="",NOTA[[#This Row],[HARGA SATUAN]]="",),"",NOTA[[#This Row],[QTY]]*NOTA[[#This Row],[HARGA SATUAN]])</f>
        <v>2851200</v>
      </c>
      <c r="AI534" s="60">
        <f ca="1">IF(NOTA[ID_H]="","",INDEX(NOTA[TANGGAL],MATCH(,INDIRECT(ADDRESS(ROW(NOTA[TANGGAL]),COLUMN(NOTA[TANGGAL]))&amp;":"&amp;ADDRESS(ROW(),COLUMN(NOTA[TANGGAL]))),-1)))</f>
        <v>45308</v>
      </c>
      <c r="AJ534" s="55" t="str">
        <f ca="1">IF(NOTA[[#This Row],[NAMA BARANG]]="","",INDEX(NOTA[SUPPLIER],MATCH(,INDIRECT(ADDRESS(ROW(NOTA[ID]),COLUMN(NOTA[ID]))&amp;":"&amp;ADDRESS(ROW(),COLUMN(NOTA[ID]))),-1)))</f>
        <v>ATALI MAKMUR</v>
      </c>
      <c r="AK534" s="55" t="str">
        <f ca="1">IF(NOTA[[#This Row],[ID_H]]="","",IF(NOTA[[#This Row],[FAKTUR]]="",INDIRECT(ADDRESS(ROW()-1,COLUMN())),NOTA[[#This Row],[FAKTUR]]))</f>
        <v>ARTO MORO</v>
      </c>
      <c r="AL534" s="56" t="str">
        <f ca="1">IF(NOTA[[#This Row],[ID]]="","",COUNTIF(NOTA[ID_H],NOTA[[#This Row],[ID_H]]))</f>
        <v/>
      </c>
      <c r="AM534" s="56">
        <f ca="1">IF(NOTA[[#This Row],[TGL.NOTA]]="",IF(NOTA[[#This Row],[SUPPLIER_H]]="","",AM533),MONTH(NOTA[[#This Row],[TGL.NOTA]]))</f>
        <v>1</v>
      </c>
      <c r="AN534" s="56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>
        <f>IF(NOTA[[#This Row],[CONCAT1]]="","",MATCH(NOTA[[#This Row],[CONCAT1]],[3]!db[NB NOTA_C],0))</f>
        <v>2479</v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>12 GRS</v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534" s="56" t="e">
        <f ca="1">IF(NOTA[[#This Row],[ID_H]]="","",MATCH(NOTA[[#This Row],[NB NOTA_C_QTY]],[4]!db[NB NOTA_C_QTY+F],0))</f>
        <v>#REF!</v>
      </c>
      <c r="AX534" s="68">
        <f ca="1">IF(NOTA[[#This Row],[NB NOTA_C_QTY]]="","",ROW()-2)</f>
        <v>532</v>
      </c>
    </row>
    <row r="535" spans="1:50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>
        <f ca="1">IF(NOTA[[#This Row],[NAMA BARANG]]="","",INDEX(NOTA[ID],MATCH(,INDIRECT(ADDRESS(ROW(NOTA[ID]),COLUMN(NOTA[ID]))&amp;":"&amp;ADDRESS(ROW(),COLUMN(NOTA[ID]))),-1)))</f>
        <v>84</v>
      </c>
      <c r="E535" s="57"/>
      <c r="F535" s="58"/>
      <c r="G535" s="58"/>
      <c r="H535" s="59"/>
      <c r="I535" s="58"/>
      <c r="J535" s="60"/>
      <c r="K535" s="58">
        <v>0</v>
      </c>
      <c r="L535" s="37" t="s">
        <v>661</v>
      </c>
      <c r="M535" s="61">
        <v>2</v>
      </c>
      <c r="N535" s="56">
        <v>240</v>
      </c>
      <c r="O535" s="37" t="s">
        <v>115</v>
      </c>
      <c r="P535" s="55">
        <v>12950</v>
      </c>
      <c r="Q535" s="62"/>
      <c r="R535" s="48"/>
      <c r="S535" s="64">
        <v>0.125</v>
      </c>
      <c r="T535" s="65">
        <v>0.05</v>
      </c>
      <c r="U535" s="65"/>
      <c r="V535" s="66"/>
      <c r="W535" s="67"/>
      <c r="X535" s="66">
        <f>IF(NOTA[[#This Row],[HARGA/ CTN]]="",NOTA[[#This Row],[JUMLAH_H]],NOTA[[#This Row],[HARGA/ CTN]]*IF(NOTA[[#This Row],[C]]="",0,NOTA[[#This Row],[C]]))</f>
        <v>3108000</v>
      </c>
      <c r="Y535" s="66">
        <f>IF(NOTA[[#This Row],[JUMLAH]]="","",NOTA[[#This Row],[JUMLAH]]*NOTA[[#This Row],[DISC 1]])</f>
        <v>388500</v>
      </c>
      <c r="Z535" s="66">
        <f>IF(NOTA[[#This Row],[JUMLAH]]="","",(NOTA[[#This Row],[JUMLAH]]-NOTA[[#This Row],[DISC 1-]])*NOTA[[#This Row],[DISC 2]])</f>
        <v>135975</v>
      </c>
      <c r="AA535" s="66">
        <f>IF(NOTA[[#This Row],[JUMLAH]]="","",(NOTA[[#This Row],[JUMLAH]]-NOTA[[#This Row],[DISC 1-]]-NOTA[[#This Row],[DISC 2-]])*NOTA[[#This Row],[DISC 3]])</f>
        <v>0</v>
      </c>
      <c r="AB535" s="66">
        <f>IF(NOTA[[#This Row],[JUMLAH]]="","",NOTA[[#This Row],[DISC 1-]]+NOTA[[#This Row],[DISC 2-]]+NOTA[[#This Row],[DISC 3-]])</f>
        <v>524475</v>
      </c>
      <c r="AC535" s="66">
        <f>IF(NOTA[[#This Row],[JUMLAH]]="","",NOTA[[#This Row],[JUMLAH]]-NOTA[[#This Row],[DISC]])</f>
        <v>2583525</v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H535" s="66">
        <f>IF(OR(NOTA[[#This Row],[QTY]]="",NOTA[[#This Row],[HARGA SATUAN]]="",),"",NOTA[[#This Row],[QTY]]*NOTA[[#This Row],[HARGA SATUAN]])</f>
        <v>3108000</v>
      </c>
      <c r="AI535" s="60">
        <f ca="1">IF(NOTA[ID_H]="","",INDEX(NOTA[TANGGAL],MATCH(,INDIRECT(ADDRESS(ROW(NOTA[TANGGAL]),COLUMN(NOTA[TANGGAL]))&amp;":"&amp;ADDRESS(ROW(),COLUMN(NOTA[TANGGAL]))),-1)))</f>
        <v>45308</v>
      </c>
      <c r="AJ535" s="55" t="str">
        <f ca="1">IF(NOTA[[#This Row],[NAMA BARANG]]="","",INDEX(NOTA[SUPPLIER],MATCH(,INDIRECT(ADDRESS(ROW(NOTA[ID]),COLUMN(NOTA[ID]))&amp;":"&amp;ADDRESS(ROW(),COLUMN(NOTA[ID]))),-1)))</f>
        <v>ATALI MAKMUR</v>
      </c>
      <c r="AK535" s="55" t="str">
        <f ca="1">IF(NOTA[[#This Row],[ID_H]]="","",IF(NOTA[[#This Row],[FAKTUR]]="",INDIRECT(ADDRESS(ROW()-1,COLUMN())),NOTA[[#This Row],[FAKTUR]]))</f>
        <v>ARTO MORO</v>
      </c>
      <c r="AL535" s="56" t="str">
        <f ca="1">IF(NOTA[[#This Row],[ID]]="","",COUNTIF(NOTA[ID_H],NOTA[[#This Row],[ID_H]]))</f>
        <v/>
      </c>
      <c r="AM535" s="56">
        <f ca="1">IF(NOTA[[#This Row],[TGL.NOTA]]="",IF(NOTA[[#This Row],[SUPPLIER_H]]="","",AM534),MONTH(NOTA[[#This Row],[TGL.NOTA]]))</f>
        <v>1</v>
      </c>
      <c r="AN535" s="56" t="str">
        <f>LOWER(SUBSTITUTE(SUBSTITUTE(SUBSTITUTE(SUBSTITUTE(SUBSTITUTE(SUBSTITUTE(SUBSTITUTE(SUBSTITUTE(SUBSTITUTE(NOTA[NAMA BARANG]," ",),".",""),"-",""),"(",""),")",""),",",""),"/",""),"""",""),"+",""))</f>
        <v>punch30xljk</v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56" t="str">
        <f>IF(NOTA[[#This Row],[CONCAT4]]="","",_xlfn.IFNA(MATCH(NOTA[[#This Row],[CONCAT4]],[2]!RAW[CONCAT_H],0),FALSE))</f>
        <v/>
      </c>
      <c r="AS535" s="56">
        <f>IF(NOTA[[#This Row],[CONCAT1]]="","",MATCH(NOTA[[#This Row],[CONCAT1]],[3]!db[NB NOTA_C],0))</f>
        <v>2684</v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>10 LSN</v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W535" s="56" t="e">
        <f ca="1">IF(NOTA[[#This Row],[ID_H]]="","",MATCH(NOTA[[#This Row],[NB NOTA_C_QTY]],[4]!db[NB NOTA_C_QTY+F],0))</f>
        <v>#REF!</v>
      </c>
      <c r="AX535" s="68">
        <f ca="1">IF(NOTA[[#This Row],[NB NOTA_C_QTY]]="","",ROW()-2)</f>
        <v>533</v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>
        <f ca="1">IF(NOTA[[#This Row],[NAMA BARANG]]="","",INDEX(NOTA[ID],MATCH(,INDIRECT(ADDRESS(ROW(NOTA[ID]),COLUMN(NOTA[ID]))&amp;":"&amp;ADDRESS(ROW(),COLUMN(NOTA[ID]))),-1)))</f>
        <v>84</v>
      </c>
      <c r="E536" s="57"/>
      <c r="F536" s="37"/>
      <c r="G536" s="37"/>
      <c r="H536" s="47"/>
      <c r="I536" s="58"/>
      <c r="J536" s="60"/>
      <c r="K536" s="58">
        <v>0</v>
      </c>
      <c r="L536" s="37" t="s">
        <v>662</v>
      </c>
      <c r="M536" s="61">
        <v>1</v>
      </c>
      <c r="N536" s="56">
        <v>144</v>
      </c>
      <c r="O536" s="37" t="s">
        <v>111</v>
      </c>
      <c r="P536" s="55">
        <v>12600</v>
      </c>
      <c r="Q536" s="62"/>
      <c r="R536" s="48"/>
      <c r="S536" s="64">
        <v>0.125</v>
      </c>
      <c r="T536" s="65">
        <v>0.05</v>
      </c>
      <c r="U536" s="65"/>
      <c r="V536" s="66"/>
      <c r="W536" s="45"/>
      <c r="X536" s="66">
        <f>IF(NOTA[[#This Row],[HARGA/ CTN]]="",NOTA[[#This Row],[JUMLAH_H]],NOTA[[#This Row],[HARGA/ CTN]]*IF(NOTA[[#This Row],[C]]="",0,NOTA[[#This Row],[C]]))</f>
        <v>1814400</v>
      </c>
      <c r="Y536" s="66">
        <f>IF(NOTA[[#This Row],[JUMLAH]]="","",NOTA[[#This Row],[JUMLAH]]*NOTA[[#This Row],[DISC 1]])</f>
        <v>226800</v>
      </c>
      <c r="Z536" s="66">
        <f>IF(NOTA[[#This Row],[JUMLAH]]="","",(NOTA[[#This Row],[JUMLAH]]-NOTA[[#This Row],[DISC 1-]])*NOTA[[#This Row],[DISC 2]])</f>
        <v>79380</v>
      </c>
      <c r="AA536" s="66">
        <f>IF(NOTA[[#This Row],[JUMLAH]]="","",(NOTA[[#This Row],[JUMLAH]]-NOTA[[#This Row],[DISC 1-]]-NOTA[[#This Row],[DISC 2-]])*NOTA[[#This Row],[DISC 3]])</f>
        <v>0</v>
      </c>
      <c r="AB536" s="66">
        <f>IF(NOTA[[#This Row],[JUMLAH]]="","",NOTA[[#This Row],[DISC 1-]]+NOTA[[#This Row],[DISC 2-]]+NOTA[[#This Row],[DISC 3-]])</f>
        <v>306180</v>
      </c>
      <c r="AC536" s="66">
        <f>IF(NOTA[[#This Row],[JUMLAH]]="","",NOTA[[#This Row],[JUMLAH]]-NOTA[[#This Row],[DISC]])</f>
        <v>1508220</v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6" s="66">
        <f>IF(OR(NOTA[[#This Row],[QTY]]="",NOTA[[#This Row],[HARGA SATUAN]]="",),"",NOTA[[#This Row],[QTY]]*NOTA[[#This Row],[HARGA SATUAN]])</f>
        <v>1814400</v>
      </c>
      <c r="AI536" s="60">
        <f ca="1">IF(NOTA[ID_H]="","",INDEX(NOTA[TANGGAL],MATCH(,INDIRECT(ADDRESS(ROW(NOTA[TANGGAL]),COLUMN(NOTA[TANGGAL]))&amp;":"&amp;ADDRESS(ROW(),COLUMN(NOTA[TANGGAL]))),-1)))</f>
        <v>45308</v>
      </c>
      <c r="AJ536" s="55" t="str">
        <f ca="1">IF(NOTA[[#This Row],[NAMA BARANG]]="","",INDEX(NOTA[SUPPLIER],MATCH(,INDIRECT(ADDRESS(ROW(NOTA[ID]),COLUMN(NOTA[ID]))&amp;":"&amp;ADDRESS(ROW(),COLUMN(NOTA[ID]))),-1)))</f>
        <v>ATALI MAKMUR</v>
      </c>
      <c r="AK536" s="55" t="str">
        <f ca="1">IF(NOTA[[#This Row],[ID_H]]="","",IF(NOTA[[#This Row],[FAKTUR]]="",INDIRECT(ADDRESS(ROW()-1,COLUMN())),NOTA[[#This Row],[FAKTUR]]))</f>
        <v>ARTO MORO</v>
      </c>
      <c r="AL536" s="56" t="str">
        <f ca="1">IF(NOTA[[#This Row],[ID]]="","",COUNTIF(NOTA[ID_H],NOTA[[#This Row],[ID_H]]))</f>
        <v/>
      </c>
      <c r="AM536" s="56">
        <f ca="1">IF(NOTA[[#This Row],[TGL.NOTA]]="",IF(NOTA[[#This Row],[SUPPLIER_H]]="","",AM535),MONTH(NOTA[[#This Row],[TGL.NOTA]]))</f>
        <v>1</v>
      </c>
      <c r="AN536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>
        <f>IF(NOTA[[#This Row],[CONCAT1]]="","",MATCH(NOTA[[#This Row],[CONCAT1]],[3]!db[NB NOTA_C],0))</f>
        <v>127</v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>144 LSN</v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536" s="56" t="e">
        <f ca="1">IF(NOTA[[#This Row],[ID_H]]="","",MATCH(NOTA[[#This Row],[NB NOTA_C_QTY]],[4]!db[NB NOTA_C_QTY+F],0))</f>
        <v>#REF!</v>
      </c>
      <c r="AX536" s="68">
        <f ca="1">IF(NOTA[[#This Row],[NB NOTA_C_QTY]]="","",ROW()-2)</f>
        <v>534</v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84</v>
      </c>
      <c r="E537" s="57"/>
      <c r="F537" s="58"/>
      <c r="G537" s="58"/>
      <c r="H537" s="59"/>
      <c r="I537" s="58"/>
      <c r="J537" s="60"/>
      <c r="K537" s="58">
        <v>0</v>
      </c>
      <c r="L537" s="37" t="s">
        <v>663</v>
      </c>
      <c r="M537" s="61">
        <v>1</v>
      </c>
      <c r="N537" s="56">
        <v>864</v>
      </c>
      <c r="O537" s="37" t="s">
        <v>115</v>
      </c>
      <c r="P537" s="55">
        <v>2100</v>
      </c>
      <c r="Q537" s="62"/>
      <c r="R537" s="48"/>
      <c r="S537" s="64">
        <v>0.125</v>
      </c>
      <c r="T537" s="65">
        <v>0.05</v>
      </c>
      <c r="U537" s="65"/>
      <c r="V537" s="66"/>
      <c r="W537" s="67"/>
      <c r="X537" s="66">
        <f>IF(NOTA[[#This Row],[HARGA/ CTN]]="",NOTA[[#This Row],[JUMLAH_H]],NOTA[[#This Row],[HARGA/ CTN]]*IF(NOTA[[#This Row],[C]]="",0,NOTA[[#This Row],[C]]))</f>
        <v>1814400</v>
      </c>
      <c r="Y537" s="66">
        <f>IF(NOTA[[#This Row],[JUMLAH]]="","",NOTA[[#This Row],[JUMLAH]]*NOTA[[#This Row],[DISC 1]])</f>
        <v>226800</v>
      </c>
      <c r="Z537" s="66">
        <f>IF(NOTA[[#This Row],[JUMLAH]]="","",(NOTA[[#This Row],[JUMLAH]]-NOTA[[#This Row],[DISC 1-]])*NOTA[[#This Row],[DISC 2]])</f>
        <v>79380</v>
      </c>
      <c r="AA537" s="66">
        <f>IF(NOTA[[#This Row],[JUMLAH]]="","",(NOTA[[#This Row],[JUMLAH]]-NOTA[[#This Row],[DISC 1-]]-NOTA[[#This Row],[DISC 2-]])*NOTA[[#This Row],[DISC 3]])</f>
        <v>0</v>
      </c>
      <c r="AB537" s="66">
        <f>IF(NOTA[[#This Row],[JUMLAH]]="","",NOTA[[#This Row],[DISC 1-]]+NOTA[[#This Row],[DISC 2-]]+NOTA[[#This Row],[DISC 3-]])</f>
        <v>306180</v>
      </c>
      <c r="AC537" s="66">
        <f>IF(NOTA[[#This Row],[JUMLAH]]="","",NOTA[[#This Row],[JUMLAH]]-NOTA[[#This Row],[DISC]])</f>
        <v>1508220</v>
      </c>
      <c r="AD537" s="66"/>
      <c r="AE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2743267.5</v>
      </c>
      <c r="AF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13513132.5</v>
      </c>
      <c r="AG537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7" s="66">
        <f>IF(OR(NOTA[[#This Row],[QTY]]="",NOTA[[#This Row],[HARGA SATUAN]]="",),"",NOTA[[#This Row],[QTY]]*NOTA[[#This Row],[HARGA SATUAN]])</f>
        <v>1814400</v>
      </c>
      <c r="AI537" s="60">
        <f ca="1">IF(NOTA[ID_H]="","",INDEX(NOTA[TANGGAL],MATCH(,INDIRECT(ADDRESS(ROW(NOTA[TANGGAL]),COLUMN(NOTA[TANGGAL]))&amp;":"&amp;ADDRESS(ROW(),COLUMN(NOTA[TANGGAL]))),-1)))</f>
        <v>45308</v>
      </c>
      <c r="AJ537" s="55" t="str">
        <f ca="1">IF(NOTA[[#This Row],[NAMA BARANG]]="","",INDEX(NOTA[SUPPLIER],MATCH(,INDIRECT(ADDRESS(ROW(NOTA[ID]),COLUMN(NOTA[ID]))&amp;":"&amp;ADDRESS(ROW(),COLUMN(NOTA[ID]))),-1)))</f>
        <v>ATALI MAKMUR</v>
      </c>
      <c r="AK537" s="55" t="str">
        <f ca="1">IF(NOTA[[#This Row],[ID_H]]="","",IF(NOTA[[#This Row],[FAKTUR]]="",INDIRECT(ADDRESS(ROW()-1,COLUMN())),NOTA[[#This Row],[FAKTUR]]))</f>
        <v>ARTO MORO</v>
      </c>
      <c r="AL537" s="56" t="str">
        <f ca="1">IF(NOTA[[#This Row],[ID]]="","",COUNTIF(NOTA[ID_H],NOTA[[#This Row],[ID_H]]))</f>
        <v/>
      </c>
      <c r="AM537" s="56">
        <f ca="1">IF(NOTA[[#This Row],[TGL.NOTA]]="",IF(NOTA[[#This Row],[SUPPLIER_H]]="","",AM536),MONTH(NOTA[[#This Row],[TGL.NOTA]]))</f>
        <v>1</v>
      </c>
      <c r="AN537" s="56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>
        <f>IF(NOTA[[#This Row],[CONCAT1]]="","",MATCH(NOTA[[#This Row],[CONCAT1]],[3]!db[NB NOTA_C],0))</f>
        <v>1329</v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>36 BOX (24 PCS)</v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W537" s="56" t="e">
        <f ca="1">IF(NOTA[[#This Row],[ID_H]]="","",MATCH(NOTA[[#This Row],[NB NOTA_C_QTY]],[4]!db[NB NOTA_C_QTY+F],0))</f>
        <v>#REF!</v>
      </c>
      <c r="AX537" s="68">
        <f ca="1">IF(NOTA[[#This Row],[NB NOTA_C_QTY]]="","",ROW()-2)</f>
        <v>535</v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37"/>
      <c r="G538" s="37"/>
      <c r="H538" s="47"/>
      <c r="I538" s="58"/>
      <c r="J538" s="60"/>
      <c r="K538" s="58"/>
      <c r="L538" s="37"/>
      <c r="M538" s="61"/>
      <c r="N538" s="56"/>
      <c r="O538" s="37"/>
      <c r="P538" s="55"/>
      <c r="Q538" s="62"/>
      <c r="R538" s="48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55" t="str">
        <f ca="1">IF(NOTA[[#This Row],[NAMA BARANG]]="","",INDEX(NOTA[SUPPLIER],MATCH(,INDIRECT(ADDRESS(ROW(NOTA[ID]),COLUMN(NOTA[ID]))&amp;":"&amp;ADDRESS(ROW(),COLUMN(NOTA[ID]))),-1)))</f>
        <v/>
      </c>
      <c r="AK538" s="55" t="str">
        <f ca="1">IF(NOTA[[#This Row],[ID_H]]="","",IF(NOTA[[#This Row],[FAKTUR]]="",INDIRECT(ADDRESS(ROW()-1,COLUMN())),NOTA[[#This Row],[FAKTUR]]))</f>
        <v/>
      </c>
      <c r="AL538" s="56" t="str">
        <f ca="1">IF(NOTA[[#This Row],[ID]]="","",COUNTIF(NOTA[ID_H],NOTA[[#This Row],[ID_H]]))</f>
        <v/>
      </c>
      <c r="AM538" s="56" t="str">
        <f ca="1">IF(NOTA[[#This Row],[TGL.NOTA]]="",IF(NOTA[[#This Row],[SUPPLIER_H]]="","",AM537),MONTH(NOTA[[#This Row],[TGL.NOTA]]))</f>
        <v/>
      </c>
      <c r="AN538" s="56" t="str">
        <f>LOWER(SUBSTITUTE(SUBSTITUTE(SUBSTITUTE(SUBSTITUTE(SUBSTITUTE(SUBSTITUTE(SUBSTITUTE(SUBSTITUTE(SUBSTITUTE(NOTA[NAMA BARANG]," ",),".",""),"-",""),"(",""),")",""),",",""),"/",""),"""",""),"+",""))</f>
        <v/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 t="str">
        <f>IF(NOTA[[#This Row],[CONCAT1]]="","",MATCH(NOTA[[#This Row],[CONCAT1]],[3]!db[NB NOTA_C],0))</f>
        <v/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/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56" t="str">
        <f ca="1">IF(NOTA[[#This Row],[ID_H]]="","",MATCH(NOTA[[#This Row],[NB NOTA_C_QTY]],[4]!db[NB NOTA_C_QTY+F],0))</f>
        <v/>
      </c>
      <c r="AX538" s="68" t="str">
        <f ca="1">IF(NOTA[[#This Row],[NB NOTA_C_QTY]]="","",ROW()-2)</f>
        <v/>
      </c>
    </row>
    <row r="539" spans="1:50" s="38" customFormat="1" ht="20.100000000000001" customHeight="1" x14ac:dyDescent="0.25">
      <c r="A539" s="55">
        <f ca="1">IF(INDIRECT(ADDRESS(ROW()-1,COLUMN(NOTA[[#Headers],[ID]])))="ID",1,IF(NOTA[[#This Row],[FAKTUR]]="","",COUNT(INDIRECT(ADDRESS(ROW(NOTA[ID]),COLUMN(NOTA[ID]))&amp;":"&amp;ADDRESS(ROW()-1,COLUMN(NOTA[ID]))))+1))</f>
        <v>85</v>
      </c>
      <c r="B53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ATA_1701_878-1</v>
      </c>
      <c r="C539" s="56" t="e">
        <f ca="1">IF(NOTA[[#This Row],[ID_P]]="","",MATCH(NOTA[[#This Row],[ID_P]],[1]!B_MSK[N_ID],0))</f>
        <v>#REF!</v>
      </c>
      <c r="D539" s="56">
        <f ca="1">IF(NOTA[[#This Row],[NAMA BARANG]]="","",INDEX(NOTA[ID],MATCH(,INDIRECT(ADDRESS(ROW(NOTA[ID]),COLUMN(NOTA[ID]))&amp;":"&amp;ADDRESS(ROW(),COLUMN(NOTA[ID]))),-1)))</f>
        <v>85</v>
      </c>
      <c r="E539" s="46">
        <v>45308</v>
      </c>
      <c r="F539" s="37" t="s">
        <v>24</v>
      </c>
      <c r="G539" s="37" t="s">
        <v>23</v>
      </c>
      <c r="H539" s="47" t="s">
        <v>664</v>
      </c>
      <c r="I539" s="58"/>
      <c r="J539" s="60">
        <v>45304</v>
      </c>
      <c r="K539" s="58">
        <v>0</v>
      </c>
      <c r="L539" s="37" t="s">
        <v>138</v>
      </c>
      <c r="M539" s="61">
        <v>1</v>
      </c>
      <c r="N539" s="56">
        <v>1000</v>
      </c>
      <c r="O539" s="37" t="s">
        <v>117</v>
      </c>
      <c r="P539" s="55">
        <v>2050</v>
      </c>
      <c r="Q539" s="62"/>
      <c r="R539" s="63"/>
      <c r="S539" s="64">
        <v>0.125</v>
      </c>
      <c r="T539" s="65">
        <v>0.05</v>
      </c>
      <c r="U539" s="65"/>
      <c r="V539" s="66"/>
      <c r="W539" s="45"/>
      <c r="X539" s="66">
        <f>IF(NOTA[[#This Row],[HARGA/ CTN]]="",NOTA[[#This Row],[JUMLAH_H]],NOTA[[#This Row],[HARGA/ CTN]]*IF(NOTA[[#This Row],[C]]="",0,NOTA[[#This Row],[C]]))</f>
        <v>2050000</v>
      </c>
      <c r="Y539" s="66">
        <f>IF(NOTA[[#This Row],[JUMLAH]]="","",NOTA[[#This Row],[JUMLAH]]*NOTA[[#This Row],[DISC 1]])</f>
        <v>256250</v>
      </c>
      <c r="Z539" s="66">
        <f>IF(NOTA[[#This Row],[JUMLAH]]="","",(NOTA[[#This Row],[JUMLAH]]-NOTA[[#This Row],[DISC 1-]])*NOTA[[#This Row],[DISC 2]])</f>
        <v>89687.5</v>
      </c>
      <c r="AA539" s="66">
        <f>IF(NOTA[[#This Row],[JUMLAH]]="","",(NOTA[[#This Row],[JUMLAH]]-NOTA[[#This Row],[DISC 1-]]-NOTA[[#This Row],[DISC 2-]])*NOTA[[#This Row],[DISC 3]])</f>
        <v>0</v>
      </c>
      <c r="AB539" s="66">
        <f>IF(NOTA[[#This Row],[JUMLAH]]="","",NOTA[[#This Row],[DISC 1-]]+NOTA[[#This Row],[DISC 2-]]+NOTA[[#This Row],[DISC 3-]])</f>
        <v>345937.5</v>
      </c>
      <c r="AC539" s="66">
        <f>IF(NOTA[[#This Row],[JUMLAH]]="","",NOTA[[#This Row],[JUMLAH]]-NOTA[[#This Row],[DISC]])</f>
        <v>1704062.5</v>
      </c>
      <c r="AD539" s="66"/>
      <c r="AE53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345937.5</v>
      </c>
      <c r="AF53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1704062.5</v>
      </c>
      <c r="AG539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539" s="66">
        <f>IF(OR(NOTA[[#This Row],[QTY]]="",NOTA[[#This Row],[HARGA SATUAN]]="",),"",NOTA[[#This Row],[QTY]]*NOTA[[#This Row],[HARGA SATUAN]])</f>
        <v>2050000</v>
      </c>
      <c r="AI539" s="60">
        <f ca="1">IF(NOTA[ID_H]="","",INDEX(NOTA[TANGGAL],MATCH(,INDIRECT(ADDRESS(ROW(NOTA[TANGGAL]),COLUMN(NOTA[TANGGAL]))&amp;":"&amp;ADDRESS(ROW(),COLUMN(NOTA[TANGGAL]))),-1)))</f>
        <v>45308</v>
      </c>
      <c r="AJ539" s="55" t="str">
        <f ca="1">IF(NOTA[[#This Row],[NAMA BARANG]]="","",INDEX(NOTA[SUPPLIER],MATCH(,INDIRECT(ADDRESS(ROW(NOTA[ID]),COLUMN(NOTA[ID]))&amp;":"&amp;ADDRESS(ROW(),COLUMN(NOTA[ID]))),-1)))</f>
        <v>ATALI MAKMUR</v>
      </c>
      <c r="AK539" s="55" t="str">
        <f ca="1">IF(NOTA[[#This Row],[ID_H]]="","",IF(NOTA[[#This Row],[FAKTUR]]="",INDIRECT(ADDRESS(ROW()-1,COLUMN())),NOTA[[#This Row],[FAKTUR]]))</f>
        <v>ARTO MORO</v>
      </c>
      <c r="AL539" s="56">
        <f ca="1">IF(NOTA[[#This Row],[ID]]="","",COUNTIF(NOTA[ID_H],NOTA[[#This Row],[ID_H]]))</f>
        <v>1</v>
      </c>
      <c r="AM539" s="56">
        <f>IF(NOTA[[#This Row],[TGL.NOTA]]="",IF(NOTA[[#This Row],[SUPPLIER_H]]="","",AM538),MONTH(NOTA[[#This Row],[TGL.NOTA]]))</f>
        <v>1</v>
      </c>
      <c r="AN539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MOROSA24010087845304labellb2rl1barisjk</v>
      </c>
      <c r="AR539" s="56" t="e">
        <f>IF(NOTA[[#This Row],[CONCAT4]]="","",_xlfn.IFNA(MATCH(NOTA[[#This Row],[CONCAT4]],[2]!RAW[CONCAT_H],0),FALSE))</f>
        <v>#REF!</v>
      </c>
      <c r="AS539" s="56">
        <f>IF(NOTA[[#This Row],[CONCAT1]]="","",MATCH(NOTA[[#This Row],[CONCAT1]],[3]!db[NB NOTA_C],0))</f>
        <v>1854</v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>100 PAK (10 ROL)</v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539" s="56" t="e">
        <f ca="1">IF(NOTA[[#This Row],[ID_H]]="","",MATCH(NOTA[[#This Row],[NB NOTA_C_QTY]],[4]!db[NB NOTA_C_QTY+F],0))</f>
        <v>#REF!</v>
      </c>
      <c r="AX539" s="68">
        <f ca="1">IF(NOTA[[#This Row],[NB NOTA_C_QTY]]="","",ROW()-2)</f>
        <v>537</v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57"/>
      <c r="F540" s="37"/>
      <c r="G540" s="37"/>
      <c r="H540" s="47"/>
      <c r="I540" s="58"/>
      <c r="J540" s="60"/>
      <c r="K540" s="58"/>
      <c r="L540" s="37"/>
      <c r="M540" s="61"/>
      <c r="N540" s="56"/>
      <c r="O540" s="37"/>
      <c r="P540" s="55"/>
      <c r="Q540" s="62"/>
      <c r="R540" s="48"/>
      <c r="S540" s="64"/>
      <c r="T540" s="65"/>
      <c r="U540" s="65"/>
      <c r="V540" s="66"/>
      <c r="W540" s="67"/>
      <c r="X540" s="66" t="str">
        <f>IF(NOTA[[#This Row],[HARGA/ CTN]]="",NOTA[[#This Row],[JUMLAH_H]],NOTA[[#This Row],[HARGA/ CTN]]*IF(NOTA[[#This Row],[C]]="",0,NOTA[[#This Row],[C]]))</f>
        <v/>
      </c>
      <c r="Y540" s="66" t="str">
        <f>IF(NOTA[[#This Row],[JUMLAH]]="","",NOTA[[#This Row],[JUMLAH]]*NOTA[[#This Row],[DISC 1]])</f>
        <v/>
      </c>
      <c r="Z540" s="66" t="str">
        <f>IF(NOTA[[#This Row],[JUMLAH]]="","",(NOTA[[#This Row],[JUMLAH]]-NOTA[[#This Row],[DISC 1-]])*NOTA[[#This Row],[DISC 2]])</f>
        <v/>
      </c>
      <c r="AA540" s="66" t="str">
        <f>IF(NOTA[[#This Row],[JUMLAH]]="","",(NOTA[[#This Row],[JUMLAH]]-NOTA[[#This Row],[DISC 1-]]-NOTA[[#This Row],[DISC 2-]])*NOTA[[#This Row],[DISC 3]])</f>
        <v/>
      </c>
      <c r="AB540" s="66" t="str">
        <f>IF(NOTA[[#This Row],[JUMLAH]]="","",NOTA[[#This Row],[DISC 1-]]+NOTA[[#This Row],[DISC 2-]]+NOTA[[#This Row],[DISC 3-]])</f>
        <v/>
      </c>
      <c r="AC540" s="66" t="str">
        <f>IF(NOTA[[#This Row],[JUMLAH]]="","",NOTA[[#This Row],[JUMLAH]]-NOTA[[#This Row],[DISC]])</f>
        <v/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66" t="str">
        <f>IF(OR(NOTA[[#This Row],[QTY]]="",NOTA[[#This Row],[HARGA SATUAN]]="",),"",NOTA[[#This Row],[QTY]]*NOTA[[#This Row],[HARGA SATUAN]])</f>
        <v/>
      </c>
      <c r="AI540" s="60" t="str">
        <f ca="1">IF(NOTA[ID_H]="","",INDEX(NOTA[TANGGAL],MATCH(,INDIRECT(ADDRESS(ROW(NOTA[TANGGAL]),COLUMN(NOTA[TANGGAL]))&amp;":"&amp;ADDRESS(ROW(),COLUMN(NOTA[TANGGAL]))),-1)))</f>
        <v/>
      </c>
      <c r="AJ540" s="55" t="str">
        <f ca="1">IF(NOTA[[#This Row],[NAMA BARANG]]="","",INDEX(NOTA[SUPPLIER],MATCH(,INDIRECT(ADDRESS(ROW(NOTA[ID]),COLUMN(NOTA[ID]))&amp;":"&amp;ADDRESS(ROW(),COLUMN(NOTA[ID]))),-1)))</f>
        <v/>
      </c>
      <c r="AK540" s="55" t="str">
        <f ca="1">IF(NOTA[[#This Row],[ID_H]]="","",IF(NOTA[[#This Row],[FAKTUR]]="",INDIRECT(ADDRESS(ROW()-1,COLUMN())),NOTA[[#This Row],[FAKTUR]]))</f>
        <v/>
      </c>
      <c r="AL540" s="56" t="str">
        <f ca="1">IF(NOTA[[#This Row],[ID]]="","",COUNTIF(NOTA[ID_H],NOTA[[#This Row],[ID_H]]))</f>
        <v/>
      </c>
      <c r="AM540" s="56" t="str">
        <f ca="1">IF(NOTA[[#This Row],[TGL.NOTA]]="",IF(NOTA[[#This Row],[SUPPLIER_H]]="","",AM539),MONTH(NOTA[[#This Row],[TGL.NOTA]]))</f>
        <v/>
      </c>
      <c r="AN540" s="56" t="str">
        <f>LOWER(SUBSTITUTE(SUBSTITUTE(SUBSTITUTE(SUBSTITUTE(SUBSTITUTE(SUBSTITUTE(SUBSTITUTE(SUBSTITUTE(SUBSTITUTE(NOTA[NAMA BARANG]," ",),".",""),"-",""),"(",""),")",""),",",""),"/",""),"""",""),"+",""))</f>
        <v/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 t="str">
        <f>IF(NOTA[[#This Row],[CONCAT1]]="","",MATCH(NOTA[[#This Row],[CONCAT1]],[3]!db[NB NOTA_C],0))</f>
        <v/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/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0" s="56" t="str">
        <f ca="1">IF(NOTA[[#This Row],[ID_H]]="","",MATCH(NOTA[[#This Row],[NB NOTA_C_QTY]],[4]!db[NB NOTA_C_QTY+F],0))</f>
        <v/>
      </c>
      <c r="AX540" s="68" t="str">
        <f ca="1">IF(NOTA[[#This Row],[NB NOTA_C_QTY]]="","",ROW()-2)</f>
        <v/>
      </c>
    </row>
    <row r="541" spans="1:50" s="38" customFormat="1" ht="20.100000000000001" customHeight="1" x14ac:dyDescent="0.25">
      <c r="A541" s="55">
        <f ca="1">IF(INDIRECT(ADDRESS(ROW()-1,COLUMN(NOTA[[#Headers],[ID]])))="ID",1,IF(NOTA[[#This Row],[FAKTUR]]="","",COUNT(INDIRECT(ADDRESS(ROW(NOTA[ID]),COLUMN(NOTA[ID]))&amp;":"&amp;ADDRESS(ROW()-1,COLUMN(NOTA[ID]))))+1))</f>
        <v>86</v>
      </c>
      <c r="B54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KEN_1701_870-2</v>
      </c>
      <c r="C541" s="56" t="e">
        <f ca="1">IF(NOTA[[#This Row],[ID_P]]="","",MATCH(NOTA[[#This Row],[ID_P]],[1]!B_MSK[N_ID],0))</f>
        <v>#REF!</v>
      </c>
      <c r="D541" s="56">
        <f ca="1">IF(NOTA[[#This Row],[NAMA BARANG]]="","",INDEX(NOTA[ID],MATCH(,INDIRECT(ADDRESS(ROW(NOTA[ID]),COLUMN(NOTA[ID]))&amp;":"&amp;ADDRESS(ROW(),COLUMN(NOTA[ID]))),-1)))</f>
        <v>86</v>
      </c>
      <c r="E541" s="57"/>
      <c r="F541" s="37" t="s">
        <v>22</v>
      </c>
      <c r="G541" s="37" t="s">
        <v>23</v>
      </c>
      <c r="H541" s="47" t="s">
        <v>665</v>
      </c>
      <c r="I541" s="58"/>
      <c r="J541" s="60">
        <v>45306</v>
      </c>
      <c r="K541" s="58">
        <v>0</v>
      </c>
      <c r="L541" s="37" t="s">
        <v>666</v>
      </c>
      <c r="M541" s="61">
        <v>1</v>
      </c>
      <c r="N541" s="56"/>
      <c r="O541" s="37"/>
      <c r="P541" s="55"/>
      <c r="Q541" s="62">
        <v>5702400</v>
      </c>
      <c r="R541" s="48"/>
      <c r="S541" s="64">
        <v>0.17</v>
      </c>
      <c r="T541" s="65"/>
      <c r="U541" s="65"/>
      <c r="V541" s="66"/>
      <c r="W541" s="67"/>
      <c r="X541" s="66">
        <f>IF(NOTA[[#This Row],[HARGA/ CTN]]="",NOTA[[#This Row],[JUMLAH_H]],NOTA[[#This Row],[HARGA/ CTN]]*IF(NOTA[[#This Row],[C]]="",0,NOTA[[#This Row],[C]]))</f>
        <v>5702400</v>
      </c>
      <c r="Y541" s="66">
        <f>IF(NOTA[[#This Row],[JUMLAH]]="","",NOTA[[#This Row],[JUMLAH]]*NOTA[[#This Row],[DISC 1]])</f>
        <v>969408.00000000012</v>
      </c>
      <c r="Z541" s="66">
        <f>IF(NOTA[[#This Row],[JUMLAH]]="","",(NOTA[[#This Row],[JUMLAH]]-NOTA[[#This Row],[DISC 1-]])*NOTA[[#This Row],[DISC 2]])</f>
        <v>0</v>
      </c>
      <c r="AA541" s="66">
        <f>IF(NOTA[[#This Row],[JUMLAH]]="","",(NOTA[[#This Row],[JUMLAH]]-NOTA[[#This Row],[DISC 1-]]-NOTA[[#This Row],[DISC 2-]])*NOTA[[#This Row],[DISC 3]])</f>
        <v>0</v>
      </c>
      <c r="AB541" s="66">
        <f>IF(NOTA[[#This Row],[JUMLAH]]="","",NOTA[[#This Row],[DISC 1-]]+NOTA[[#This Row],[DISC 2-]]+NOTA[[#This Row],[DISC 3-]])</f>
        <v>969408.00000000012</v>
      </c>
      <c r="AC541" s="66">
        <f>IF(NOTA[[#This Row],[JUMLAH]]="","",NOTA[[#This Row],[JUMLAH]]-NOTA[[#This Row],[DISC]])</f>
        <v>4732992</v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541" s="66" t="str">
        <f>IF(OR(NOTA[[#This Row],[QTY]]="",NOTA[[#This Row],[HARGA SATUAN]]="",),"",NOTA[[#This Row],[QTY]]*NOTA[[#This Row],[HARGA SATUAN]])</f>
        <v/>
      </c>
      <c r="AI541" s="60">
        <f ca="1">IF(NOTA[ID_H]="","",INDEX(NOTA[TANGGAL],MATCH(,INDIRECT(ADDRESS(ROW(NOTA[TANGGAL]),COLUMN(NOTA[TANGGAL]))&amp;":"&amp;ADDRESS(ROW(),COLUMN(NOTA[TANGGAL]))),-1)))</f>
        <v>45308</v>
      </c>
      <c r="AJ541" s="55" t="str">
        <f ca="1">IF(NOTA[[#This Row],[NAMA BARANG]]="","",INDEX(NOTA[SUPPLIER],MATCH(,INDIRECT(ADDRESS(ROW(NOTA[ID]),COLUMN(NOTA[ID]))&amp;":"&amp;ADDRESS(ROW(),COLUMN(NOTA[ID]))),-1)))</f>
        <v>KENKO SINAR INDONESIA</v>
      </c>
      <c r="AK541" s="55" t="str">
        <f ca="1">IF(NOTA[[#This Row],[ID_H]]="","",IF(NOTA[[#This Row],[FAKTUR]]="",INDIRECT(ADDRESS(ROW()-1,COLUMN())),NOTA[[#This Row],[FAKTUR]]))</f>
        <v>ARTO MORO</v>
      </c>
      <c r="AL541" s="56">
        <f ca="1">IF(NOTA[[#This Row],[ID]]="","",COUNTIF(NOTA[ID_H],NOTA[[#This Row],[ID_H]]))</f>
        <v>2</v>
      </c>
      <c r="AM541" s="56">
        <f>IF(NOTA[[#This Row],[TGL.NOTA]]="",IF(NOTA[[#This Row],[SUPPLIER_H]]="","",AM540),MONTH(NOTA[[#This Row],[TGL.NOTA]]))</f>
        <v>1</v>
      </c>
      <c r="AN541" s="56" t="str">
        <f>LOWER(SUBSTITUTE(SUBSTITUTE(SUBSTITUTE(SUBSTITUTE(SUBSTITUTE(SUBSTITUTE(SUBSTITUTE(SUBSTITUTE(SUBSTITUTE(NOTA[NAMA BARANG]," ",),".",""),"-",""),"(",""),")",""),",",""),"/",""),"""",""),"+",""))</f>
        <v>kenkogelpenmicrotec028mmblack</v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kenkogelpenmicrotec028mmblack57024000.17</v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kenkogelpenmicrotec028mmblack57024000.17</v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MORO2401087045306kenkogelpenmicrotec028mmblack</v>
      </c>
      <c r="AR541" s="56" t="e">
        <f>IF(NOTA[[#This Row],[CONCAT4]]="","",_xlfn.IFNA(MATCH(NOTA[[#This Row],[CONCAT4]],[2]!RAW[CONCAT_H],0),FALSE))</f>
        <v>#REF!</v>
      </c>
      <c r="AS541" s="56">
        <f>IF(NOTA[[#This Row],[CONCAT1]]="","",MATCH(NOTA[[#This Row],[CONCAT1]],[3]!db[NB NOTA_C],0))</f>
        <v>1647</v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>144 LSN</v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kenkogelpenmicrotec028mmblack144lsnartomoro</v>
      </c>
      <c r="AW541" s="56" t="e">
        <f ca="1">IF(NOTA[[#This Row],[ID_H]]="","",MATCH(NOTA[[#This Row],[NB NOTA_C_QTY]],[4]!db[NB NOTA_C_QTY+F],0))</f>
        <v>#REF!</v>
      </c>
      <c r="AX541" s="68">
        <f ca="1">IF(NOTA[[#This Row],[NB NOTA_C_QTY]]="","",ROW()-2)</f>
        <v>539</v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86</v>
      </c>
      <c r="E542" s="57"/>
      <c r="F542" s="37"/>
      <c r="G542" s="37"/>
      <c r="H542" s="47"/>
      <c r="I542" s="58"/>
      <c r="J542" s="60"/>
      <c r="K542" s="58">
        <v>0</v>
      </c>
      <c r="L542" s="37" t="s">
        <v>131</v>
      </c>
      <c r="M542" s="61">
        <v>1</v>
      </c>
      <c r="N542" s="56"/>
      <c r="O542" s="37"/>
      <c r="P542" s="55"/>
      <c r="Q542" s="62">
        <v>3110400</v>
      </c>
      <c r="R542" s="63"/>
      <c r="S542" s="64">
        <v>0.17</v>
      </c>
      <c r="T542" s="65"/>
      <c r="U542" s="65"/>
      <c r="V542" s="66"/>
      <c r="W542" s="67"/>
      <c r="X542" s="66">
        <f>IF(NOTA[[#This Row],[HARGA/ CTN]]="",NOTA[[#This Row],[JUMLAH_H]],NOTA[[#This Row],[HARGA/ CTN]]*IF(NOTA[[#This Row],[C]]="",0,NOTA[[#This Row],[C]]))</f>
        <v>3110400</v>
      </c>
      <c r="Y542" s="66">
        <f>IF(NOTA[[#This Row],[JUMLAH]]="","",NOTA[[#This Row],[JUMLAH]]*NOTA[[#This Row],[DISC 1]])</f>
        <v>528768</v>
      </c>
      <c r="Z542" s="66">
        <f>IF(NOTA[[#This Row],[JUMLAH]]="","",(NOTA[[#This Row],[JUMLAH]]-NOTA[[#This Row],[DISC 1-]])*NOTA[[#This Row],[DISC 2]])</f>
        <v>0</v>
      </c>
      <c r="AA542" s="66">
        <f>IF(NOTA[[#This Row],[JUMLAH]]="","",(NOTA[[#This Row],[JUMLAH]]-NOTA[[#This Row],[DISC 1-]]-NOTA[[#This Row],[DISC 2-]])*NOTA[[#This Row],[DISC 3]])</f>
        <v>0</v>
      </c>
      <c r="AB542" s="66">
        <f>IF(NOTA[[#This Row],[JUMLAH]]="","",NOTA[[#This Row],[DISC 1-]]+NOTA[[#This Row],[DISC 2-]]+NOTA[[#This Row],[DISC 3-]])</f>
        <v>528768</v>
      </c>
      <c r="AC542" s="66">
        <f>IF(NOTA[[#This Row],[JUMLAH]]="","",NOTA[[#This Row],[JUMLAH]]-NOTA[[#This Row],[DISC]])</f>
        <v>2581632</v>
      </c>
      <c r="AD542" s="66"/>
      <c r="AE5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1498176</v>
      </c>
      <c r="AF5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7314624</v>
      </c>
      <c r="AG542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542" s="66" t="str">
        <f>IF(OR(NOTA[[#This Row],[QTY]]="",NOTA[[#This Row],[HARGA SATUAN]]="",),"",NOTA[[#This Row],[QTY]]*NOTA[[#This Row],[HARGA SATUAN]])</f>
        <v/>
      </c>
      <c r="AI542" s="60">
        <f ca="1">IF(NOTA[ID_H]="","",INDEX(NOTA[TANGGAL],MATCH(,INDIRECT(ADDRESS(ROW(NOTA[TANGGAL]),COLUMN(NOTA[TANGGAL]))&amp;":"&amp;ADDRESS(ROW(),COLUMN(NOTA[TANGGAL]))),-1)))</f>
        <v>45308</v>
      </c>
      <c r="AJ542" s="55" t="str">
        <f ca="1">IF(NOTA[[#This Row],[NAMA BARANG]]="","",INDEX(NOTA[SUPPLIER],MATCH(,INDIRECT(ADDRESS(ROW(NOTA[ID]),COLUMN(NOTA[ID]))&amp;":"&amp;ADDRESS(ROW(),COLUMN(NOTA[ID]))),-1)))</f>
        <v>KENKO SINAR INDONESIA</v>
      </c>
      <c r="AK542" s="55" t="str">
        <f ca="1">IF(NOTA[[#This Row],[ID_H]]="","",IF(NOTA[[#This Row],[FAKTUR]]="",INDIRECT(ADDRESS(ROW()-1,COLUMN())),NOTA[[#This Row],[FAKTUR]]))</f>
        <v>ARTO MORO</v>
      </c>
      <c r="AL542" s="56" t="str">
        <f ca="1">IF(NOTA[[#This Row],[ID]]="","",COUNTIF(NOTA[ID_H],NOTA[[#This Row],[ID_H]]))</f>
        <v/>
      </c>
      <c r="AM542" s="56">
        <f ca="1">IF(NOTA[[#This Row],[TGL.NOTA]]="",IF(NOTA[[#This Row],[SUPPLIER_H]]="","",AM541),MONTH(NOTA[[#This Row],[TGL.NOTA]]))</f>
        <v>1</v>
      </c>
      <c r="AN542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>
        <f>IF(NOTA[[#This Row],[CONCAT1]]="","",MATCH(NOTA[[#This Row],[CONCAT1]],[3]!db[NB NOTA_C],0))</f>
        <v>1644</v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>144 LSN</v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542" s="56" t="e">
        <f ca="1">IF(NOTA[[#This Row],[ID_H]]="","",MATCH(NOTA[[#This Row],[NB NOTA_C_QTY]],[4]!db[NB NOTA_C_QTY+F],0))</f>
        <v>#REF!</v>
      </c>
      <c r="AX542" s="68">
        <f ca="1">IF(NOTA[[#This Row],[NB NOTA_C_QTY]]="","",ROW()-2)</f>
        <v>540</v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37"/>
      <c r="G543" s="37"/>
      <c r="H543" s="47"/>
      <c r="I543" s="58"/>
      <c r="J543" s="60"/>
      <c r="K543" s="58"/>
      <c r="L543" s="37"/>
      <c r="M543" s="61"/>
      <c r="O543" s="37"/>
      <c r="P543" s="55"/>
      <c r="Q543" s="62"/>
      <c r="R543" s="63"/>
      <c r="S543" s="64"/>
      <c r="T543" s="65"/>
      <c r="U543" s="65"/>
      <c r="V543" s="66"/>
      <c r="W543" s="45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0" t="str">
        <f ca="1">IF(NOTA[ID_H]="","",INDEX(NOTA[TANGGAL],MATCH(,INDIRECT(ADDRESS(ROW(NOTA[TANGGAL]),COLUMN(NOTA[TANGGAL]))&amp;":"&amp;ADDRESS(ROW(),COLUMN(NOTA[TANGGAL]))),-1)))</f>
        <v/>
      </c>
      <c r="AJ543" s="55" t="str">
        <f ca="1">IF(NOTA[[#This Row],[NAMA BARANG]]="","",INDEX(NOTA[SUPPLIER],MATCH(,INDIRECT(ADDRESS(ROW(NOTA[ID]),COLUMN(NOTA[ID]))&amp;":"&amp;ADDRESS(ROW(),COLUMN(NOTA[ID]))),-1)))</f>
        <v/>
      </c>
      <c r="AK543" s="55" t="str">
        <f ca="1">IF(NOTA[[#This Row],[ID_H]]="","",IF(NOTA[[#This Row],[FAKTUR]]="",INDIRECT(ADDRESS(ROW()-1,COLUMN())),NOTA[[#This Row],[FAKTUR]]))</f>
        <v/>
      </c>
      <c r="AL543" s="56" t="str">
        <f ca="1">IF(NOTA[[#This Row],[ID]]="","",COUNTIF(NOTA[ID_H],NOTA[[#This Row],[ID_H]]))</f>
        <v/>
      </c>
      <c r="AM543" s="56" t="str">
        <f ca="1">IF(NOTA[[#This Row],[TGL.NOTA]]="",IF(NOTA[[#This Row],[SUPPLIER_H]]="","",AM542),MONTH(NOTA[[#This Row],[TGL.NOTA]]))</f>
        <v/>
      </c>
      <c r="AN543" s="56" t="str">
        <f>LOWER(SUBSTITUTE(SUBSTITUTE(SUBSTITUTE(SUBSTITUTE(SUBSTITUTE(SUBSTITUTE(SUBSTITUTE(SUBSTITUTE(SUBSTITUTE(NOTA[NAMA BARANG]," ",),".",""),"-",""),"(",""),")",""),",",""),"/",""),"""",""),"+",""))</f>
        <v/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 t="str">
        <f>IF(NOTA[[#This Row],[CONCAT1]]="","",MATCH(NOTA[[#This Row],[CONCAT1]],[3]!db[NB NOTA_C],0))</f>
        <v/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/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3" s="56" t="str">
        <f ca="1">IF(NOTA[[#This Row],[ID_H]]="","",MATCH(NOTA[[#This Row],[NB NOTA_C_QTY]],[4]!db[NB NOTA_C_QTY+F],0))</f>
        <v/>
      </c>
      <c r="AX543" s="68" t="str">
        <f ca="1">IF(NOTA[[#This Row],[NB NOTA_C_QTY]]="","",ROW()-2)</f>
        <v/>
      </c>
    </row>
    <row r="544" spans="1:50" s="38" customFormat="1" ht="20.100000000000001" customHeight="1" x14ac:dyDescent="0.25">
      <c r="A544" s="55">
        <f ca="1">IF(INDIRECT(ADDRESS(ROW()-1,COLUMN(NOTA[[#Headers],[ID]])))="ID",1,IF(NOTA[[#This Row],[FAKTUR]]="","",COUNT(INDIRECT(ADDRESS(ROW(NOTA[ID]),COLUMN(NOTA[ID]))&amp;":"&amp;ADDRESS(ROW()-1,COLUMN(NOTA[ID]))))+1))</f>
        <v>87</v>
      </c>
      <c r="B54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KEN_1701_839-4</v>
      </c>
      <c r="C544" s="56" t="e">
        <f ca="1">IF(NOTA[[#This Row],[ID_P]]="","",MATCH(NOTA[[#This Row],[ID_P]],[1]!B_MSK[N_ID],0))</f>
        <v>#REF!</v>
      </c>
      <c r="D544" s="56">
        <f ca="1">IF(NOTA[[#This Row],[NAMA BARANG]]="","",INDEX(NOTA[ID],MATCH(,INDIRECT(ADDRESS(ROW(NOTA[ID]),COLUMN(NOTA[ID]))&amp;":"&amp;ADDRESS(ROW(),COLUMN(NOTA[ID]))),-1)))</f>
        <v>87</v>
      </c>
      <c r="E544" s="57"/>
      <c r="F544" s="37" t="s">
        <v>22</v>
      </c>
      <c r="G544" s="37" t="s">
        <v>23</v>
      </c>
      <c r="H544" s="47" t="s">
        <v>667</v>
      </c>
      <c r="I544" s="58"/>
      <c r="J544" s="60">
        <v>45306</v>
      </c>
      <c r="K544" s="37">
        <v>0</v>
      </c>
      <c r="L544" s="37" t="s">
        <v>668</v>
      </c>
      <c r="M544" s="61">
        <v>2</v>
      </c>
      <c r="N544" s="56"/>
      <c r="O544" s="37"/>
      <c r="P544" s="55"/>
      <c r="Q544" s="62">
        <v>900000</v>
      </c>
      <c r="R544" s="63"/>
      <c r="S544" s="64">
        <v>0.17</v>
      </c>
      <c r="T544" s="65"/>
      <c r="U544" s="65"/>
      <c r="V544" s="66"/>
      <c r="W544" s="67"/>
      <c r="X544" s="66">
        <f>IF(NOTA[[#This Row],[HARGA/ CTN]]="",NOTA[[#This Row],[JUMLAH_H]],NOTA[[#This Row],[HARGA/ CTN]]*IF(NOTA[[#This Row],[C]]="",0,NOTA[[#This Row],[C]]))</f>
        <v>1800000</v>
      </c>
      <c r="Y544" s="66">
        <f>IF(NOTA[[#This Row],[JUMLAH]]="","",NOTA[[#This Row],[JUMLAH]]*NOTA[[#This Row],[DISC 1]])</f>
        <v>306000</v>
      </c>
      <c r="Z544" s="66">
        <f>IF(NOTA[[#This Row],[JUMLAH]]="","",(NOTA[[#This Row],[JUMLAH]]-NOTA[[#This Row],[DISC 1-]])*NOTA[[#This Row],[DISC 2]])</f>
        <v>0</v>
      </c>
      <c r="AA544" s="66">
        <f>IF(NOTA[[#This Row],[JUMLAH]]="","",(NOTA[[#This Row],[JUMLAH]]-NOTA[[#This Row],[DISC 1-]]-NOTA[[#This Row],[DISC 2-]])*NOTA[[#This Row],[DISC 3]])</f>
        <v>0</v>
      </c>
      <c r="AB544" s="66">
        <f>IF(NOTA[[#This Row],[JUMLAH]]="","",NOTA[[#This Row],[DISC 1-]]+NOTA[[#This Row],[DISC 2-]]+NOTA[[#This Row],[DISC 3-]])</f>
        <v>306000</v>
      </c>
      <c r="AC544" s="66">
        <f>IF(NOTA[[#This Row],[JUMLAH]]="","",NOTA[[#This Row],[JUMLAH]]-NOTA[[#This Row],[DISC]])</f>
        <v>1494000</v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44" s="66" t="str">
        <f>IF(OR(NOTA[[#This Row],[QTY]]="",NOTA[[#This Row],[HARGA SATUAN]]="",),"",NOTA[[#This Row],[QTY]]*NOTA[[#This Row],[HARGA SATUAN]])</f>
        <v/>
      </c>
      <c r="AI544" s="60">
        <f ca="1">IF(NOTA[ID_H]="","",INDEX(NOTA[TANGGAL],MATCH(,INDIRECT(ADDRESS(ROW(NOTA[TANGGAL]),COLUMN(NOTA[TANGGAL]))&amp;":"&amp;ADDRESS(ROW(),COLUMN(NOTA[TANGGAL]))),-1)))</f>
        <v>45308</v>
      </c>
      <c r="AJ544" s="55" t="str">
        <f ca="1">IF(NOTA[[#This Row],[NAMA BARANG]]="","",INDEX(NOTA[SUPPLIER],MATCH(,INDIRECT(ADDRESS(ROW(NOTA[ID]),COLUMN(NOTA[ID]))&amp;":"&amp;ADDRESS(ROW(),COLUMN(NOTA[ID]))),-1)))</f>
        <v>KENKO SINAR INDONESIA</v>
      </c>
      <c r="AK544" s="55" t="str">
        <f ca="1">IF(NOTA[[#This Row],[ID_H]]="","",IF(NOTA[[#This Row],[FAKTUR]]="",INDIRECT(ADDRESS(ROW()-1,COLUMN())),NOTA[[#This Row],[FAKTUR]]))</f>
        <v>ARTO MORO</v>
      </c>
      <c r="AL544" s="56">
        <f ca="1">IF(NOTA[[#This Row],[ID]]="","",COUNTIF(NOTA[ID_H],NOTA[[#This Row],[ID_H]]))</f>
        <v>4</v>
      </c>
      <c r="AM544" s="56">
        <f>IF(NOTA[[#This Row],[TGL.NOTA]]="",IF(NOTA[[#This Row],[SUPPLIER_H]]="","",AM543),MONTH(NOTA[[#This Row],[TGL.NOTA]]))</f>
        <v>1</v>
      </c>
      <c r="AN544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MORO2401083945306kenkobinderclipno260</v>
      </c>
      <c r="AR544" s="56" t="e">
        <f>IF(NOTA[[#This Row],[CONCAT4]]="","",_xlfn.IFNA(MATCH(NOTA[[#This Row],[CONCAT4]],[2]!RAW[CONCAT_H],0),FALSE))</f>
        <v>#REF!</v>
      </c>
      <c r="AS544" s="56">
        <f>IF(NOTA[[#This Row],[CONCAT1]]="","",MATCH(NOTA[[#This Row],[CONCAT1]],[3]!db[NB NOTA_C],0))</f>
        <v>1502</v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>5 GRS</v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44" s="56" t="e">
        <f ca="1">IF(NOTA[[#This Row],[ID_H]]="","",MATCH(NOTA[[#This Row],[NB NOTA_C_QTY]],[4]!db[NB NOTA_C_QTY+F],0))</f>
        <v>#REF!</v>
      </c>
      <c r="AX544" s="68">
        <f ca="1">IF(NOTA[[#This Row],[NB NOTA_C_QTY]]="","",ROW()-2)</f>
        <v>542</v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>
        <f ca="1">IF(NOTA[[#This Row],[NAMA BARANG]]="","",INDEX(NOTA[ID],MATCH(,INDIRECT(ADDRESS(ROW(NOTA[ID]),COLUMN(NOTA[ID]))&amp;":"&amp;ADDRESS(ROW(),COLUMN(NOTA[ID]))),-1)))</f>
        <v>87</v>
      </c>
      <c r="E545" s="57"/>
      <c r="F545" s="37"/>
      <c r="G545" s="37"/>
      <c r="H545" s="47"/>
      <c r="I545" s="58"/>
      <c r="J545" s="60"/>
      <c r="K545" s="58">
        <v>0</v>
      </c>
      <c r="L545" s="37" t="s">
        <v>145</v>
      </c>
      <c r="M545" s="61">
        <v>2</v>
      </c>
      <c r="N545" s="56"/>
      <c r="O545" s="37"/>
      <c r="P545" s="55"/>
      <c r="Q545" s="62">
        <v>1695600</v>
      </c>
      <c r="R545" s="48"/>
      <c r="S545" s="64">
        <v>0.17</v>
      </c>
      <c r="T545" s="65"/>
      <c r="U545" s="65"/>
      <c r="V545" s="66"/>
      <c r="W545" s="67"/>
      <c r="X545" s="66">
        <f>IF(NOTA[[#This Row],[HARGA/ CTN]]="",NOTA[[#This Row],[JUMLAH_H]],NOTA[[#This Row],[HARGA/ CTN]]*IF(NOTA[[#This Row],[C]]="",0,NOTA[[#This Row],[C]]))</f>
        <v>3391200</v>
      </c>
      <c r="Y545" s="66">
        <f>IF(NOTA[[#This Row],[JUMLAH]]="","",NOTA[[#This Row],[JUMLAH]]*NOTA[[#This Row],[DISC 1]])</f>
        <v>576504</v>
      </c>
      <c r="Z545" s="66">
        <f>IF(NOTA[[#This Row],[JUMLAH]]="","",(NOTA[[#This Row],[JUMLAH]]-NOTA[[#This Row],[DISC 1-]])*NOTA[[#This Row],[DISC 2]])</f>
        <v>0</v>
      </c>
      <c r="AA545" s="66">
        <f>IF(NOTA[[#This Row],[JUMLAH]]="","",(NOTA[[#This Row],[JUMLAH]]-NOTA[[#This Row],[DISC 1-]]-NOTA[[#This Row],[DISC 2-]])*NOTA[[#This Row],[DISC 3]])</f>
        <v>0</v>
      </c>
      <c r="AB545" s="66">
        <f>IF(NOTA[[#This Row],[JUMLAH]]="","",NOTA[[#This Row],[DISC 1-]]+NOTA[[#This Row],[DISC 2-]]+NOTA[[#This Row],[DISC 3-]])</f>
        <v>576504</v>
      </c>
      <c r="AC545" s="66">
        <f>IF(NOTA[[#This Row],[JUMLAH]]="","",NOTA[[#This Row],[JUMLAH]]-NOTA[[#This Row],[DISC]])</f>
        <v>2814696</v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545" s="66" t="str">
        <f>IF(OR(NOTA[[#This Row],[QTY]]="",NOTA[[#This Row],[HARGA SATUAN]]="",),"",NOTA[[#This Row],[QTY]]*NOTA[[#This Row],[HARGA SATUAN]])</f>
        <v/>
      </c>
      <c r="AI545" s="60">
        <f ca="1">IF(NOTA[ID_H]="","",INDEX(NOTA[TANGGAL],MATCH(,INDIRECT(ADDRESS(ROW(NOTA[TANGGAL]),COLUMN(NOTA[TANGGAL]))&amp;":"&amp;ADDRESS(ROW(),COLUMN(NOTA[TANGGAL]))),-1)))</f>
        <v>45308</v>
      </c>
      <c r="AJ545" s="55" t="str">
        <f ca="1">IF(NOTA[[#This Row],[NAMA BARANG]]="","",INDEX(NOTA[SUPPLIER],MATCH(,INDIRECT(ADDRESS(ROW(NOTA[ID]),COLUMN(NOTA[ID]))&amp;":"&amp;ADDRESS(ROW(),COLUMN(NOTA[ID]))),-1)))</f>
        <v>KENKO SINAR INDONESIA</v>
      </c>
      <c r="AK545" s="55" t="str">
        <f ca="1">IF(NOTA[[#This Row],[ID_H]]="","",IF(NOTA[[#This Row],[FAKTUR]]="",INDIRECT(ADDRESS(ROW()-1,COLUMN())),NOTA[[#This Row],[FAKTUR]]))</f>
        <v>ARTO MORO</v>
      </c>
      <c r="AL545" s="56" t="str">
        <f ca="1">IF(NOTA[[#This Row],[ID]]="","",COUNTIF(NOTA[ID_H],NOTA[[#This Row],[ID_H]]))</f>
        <v/>
      </c>
      <c r="AM545" s="56">
        <f ca="1">IF(NOTA[[#This Row],[TGL.NOTA]]="",IF(NOTA[[#This Row],[SUPPLIER_H]]="","",AM544),MONTH(NOTA[[#This Row],[TGL.NOTA]]))</f>
        <v>1</v>
      </c>
      <c r="AN545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>
        <f>IF(NOTA[[#This Row],[CONCAT1]]="","",MATCH(NOTA[[#This Row],[CONCAT1]],[3]!db[NB NOTA_C],0))</f>
        <v>1560</v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>36 LSN</v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545" s="56" t="e">
        <f ca="1">IF(NOTA[[#This Row],[ID_H]]="","",MATCH(NOTA[[#This Row],[NB NOTA_C_QTY]],[4]!db[NB NOTA_C_QTY+F],0))</f>
        <v>#REF!</v>
      </c>
      <c r="AX545" s="68">
        <f ca="1">IF(NOTA[[#This Row],[NB NOTA_C_QTY]]="","",ROW()-2)</f>
        <v>543</v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>
        <f ca="1">IF(NOTA[[#This Row],[NAMA BARANG]]="","",INDEX(NOTA[ID],MATCH(,INDIRECT(ADDRESS(ROW(NOTA[ID]),COLUMN(NOTA[ID]))&amp;":"&amp;ADDRESS(ROW(),COLUMN(NOTA[ID]))),-1)))</f>
        <v>87</v>
      </c>
      <c r="E546" s="57"/>
      <c r="F546" s="58"/>
      <c r="G546" s="58"/>
      <c r="H546" s="59"/>
      <c r="I546" s="58"/>
      <c r="J546" s="60"/>
      <c r="K546" s="58">
        <v>0</v>
      </c>
      <c r="L546" s="37" t="s">
        <v>353</v>
      </c>
      <c r="M546" s="61">
        <v>1</v>
      </c>
      <c r="N546" s="56"/>
      <c r="O546" s="37"/>
      <c r="P546" s="55"/>
      <c r="Q546" s="62">
        <v>1987200</v>
      </c>
      <c r="R546" s="48"/>
      <c r="S546" s="64">
        <v>0.17</v>
      </c>
      <c r="T546" s="65"/>
      <c r="U546" s="65"/>
      <c r="V546" s="66"/>
      <c r="W546" s="67"/>
      <c r="X546" s="66">
        <f>IF(NOTA[[#This Row],[HARGA/ CTN]]="",NOTA[[#This Row],[JUMLAH_H]],NOTA[[#This Row],[HARGA/ CTN]]*IF(NOTA[[#This Row],[C]]="",0,NOTA[[#This Row],[C]]))</f>
        <v>1987200</v>
      </c>
      <c r="Y546" s="66">
        <f>IF(NOTA[[#This Row],[JUMLAH]]="","",NOTA[[#This Row],[JUMLAH]]*NOTA[[#This Row],[DISC 1]])</f>
        <v>337824</v>
      </c>
      <c r="Z546" s="66">
        <f>IF(NOTA[[#This Row],[JUMLAH]]="","",(NOTA[[#This Row],[JUMLAH]]-NOTA[[#This Row],[DISC 1-]])*NOTA[[#This Row],[DISC 2]])</f>
        <v>0</v>
      </c>
      <c r="AA546" s="66">
        <f>IF(NOTA[[#This Row],[JUMLAH]]="","",(NOTA[[#This Row],[JUMLAH]]-NOTA[[#This Row],[DISC 1-]]-NOTA[[#This Row],[DISC 2-]])*NOTA[[#This Row],[DISC 3]])</f>
        <v>0</v>
      </c>
      <c r="AB546" s="66">
        <f>IF(NOTA[[#This Row],[JUMLAH]]="","",NOTA[[#This Row],[DISC 1-]]+NOTA[[#This Row],[DISC 2-]]+NOTA[[#This Row],[DISC 3-]])</f>
        <v>337824</v>
      </c>
      <c r="AC546" s="66">
        <f>IF(NOTA[[#This Row],[JUMLAH]]="","",NOTA[[#This Row],[JUMLAH]]-NOTA[[#This Row],[DISC]])</f>
        <v>1649376</v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546" s="66" t="str">
        <f>IF(OR(NOTA[[#This Row],[QTY]]="",NOTA[[#This Row],[HARGA SATUAN]]="",),"",NOTA[[#This Row],[QTY]]*NOTA[[#This Row],[HARGA SATUAN]])</f>
        <v/>
      </c>
      <c r="AI546" s="60">
        <f ca="1">IF(NOTA[ID_H]="","",INDEX(NOTA[TANGGAL],MATCH(,INDIRECT(ADDRESS(ROW(NOTA[TANGGAL]),COLUMN(NOTA[TANGGAL]))&amp;":"&amp;ADDRESS(ROW(),COLUMN(NOTA[TANGGAL]))),-1)))</f>
        <v>45308</v>
      </c>
      <c r="AJ546" s="55" t="str">
        <f ca="1">IF(NOTA[[#This Row],[NAMA BARANG]]="","",INDEX(NOTA[SUPPLIER],MATCH(,INDIRECT(ADDRESS(ROW(NOTA[ID]),COLUMN(NOTA[ID]))&amp;":"&amp;ADDRESS(ROW(),COLUMN(NOTA[ID]))),-1)))</f>
        <v>KENKO SINAR INDONESIA</v>
      </c>
      <c r="AK546" s="55" t="str">
        <f ca="1">IF(NOTA[[#This Row],[ID_H]]="","",IF(NOTA[[#This Row],[FAKTUR]]="",INDIRECT(ADDRESS(ROW()-1,COLUMN())),NOTA[[#This Row],[FAKTUR]]))</f>
        <v>ARTO MORO</v>
      </c>
      <c r="AL546" s="56" t="str">
        <f ca="1">IF(NOTA[[#This Row],[ID]]="","",COUNTIF(NOTA[ID_H],NOTA[[#This Row],[ID_H]]))</f>
        <v/>
      </c>
      <c r="AM546" s="56">
        <f ca="1">IF(NOTA[[#This Row],[TGL.NOTA]]="",IF(NOTA[[#This Row],[SUPPLIER_H]]="","",AM545),MONTH(NOTA[[#This Row],[TGL.NOTA]]))</f>
        <v>1</v>
      </c>
      <c r="AN546" s="56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>
        <f>IF(NOTA[[#This Row],[CONCAT1]]="","",MATCH(NOTA[[#This Row],[CONCAT1]],[3]!db[NB NOTA_C],0))</f>
        <v>1546</v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>48 LSN</v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546" s="56" t="e">
        <f ca="1">IF(NOTA[[#This Row],[ID_H]]="","",MATCH(NOTA[[#This Row],[NB NOTA_C_QTY]],[4]!db[NB NOTA_C_QTY+F],0))</f>
        <v>#REF!</v>
      </c>
      <c r="AX546" s="68">
        <f ca="1">IF(NOTA[[#This Row],[NB NOTA_C_QTY]]="","",ROW()-2)</f>
        <v>544</v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>
        <f ca="1">IF(NOTA[[#This Row],[NAMA BARANG]]="","",INDEX(NOTA[ID],MATCH(,INDIRECT(ADDRESS(ROW(NOTA[ID]),COLUMN(NOTA[ID]))&amp;":"&amp;ADDRESS(ROW(),COLUMN(NOTA[ID]))),-1)))</f>
        <v>87</v>
      </c>
      <c r="E547" s="57"/>
      <c r="F547" s="58"/>
      <c r="G547" s="58"/>
      <c r="H547" s="59"/>
      <c r="I547" s="58"/>
      <c r="J547" s="60"/>
      <c r="K547" s="58"/>
      <c r="L547" s="37" t="s">
        <v>148</v>
      </c>
      <c r="M547" s="61">
        <v>3</v>
      </c>
      <c r="N547" s="56"/>
      <c r="O547" s="37"/>
      <c r="P547" s="55"/>
      <c r="Q547" s="62">
        <v>5616000</v>
      </c>
      <c r="R547" s="48"/>
      <c r="S547" s="64">
        <v>0.17</v>
      </c>
      <c r="T547" s="65"/>
      <c r="U547" s="65"/>
      <c r="V547" s="66"/>
      <c r="W547" s="67"/>
      <c r="X547" s="66">
        <f>IF(NOTA[[#This Row],[HARGA/ CTN]]="",NOTA[[#This Row],[JUMLAH_H]],NOTA[[#This Row],[HARGA/ CTN]]*IF(NOTA[[#This Row],[C]]="",0,NOTA[[#This Row],[C]]))</f>
        <v>16848000</v>
      </c>
      <c r="Y547" s="66">
        <f>IF(NOTA[[#This Row],[JUMLAH]]="","",NOTA[[#This Row],[JUMLAH]]*NOTA[[#This Row],[DISC 1]])</f>
        <v>2864160</v>
      </c>
      <c r="Z547" s="66">
        <f>IF(NOTA[[#This Row],[JUMLAH]]="","",(NOTA[[#This Row],[JUMLAH]]-NOTA[[#This Row],[DISC 1-]])*NOTA[[#This Row],[DISC 2]])</f>
        <v>0</v>
      </c>
      <c r="AA547" s="66">
        <f>IF(NOTA[[#This Row],[JUMLAH]]="","",(NOTA[[#This Row],[JUMLAH]]-NOTA[[#This Row],[DISC 1-]]-NOTA[[#This Row],[DISC 2-]])*NOTA[[#This Row],[DISC 3]])</f>
        <v>0</v>
      </c>
      <c r="AB547" s="66">
        <f>IF(NOTA[[#This Row],[JUMLAH]]="","",NOTA[[#This Row],[DISC 1-]]+NOTA[[#This Row],[DISC 2-]]+NOTA[[#This Row],[DISC 3-]])</f>
        <v>2864160</v>
      </c>
      <c r="AC547" s="66">
        <f>IF(NOTA[[#This Row],[JUMLAH]]="","",NOTA[[#This Row],[JUMLAH]]-NOTA[[#This Row],[DISC]])</f>
        <v>13983840</v>
      </c>
      <c r="AD547" s="66"/>
      <c r="AE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4084488</v>
      </c>
      <c r="AF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19941912</v>
      </c>
      <c r="AG547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47" s="66" t="str">
        <f>IF(OR(NOTA[[#This Row],[QTY]]="",NOTA[[#This Row],[HARGA SATUAN]]="",),"",NOTA[[#This Row],[QTY]]*NOTA[[#This Row],[HARGA SATUAN]])</f>
        <v/>
      </c>
      <c r="AI547" s="60">
        <f ca="1">IF(NOTA[ID_H]="","",INDEX(NOTA[TANGGAL],MATCH(,INDIRECT(ADDRESS(ROW(NOTA[TANGGAL]),COLUMN(NOTA[TANGGAL]))&amp;":"&amp;ADDRESS(ROW(),COLUMN(NOTA[TANGGAL]))),-1)))</f>
        <v>45308</v>
      </c>
      <c r="AJ547" s="55" t="str">
        <f ca="1">IF(NOTA[[#This Row],[NAMA BARANG]]="","",INDEX(NOTA[SUPPLIER],MATCH(,INDIRECT(ADDRESS(ROW(NOTA[ID]),COLUMN(NOTA[ID]))&amp;":"&amp;ADDRESS(ROW(),COLUMN(NOTA[ID]))),-1)))</f>
        <v>KENKO SINAR INDONESIA</v>
      </c>
      <c r="AK547" s="55" t="str">
        <f ca="1">IF(NOTA[[#This Row],[ID_H]]="","",IF(NOTA[[#This Row],[FAKTUR]]="",INDIRECT(ADDRESS(ROW()-1,COLUMN())),NOTA[[#This Row],[FAKTUR]]))</f>
        <v>ARTO MORO</v>
      </c>
      <c r="AL547" s="56" t="str">
        <f ca="1">IF(NOTA[[#This Row],[ID]]="","",COUNTIF(NOTA[ID_H],NOTA[[#This Row],[ID_H]]))</f>
        <v/>
      </c>
      <c r="AM547" s="56">
        <f ca="1">IF(NOTA[[#This Row],[TGL.NOTA]]="",IF(NOTA[[#This Row],[SUPPLIER_H]]="","",AM546),MONTH(NOTA[[#This Row],[TGL.NOTA]]))</f>
        <v>1</v>
      </c>
      <c r="AN547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>
        <f>IF(NOTA[[#This Row],[CONCAT1]]="","",MATCH(NOTA[[#This Row],[CONCAT1]],[3]!db[NB NOTA_C],0))</f>
        <v>1621</v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>144 LSN</v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47" s="56" t="e">
        <f ca="1">IF(NOTA[[#This Row],[ID_H]]="","",MATCH(NOTA[[#This Row],[NB NOTA_C_QTY]],[4]!db[NB NOTA_C_QTY+F],0))</f>
        <v>#REF!</v>
      </c>
      <c r="AX547" s="68">
        <f ca="1">IF(NOTA[[#This Row],[NB NOTA_C_QTY]]="","",ROW()-2)</f>
        <v>545</v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9"/>
      <c r="I548" s="58"/>
      <c r="J548" s="60"/>
      <c r="K548" s="58"/>
      <c r="L548" s="37"/>
      <c r="M548" s="61"/>
      <c r="N548" s="56"/>
      <c r="O548" s="37"/>
      <c r="P548" s="55"/>
      <c r="Q548" s="62"/>
      <c r="R548" s="48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>
        <f ca="1">IF(INDIRECT(ADDRESS(ROW()-1,COLUMN(NOTA[[#Headers],[ID]])))="ID",1,IF(NOTA[[#This Row],[FAKTUR]]="","",COUNT(INDIRECT(ADDRESS(ROW(NOTA[ID]),COLUMN(NOTA[ID]))&amp;":"&amp;ADDRESS(ROW()-1,COLUMN(NOTA[ID]))))+1))</f>
        <v>88</v>
      </c>
      <c r="B54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NEW_1701_066-4</v>
      </c>
      <c r="C549" s="56" t="e">
        <f ca="1">IF(NOTA[[#This Row],[ID_P]]="","",MATCH(NOTA[[#This Row],[ID_P]],[1]!B_MSK[N_ID],0))</f>
        <v>#REF!</v>
      </c>
      <c r="D549" s="56">
        <f ca="1">IF(NOTA[[#This Row],[NAMA BARANG]]="","",INDEX(NOTA[ID],MATCH(,INDIRECT(ADDRESS(ROW(NOTA[ID]),COLUMN(NOTA[ID]))&amp;":"&amp;ADDRESS(ROW(),COLUMN(NOTA[ID]))),-1)))</f>
        <v>88</v>
      </c>
      <c r="E549" s="57">
        <v>45308</v>
      </c>
      <c r="F549" s="37" t="s">
        <v>619</v>
      </c>
      <c r="G549" s="37" t="s">
        <v>110</v>
      </c>
      <c r="H549" s="47" t="s">
        <v>669</v>
      </c>
      <c r="I549" s="58"/>
      <c r="J549" s="60">
        <v>45308</v>
      </c>
      <c r="K549" s="58"/>
      <c r="L549" s="37" t="s">
        <v>670</v>
      </c>
      <c r="M549" s="61"/>
      <c r="N549" s="56">
        <v>160</v>
      </c>
      <c r="O549" s="37" t="s">
        <v>111</v>
      </c>
      <c r="P549" s="55">
        <v>9409</v>
      </c>
      <c r="Q549" s="62"/>
      <c r="R549" s="63"/>
      <c r="S549" s="64"/>
      <c r="T549" s="65"/>
      <c r="U549" s="65"/>
      <c r="V549" s="66"/>
      <c r="W549" s="67"/>
      <c r="X549" s="66">
        <f>IF(NOTA[[#This Row],[HARGA/ CTN]]="",NOTA[[#This Row],[JUMLAH_H]],NOTA[[#This Row],[HARGA/ CTN]]*IF(NOTA[[#This Row],[C]]="",0,NOTA[[#This Row],[C]]))</f>
        <v>1505440</v>
      </c>
      <c r="Y549" s="66">
        <f>IF(NOTA[[#This Row],[JUMLAH]]="","",NOTA[[#This Row],[JUMLAH]]*NOTA[[#This Row],[DISC 1]])</f>
        <v>0</v>
      </c>
      <c r="Z549" s="66">
        <f>IF(NOTA[[#This Row],[JUMLAH]]="","",(NOTA[[#This Row],[JUMLAH]]-NOTA[[#This Row],[DISC 1-]])*NOTA[[#This Row],[DISC 2]])</f>
        <v>0</v>
      </c>
      <c r="AA549" s="66">
        <f>IF(NOTA[[#This Row],[JUMLAH]]="","",(NOTA[[#This Row],[JUMLAH]]-NOTA[[#This Row],[DISC 1-]]-NOTA[[#This Row],[DISC 2-]])*NOTA[[#This Row],[DISC 3]])</f>
        <v>0</v>
      </c>
      <c r="AB549" s="66">
        <f>IF(NOTA[[#This Row],[JUMLAH]]="","",NOTA[[#This Row],[DISC 1-]]+NOTA[[#This Row],[DISC 2-]]+NOTA[[#This Row],[DISC 3-]])</f>
        <v>0</v>
      </c>
      <c r="AC549" s="66">
        <f>IF(NOTA[[#This Row],[JUMLAH]]="","",NOTA[[#This Row],[JUMLAH]]-NOTA[[#This Row],[DISC]])</f>
        <v>1505440</v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>
        <f>IF(NOTA[[#This Row],[NAMA BARANG]]="","",IF(NOTA[[#This Row],[JUMLAH_H]]="",NOTA[[#This Row],[HARGA/ CTN]],NOTA[[#This Row],[QTY]]*NOTA[[#This Row],[HARGA SATUAN]]/IF(ISNUMBER(NOTA[[#This Row],[C]]),NOTA[[#This Row],[C]],1)))</f>
        <v>1505440</v>
      </c>
      <c r="AH549" s="66">
        <f>IF(OR(NOTA[[#This Row],[QTY]]="",NOTA[[#This Row],[HARGA SATUAN]]="",),"",NOTA[[#This Row],[QTY]]*NOTA[[#This Row],[HARGA SATUAN]])</f>
        <v>1505440</v>
      </c>
      <c r="AI549" s="60">
        <f ca="1">IF(NOTA[ID_H]="","",INDEX(NOTA[TANGGAL],MATCH(,INDIRECT(ADDRESS(ROW(NOTA[TANGGAL]),COLUMN(NOTA[TANGGAL]))&amp;":"&amp;ADDRESS(ROW(),COLUMN(NOTA[TANGGAL]))),-1)))</f>
        <v>45308</v>
      </c>
      <c r="AJ549" s="55" t="str">
        <f ca="1">IF(NOTA[[#This Row],[NAMA BARANG]]="","",INDEX(NOTA[SUPPLIER],MATCH(,INDIRECT(ADDRESS(ROW(NOTA[ID]),COLUMN(NOTA[ID]))&amp;":"&amp;ADDRESS(ROW(),COLUMN(NOTA[ID]))),-1)))</f>
        <v>NEW GOTO</v>
      </c>
      <c r="AK549" s="55" t="str">
        <f ca="1">IF(NOTA[[#This Row],[ID_H]]="","",IF(NOTA[[#This Row],[FAKTUR]]="",INDIRECT(ADDRESS(ROW()-1,COLUMN())),NOTA[[#This Row],[FAKTUR]]))</f>
        <v>UNTANA</v>
      </c>
      <c r="AL549" s="56">
        <f ca="1">IF(NOTA[[#This Row],[ID]]="","",COUNTIF(NOTA[ID_H],NOTA[[#This Row],[ID_H]]))</f>
        <v>4</v>
      </c>
      <c r="AM549" s="56">
        <f>IF(NOTA[[#This Row],[TGL.NOTA]]="",IF(NOTA[[#This Row],[SUPPLIER_H]]="","",AM548),MONTH(NOTA[[#This Row],[TGL.NOTA]]))</f>
        <v>1</v>
      </c>
      <c r="AN549" s="56" t="str">
        <f>LOWER(SUBSTITUTE(SUBSTITUTE(SUBSTITUTE(SUBSTITUTE(SUBSTITUTE(SUBSTITUTE(SUBSTITUTE(SUBSTITUTE(SUBSTITUTE(NOTA[NAMA BARANG]," ",),".",""),"-",""),"(",""),")",""),",",""),"/",""),"""",""),"+",""))</f>
        <v>tashb20x25</v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tashb20x251505440</v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tashb20x259409</v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>NEW GOTOUNTANA024658406645308tashb20x25</v>
      </c>
      <c r="AR549" s="56" t="e">
        <f>IF(NOTA[[#This Row],[CONCAT4]]="","",_xlfn.IFNA(MATCH(NOTA[[#This Row],[CONCAT4]],[2]!RAW[CONCAT_H],0),FALSE))</f>
        <v>#REF!</v>
      </c>
      <c r="AS549" s="56" t="e">
        <f>IF(NOTA[[#This Row],[CONCAT1]]="","",MATCH(NOTA[[#This Row],[CONCAT1]],[3]!db[NB NOTA_C],0))</f>
        <v>#N/A</v>
      </c>
      <c r="AT549" s="56" t="str">
        <f>IF(NOTA[[#This Row],[QTY/ CTN]]="","",TRUE)</f>
        <v/>
      </c>
      <c r="AU549" s="56" t="e">
        <f ca="1">IF(NOTA[[#This Row],[ID_H]]="","",IF(NOTA[[#This Row],[Column3]]=TRUE,NOTA[[#This Row],[QTY/ CTN]],INDEX([3]!db[QTY/ CTN],NOTA[[#This Row],[//DB]])))</f>
        <v>#N/A</v>
      </c>
      <c r="AV549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49" s="56" t="e">
        <f ca="1">IF(NOTA[[#This Row],[ID_H]]="","",MATCH(NOTA[[#This Row],[NB NOTA_C_QTY]],[4]!db[NB NOTA_C_QTY+F],0))</f>
        <v>#N/A</v>
      </c>
      <c r="AX549" s="68" t="e">
        <f ca="1">IF(NOTA[[#This Row],[NB NOTA_C_QTY]]="","",ROW()-2)</f>
        <v>#N/A</v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>
        <f ca="1">IF(NOTA[[#This Row],[NAMA BARANG]]="","",INDEX(NOTA[ID],MATCH(,INDIRECT(ADDRESS(ROW(NOTA[ID]),COLUMN(NOTA[ID]))&amp;":"&amp;ADDRESS(ROW(),COLUMN(NOTA[ID]))),-1)))</f>
        <v>88</v>
      </c>
      <c r="E550" s="57"/>
      <c r="F550" s="37"/>
      <c r="G550" s="37"/>
      <c r="H550" s="47"/>
      <c r="I550" s="58"/>
      <c r="J550" s="60"/>
      <c r="K550" s="58"/>
      <c r="L550" s="37" t="s">
        <v>671</v>
      </c>
      <c r="M550" s="61"/>
      <c r="N550" s="56">
        <v>150</v>
      </c>
      <c r="O550" s="37" t="s">
        <v>111</v>
      </c>
      <c r="P550" s="55">
        <v>10379</v>
      </c>
      <c r="Q550" s="62"/>
      <c r="R550" s="48"/>
      <c r="S550" s="64"/>
      <c r="T550" s="65"/>
      <c r="U550" s="65"/>
      <c r="V550" s="66"/>
      <c r="W550" s="67"/>
      <c r="X550" s="66">
        <f>IF(NOTA[[#This Row],[HARGA/ CTN]]="",NOTA[[#This Row],[JUMLAH_H]],NOTA[[#This Row],[HARGA/ CTN]]*IF(NOTA[[#This Row],[C]]="",0,NOTA[[#This Row],[C]]))</f>
        <v>1556850</v>
      </c>
      <c r="Y550" s="66">
        <f>IF(NOTA[[#This Row],[JUMLAH]]="","",NOTA[[#This Row],[JUMLAH]]*NOTA[[#This Row],[DISC 1]])</f>
        <v>0</v>
      </c>
      <c r="Z550" s="66">
        <f>IF(NOTA[[#This Row],[JUMLAH]]="","",(NOTA[[#This Row],[JUMLAH]]-NOTA[[#This Row],[DISC 1-]])*NOTA[[#This Row],[DISC 2]])</f>
        <v>0</v>
      </c>
      <c r="AA550" s="66">
        <f>IF(NOTA[[#This Row],[JUMLAH]]="","",(NOTA[[#This Row],[JUMLAH]]-NOTA[[#This Row],[DISC 1-]]-NOTA[[#This Row],[DISC 2-]])*NOTA[[#This Row],[DISC 3]])</f>
        <v>0</v>
      </c>
      <c r="AB550" s="66">
        <f>IF(NOTA[[#This Row],[JUMLAH]]="","",NOTA[[#This Row],[DISC 1-]]+NOTA[[#This Row],[DISC 2-]]+NOTA[[#This Row],[DISC 3-]])</f>
        <v>0</v>
      </c>
      <c r="AC550" s="66">
        <f>IF(NOTA[[#This Row],[JUMLAH]]="","",NOTA[[#This Row],[JUMLAH]]-NOTA[[#This Row],[DISC]])</f>
        <v>1556850</v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>
        <f>IF(NOTA[[#This Row],[NAMA BARANG]]="","",IF(NOTA[[#This Row],[JUMLAH_H]]="",NOTA[[#This Row],[HARGA/ CTN]],NOTA[[#This Row],[QTY]]*NOTA[[#This Row],[HARGA SATUAN]]/IF(ISNUMBER(NOTA[[#This Row],[C]]),NOTA[[#This Row],[C]],1)))</f>
        <v>1556850</v>
      </c>
      <c r="AH550" s="66">
        <f>IF(OR(NOTA[[#This Row],[QTY]]="",NOTA[[#This Row],[HARGA SATUAN]]="",),"",NOTA[[#This Row],[QTY]]*NOTA[[#This Row],[HARGA SATUAN]])</f>
        <v>1556850</v>
      </c>
      <c r="AI550" s="60">
        <f ca="1">IF(NOTA[ID_H]="","",INDEX(NOTA[TANGGAL],MATCH(,INDIRECT(ADDRESS(ROW(NOTA[TANGGAL]),COLUMN(NOTA[TANGGAL]))&amp;":"&amp;ADDRESS(ROW(),COLUMN(NOTA[TANGGAL]))),-1)))</f>
        <v>45308</v>
      </c>
      <c r="AJ550" s="55" t="str">
        <f ca="1">IF(NOTA[[#This Row],[NAMA BARANG]]="","",INDEX(NOTA[SUPPLIER],MATCH(,INDIRECT(ADDRESS(ROW(NOTA[ID]),COLUMN(NOTA[ID]))&amp;":"&amp;ADDRESS(ROW(),COLUMN(NOTA[ID]))),-1)))</f>
        <v>NEW GOTO</v>
      </c>
      <c r="AK550" s="55" t="str">
        <f ca="1">IF(NOTA[[#This Row],[ID_H]]="","",IF(NOTA[[#This Row],[FAKTUR]]="",INDIRECT(ADDRESS(ROW()-1,COLUMN())),NOTA[[#This Row],[FAKTUR]]))</f>
        <v>UNTANA</v>
      </c>
      <c r="AL550" s="56" t="str">
        <f ca="1">IF(NOTA[[#This Row],[ID]]="","",COUNTIF(NOTA[ID_H],NOTA[[#This Row],[ID_H]]))</f>
        <v/>
      </c>
      <c r="AM550" s="56">
        <f ca="1">IF(NOTA[[#This Row],[TGL.NOTA]]="",IF(NOTA[[#This Row],[SUPPLIER_H]]="","",AM549),MONTH(NOTA[[#This Row],[TGL.NOTA]]))</f>
        <v>1</v>
      </c>
      <c r="AN550" s="56" t="str">
        <f>LOWER(SUBSTITUTE(SUBSTITUTE(SUBSTITUTE(SUBSTITUTE(SUBSTITUTE(SUBSTITUTE(SUBSTITUTE(SUBSTITUTE(SUBSTITUTE(NOTA[NAMA BARANG]," ",),".",""),"-",""),"(",""),")",""),",",""),"/",""),"""",""),"+",""))</f>
        <v>tashb25x35</v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tashb25x351556850</v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tashb25x3510379</v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 t="e">
        <f>IF(NOTA[[#This Row],[CONCAT1]]="","",MATCH(NOTA[[#This Row],[CONCAT1]],[3]!db[NB NOTA_C],0))</f>
        <v>#N/A</v>
      </c>
      <c r="AT550" s="56" t="str">
        <f>IF(NOTA[[#This Row],[QTY/ CTN]]="","",TRUE)</f>
        <v/>
      </c>
      <c r="AU550" s="56" t="e">
        <f ca="1">IF(NOTA[[#This Row],[ID_H]]="","",IF(NOTA[[#This Row],[Column3]]=TRUE,NOTA[[#This Row],[QTY/ CTN]],INDEX([3]!db[QTY/ CTN],NOTA[[#This Row],[//DB]])))</f>
        <v>#N/A</v>
      </c>
      <c r="AV55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0" s="56" t="e">
        <f ca="1">IF(NOTA[[#This Row],[ID_H]]="","",MATCH(NOTA[[#This Row],[NB NOTA_C_QTY]],[4]!db[NB NOTA_C_QTY+F],0))</f>
        <v>#N/A</v>
      </c>
      <c r="AX550" s="68" t="e">
        <f ca="1">IF(NOTA[[#This Row],[NB NOTA_C_QTY]]="","",ROW()-2)</f>
        <v>#N/A</v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>
        <f ca="1">IF(NOTA[[#This Row],[NAMA BARANG]]="","",INDEX(NOTA[ID],MATCH(,INDIRECT(ADDRESS(ROW(NOTA[ID]),COLUMN(NOTA[ID]))&amp;":"&amp;ADDRESS(ROW(),COLUMN(NOTA[ID]))),-1)))</f>
        <v>88</v>
      </c>
      <c r="E551" s="57"/>
      <c r="F551" s="58"/>
      <c r="G551" s="58"/>
      <c r="H551" s="59"/>
      <c r="I551" s="58"/>
      <c r="J551" s="60"/>
      <c r="K551" s="58"/>
      <c r="L551" s="37" t="s">
        <v>672</v>
      </c>
      <c r="M551" s="61"/>
      <c r="N551" s="56">
        <v>120</v>
      </c>
      <c r="O551" s="37" t="s">
        <v>111</v>
      </c>
      <c r="P551" s="55">
        <v>13289</v>
      </c>
      <c r="Q551" s="62"/>
      <c r="R551" s="48"/>
      <c r="S551" s="64"/>
      <c r="T551" s="65"/>
      <c r="U551" s="65"/>
      <c r="V551" s="66"/>
      <c r="W551" s="67"/>
      <c r="X551" s="66">
        <f>IF(NOTA[[#This Row],[HARGA/ CTN]]="",NOTA[[#This Row],[JUMLAH_H]],NOTA[[#This Row],[HARGA/ CTN]]*IF(NOTA[[#This Row],[C]]="",0,NOTA[[#This Row],[C]]))</f>
        <v>1594680</v>
      </c>
      <c r="Y551" s="66">
        <f>IF(NOTA[[#This Row],[JUMLAH]]="","",NOTA[[#This Row],[JUMLAH]]*NOTA[[#This Row],[DISC 1]])</f>
        <v>0</v>
      </c>
      <c r="Z551" s="66">
        <f>IF(NOTA[[#This Row],[JUMLAH]]="","",(NOTA[[#This Row],[JUMLAH]]-NOTA[[#This Row],[DISC 1-]])*NOTA[[#This Row],[DISC 2]])</f>
        <v>0</v>
      </c>
      <c r="AA551" s="66">
        <f>IF(NOTA[[#This Row],[JUMLAH]]="","",(NOTA[[#This Row],[JUMLAH]]-NOTA[[#This Row],[DISC 1-]]-NOTA[[#This Row],[DISC 2-]])*NOTA[[#This Row],[DISC 3]])</f>
        <v>0</v>
      </c>
      <c r="AB551" s="66">
        <f>IF(NOTA[[#This Row],[JUMLAH]]="","",NOTA[[#This Row],[DISC 1-]]+NOTA[[#This Row],[DISC 2-]]+NOTA[[#This Row],[DISC 3-]])</f>
        <v>0</v>
      </c>
      <c r="AC551" s="66">
        <f>IF(NOTA[[#This Row],[JUMLAH]]="","",NOTA[[#This Row],[JUMLAH]]-NOTA[[#This Row],[DISC]])</f>
        <v>1594680</v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>
        <f>IF(NOTA[[#This Row],[NAMA BARANG]]="","",IF(NOTA[[#This Row],[JUMLAH_H]]="",NOTA[[#This Row],[HARGA/ CTN]],NOTA[[#This Row],[QTY]]*NOTA[[#This Row],[HARGA SATUAN]]/IF(ISNUMBER(NOTA[[#This Row],[C]]),NOTA[[#This Row],[C]],1)))</f>
        <v>1594680</v>
      </c>
      <c r="AH551" s="66">
        <f>IF(OR(NOTA[[#This Row],[QTY]]="",NOTA[[#This Row],[HARGA SATUAN]]="",),"",NOTA[[#This Row],[QTY]]*NOTA[[#This Row],[HARGA SATUAN]])</f>
        <v>1594680</v>
      </c>
      <c r="AI551" s="60">
        <f ca="1">IF(NOTA[ID_H]="","",INDEX(NOTA[TANGGAL],MATCH(,INDIRECT(ADDRESS(ROW(NOTA[TANGGAL]),COLUMN(NOTA[TANGGAL]))&amp;":"&amp;ADDRESS(ROW(),COLUMN(NOTA[TANGGAL]))),-1)))</f>
        <v>45308</v>
      </c>
      <c r="AJ551" s="55" t="str">
        <f ca="1">IF(NOTA[[#This Row],[NAMA BARANG]]="","",INDEX(NOTA[SUPPLIER],MATCH(,INDIRECT(ADDRESS(ROW(NOTA[ID]),COLUMN(NOTA[ID]))&amp;":"&amp;ADDRESS(ROW(),COLUMN(NOTA[ID]))),-1)))</f>
        <v>NEW GOTO</v>
      </c>
      <c r="AK551" s="55" t="str">
        <f ca="1">IF(NOTA[[#This Row],[ID_H]]="","",IF(NOTA[[#This Row],[FAKTUR]]="",INDIRECT(ADDRESS(ROW()-1,COLUMN())),NOTA[[#This Row],[FAKTUR]]))</f>
        <v>UNTANA</v>
      </c>
      <c r="AL551" s="56" t="str">
        <f ca="1">IF(NOTA[[#This Row],[ID]]="","",COUNTIF(NOTA[ID_H],NOTA[[#This Row],[ID_H]]))</f>
        <v/>
      </c>
      <c r="AM551" s="56">
        <f ca="1">IF(NOTA[[#This Row],[TGL.NOTA]]="",IF(NOTA[[#This Row],[SUPPLIER_H]]="","",AM550),MONTH(NOTA[[#This Row],[TGL.NOTA]]))</f>
        <v>1</v>
      </c>
      <c r="AN551" s="56" t="str">
        <f>LOWER(SUBSTITUTE(SUBSTITUTE(SUBSTITUTE(SUBSTITUTE(SUBSTITUTE(SUBSTITUTE(SUBSTITUTE(SUBSTITUTE(SUBSTITUTE(NOTA[NAMA BARANG]," ",),".",""),"-",""),"(",""),")",""),",",""),"/",""),"""",""),"+",""))</f>
        <v>tashb30x40</v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tashb30x401594680</v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tashb30x4013289</v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 t="e">
        <f>IF(NOTA[[#This Row],[CONCAT1]]="","",MATCH(NOTA[[#This Row],[CONCAT1]],[3]!db[NB NOTA_C],0))</f>
        <v>#N/A</v>
      </c>
      <c r="AT551" s="56" t="str">
        <f>IF(NOTA[[#This Row],[QTY/ CTN]]="","",TRUE)</f>
        <v/>
      </c>
      <c r="AU551" s="56" t="e">
        <f ca="1">IF(NOTA[[#This Row],[ID_H]]="","",IF(NOTA[[#This Row],[Column3]]=TRUE,NOTA[[#This Row],[QTY/ CTN]],INDEX([3]!db[QTY/ CTN],NOTA[[#This Row],[//DB]])))</f>
        <v>#N/A</v>
      </c>
      <c r="AV55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1" s="56" t="e">
        <f ca="1">IF(NOTA[[#This Row],[ID_H]]="","",MATCH(NOTA[[#This Row],[NB NOTA_C_QTY]],[4]!db[NB NOTA_C_QTY+F],0))</f>
        <v>#N/A</v>
      </c>
      <c r="AX551" s="68" t="e">
        <f ca="1">IF(NOTA[[#This Row],[NB NOTA_C_QTY]]="","",ROW()-2)</f>
        <v>#N/A</v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88</v>
      </c>
      <c r="E552" s="57"/>
      <c r="F552" s="37"/>
      <c r="G552" s="37"/>
      <c r="H552" s="47"/>
      <c r="I552" s="58"/>
      <c r="J552" s="60"/>
      <c r="K552" s="58"/>
      <c r="L552" s="37" t="s">
        <v>673</v>
      </c>
      <c r="M552" s="61"/>
      <c r="N552" s="56">
        <v>100</v>
      </c>
      <c r="O552" s="37" t="s">
        <v>111</v>
      </c>
      <c r="P552" s="55">
        <v>17169</v>
      </c>
      <c r="Q552" s="62"/>
      <c r="R552" s="48"/>
      <c r="S552" s="64"/>
      <c r="T552" s="65"/>
      <c r="U552" s="65"/>
      <c r="V552" s="66"/>
      <c r="W552" s="67"/>
      <c r="X552" s="66">
        <f>IF(NOTA[[#This Row],[HARGA/ CTN]]="",NOTA[[#This Row],[JUMLAH_H]],NOTA[[#This Row],[HARGA/ CTN]]*IF(NOTA[[#This Row],[C]]="",0,NOTA[[#This Row],[C]]))</f>
        <v>1716900</v>
      </c>
      <c r="Y552" s="66">
        <f>IF(NOTA[[#This Row],[JUMLAH]]="","",NOTA[[#This Row],[JUMLAH]]*NOTA[[#This Row],[DISC 1]])</f>
        <v>0</v>
      </c>
      <c r="Z552" s="66">
        <f>IF(NOTA[[#This Row],[JUMLAH]]="","",(NOTA[[#This Row],[JUMLAH]]-NOTA[[#This Row],[DISC 1-]])*NOTA[[#This Row],[DISC 2]])</f>
        <v>0</v>
      </c>
      <c r="AA552" s="66">
        <f>IF(NOTA[[#This Row],[JUMLAH]]="","",(NOTA[[#This Row],[JUMLAH]]-NOTA[[#This Row],[DISC 1-]]-NOTA[[#This Row],[DISC 2-]])*NOTA[[#This Row],[DISC 3]])</f>
        <v>0</v>
      </c>
      <c r="AB552" s="66">
        <f>IF(NOTA[[#This Row],[JUMLAH]]="","",NOTA[[#This Row],[DISC 1-]]+NOTA[[#This Row],[DISC 2-]]+NOTA[[#This Row],[DISC 3-]])</f>
        <v>0</v>
      </c>
      <c r="AC552" s="66">
        <f>IF(NOTA[[#This Row],[JUMLAH]]="","",NOTA[[#This Row],[JUMLAH]]-NOTA[[#This Row],[DISC]])</f>
        <v>1716900</v>
      </c>
      <c r="AD552" s="66"/>
      <c r="AE55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5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6373870</v>
      </c>
      <c r="AG552" s="55">
        <f>IF(NOTA[[#This Row],[NAMA BARANG]]="","",IF(NOTA[[#This Row],[JUMLAH_H]]="",NOTA[[#This Row],[HARGA/ CTN]],NOTA[[#This Row],[QTY]]*NOTA[[#This Row],[HARGA SATUAN]]/IF(ISNUMBER(NOTA[[#This Row],[C]]),NOTA[[#This Row],[C]],1)))</f>
        <v>1716900</v>
      </c>
      <c r="AH552" s="66">
        <f>IF(OR(NOTA[[#This Row],[QTY]]="",NOTA[[#This Row],[HARGA SATUAN]]="",),"",NOTA[[#This Row],[QTY]]*NOTA[[#This Row],[HARGA SATUAN]])</f>
        <v>1716900</v>
      </c>
      <c r="AI552" s="60">
        <f ca="1">IF(NOTA[ID_H]="","",INDEX(NOTA[TANGGAL],MATCH(,INDIRECT(ADDRESS(ROW(NOTA[TANGGAL]),COLUMN(NOTA[TANGGAL]))&amp;":"&amp;ADDRESS(ROW(),COLUMN(NOTA[TANGGAL]))),-1)))</f>
        <v>45308</v>
      </c>
      <c r="AJ552" s="55" t="str">
        <f ca="1">IF(NOTA[[#This Row],[NAMA BARANG]]="","",INDEX(NOTA[SUPPLIER],MATCH(,INDIRECT(ADDRESS(ROW(NOTA[ID]),COLUMN(NOTA[ID]))&amp;":"&amp;ADDRESS(ROW(),COLUMN(NOTA[ID]))),-1)))</f>
        <v>NEW GOTO</v>
      </c>
      <c r="AK552" s="55" t="str">
        <f ca="1">IF(NOTA[[#This Row],[ID_H]]="","",IF(NOTA[[#This Row],[FAKTUR]]="",INDIRECT(ADDRESS(ROW()-1,COLUMN())),NOTA[[#This Row],[FAKTUR]]))</f>
        <v>UNTANA</v>
      </c>
      <c r="AL552" s="56" t="str">
        <f ca="1">IF(NOTA[[#This Row],[ID]]="","",COUNTIF(NOTA[ID_H],NOTA[[#This Row],[ID_H]]))</f>
        <v/>
      </c>
      <c r="AM552" s="56">
        <f ca="1">IF(NOTA[[#This Row],[TGL.NOTA]]="",IF(NOTA[[#This Row],[SUPPLIER_H]]="","",AM551),MONTH(NOTA[[#This Row],[TGL.NOTA]]))</f>
        <v>1</v>
      </c>
      <c r="AN552" s="56" t="str">
        <f>LOWER(SUBSTITUTE(SUBSTITUTE(SUBSTITUTE(SUBSTITUTE(SUBSTITUTE(SUBSTITUTE(SUBSTITUTE(SUBSTITUTE(SUBSTITUTE(NOTA[NAMA BARANG]," ",),".",""),"-",""),"(",""),")",""),",",""),"/",""),"""",""),"+",""))</f>
        <v>tashb38x45</v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tashb38x451716900</v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tashb38x4517169</v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 t="e">
        <f>IF(NOTA[[#This Row],[CONCAT1]]="","",MATCH(NOTA[[#This Row],[CONCAT1]],[3]!db[NB NOTA_C],0))</f>
        <v>#N/A</v>
      </c>
      <c r="AT552" s="56" t="str">
        <f>IF(NOTA[[#This Row],[QTY/ CTN]]="","",TRUE)</f>
        <v/>
      </c>
      <c r="AU552" s="56" t="e">
        <f ca="1">IF(NOTA[[#This Row],[ID_H]]="","",IF(NOTA[[#This Row],[Column3]]=TRUE,NOTA[[#This Row],[QTY/ CTN]],INDEX([3]!db[QTY/ CTN],NOTA[[#This Row],[//DB]])))</f>
        <v>#N/A</v>
      </c>
      <c r="AV55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2" s="56" t="e">
        <f ca="1">IF(NOTA[[#This Row],[ID_H]]="","",MATCH(NOTA[[#This Row],[NB NOTA_C_QTY]],[4]!db[NB NOTA_C_QTY+F],0))</f>
        <v>#N/A</v>
      </c>
      <c r="AX552" s="68" t="e">
        <f ca="1">IF(NOTA[[#This Row],[NB NOTA_C_QTY]]="","",ROW()-2)</f>
        <v>#N/A</v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58"/>
      <c r="G553" s="58"/>
      <c r="H553" s="59"/>
      <c r="I553" s="58"/>
      <c r="J553" s="60"/>
      <c r="K553" s="58"/>
      <c r="L553" s="37"/>
      <c r="M553" s="61"/>
      <c r="N553" s="56"/>
      <c r="O553" s="37"/>
      <c r="P553" s="55"/>
      <c r="Q553" s="62"/>
      <c r="R553" s="48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55" t="str">
        <f ca="1">IF(NOTA[[#This Row],[NAMA BARANG]]="","",INDEX(NOTA[SUPPLIER],MATCH(,INDIRECT(ADDRESS(ROW(NOTA[ID]),COLUMN(NOTA[ID]))&amp;":"&amp;ADDRESS(ROW(),COLUMN(NOTA[ID]))),-1)))</f>
        <v/>
      </c>
      <c r="AK553" s="55" t="str">
        <f ca="1">IF(NOTA[[#This Row],[ID_H]]="","",IF(NOTA[[#This Row],[FAKTUR]]="",INDIRECT(ADDRESS(ROW()-1,COLUMN())),NOTA[[#This Row],[FAKTUR]]))</f>
        <v/>
      </c>
      <c r="AL553" s="56" t="str">
        <f ca="1">IF(NOTA[[#This Row],[ID]]="","",COUNTIF(NOTA[ID_H],NOTA[[#This Row],[ID_H]]))</f>
        <v/>
      </c>
      <c r="AM553" s="56" t="str">
        <f ca="1">IF(NOTA[[#This Row],[TGL.NOTA]]="",IF(NOTA[[#This Row],[SUPPLIER_H]]="","",AM552),MONTH(NOTA[[#This Row],[TGL.NOTA]]))</f>
        <v/>
      </c>
      <c r="AN553" s="56" t="str">
        <f>LOWER(SUBSTITUTE(SUBSTITUTE(SUBSTITUTE(SUBSTITUTE(SUBSTITUTE(SUBSTITUTE(SUBSTITUTE(SUBSTITUTE(SUBSTITUTE(NOTA[NAMA BARANG]," ",),".",""),"-",""),"(",""),")",""),",",""),"/",""),"""",""),"+",""))</f>
        <v/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 t="str">
        <f>IF(NOTA[[#This Row],[CONCAT1]]="","",MATCH(NOTA[[#This Row],[CONCAT1]],[3]!db[NB NOTA_C],0))</f>
        <v/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/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56" t="str">
        <f ca="1">IF(NOTA[[#This Row],[ID_H]]="","",MATCH(NOTA[[#This Row],[NB NOTA_C_QTY]],[4]!db[NB NOTA_C_QTY+F],0))</f>
        <v/>
      </c>
      <c r="AX553" s="68" t="str">
        <f ca="1">IF(NOTA[[#This Row],[NB NOTA_C_QTY]]="","",ROW()-2)</f>
        <v/>
      </c>
    </row>
    <row r="554" spans="1:50" s="38" customFormat="1" ht="20.100000000000001" customHeight="1" x14ac:dyDescent="0.25">
      <c r="A554" s="55">
        <f ca="1">IF(INDIRECT(ADDRESS(ROW()-1,COLUMN(NOTA[[#Headers],[ID]])))="ID",1,IF(NOTA[[#This Row],[FAKTUR]]="","",COUNT(INDIRECT(ADDRESS(ROW(NOTA[ID]),COLUMN(NOTA[ID]))&amp;":"&amp;ADDRESS(ROW()-1,COLUMN(NOTA[ID]))))+1))</f>
        <v>89</v>
      </c>
      <c r="B55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KEN_1901_068-10</v>
      </c>
      <c r="C554" s="56" t="e">
        <f ca="1">IF(NOTA[[#This Row],[ID_P]]="","",MATCH(NOTA[[#This Row],[ID_P]],[1]!B_MSK[N_ID],0))</f>
        <v>#REF!</v>
      </c>
      <c r="D554" s="56">
        <f ca="1">IF(NOTA[[#This Row],[NAMA BARANG]]="","",INDEX(NOTA[ID],MATCH(,INDIRECT(ADDRESS(ROW(NOTA[ID]),COLUMN(NOTA[ID]))&amp;":"&amp;ADDRESS(ROW(),COLUMN(NOTA[ID]))),-1)))</f>
        <v>89</v>
      </c>
      <c r="E554" s="57">
        <v>45310</v>
      </c>
      <c r="F554" s="37" t="s">
        <v>22</v>
      </c>
      <c r="G554" s="37" t="s">
        <v>23</v>
      </c>
      <c r="H554" s="47" t="s">
        <v>674</v>
      </c>
      <c r="I554" s="58"/>
      <c r="J554" s="60">
        <v>45308</v>
      </c>
      <c r="K554" s="58"/>
      <c r="L554" s="37" t="s">
        <v>149</v>
      </c>
      <c r="M554" s="61">
        <v>1</v>
      </c>
      <c r="N554" s="56"/>
      <c r="O554" s="37"/>
      <c r="P554" s="55"/>
      <c r="Q554" s="62">
        <v>5616000</v>
      </c>
      <c r="R554" s="48"/>
      <c r="S554" s="49">
        <v>0.17</v>
      </c>
      <c r="T554" s="65"/>
      <c r="U554" s="65"/>
      <c r="V554" s="66"/>
      <c r="W554" s="67"/>
      <c r="X554" s="66">
        <f>IF(NOTA[[#This Row],[HARGA/ CTN]]="",NOTA[[#This Row],[JUMLAH_H]],NOTA[[#This Row],[HARGA/ CTN]]*IF(NOTA[[#This Row],[C]]="",0,NOTA[[#This Row],[C]]))</f>
        <v>5616000</v>
      </c>
      <c r="Y554" s="66">
        <f>IF(NOTA[[#This Row],[JUMLAH]]="","",NOTA[[#This Row],[JUMLAH]]*NOTA[[#This Row],[DISC 1]])</f>
        <v>954720.00000000012</v>
      </c>
      <c r="Z554" s="66">
        <f>IF(NOTA[[#This Row],[JUMLAH]]="","",(NOTA[[#This Row],[JUMLAH]]-NOTA[[#This Row],[DISC 1-]])*NOTA[[#This Row],[DISC 2]])</f>
        <v>0</v>
      </c>
      <c r="AA554" s="66">
        <f>IF(NOTA[[#This Row],[JUMLAH]]="","",(NOTA[[#This Row],[JUMLAH]]-NOTA[[#This Row],[DISC 1-]]-NOTA[[#This Row],[DISC 2-]])*NOTA[[#This Row],[DISC 3]])</f>
        <v>0</v>
      </c>
      <c r="AB554" s="66">
        <f>IF(NOTA[[#This Row],[JUMLAH]]="","",NOTA[[#This Row],[DISC 1-]]+NOTA[[#This Row],[DISC 2-]]+NOTA[[#This Row],[DISC 3-]])</f>
        <v>954720.00000000012</v>
      </c>
      <c r="AC554" s="66">
        <f>IF(NOTA[[#This Row],[JUMLAH]]="","",NOTA[[#This Row],[JUMLAH]]-NOTA[[#This Row],[DISC]])</f>
        <v>4661280</v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54" s="66" t="str">
        <f>IF(OR(NOTA[[#This Row],[QTY]]="",NOTA[[#This Row],[HARGA SATUAN]]="",),"",NOTA[[#This Row],[QTY]]*NOTA[[#This Row],[HARGA SATUAN]])</f>
        <v/>
      </c>
      <c r="AI554" s="60">
        <f ca="1">IF(NOTA[ID_H]="","",INDEX(NOTA[TANGGAL],MATCH(,INDIRECT(ADDRESS(ROW(NOTA[TANGGAL]),COLUMN(NOTA[TANGGAL]))&amp;":"&amp;ADDRESS(ROW(),COLUMN(NOTA[TANGGAL]))),-1)))</f>
        <v>45310</v>
      </c>
      <c r="AJ554" s="55" t="str">
        <f ca="1">IF(NOTA[[#This Row],[NAMA BARANG]]="","",INDEX(NOTA[SUPPLIER],MATCH(,INDIRECT(ADDRESS(ROW(NOTA[ID]),COLUMN(NOTA[ID]))&amp;":"&amp;ADDRESS(ROW(),COLUMN(NOTA[ID]))),-1)))</f>
        <v>KENKO SINAR INDONESIA</v>
      </c>
      <c r="AK554" s="55" t="str">
        <f ca="1">IF(NOTA[[#This Row],[ID_H]]="","",IF(NOTA[[#This Row],[FAKTUR]]="",INDIRECT(ADDRESS(ROW()-1,COLUMN())),NOTA[[#This Row],[FAKTUR]]))</f>
        <v>ARTO MORO</v>
      </c>
      <c r="AL554" s="56">
        <f ca="1">IF(NOTA[[#This Row],[ID]]="","",COUNTIF(NOTA[ID_H],NOTA[[#This Row],[ID_H]]))</f>
        <v>10</v>
      </c>
      <c r="AM554" s="56">
        <f>IF(NOTA[[#This Row],[TGL.NOTA]]="",IF(NOTA[[#This Row],[SUPPLIER_H]]="","",AM553),MONTH(NOTA[[#This Row],[TGL.NOTA]]))</f>
        <v>1</v>
      </c>
      <c r="AN554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MORO2401106845308kenkogelpenhitechh028mmblue</v>
      </c>
      <c r="AR554" s="56" t="e">
        <f>IF(NOTA[[#This Row],[CONCAT4]]="","",_xlfn.IFNA(MATCH(NOTA[[#This Row],[CONCAT4]],[2]!RAW[CONCAT_H],0),FALSE))</f>
        <v>#REF!</v>
      </c>
      <c r="AS554" s="56">
        <f>IF(NOTA[[#This Row],[CONCAT1]]="","",MATCH(NOTA[[#This Row],[CONCAT1]],[3]!db[NB NOTA_C],0))</f>
        <v>1622</v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>144 LSN</v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554" s="56" t="e">
        <f ca="1">IF(NOTA[[#This Row],[ID_H]]="","",MATCH(NOTA[[#This Row],[NB NOTA_C_QTY]],[4]!db[NB NOTA_C_QTY+F],0))</f>
        <v>#REF!</v>
      </c>
      <c r="AX554" s="68">
        <f ca="1">IF(NOTA[[#This Row],[NB NOTA_C_QTY]]="","",ROW()-2)</f>
        <v>552</v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>
        <f ca="1">IF(NOTA[[#This Row],[NAMA BARANG]]="","",INDEX(NOTA[ID],MATCH(,INDIRECT(ADDRESS(ROW(NOTA[ID]),COLUMN(NOTA[ID]))&amp;":"&amp;ADDRESS(ROW(),COLUMN(NOTA[ID]))),-1)))</f>
        <v>89</v>
      </c>
      <c r="E555" s="57"/>
      <c r="F555" s="58"/>
      <c r="G555" s="58"/>
      <c r="H555" s="59"/>
      <c r="I555" s="58"/>
      <c r="J555" s="60"/>
      <c r="K555" s="58"/>
      <c r="L555" s="37" t="s">
        <v>148</v>
      </c>
      <c r="M555" s="61">
        <v>3</v>
      </c>
      <c r="N555" s="56"/>
      <c r="O555" s="37"/>
      <c r="P555" s="55"/>
      <c r="Q555" s="62">
        <v>5616000</v>
      </c>
      <c r="R555" s="48"/>
      <c r="S555" s="64">
        <v>0.17</v>
      </c>
      <c r="T555" s="65"/>
      <c r="U555" s="65"/>
      <c r="V555" s="66"/>
      <c r="W555" s="67"/>
      <c r="X555" s="66">
        <f>IF(NOTA[[#This Row],[HARGA/ CTN]]="",NOTA[[#This Row],[JUMLAH_H]],NOTA[[#This Row],[HARGA/ CTN]]*IF(NOTA[[#This Row],[C]]="",0,NOTA[[#This Row],[C]]))</f>
        <v>16848000</v>
      </c>
      <c r="Y555" s="66">
        <f>IF(NOTA[[#This Row],[JUMLAH]]="","",NOTA[[#This Row],[JUMLAH]]*NOTA[[#This Row],[DISC 1]])</f>
        <v>2864160</v>
      </c>
      <c r="Z555" s="66">
        <f>IF(NOTA[[#This Row],[JUMLAH]]="","",(NOTA[[#This Row],[JUMLAH]]-NOTA[[#This Row],[DISC 1-]])*NOTA[[#This Row],[DISC 2]])</f>
        <v>0</v>
      </c>
      <c r="AA555" s="66">
        <f>IF(NOTA[[#This Row],[JUMLAH]]="","",(NOTA[[#This Row],[JUMLAH]]-NOTA[[#This Row],[DISC 1-]]-NOTA[[#This Row],[DISC 2-]])*NOTA[[#This Row],[DISC 3]])</f>
        <v>0</v>
      </c>
      <c r="AB555" s="66">
        <f>IF(NOTA[[#This Row],[JUMLAH]]="","",NOTA[[#This Row],[DISC 1-]]+NOTA[[#This Row],[DISC 2-]]+NOTA[[#This Row],[DISC 3-]])</f>
        <v>2864160</v>
      </c>
      <c r="AC555" s="66">
        <f>IF(NOTA[[#This Row],[JUMLAH]]="","",NOTA[[#This Row],[JUMLAH]]-NOTA[[#This Row],[DISC]])</f>
        <v>13983840</v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55" s="66" t="str">
        <f>IF(OR(NOTA[[#This Row],[QTY]]="",NOTA[[#This Row],[HARGA SATUAN]]="",),"",NOTA[[#This Row],[QTY]]*NOTA[[#This Row],[HARGA SATUAN]])</f>
        <v/>
      </c>
      <c r="AI555" s="60">
        <f ca="1">IF(NOTA[ID_H]="","",INDEX(NOTA[TANGGAL],MATCH(,INDIRECT(ADDRESS(ROW(NOTA[TANGGAL]),COLUMN(NOTA[TANGGAL]))&amp;":"&amp;ADDRESS(ROW(),COLUMN(NOTA[TANGGAL]))),-1)))</f>
        <v>45310</v>
      </c>
      <c r="AJ555" s="55" t="str">
        <f ca="1">IF(NOTA[[#This Row],[NAMA BARANG]]="","",INDEX(NOTA[SUPPLIER],MATCH(,INDIRECT(ADDRESS(ROW(NOTA[ID]),COLUMN(NOTA[ID]))&amp;":"&amp;ADDRESS(ROW(),COLUMN(NOTA[ID]))),-1)))</f>
        <v>KENKO SINAR INDONESIA</v>
      </c>
      <c r="AK555" s="55" t="str">
        <f ca="1">IF(NOTA[[#This Row],[ID_H]]="","",IF(NOTA[[#This Row],[FAKTUR]]="",INDIRECT(ADDRESS(ROW()-1,COLUMN())),NOTA[[#This Row],[FAKTUR]]))</f>
        <v>ARTO MORO</v>
      </c>
      <c r="AL555" s="56" t="str">
        <f ca="1">IF(NOTA[[#This Row],[ID]]="","",COUNTIF(NOTA[ID_H],NOTA[[#This Row],[ID_H]]))</f>
        <v/>
      </c>
      <c r="AM555" s="56">
        <f ca="1">IF(NOTA[[#This Row],[TGL.NOTA]]="",IF(NOTA[[#This Row],[SUPPLIER_H]]="","",AM554),MONTH(NOTA[[#This Row],[TGL.NOTA]]))</f>
        <v>1</v>
      </c>
      <c r="AN555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>
        <f>IF(NOTA[[#This Row],[CONCAT1]]="","",MATCH(NOTA[[#This Row],[CONCAT1]],[3]!db[NB NOTA_C],0))</f>
        <v>1621</v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>144 LSN</v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55" s="56" t="e">
        <f ca="1">IF(NOTA[[#This Row],[ID_H]]="","",MATCH(NOTA[[#This Row],[NB NOTA_C_QTY]],[4]!db[NB NOTA_C_QTY+F],0))</f>
        <v>#REF!</v>
      </c>
      <c r="AX555" s="68">
        <f ca="1">IF(NOTA[[#This Row],[NB NOTA_C_QTY]]="","",ROW()-2)</f>
        <v>553</v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>
        <f ca="1">IF(NOTA[[#This Row],[NAMA BARANG]]="","",INDEX(NOTA[ID],MATCH(,INDIRECT(ADDRESS(ROW(NOTA[ID]),COLUMN(NOTA[ID]))&amp;":"&amp;ADDRESS(ROW(),COLUMN(NOTA[ID]))),-1)))</f>
        <v>89</v>
      </c>
      <c r="E556" s="57"/>
      <c r="F556" s="37"/>
      <c r="G556" s="37"/>
      <c r="H556" s="47"/>
      <c r="I556" s="58"/>
      <c r="J556" s="60"/>
      <c r="K556" s="58">
        <v>0</v>
      </c>
      <c r="L556" s="37" t="s">
        <v>675</v>
      </c>
      <c r="M556" s="61">
        <v>1</v>
      </c>
      <c r="N556" s="56"/>
      <c r="O556" s="37"/>
      <c r="P556" s="55"/>
      <c r="Q556" s="62">
        <v>5616000</v>
      </c>
      <c r="R556" s="63"/>
      <c r="S556" s="64">
        <v>0.17</v>
      </c>
      <c r="T556" s="65"/>
      <c r="U556" s="65"/>
      <c r="V556" s="66"/>
      <c r="W556" s="67"/>
      <c r="X556" s="66">
        <f>IF(NOTA[[#This Row],[HARGA/ CTN]]="",NOTA[[#This Row],[JUMLAH_H]],NOTA[[#This Row],[HARGA/ CTN]]*IF(NOTA[[#This Row],[C]]="",0,NOTA[[#This Row],[C]]))</f>
        <v>5616000</v>
      </c>
      <c r="Y556" s="66">
        <f>IF(NOTA[[#This Row],[JUMLAH]]="","",NOTA[[#This Row],[JUMLAH]]*NOTA[[#This Row],[DISC 1]])</f>
        <v>954720.00000000012</v>
      </c>
      <c r="Z556" s="66">
        <f>IF(NOTA[[#This Row],[JUMLAH]]="","",(NOTA[[#This Row],[JUMLAH]]-NOTA[[#This Row],[DISC 1-]])*NOTA[[#This Row],[DISC 2]])</f>
        <v>0</v>
      </c>
      <c r="AA556" s="66">
        <f>IF(NOTA[[#This Row],[JUMLAH]]="","",(NOTA[[#This Row],[JUMLAH]]-NOTA[[#This Row],[DISC 1-]]-NOTA[[#This Row],[DISC 2-]])*NOTA[[#This Row],[DISC 3]])</f>
        <v>0</v>
      </c>
      <c r="AB556" s="66">
        <f>IF(NOTA[[#This Row],[JUMLAH]]="","",NOTA[[#This Row],[DISC 1-]]+NOTA[[#This Row],[DISC 2-]]+NOTA[[#This Row],[DISC 3-]])</f>
        <v>954720.00000000012</v>
      </c>
      <c r="AC556" s="66">
        <f>IF(NOTA[[#This Row],[JUMLAH]]="","",NOTA[[#This Row],[JUMLAH]]-NOTA[[#This Row],[DISC]])</f>
        <v>4661280</v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56" s="66" t="str">
        <f>IF(OR(NOTA[[#This Row],[QTY]]="",NOTA[[#This Row],[HARGA SATUAN]]="",),"",NOTA[[#This Row],[QTY]]*NOTA[[#This Row],[HARGA SATUAN]])</f>
        <v/>
      </c>
      <c r="AI556" s="60">
        <f ca="1">IF(NOTA[ID_H]="","",INDEX(NOTA[TANGGAL],MATCH(,INDIRECT(ADDRESS(ROW(NOTA[TANGGAL]),COLUMN(NOTA[TANGGAL]))&amp;":"&amp;ADDRESS(ROW(),COLUMN(NOTA[TANGGAL]))),-1)))</f>
        <v>45310</v>
      </c>
      <c r="AJ556" s="55" t="str">
        <f ca="1">IF(NOTA[[#This Row],[NAMA BARANG]]="","",INDEX(NOTA[SUPPLIER],MATCH(,INDIRECT(ADDRESS(ROW(NOTA[ID]),COLUMN(NOTA[ID]))&amp;":"&amp;ADDRESS(ROW(),COLUMN(NOTA[ID]))),-1)))</f>
        <v>KENKO SINAR INDONESIA</v>
      </c>
      <c r="AK556" s="55" t="str">
        <f ca="1">IF(NOTA[[#This Row],[ID_H]]="","",IF(NOTA[[#This Row],[FAKTUR]]="",INDIRECT(ADDRESS(ROW()-1,COLUMN())),NOTA[[#This Row],[FAKTUR]]))</f>
        <v>ARTO MORO</v>
      </c>
      <c r="AL556" s="56" t="str">
        <f ca="1">IF(NOTA[[#This Row],[ID]]="","",COUNTIF(NOTA[ID_H],NOTA[[#This Row],[ID_H]]))</f>
        <v/>
      </c>
      <c r="AM556" s="56">
        <f ca="1">IF(NOTA[[#This Row],[TGL.NOTA]]="",IF(NOTA[[#This Row],[SUPPLIER_H]]="","",AM555),MONTH(NOTA[[#This Row],[TGL.NOTA]]))</f>
        <v>1</v>
      </c>
      <c r="AN556" s="56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>
        <f>IF(NOTA[[#This Row],[CONCAT1]]="","",MATCH(NOTA[[#This Row],[CONCAT1]],[3]!db[NB NOTA_C],0))</f>
        <v>1623</v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>144 LSN</v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kenkogelpenhitechh04mmblack144lsnartomoro</v>
      </c>
      <c r="AW556" s="56" t="e">
        <f ca="1">IF(NOTA[[#This Row],[ID_H]]="","",MATCH(NOTA[[#This Row],[NB NOTA_C_QTY]],[4]!db[NB NOTA_C_QTY+F],0))</f>
        <v>#REF!</v>
      </c>
      <c r="AX556" s="68">
        <f ca="1">IF(NOTA[[#This Row],[NB NOTA_C_QTY]]="","",ROW()-2)</f>
        <v>554</v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>
        <f ca="1">IF(NOTA[[#This Row],[NAMA BARANG]]="","",INDEX(NOTA[ID],MATCH(,INDIRECT(ADDRESS(ROW(NOTA[ID]),COLUMN(NOTA[ID]))&amp;":"&amp;ADDRESS(ROW(),COLUMN(NOTA[ID]))),-1)))</f>
        <v>89</v>
      </c>
      <c r="E557" s="57"/>
      <c r="F557" s="37"/>
      <c r="G557" s="37"/>
      <c r="H557" s="47"/>
      <c r="I557" s="58"/>
      <c r="J557" s="60"/>
      <c r="K557" s="58">
        <v>0</v>
      </c>
      <c r="L557" s="37" t="s">
        <v>146</v>
      </c>
      <c r="M557" s="61">
        <v>2</v>
      </c>
      <c r="N557" s="56"/>
      <c r="O557" s="37"/>
      <c r="P557" s="55"/>
      <c r="Q557" s="62">
        <v>800000</v>
      </c>
      <c r="R557" s="48"/>
      <c r="S557" s="64">
        <v>0.17</v>
      </c>
      <c r="T557" s="65"/>
      <c r="U557" s="65"/>
      <c r="V557" s="66"/>
      <c r="W557" s="67"/>
      <c r="X557" s="66">
        <f>IF(NOTA[[#This Row],[HARGA/ CTN]]="",NOTA[[#This Row],[JUMLAH_H]],NOTA[[#This Row],[HARGA/ CTN]]*IF(NOTA[[#This Row],[C]]="",0,NOTA[[#This Row],[C]]))</f>
        <v>1600000</v>
      </c>
      <c r="Y557" s="66">
        <f>IF(NOTA[[#This Row],[JUMLAH]]="","",NOTA[[#This Row],[JUMLAH]]*NOTA[[#This Row],[DISC 1]])</f>
        <v>272000</v>
      </c>
      <c r="Z557" s="66">
        <f>IF(NOTA[[#This Row],[JUMLAH]]="","",(NOTA[[#This Row],[JUMLAH]]-NOTA[[#This Row],[DISC 1-]])*NOTA[[#This Row],[DISC 2]])</f>
        <v>0</v>
      </c>
      <c r="AA557" s="66">
        <f>IF(NOTA[[#This Row],[JUMLAH]]="","",(NOTA[[#This Row],[JUMLAH]]-NOTA[[#This Row],[DISC 1-]]-NOTA[[#This Row],[DISC 2-]])*NOTA[[#This Row],[DISC 3]])</f>
        <v>0</v>
      </c>
      <c r="AB557" s="66">
        <f>IF(NOTA[[#This Row],[JUMLAH]]="","",NOTA[[#This Row],[DISC 1-]]+NOTA[[#This Row],[DISC 2-]]+NOTA[[#This Row],[DISC 3-]])</f>
        <v>272000</v>
      </c>
      <c r="AC557" s="66">
        <f>IF(NOTA[[#This Row],[JUMLAH]]="","",NOTA[[#This Row],[JUMLAH]]-NOTA[[#This Row],[DISC]])</f>
        <v>1328000</v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557" s="66" t="str">
        <f>IF(OR(NOTA[[#This Row],[QTY]]="",NOTA[[#This Row],[HARGA SATUAN]]="",),"",NOTA[[#This Row],[QTY]]*NOTA[[#This Row],[HARGA SATUAN]])</f>
        <v/>
      </c>
      <c r="AI557" s="60">
        <f ca="1">IF(NOTA[ID_H]="","",INDEX(NOTA[TANGGAL],MATCH(,INDIRECT(ADDRESS(ROW(NOTA[TANGGAL]),COLUMN(NOTA[TANGGAL]))&amp;":"&amp;ADDRESS(ROW(),COLUMN(NOTA[TANGGAL]))),-1)))</f>
        <v>45310</v>
      </c>
      <c r="AJ557" s="55" t="str">
        <f ca="1">IF(NOTA[[#This Row],[NAMA BARANG]]="","",INDEX(NOTA[SUPPLIER],MATCH(,INDIRECT(ADDRESS(ROW(NOTA[ID]),COLUMN(NOTA[ID]))&amp;":"&amp;ADDRESS(ROW(),COLUMN(NOTA[ID]))),-1)))</f>
        <v>KENKO SINAR INDONESIA</v>
      </c>
      <c r="AK557" s="55" t="str">
        <f ca="1">IF(NOTA[[#This Row],[ID_H]]="","",IF(NOTA[[#This Row],[FAKTUR]]="",INDIRECT(ADDRESS(ROW()-1,COLUMN())),NOTA[[#This Row],[FAKTUR]]))</f>
        <v>ARTO MORO</v>
      </c>
      <c r="AL557" s="56" t="str">
        <f ca="1">IF(NOTA[[#This Row],[ID]]="","",COUNTIF(NOTA[ID_H],NOTA[[#This Row],[ID_H]]))</f>
        <v/>
      </c>
      <c r="AM557" s="56">
        <f ca="1">IF(NOTA[[#This Row],[TGL.NOTA]]="",IF(NOTA[[#This Row],[SUPPLIER_H]]="","",AM556),MONTH(NOTA[[#This Row],[TGL.NOTA]]))</f>
        <v>1</v>
      </c>
      <c r="AN557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>
        <f>IF(NOTA[[#This Row],[CONCAT1]]="","",MATCH(NOTA[[#This Row],[CONCAT1]],[3]!db[NB NOTA_C],0))</f>
        <v>1801</v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>500 BOX</v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557" s="56" t="e">
        <f ca="1">IF(NOTA[[#This Row],[ID_H]]="","",MATCH(NOTA[[#This Row],[NB NOTA_C_QTY]],[4]!db[NB NOTA_C_QTY+F],0))</f>
        <v>#REF!</v>
      </c>
      <c r="AX557" s="68">
        <f ca="1">IF(NOTA[[#This Row],[NB NOTA_C_QTY]]="","",ROW()-2)</f>
        <v>555</v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>
        <f ca="1">IF(NOTA[[#This Row],[NAMA BARANG]]="","",INDEX(NOTA[ID],MATCH(,INDIRECT(ADDRESS(ROW(NOTA[ID]),COLUMN(NOTA[ID]))&amp;":"&amp;ADDRESS(ROW(),COLUMN(NOTA[ID]))),-1)))</f>
        <v>89</v>
      </c>
      <c r="E558" s="57"/>
      <c r="F558" s="58"/>
      <c r="G558" s="58"/>
      <c r="H558" s="59"/>
      <c r="I558" s="58"/>
      <c r="J558" s="60"/>
      <c r="K558" s="58">
        <v>0</v>
      </c>
      <c r="L558" s="37" t="s">
        <v>125</v>
      </c>
      <c r="M558" s="61">
        <v>2</v>
      </c>
      <c r="N558" s="56"/>
      <c r="O558" s="58"/>
      <c r="P558" s="55"/>
      <c r="Q558" s="62">
        <v>1954800</v>
      </c>
      <c r="R558" s="63"/>
      <c r="S558" s="64">
        <v>0.17</v>
      </c>
      <c r="T558" s="65"/>
      <c r="U558" s="65"/>
      <c r="V558" s="66"/>
      <c r="W558" s="67"/>
      <c r="X558" s="66">
        <f>IF(NOTA[[#This Row],[HARGA/ CTN]]="",NOTA[[#This Row],[JUMLAH_H]],NOTA[[#This Row],[HARGA/ CTN]]*IF(NOTA[[#This Row],[C]]="",0,NOTA[[#This Row],[C]]))</f>
        <v>3909600</v>
      </c>
      <c r="Y558" s="66">
        <f>IF(NOTA[[#This Row],[JUMLAH]]="","",NOTA[[#This Row],[JUMLAH]]*NOTA[[#This Row],[DISC 1]])</f>
        <v>664632</v>
      </c>
      <c r="Z558" s="66">
        <f>IF(NOTA[[#This Row],[JUMLAH]]="","",(NOTA[[#This Row],[JUMLAH]]-NOTA[[#This Row],[DISC 1-]])*NOTA[[#This Row],[DISC 2]])</f>
        <v>0</v>
      </c>
      <c r="AA558" s="66">
        <f>IF(NOTA[[#This Row],[JUMLAH]]="","",(NOTA[[#This Row],[JUMLAH]]-NOTA[[#This Row],[DISC 1-]]-NOTA[[#This Row],[DISC 2-]])*NOTA[[#This Row],[DISC 3]])</f>
        <v>0</v>
      </c>
      <c r="AB558" s="66">
        <f>IF(NOTA[[#This Row],[JUMLAH]]="","",NOTA[[#This Row],[DISC 1-]]+NOTA[[#This Row],[DISC 2-]]+NOTA[[#This Row],[DISC 3-]])</f>
        <v>664632</v>
      </c>
      <c r="AC558" s="66">
        <f>IF(NOTA[[#This Row],[JUMLAH]]="","",NOTA[[#This Row],[JUMLAH]]-NOTA[[#This Row],[DISC]])</f>
        <v>3244968</v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58" s="66" t="str">
        <f>IF(OR(NOTA[[#This Row],[QTY]]="",NOTA[[#This Row],[HARGA SATUAN]]="",),"",NOTA[[#This Row],[QTY]]*NOTA[[#This Row],[HARGA SATUAN]])</f>
        <v/>
      </c>
      <c r="AI558" s="60">
        <f ca="1">IF(NOTA[ID_H]="","",INDEX(NOTA[TANGGAL],MATCH(,INDIRECT(ADDRESS(ROW(NOTA[TANGGAL]),COLUMN(NOTA[TANGGAL]))&amp;":"&amp;ADDRESS(ROW(),COLUMN(NOTA[TANGGAL]))),-1)))</f>
        <v>45310</v>
      </c>
      <c r="AJ558" s="55" t="str">
        <f ca="1">IF(NOTA[[#This Row],[NAMA BARANG]]="","",INDEX(NOTA[SUPPLIER],MATCH(,INDIRECT(ADDRESS(ROW(NOTA[ID]),COLUMN(NOTA[ID]))&amp;":"&amp;ADDRESS(ROW(),COLUMN(NOTA[ID]))),-1)))</f>
        <v>KENKO SINAR INDONESIA</v>
      </c>
      <c r="AK558" s="55" t="str">
        <f ca="1">IF(NOTA[[#This Row],[ID_H]]="","",IF(NOTA[[#This Row],[FAKTUR]]="",INDIRECT(ADDRESS(ROW()-1,COLUMN())),NOTA[[#This Row],[FAKTUR]]))</f>
        <v>ARTO MORO</v>
      </c>
      <c r="AL558" s="56" t="str">
        <f ca="1">IF(NOTA[[#This Row],[ID]]="","",COUNTIF(NOTA[ID_H],NOTA[[#This Row],[ID_H]]))</f>
        <v/>
      </c>
      <c r="AM558" s="56">
        <f ca="1">IF(NOTA[[#This Row],[TGL.NOTA]]="",IF(NOTA[[#This Row],[SUPPLIER_H]]="","",AM557),MONTH(NOTA[[#This Row],[TGL.NOTA]]))</f>
        <v>1</v>
      </c>
      <c r="AN558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>
        <f>IF(NOTA[[#This Row],[CONCAT1]]="","",MATCH(NOTA[[#This Row],[CONCAT1]],[3]!db[NB NOTA_C],0))</f>
        <v>1558</v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>36 LSN</v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58" s="56" t="e">
        <f ca="1">IF(NOTA[[#This Row],[ID_H]]="","",MATCH(NOTA[[#This Row],[NB NOTA_C_QTY]],[4]!db[NB NOTA_C_QTY+F],0))</f>
        <v>#REF!</v>
      </c>
      <c r="AX558" s="68">
        <f ca="1">IF(NOTA[[#This Row],[NB NOTA_C_QTY]]="","",ROW()-2)</f>
        <v>556</v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89</v>
      </c>
      <c r="E559" s="57"/>
      <c r="F559" s="37"/>
      <c r="G559" s="37"/>
      <c r="H559" s="47"/>
      <c r="I559" s="58"/>
      <c r="J559" s="60"/>
      <c r="K559" s="58">
        <v>0</v>
      </c>
      <c r="L559" s="37" t="s">
        <v>350</v>
      </c>
      <c r="M559" s="40">
        <v>1</v>
      </c>
      <c r="N559" s="56"/>
      <c r="O559" s="37"/>
      <c r="P559" s="55"/>
      <c r="Q559" s="62">
        <v>2952000</v>
      </c>
      <c r="R559" s="63"/>
      <c r="S559" s="64">
        <v>0.17</v>
      </c>
      <c r="T559" s="65"/>
      <c r="U559" s="65"/>
      <c r="V559" s="66"/>
      <c r="W559" s="67"/>
      <c r="X559" s="66">
        <f>IF(NOTA[[#This Row],[HARGA/ CTN]]="",NOTA[[#This Row],[JUMLAH_H]],NOTA[[#This Row],[HARGA/ CTN]]*IF(NOTA[[#This Row],[C]]="",0,NOTA[[#This Row],[C]]))</f>
        <v>2952000</v>
      </c>
      <c r="Y559" s="66">
        <f>IF(NOTA[[#This Row],[JUMLAH]]="","",NOTA[[#This Row],[JUMLAH]]*NOTA[[#This Row],[DISC 1]])</f>
        <v>501840.00000000006</v>
      </c>
      <c r="Z559" s="66">
        <f>IF(NOTA[[#This Row],[JUMLAH]]="","",(NOTA[[#This Row],[JUMLAH]]-NOTA[[#This Row],[DISC 1-]])*NOTA[[#This Row],[DISC 2]])</f>
        <v>0</v>
      </c>
      <c r="AA559" s="66">
        <f>IF(NOTA[[#This Row],[JUMLAH]]="","",(NOTA[[#This Row],[JUMLAH]]-NOTA[[#This Row],[DISC 1-]]-NOTA[[#This Row],[DISC 2-]])*NOTA[[#This Row],[DISC 3]])</f>
        <v>0</v>
      </c>
      <c r="AB559" s="66">
        <f>IF(NOTA[[#This Row],[JUMLAH]]="","",NOTA[[#This Row],[DISC 1-]]+NOTA[[#This Row],[DISC 2-]]+NOTA[[#This Row],[DISC 3-]])</f>
        <v>501840.00000000006</v>
      </c>
      <c r="AC559" s="66">
        <f>IF(NOTA[[#This Row],[JUMLAH]]="","",NOTA[[#This Row],[JUMLAH]]-NOTA[[#This Row],[DISC]])</f>
        <v>2450160</v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59" s="66" t="str">
        <f>IF(OR(NOTA[[#This Row],[QTY]]="",NOTA[[#This Row],[HARGA SATUAN]]="",),"",NOTA[[#This Row],[QTY]]*NOTA[[#This Row],[HARGA SATUAN]])</f>
        <v/>
      </c>
      <c r="AI559" s="60">
        <f ca="1">IF(NOTA[ID_H]="","",INDEX(NOTA[TANGGAL],MATCH(,INDIRECT(ADDRESS(ROW(NOTA[TANGGAL]),COLUMN(NOTA[TANGGAL]))&amp;":"&amp;ADDRESS(ROW(),COLUMN(NOTA[TANGGAL]))),-1)))</f>
        <v>45310</v>
      </c>
      <c r="AJ559" s="55" t="str">
        <f ca="1">IF(NOTA[[#This Row],[NAMA BARANG]]="","",INDEX(NOTA[SUPPLIER],MATCH(,INDIRECT(ADDRESS(ROW(NOTA[ID]),COLUMN(NOTA[ID]))&amp;":"&amp;ADDRESS(ROW(),COLUMN(NOTA[ID]))),-1)))</f>
        <v>KENKO SINAR INDONESIA</v>
      </c>
      <c r="AK559" s="55" t="str">
        <f ca="1">IF(NOTA[[#This Row],[ID_H]]="","",IF(NOTA[[#This Row],[FAKTUR]]="",INDIRECT(ADDRESS(ROW()-1,COLUMN())),NOTA[[#This Row],[FAKTUR]]))</f>
        <v>ARTO MORO</v>
      </c>
      <c r="AL559" s="56" t="str">
        <f ca="1">IF(NOTA[[#This Row],[ID]]="","",COUNTIF(NOTA[ID_H],NOTA[[#This Row],[ID_H]]))</f>
        <v/>
      </c>
      <c r="AM559" s="56">
        <f ca="1">IF(NOTA[[#This Row],[TGL.NOTA]]="",IF(NOTA[[#This Row],[SUPPLIER_H]]="","",AM558),MONTH(NOTA[[#This Row],[TGL.NOTA]]))</f>
        <v>1</v>
      </c>
      <c r="AN559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>
        <f>IF(NOTA[[#This Row],[CONCAT1]]="","",MATCH(NOTA[[#This Row],[CONCAT1]],[3]!db[NB NOTA_C],0))</f>
        <v>1600</v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>20 LSN</v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559" s="56" t="e">
        <f ca="1">IF(NOTA[[#This Row],[ID_H]]="","",MATCH(NOTA[[#This Row],[NB NOTA_C_QTY]],[4]!db[NB NOTA_C_QTY+F],0))</f>
        <v>#REF!</v>
      </c>
      <c r="AX559" s="68">
        <f ca="1">IF(NOTA[[#This Row],[NB NOTA_C_QTY]]="","",ROW()-2)</f>
        <v>557</v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>
        <f ca="1">IF(NOTA[[#This Row],[NAMA BARANG]]="","",INDEX(NOTA[ID],MATCH(,INDIRECT(ADDRESS(ROW(NOTA[ID]),COLUMN(NOTA[ID]))&amp;":"&amp;ADDRESS(ROW(),COLUMN(NOTA[ID]))),-1)))</f>
        <v>89</v>
      </c>
      <c r="E560" s="57"/>
      <c r="F560" s="58"/>
      <c r="G560" s="58"/>
      <c r="H560" s="59"/>
      <c r="I560" s="58"/>
      <c r="J560" s="60"/>
      <c r="K560" s="58"/>
      <c r="L560" s="37" t="s">
        <v>676</v>
      </c>
      <c r="M560" s="61">
        <v>1</v>
      </c>
      <c r="N560" s="56"/>
      <c r="O560" s="37"/>
      <c r="P560" s="55"/>
      <c r="Q560" s="62">
        <v>1995000</v>
      </c>
      <c r="R560" s="63"/>
      <c r="S560" s="64">
        <v>0.17</v>
      </c>
      <c r="T560" s="65"/>
      <c r="U560" s="65"/>
      <c r="V560" s="66"/>
      <c r="W560" s="67"/>
      <c r="X560" s="66">
        <f>IF(NOTA[[#This Row],[HARGA/ CTN]]="",NOTA[[#This Row],[JUMLAH_H]],NOTA[[#This Row],[HARGA/ CTN]]*IF(NOTA[[#This Row],[C]]="",0,NOTA[[#This Row],[C]]))</f>
        <v>1995000</v>
      </c>
      <c r="Y560" s="66">
        <f>IF(NOTA[[#This Row],[JUMLAH]]="","",NOTA[[#This Row],[JUMLAH]]*NOTA[[#This Row],[DISC 1]])</f>
        <v>339150</v>
      </c>
      <c r="Z560" s="66">
        <f>IF(NOTA[[#This Row],[JUMLAH]]="","",(NOTA[[#This Row],[JUMLAH]]-NOTA[[#This Row],[DISC 1-]])*NOTA[[#This Row],[DISC 2]])</f>
        <v>0</v>
      </c>
      <c r="AA560" s="66">
        <f>IF(NOTA[[#This Row],[JUMLAH]]="","",(NOTA[[#This Row],[JUMLAH]]-NOTA[[#This Row],[DISC 1-]]-NOTA[[#This Row],[DISC 2-]])*NOTA[[#This Row],[DISC 3]])</f>
        <v>0</v>
      </c>
      <c r="AB560" s="66">
        <f>IF(NOTA[[#This Row],[JUMLAH]]="","",NOTA[[#This Row],[DISC 1-]]+NOTA[[#This Row],[DISC 2-]]+NOTA[[#This Row],[DISC 3-]])</f>
        <v>339150</v>
      </c>
      <c r="AC560" s="66">
        <f>IF(NOTA[[#This Row],[JUMLAH]]="","",NOTA[[#This Row],[JUMLAH]]-NOTA[[#This Row],[DISC]])</f>
        <v>1655850</v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560" s="66" t="str">
        <f>IF(OR(NOTA[[#This Row],[QTY]]="",NOTA[[#This Row],[HARGA SATUAN]]="",),"",NOTA[[#This Row],[QTY]]*NOTA[[#This Row],[HARGA SATUAN]])</f>
        <v/>
      </c>
      <c r="AI560" s="60">
        <f ca="1">IF(NOTA[ID_H]="","",INDEX(NOTA[TANGGAL],MATCH(,INDIRECT(ADDRESS(ROW(NOTA[TANGGAL]),COLUMN(NOTA[TANGGAL]))&amp;":"&amp;ADDRESS(ROW(),COLUMN(NOTA[TANGGAL]))),-1)))</f>
        <v>45310</v>
      </c>
      <c r="AJ560" s="55" t="str">
        <f ca="1">IF(NOTA[[#This Row],[NAMA BARANG]]="","",INDEX(NOTA[SUPPLIER],MATCH(,INDIRECT(ADDRESS(ROW(NOTA[ID]),COLUMN(NOTA[ID]))&amp;":"&amp;ADDRESS(ROW(),COLUMN(NOTA[ID]))),-1)))</f>
        <v>KENKO SINAR INDONESIA</v>
      </c>
      <c r="AK560" s="55" t="str">
        <f ca="1">IF(NOTA[[#This Row],[ID_H]]="","",IF(NOTA[[#This Row],[FAKTUR]]="",INDIRECT(ADDRESS(ROW()-1,COLUMN())),NOTA[[#This Row],[FAKTUR]]))</f>
        <v>ARTO MORO</v>
      </c>
      <c r="AL560" s="56" t="str">
        <f ca="1">IF(NOTA[[#This Row],[ID]]="","",COUNTIF(NOTA[ID_H],NOTA[[#This Row],[ID_H]]))</f>
        <v/>
      </c>
      <c r="AM560" s="56">
        <f ca="1">IF(NOTA[[#This Row],[TGL.NOTA]]="",IF(NOTA[[#This Row],[SUPPLIER_H]]="","",AM559),MONTH(NOTA[[#This Row],[TGL.NOTA]]))</f>
        <v>1</v>
      </c>
      <c r="AN560" s="56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>
        <f>IF(NOTA[[#This Row],[CONCAT1]]="","",MATCH(NOTA[[#This Row],[CONCAT1]],[3]!db[NB NOTA_C],0))</f>
        <v>1756</v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>25 LSN</v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560" s="56" t="e">
        <f ca="1">IF(NOTA[[#This Row],[ID_H]]="","",MATCH(NOTA[[#This Row],[NB NOTA_C_QTY]],[4]!db[NB NOTA_C_QTY+F],0))</f>
        <v>#REF!</v>
      </c>
      <c r="AX560" s="68">
        <f ca="1">IF(NOTA[[#This Row],[NB NOTA_C_QTY]]="","",ROW()-2)</f>
        <v>558</v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>
        <f ca="1">IF(NOTA[[#This Row],[NAMA BARANG]]="","",INDEX(NOTA[ID],MATCH(,INDIRECT(ADDRESS(ROW(NOTA[ID]),COLUMN(NOTA[ID]))&amp;":"&amp;ADDRESS(ROW(),COLUMN(NOTA[ID]))),-1)))</f>
        <v>89</v>
      </c>
      <c r="E561" s="57"/>
      <c r="F561" s="37"/>
      <c r="G561" s="37"/>
      <c r="H561" s="47"/>
      <c r="I561" s="58"/>
      <c r="J561" s="60"/>
      <c r="K561" s="58"/>
      <c r="L561" s="37" t="s">
        <v>495</v>
      </c>
      <c r="M561" s="61">
        <v>1</v>
      </c>
      <c r="N561" s="56"/>
      <c r="O561" s="37"/>
      <c r="P561" s="55"/>
      <c r="Q561" s="62">
        <v>1710000</v>
      </c>
      <c r="R561" s="48"/>
      <c r="S561" s="64">
        <v>0.17</v>
      </c>
      <c r="T561" s="65"/>
      <c r="U561" s="65"/>
      <c r="V561" s="66"/>
      <c r="W561" s="67"/>
      <c r="X561" s="66">
        <f>IF(NOTA[[#This Row],[HARGA/ CTN]]="",NOTA[[#This Row],[JUMLAH_H]],NOTA[[#This Row],[HARGA/ CTN]]*IF(NOTA[[#This Row],[C]]="",0,NOTA[[#This Row],[C]]))</f>
        <v>1710000</v>
      </c>
      <c r="Y561" s="66">
        <f>IF(NOTA[[#This Row],[JUMLAH]]="","",NOTA[[#This Row],[JUMLAH]]*NOTA[[#This Row],[DISC 1]])</f>
        <v>290700</v>
      </c>
      <c r="Z561" s="66">
        <f>IF(NOTA[[#This Row],[JUMLAH]]="","",(NOTA[[#This Row],[JUMLAH]]-NOTA[[#This Row],[DISC 1-]])*NOTA[[#This Row],[DISC 2]])</f>
        <v>0</v>
      </c>
      <c r="AA561" s="66">
        <f>IF(NOTA[[#This Row],[JUMLAH]]="","",(NOTA[[#This Row],[JUMLAH]]-NOTA[[#This Row],[DISC 1-]]-NOTA[[#This Row],[DISC 2-]])*NOTA[[#This Row],[DISC 3]])</f>
        <v>0</v>
      </c>
      <c r="AB561" s="66">
        <f>IF(NOTA[[#This Row],[JUMLAH]]="","",NOTA[[#This Row],[DISC 1-]]+NOTA[[#This Row],[DISC 2-]]+NOTA[[#This Row],[DISC 3-]])</f>
        <v>290700</v>
      </c>
      <c r="AC561" s="66">
        <f>IF(NOTA[[#This Row],[JUMLAH]]="","",NOTA[[#This Row],[JUMLAH]]-NOTA[[#This Row],[DISC]])</f>
        <v>1419300</v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561" s="66" t="str">
        <f>IF(OR(NOTA[[#This Row],[QTY]]="",NOTA[[#This Row],[HARGA SATUAN]]="",),"",NOTA[[#This Row],[QTY]]*NOTA[[#This Row],[HARGA SATUAN]])</f>
        <v/>
      </c>
      <c r="AI561" s="60">
        <f ca="1">IF(NOTA[ID_H]="","",INDEX(NOTA[TANGGAL],MATCH(,INDIRECT(ADDRESS(ROW(NOTA[TANGGAL]),COLUMN(NOTA[TANGGAL]))&amp;":"&amp;ADDRESS(ROW(),COLUMN(NOTA[TANGGAL]))),-1)))</f>
        <v>45310</v>
      </c>
      <c r="AJ561" s="55" t="str">
        <f ca="1">IF(NOTA[[#This Row],[NAMA BARANG]]="","",INDEX(NOTA[SUPPLIER],MATCH(,INDIRECT(ADDRESS(ROW(NOTA[ID]),COLUMN(NOTA[ID]))&amp;":"&amp;ADDRESS(ROW(),COLUMN(NOTA[ID]))),-1)))</f>
        <v>KENKO SINAR INDONESIA</v>
      </c>
      <c r="AK561" s="55" t="str">
        <f ca="1">IF(NOTA[[#This Row],[ID_H]]="","",IF(NOTA[[#This Row],[FAKTUR]]="",INDIRECT(ADDRESS(ROW()-1,COLUMN())),NOTA[[#This Row],[FAKTUR]]))</f>
        <v>ARTO MORO</v>
      </c>
      <c r="AL561" s="56" t="str">
        <f ca="1">IF(NOTA[[#This Row],[ID]]="","",COUNTIF(NOTA[ID_H],NOTA[[#This Row],[ID_H]]))</f>
        <v/>
      </c>
      <c r="AM561" s="56">
        <f ca="1">IF(NOTA[[#This Row],[TGL.NOTA]]="",IF(NOTA[[#This Row],[SUPPLIER_H]]="","",AM560),MONTH(NOTA[[#This Row],[TGL.NOTA]]))</f>
        <v>1</v>
      </c>
      <c r="AN561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>
        <f>IF(NOTA[[#This Row],[CONCAT1]]="","",MATCH(NOTA[[#This Row],[CONCAT1]],[3]!db[NB NOTA_C],0))</f>
        <v>1595</v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>30 LSN</v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561" s="56" t="e">
        <f ca="1">IF(NOTA[[#This Row],[ID_H]]="","",MATCH(NOTA[[#This Row],[NB NOTA_C_QTY]],[4]!db[NB NOTA_C_QTY+F],0))</f>
        <v>#REF!</v>
      </c>
      <c r="AX561" s="68">
        <f ca="1">IF(NOTA[[#This Row],[NB NOTA_C_QTY]]="","",ROW()-2)</f>
        <v>559</v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>
        <f ca="1">IF(NOTA[[#This Row],[NAMA BARANG]]="","",INDEX(NOTA[ID],MATCH(,INDIRECT(ADDRESS(ROW(NOTA[ID]),COLUMN(NOTA[ID]))&amp;":"&amp;ADDRESS(ROW(),COLUMN(NOTA[ID]))),-1)))</f>
        <v>89</v>
      </c>
      <c r="E562" s="57"/>
      <c r="F562" s="58"/>
      <c r="G562" s="58"/>
      <c r="H562" s="59"/>
      <c r="I562" s="58"/>
      <c r="J562" s="60"/>
      <c r="K562" s="58">
        <v>0</v>
      </c>
      <c r="L562" s="37" t="s">
        <v>353</v>
      </c>
      <c r="M562" s="61">
        <v>1</v>
      </c>
      <c r="N562" s="56"/>
      <c r="O562" s="37"/>
      <c r="P562" s="55"/>
      <c r="Q562" s="62">
        <v>1987200</v>
      </c>
      <c r="R562" s="63"/>
      <c r="S562" s="64">
        <v>0.17</v>
      </c>
      <c r="T562" s="65"/>
      <c r="U562" s="65"/>
      <c r="V562" s="66"/>
      <c r="W562" s="67"/>
      <c r="X562" s="66">
        <f>IF(NOTA[[#This Row],[HARGA/ CTN]]="",NOTA[[#This Row],[JUMLAH_H]],NOTA[[#This Row],[HARGA/ CTN]]*IF(NOTA[[#This Row],[C]]="",0,NOTA[[#This Row],[C]]))</f>
        <v>1987200</v>
      </c>
      <c r="Y562" s="66">
        <f>IF(NOTA[[#This Row],[JUMLAH]]="","",NOTA[[#This Row],[JUMLAH]]*NOTA[[#This Row],[DISC 1]])</f>
        <v>337824</v>
      </c>
      <c r="Z562" s="66">
        <f>IF(NOTA[[#This Row],[JUMLAH]]="","",(NOTA[[#This Row],[JUMLAH]]-NOTA[[#This Row],[DISC 1-]])*NOTA[[#This Row],[DISC 2]])</f>
        <v>0</v>
      </c>
      <c r="AA562" s="66">
        <f>IF(NOTA[[#This Row],[JUMLAH]]="","",(NOTA[[#This Row],[JUMLAH]]-NOTA[[#This Row],[DISC 1-]]-NOTA[[#This Row],[DISC 2-]])*NOTA[[#This Row],[DISC 3]])</f>
        <v>0</v>
      </c>
      <c r="AB562" s="66">
        <f>IF(NOTA[[#This Row],[JUMLAH]]="","",NOTA[[#This Row],[DISC 1-]]+NOTA[[#This Row],[DISC 2-]]+NOTA[[#This Row],[DISC 3-]])</f>
        <v>337824</v>
      </c>
      <c r="AC562" s="66">
        <f>IF(NOTA[[#This Row],[JUMLAH]]="","",NOTA[[#This Row],[JUMLAH]]-NOTA[[#This Row],[DISC]])</f>
        <v>1649376</v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562" s="66" t="str">
        <f>IF(OR(NOTA[[#This Row],[QTY]]="",NOTA[[#This Row],[HARGA SATUAN]]="",),"",NOTA[[#This Row],[QTY]]*NOTA[[#This Row],[HARGA SATUAN]])</f>
        <v/>
      </c>
      <c r="AI562" s="60">
        <f ca="1">IF(NOTA[ID_H]="","",INDEX(NOTA[TANGGAL],MATCH(,INDIRECT(ADDRESS(ROW(NOTA[TANGGAL]),COLUMN(NOTA[TANGGAL]))&amp;":"&amp;ADDRESS(ROW(),COLUMN(NOTA[TANGGAL]))),-1)))</f>
        <v>45310</v>
      </c>
      <c r="AJ562" s="55" t="str">
        <f ca="1">IF(NOTA[[#This Row],[NAMA BARANG]]="","",INDEX(NOTA[SUPPLIER],MATCH(,INDIRECT(ADDRESS(ROW(NOTA[ID]),COLUMN(NOTA[ID]))&amp;":"&amp;ADDRESS(ROW(),COLUMN(NOTA[ID]))),-1)))</f>
        <v>KENKO SINAR INDONESIA</v>
      </c>
      <c r="AK562" s="55" t="str">
        <f ca="1">IF(NOTA[[#This Row],[ID_H]]="","",IF(NOTA[[#This Row],[FAKTUR]]="",INDIRECT(ADDRESS(ROW()-1,COLUMN())),NOTA[[#This Row],[FAKTUR]]))</f>
        <v>ARTO MORO</v>
      </c>
      <c r="AL562" s="56" t="str">
        <f ca="1">IF(NOTA[[#This Row],[ID]]="","",COUNTIF(NOTA[ID_H],NOTA[[#This Row],[ID_H]]))</f>
        <v/>
      </c>
      <c r="AM562" s="56">
        <f ca="1">IF(NOTA[[#This Row],[TGL.NOTA]]="",IF(NOTA[[#This Row],[SUPPLIER_H]]="","",AM561),MONTH(NOTA[[#This Row],[TGL.NOTA]]))</f>
        <v>1</v>
      </c>
      <c r="AN562" s="56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>
        <f>IF(NOTA[[#This Row],[CONCAT1]]="","",MATCH(NOTA[[#This Row],[CONCAT1]],[3]!db[NB NOTA_C],0))</f>
        <v>1546</v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>48 LSN</v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562" s="56" t="e">
        <f ca="1">IF(NOTA[[#This Row],[ID_H]]="","",MATCH(NOTA[[#This Row],[NB NOTA_C_QTY]],[4]!db[NB NOTA_C_QTY+F],0))</f>
        <v>#REF!</v>
      </c>
      <c r="AX562" s="68">
        <f ca="1">IF(NOTA[[#This Row],[NB NOTA_C_QTY]]="","",ROW()-2)</f>
        <v>560</v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>
        <f ca="1">IF(NOTA[[#This Row],[NAMA BARANG]]="","",INDEX(NOTA[ID],MATCH(,INDIRECT(ADDRESS(ROW(NOTA[ID]),COLUMN(NOTA[ID]))&amp;":"&amp;ADDRESS(ROW(),COLUMN(NOTA[ID]))),-1)))</f>
        <v>89</v>
      </c>
      <c r="E563" s="57"/>
      <c r="F563" s="58"/>
      <c r="G563" s="58"/>
      <c r="H563" s="59"/>
      <c r="I563" s="58"/>
      <c r="J563" s="60"/>
      <c r="K563" s="58">
        <v>0</v>
      </c>
      <c r="L563" s="37" t="s">
        <v>518</v>
      </c>
      <c r="M563" s="61">
        <v>1</v>
      </c>
      <c r="N563" s="56"/>
      <c r="O563" s="37"/>
      <c r="P563" s="55"/>
      <c r="Q563" s="62">
        <v>850000</v>
      </c>
      <c r="R563" s="63"/>
      <c r="S563" s="64">
        <v>0.17</v>
      </c>
      <c r="T563" s="65"/>
      <c r="U563" s="65"/>
      <c r="V563" s="66"/>
      <c r="W563" s="67"/>
      <c r="X563" s="66">
        <f>IF(NOTA[[#This Row],[HARGA/ CTN]]="",NOTA[[#This Row],[JUMLAH_H]],NOTA[[#This Row],[HARGA/ CTN]]*IF(NOTA[[#This Row],[C]]="",0,NOTA[[#This Row],[C]]))</f>
        <v>850000</v>
      </c>
      <c r="Y563" s="66">
        <f>IF(NOTA[[#This Row],[JUMLAH]]="","",NOTA[[#This Row],[JUMLAH]]*NOTA[[#This Row],[DISC 1]])</f>
        <v>144500</v>
      </c>
      <c r="Z563" s="66">
        <f>IF(NOTA[[#This Row],[JUMLAH]]="","",(NOTA[[#This Row],[JUMLAH]]-NOTA[[#This Row],[DISC 1-]])*NOTA[[#This Row],[DISC 2]])</f>
        <v>0</v>
      </c>
      <c r="AA563" s="66">
        <f>IF(NOTA[[#This Row],[JUMLAH]]="","",(NOTA[[#This Row],[JUMLAH]]-NOTA[[#This Row],[DISC 1-]]-NOTA[[#This Row],[DISC 2-]])*NOTA[[#This Row],[DISC 3]])</f>
        <v>0</v>
      </c>
      <c r="AB563" s="66">
        <f>IF(NOTA[[#This Row],[JUMLAH]]="","",NOTA[[#This Row],[DISC 1-]]+NOTA[[#This Row],[DISC 2-]]+NOTA[[#This Row],[DISC 3-]])</f>
        <v>144500</v>
      </c>
      <c r="AC563" s="66">
        <f>IF(NOTA[[#This Row],[JUMLAH]]="","",NOTA[[#This Row],[JUMLAH]]-NOTA[[#This Row],[DISC]])</f>
        <v>705500</v>
      </c>
      <c r="AD563" s="66"/>
      <c r="AE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7324246</v>
      </c>
      <c r="AF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35759554</v>
      </c>
      <c r="AG563" s="5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563" s="66" t="str">
        <f>IF(OR(NOTA[[#This Row],[QTY]]="",NOTA[[#This Row],[HARGA SATUAN]]="",),"",NOTA[[#This Row],[QTY]]*NOTA[[#This Row],[HARGA SATUAN]])</f>
        <v/>
      </c>
      <c r="AI563" s="60">
        <f ca="1">IF(NOTA[ID_H]="","",INDEX(NOTA[TANGGAL],MATCH(,INDIRECT(ADDRESS(ROW(NOTA[TANGGAL]),COLUMN(NOTA[TANGGAL]))&amp;":"&amp;ADDRESS(ROW(),COLUMN(NOTA[TANGGAL]))),-1)))</f>
        <v>45310</v>
      </c>
      <c r="AJ563" s="55" t="str">
        <f ca="1">IF(NOTA[[#This Row],[NAMA BARANG]]="","",INDEX(NOTA[SUPPLIER],MATCH(,INDIRECT(ADDRESS(ROW(NOTA[ID]),COLUMN(NOTA[ID]))&amp;":"&amp;ADDRESS(ROW(),COLUMN(NOTA[ID]))),-1)))</f>
        <v>KENKO SINAR INDONESIA</v>
      </c>
      <c r="AK563" s="55" t="str">
        <f ca="1">IF(NOTA[[#This Row],[ID_H]]="","",IF(NOTA[[#This Row],[FAKTUR]]="",INDIRECT(ADDRESS(ROW()-1,COLUMN())),NOTA[[#This Row],[FAKTUR]]))</f>
        <v>ARTO MORO</v>
      </c>
      <c r="AL563" s="56" t="str">
        <f ca="1">IF(NOTA[[#This Row],[ID]]="","",COUNTIF(NOTA[ID_H],NOTA[[#This Row],[ID_H]]))</f>
        <v/>
      </c>
      <c r="AM563" s="56">
        <f ca="1">IF(NOTA[[#This Row],[TGL.NOTA]]="",IF(NOTA[[#This Row],[SUPPLIER_H]]="","",AM562),MONTH(NOTA[[#This Row],[TGL.NOTA]]))</f>
        <v>1</v>
      </c>
      <c r="AN563" s="5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>
        <f>IF(NOTA[[#This Row],[CONCAT1]]="","",MATCH(NOTA[[#This Row],[CONCAT1]],[3]!db[NB NOTA_C],0))</f>
        <v>1802</v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>500 BOX</v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563" s="56" t="e">
        <f ca="1">IF(NOTA[[#This Row],[ID_H]]="","",MATCH(NOTA[[#This Row],[NB NOTA_C_QTY]],[4]!db[NB NOTA_C_QTY+F],0))</f>
        <v>#REF!</v>
      </c>
      <c r="AX563" s="68">
        <f ca="1">IF(NOTA[[#This Row],[NB NOTA_C_QTY]]="","",ROW()-2)</f>
        <v>561</v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58"/>
      <c r="G564" s="58"/>
      <c r="H564" s="47"/>
      <c r="I564" s="58"/>
      <c r="J564" s="60"/>
      <c r="K564" s="58"/>
      <c r="L564" s="37"/>
      <c r="M564" s="61"/>
      <c r="N564" s="56"/>
      <c r="O564" s="37"/>
      <c r="P564" s="55"/>
      <c r="Q564" s="62"/>
      <c r="R564" s="63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>
        <f ca="1">IF(INDIRECT(ADDRESS(ROW()-1,COLUMN(NOTA[[#Headers],[ID]])))="ID",1,IF(NOTA[[#This Row],[FAKTUR]]="","",COUNT(INDIRECT(ADDRESS(ROW(NOTA[ID]),COLUMN(NOTA[ID]))&amp;":"&amp;ADDRESS(ROW()-1,COLUMN(NOTA[ID]))))+1))</f>
        <v>90</v>
      </c>
      <c r="B56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KEN_1901_089-4</v>
      </c>
      <c r="C565" s="56" t="e">
        <f ca="1">IF(NOTA[[#This Row],[ID_P]]="","",MATCH(NOTA[[#This Row],[ID_P]],[1]!B_MSK[N_ID],0))</f>
        <v>#REF!</v>
      </c>
      <c r="D565" s="56">
        <f ca="1">IF(NOTA[[#This Row],[NAMA BARANG]]="","",INDEX(NOTA[ID],MATCH(,INDIRECT(ADDRESS(ROW(NOTA[ID]),COLUMN(NOTA[ID]))&amp;":"&amp;ADDRESS(ROW(),COLUMN(NOTA[ID]))),-1)))</f>
        <v>90</v>
      </c>
      <c r="E565" s="57"/>
      <c r="F565" s="37" t="s">
        <v>22</v>
      </c>
      <c r="G565" s="37" t="s">
        <v>23</v>
      </c>
      <c r="H565" s="47" t="s">
        <v>841</v>
      </c>
      <c r="I565" s="60"/>
      <c r="J565" s="60">
        <v>45308</v>
      </c>
      <c r="K565" s="58">
        <v>0</v>
      </c>
      <c r="L565" s="37" t="s">
        <v>677</v>
      </c>
      <c r="M565" s="61">
        <v>1</v>
      </c>
      <c r="N565" s="56"/>
      <c r="O565" s="37"/>
      <c r="P565" s="55"/>
      <c r="Q565" s="62">
        <v>1476000</v>
      </c>
      <c r="R565" s="63"/>
      <c r="S565" s="64">
        <v>0.17</v>
      </c>
      <c r="T565" s="65"/>
      <c r="U565" s="65"/>
      <c r="V565" s="66"/>
      <c r="W565" s="67"/>
      <c r="X565" s="66">
        <f>IF(NOTA[[#This Row],[HARGA/ CTN]]="",NOTA[[#This Row],[JUMLAH_H]],NOTA[[#This Row],[HARGA/ CTN]]*IF(NOTA[[#This Row],[C]]="",0,NOTA[[#This Row],[C]]))</f>
        <v>1476000</v>
      </c>
      <c r="Y565" s="66">
        <f>IF(NOTA[[#This Row],[JUMLAH]]="","",NOTA[[#This Row],[JUMLAH]]*NOTA[[#This Row],[DISC 1]])</f>
        <v>250920.00000000003</v>
      </c>
      <c r="Z565" s="66">
        <f>IF(NOTA[[#This Row],[JUMLAH]]="","",(NOTA[[#This Row],[JUMLAH]]-NOTA[[#This Row],[DISC 1-]])*NOTA[[#This Row],[DISC 2]])</f>
        <v>0</v>
      </c>
      <c r="AA565" s="66">
        <f>IF(NOTA[[#This Row],[JUMLAH]]="","",(NOTA[[#This Row],[JUMLAH]]-NOTA[[#This Row],[DISC 1-]]-NOTA[[#This Row],[DISC 2-]])*NOTA[[#This Row],[DISC 3]])</f>
        <v>0</v>
      </c>
      <c r="AB565" s="66">
        <f>IF(NOTA[[#This Row],[JUMLAH]]="","",NOTA[[#This Row],[DISC 1-]]+NOTA[[#This Row],[DISC 2-]]+NOTA[[#This Row],[DISC 3-]])</f>
        <v>250920.00000000003</v>
      </c>
      <c r="AC565" s="66">
        <f>IF(NOTA[[#This Row],[JUMLAH]]="","",NOTA[[#This Row],[JUMLAH]]-NOTA[[#This Row],[DISC]])</f>
        <v>1225080</v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565" s="66" t="str">
        <f>IF(OR(NOTA[[#This Row],[QTY]]="",NOTA[[#This Row],[HARGA SATUAN]]="",),"",NOTA[[#This Row],[QTY]]*NOTA[[#This Row],[HARGA SATUAN]])</f>
        <v/>
      </c>
      <c r="AI565" s="60">
        <f ca="1">IF(NOTA[ID_H]="","",INDEX(NOTA[TANGGAL],MATCH(,INDIRECT(ADDRESS(ROW(NOTA[TANGGAL]),COLUMN(NOTA[TANGGAL]))&amp;":"&amp;ADDRESS(ROW(),COLUMN(NOTA[TANGGAL]))),-1)))</f>
        <v>45310</v>
      </c>
      <c r="AJ565" s="55" t="str">
        <f ca="1">IF(NOTA[[#This Row],[NAMA BARANG]]="","",INDEX(NOTA[SUPPLIER],MATCH(,INDIRECT(ADDRESS(ROW(NOTA[ID]),COLUMN(NOTA[ID]))&amp;":"&amp;ADDRESS(ROW(),COLUMN(NOTA[ID]))),-1)))</f>
        <v>KENKO SINAR INDONESIA</v>
      </c>
      <c r="AK565" s="55" t="str">
        <f ca="1">IF(NOTA[[#This Row],[ID_H]]="","",IF(NOTA[[#This Row],[FAKTUR]]="",INDIRECT(ADDRESS(ROW()-1,COLUMN())),NOTA[[#This Row],[FAKTUR]]))</f>
        <v>ARTO MORO</v>
      </c>
      <c r="AL565" s="56">
        <f ca="1">IF(NOTA[[#This Row],[ID]]="","",COUNTIF(NOTA[ID_H],NOTA[[#This Row],[ID_H]]))</f>
        <v>4</v>
      </c>
      <c r="AM565" s="56">
        <f>IF(NOTA[[#This Row],[TGL.NOTA]]="",IF(NOTA[[#This Row],[SUPPLIER_H]]="","",AM564),MONTH(NOTA[[#This Row],[TGL.NOTA]]))</f>
        <v>1</v>
      </c>
      <c r="AN565" s="5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MORO2401108945308kenkobinderclipno111</v>
      </c>
      <c r="AR565" s="56" t="e">
        <f>IF(NOTA[[#This Row],[CONCAT4]]="","",_xlfn.IFNA(MATCH(NOTA[[#This Row],[CONCAT4]],[2]!RAW[CONCAT_H],0),FALSE))</f>
        <v>#REF!</v>
      </c>
      <c r="AS565" s="56">
        <f>IF(NOTA[[#This Row],[CONCAT1]]="","",MATCH(NOTA[[#This Row],[CONCAT1]],[3]!db[NB NOTA_C],0))</f>
        <v>1499</v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>30 GRS</v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565" s="56" t="e">
        <f ca="1">IF(NOTA[[#This Row],[ID_H]]="","",MATCH(NOTA[[#This Row],[NB NOTA_C_QTY]],[4]!db[NB NOTA_C_QTY+F],0))</f>
        <v>#REF!</v>
      </c>
      <c r="AX565" s="68">
        <f ca="1">IF(NOTA[[#This Row],[NB NOTA_C_QTY]]="","",ROW()-2)</f>
        <v>563</v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90</v>
      </c>
      <c r="E566" s="57"/>
      <c r="F566" s="58"/>
      <c r="G566" s="58"/>
      <c r="H566" s="58"/>
      <c r="I566" s="60"/>
      <c r="J566" s="60"/>
      <c r="K566" s="58"/>
      <c r="L566" s="37" t="s">
        <v>528</v>
      </c>
      <c r="M566" s="61">
        <v>1</v>
      </c>
      <c r="N566" s="56"/>
      <c r="O566" s="37"/>
      <c r="P566" s="55"/>
      <c r="Q566" s="62">
        <v>1380000</v>
      </c>
      <c r="R566" s="63"/>
      <c r="S566" s="64">
        <v>0.17</v>
      </c>
      <c r="T566" s="65"/>
      <c r="U566" s="65"/>
      <c r="V566" s="66"/>
      <c r="W566" s="67"/>
      <c r="X566" s="66">
        <f>IF(NOTA[[#This Row],[HARGA/ CTN]]="",NOTA[[#This Row],[JUMLAH_H]],NOTA[[#This Row],[HARGA/ CTN]]*IF(NOTA[[#This Row],[C]]="",0,NOTA[[#This Row],[C]]))</f>
        <v>1380000</v>
      </c>
      <c r="Y566" s="66">
        <f>IF(NOTA[[#This Row],[JUMLAH]]="","",NOTA[[#This Row],[JUMLAH]]*NOTA[[#This Row],[DISC 1]])</f>
        <v>234600.00000000003</v>
      </c>
      <c r="Z566" s="66">
        <f>IF(NOTA[[#This Row],[JUMLAH]]="","",(NOTA[[#This Row],[JUMLAH]]-NOTA[[#This Row],[DISC 1-]])*NOTA[[#This Row],[DISC 2]])</f>
        <v>0</v>
      </c>
      <c r="AA566" s="66">
        <f>IF(NOTA[[#This Row],[JUMLAH]]="","",(NOTA[[#This Row],[JUMLAH]]-NOTA[[#This Row],[DISC 1-]]-NOTA[[#This Row],[DISC 2-]])*NOTA[[#This Row],[DISC 3]])</f>
        <v>0</v>
      </c>
      <c r="AB566" s="66">
        <f>IF(NOTA[[#This Row],[JUMLAH]]="","",NOTA[[#This Row],[DISC 1-]]+NOTA[[#This Row],[DISC 2-]]+NOTA[[#This Row],[DISC 3-]])</f>
        <v>234600.00000000003</v>
      </c>
      <c r="AC566" s="66">
        <f>IF(NOTA[[#This Row],[JUMLAH]]="","",NOTA[[#This Row],[JUMLAH]]-NOTA[[#This Row],[DISC]])</f>
        <v>1145400</v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566" s="66" t="str">
        <f>IF(OR(NOTA[[#This Row],[QTY]]="",NOTA[[#This Row],[HARGA SATUAN]]="",),"",NOTA[[#This Row],[QTY]]*NOTA[[#This Row],[HARGA SATUAN]])</f>
        <v/>
      </c>
      <c r="AI566" s="60">
        <f ca="1">IF(NOTA[ID_H]="","",INDEX(NOTA[TANGGAL],MATCH(,INDIRECT(ADDRESS(ROW(NOTA[TANGGAL]),COLUMN(NOTA[TANGGAL]))&amp;":"&amp;ADDRESS(ROW(),COLUMN(NOTA[TANGGAL]))),-1)))</f>
        <v>45310</v>
      </c>
      <c r="AJ566" s="55" t="str">
        <f ca="1">IF(NOTA[[#This Row],[NAMA BARANG]]="","",INDEX(NOTA[SUPPLIER],MATCH(,INDIRECT(ADDRESS(ROW(NOTA[ID]),COLUMN(NOTA[ID]))&amp;":"&amp;ADDRESS(ROW(),COLUMN(NOTA[ID]))),-1)))</f>
        <v>KENKO SINAR INDONESIA</v>
      </c>
      <c r="AK566" s="55" t="str">
        <f ca="1">IF(NOTA[[#This Row],[ID_H]]="","",IF(NOTA[[#This Row],[FAKTUR]]="",INDIRECT(ADDRESS(ROW()-1,COLUMN())),NOTA[[#This Row],[FAKTUR]]))</f>
        <v>ARTO MORO</v>
      </c>
      <c r="AL566" s="56" t="str">
        <f ca="1">IF(NOTA[[#This Row],[ID]]="","",COUNTIF(NOTA[ID_H],NOTA[[#This Row],[ID_H]]))</f>
        <v/>
      </c>
      <c r="AM566" s="56">
        <f ca="1">IF(NOTA[[#This Row],[TGL.NOTA]]="",IF(NOTA[[#This Row],[SUPPLIER_H]]="","",AM565),MONTH(NOTA[[#This Row],[TGL.NOTA]]))</f>
        <v>1</v>
      </c>
      <c r="AN566" s="5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>
        <f>IF(NOTA[[#This Row],[CONCAT1]]="","",MATCH(NOTA[[#This Row],[CONCAT1]],[3]!db[NB NOTA_C],0))</f>
        <v>1500</v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>20 GRS</v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566" s="56" t="e">
        <f ca="1">IF(NOTA[[#This Row],[ID_H]]="","",MATCH(NOTA[[#This Row],[NB NOTA_C_QTY]],[4]!db[NB NOTA_C_QTY+F],0))</f>
        <v>#REF!</v>
      </c>
      <c r="AX566" s="68">
        <f ca="1">IF(NOTA[[#This Row],[NB NOTA_C_QTY]]="","",ROW()-2)</f>
        <v>564</v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>
        <f ca="1">IF(NOTA[[#This Row],[NAMA BARANG]]="","",INDEX(NOTA[ID],MATCH(,INDIRECT(ADDRESS(ROW(NOTA[ID]),COLUMN(NOTA[ID]))&amp;":"&amp;ADDRESS(ROW(),COLUMN(NOTA[ID]))),-1)))</f>
        <v>90</v>
      </c>
      <c r="E567" s="57"/>
      <c r="F567" s="58"/>
      <c r="G567" s="58"/>
      <c r="H567" s="59"/>
      <c r="I567" s="58"/>
      <c r="J567" s="60"/>
      <c r="K567" s="58">
        <v>0</v>
      </c>
      <c r="L567" s="37" t="s">
        <v>678</v>
      </c>
      <c r="M567" s="61">
        <v>1</v>
      </c>
      <c r="N567" s="56"/>
      <c r="O567" s="37"/>
      <c r="P567" s="55"/>
      <c r="Q567" s="62">
        <v>900000</v>
      </c>
      <c r="R567" s="63"/>
      <c r="S567" s="64">
        <v>0.17</v>
      </c>
      <c r="T567" s="65"/>
      <c r="U567" s="65"/>
      <c r="V567" s="66"/>
      <c r="W567" s="67"/>
      <c r="X567" s="66">
        <f>IF(NOTA[[#This Row],[HARGA/ CTN]]="",NOTA[[#This Row],[JUMLAH_H]],NOTA[[#This Row],[HARGA/ CTN]]*IF(NOTA[[#This Row],[C]]="",0,NOTA[[#This Row],[C]]))</f>
        <v>900000</v>
      </c>
      <c r="Y567" s="66">
        <f>IF(NOTA[[#This Row],[JUMLAH]]="","",NOTA[[#This Row],[JUMLAH]]*NOTA[[#This Row],[DISC 1]])</f>
        <v>153000</v>
      </c>
      <c r="Z567" s="66">
        <f>IF(NOTA[[#This Row],[JUMLAH]]="","",(NOTA[[#This Row],[JUMLAH]]-NOTA[[#This Row],[DISC 1-]])*NOTA[[#This Row],[DISC 2]])</f>
        <v>0</v>
      </c>
      <c r="AA567" s="66">
        <f>IF(NOTA[[#This Row],[JUMLAH]]="","",(NOTA[[#This Row],[JUMLAH]]-NOTA[[#This Row],[DISC 1-]]-NOTA[[#This Row],[DISC 2-]])*NOTA[[#This Row],[DISC 3]])</f>
        <v>0</v>
      </c>
      <c r="AB567" s="66">
        <f>IF(NOTA[[#This Row],[JUMLAH]]="","",NOTA[[#This Row],[DISC 1-]]+NOTA[[#This Row],[DISC 2-]]+NOTA[[#This Row],[DISC 3-]])</f>
        <v>153000</v>
      </c>
      <c r="AC567" s="66">
        <f>IF(NOTA[[#This Row],[JUMLAH]]="","",NOTA[[#This Row],[JUMLAH]]-NOTA[[#This Row],[DISC]])</f>
        <v>747000</v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67" s="66" t="str">
        <f>IF(OR(NOTA[[#This Row],[QTY]]="",NOTA[[#This Row],[HARGA SATUAN]]="",),"",NOTA[[#This Row],[QTY]]*NOTA[[#This Row],[HARGA SATUAN]])</f>
        <v/>
      </c>
      <c r="AI567" s="60">
        <f ca="1">IF(NOTA[ID_H]="","",INDEX(NOTA[TANGGAL],MATCH(,INDIRECT(ADDRESS(ROW(NOTA[TANGGAL]),COLUMN(NOTA[TANGGAL]))&amp;":"&amp;ADDRESS(ROW(),COLUMN(NOTA[TANGGAL]))),-1)))</f>
        <v>45310</v>
      </c>
      <c r="AJ567" s="55" t="str">
        <f ca="1">IF(NOTA[[#This Row],[NAMA BARANG]]="","",INDEX(NOTA[SUPPLIER],MATCH(,INDIRECT(ADDRESS(ROW(NOTA[ID]),COLUMN(NOTA[ID]))&amp;":"&amp;ADDRESS(ROW(),COLUMN(NOTA[ID]))),-1)))</f>
        <v>KENKO SINAR INDONESIA</v>
      </c>
      <c r="AK567" s="55" t="str">
        <f ca="1">IF(NOTA[[#This Row],[ID_H]]="","",IF(NOTA[[#This Row],[FAKTUR]]="",INDIRECT(ADDRESS(ROW()-1,COLUMN())),NOTA[[#This Row],[FAKTUR]]))</f>
        <v>ARTO MORO</v>
      </c>
      <c r="AL567" s="56" t="str">
        <f ca="1">IF(NOTA[[#This Row],[ID]]="","",COUNTIF(NOTA[ID_H],NOTA[[#This Row],[ID_H]]))</f>
        <v/>
      </c>
      <c r="AM567" s="56">
        <f ca="1">IF(NOTA[[#This Row],[TGL.NOTA]]="",IF(NOTA[[#This Row],[SUPPLIER_H]]="","",AM565),MONTH(NOTA[[#This Row],[TGL.NOTA]]))</f>
        <v>1</v>
      </c>
      <c r="AN567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>
        <f>IF(NOTA[[#This Row],[CONCAT1]]="","",MATCH(NOTA[[#This Row],[CONCAT1]],[3]!db[NB NOTA_C],0))</f>
        <v>1502</v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>5 GRS</v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67" s="56" t="e">
        <f ca="1">IF(NOTA[[#This Row],[ID_H]]="","",MATCH(NOTA[[#This Row],[NB NOTA_C_QTY]],[4]!db[NB NOTA_C_QTY+F],0))</f>
        <v>#REF!</v>
      </c>
      <c r="AX567" s="68">
        <f ca="1">IF(NOTA[[#This Row],[NB NOTA_C_QTY]]="","",ROW()-2)</f>
        <v>565</v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>
        <f ca="1">IF(NOTA[[#This Row],[NAMA BARANG]]="","",INDEX(NOTA[ID],MATCH(,INDIRECT(ADDRESS(ROW(NOTA[ID]),COLUMN(NOTA[ID]))&amp;":"&amp;ADDRESS(ROW(),COLUMN(NOTA[ID]))),-1)))</f>
        <v>90</v>
      </c>
      <c r="E568" s="57"/>
      <c r="F568" s="37"/>
      <c r="G568" s="37"/>
      <c r="H568" s="47"/>
      <c r="I568" s="58"/>
      <c r="J568" s="60"/>
      <c r="K568" s="58"/>
      <c r="L568" s="37" t="s">
        <v>149</v>
      </c>
      <c r="M568" s="61">
        <v>1</v>
      </c>
      <c r="N568" s="56"/>
      <c r="O568" s="37"/>
      <c r="P568" s="55"/>
      <c r="Q568" s="62">
        <v>5616000</v>
      </c>
      <c r="R568" s="48"/>
      <c r="S568" s="64">
        <v>0.17</v>
      </c>
      <c r="T568" s="65"/>
      <c r="U568" s="65"/>
      <c r="V568" s="66"/>
      <c r="W568" s="67"/>
      <c r="X568" s="66">
        <f>IF(NOTA[[#This Row],[HARGA/ CTN]]="",NOTA[[#This Row],[JUMLAH_H]],NOTA[[#This Row],[HARGA/ CTN]]*IF(NOTA[[#This Row],[C]]="",0,NOTA[[#This Row],[C]]))</f>
        <v>5616000</v>
      </c>
      <c r="Y568" s="66">
        <f>IF(NOTA[[#This Row],[JUMLAH]]="","",NOTA[[#This Row],[JUMLAH]]*NOTA[[#This Row],[DISC 1]])</f>
        <v>954720.00000000012</v>
      </c>
      <c r="Z568" s="66">
        <f>IF(NOTA[[#This Row],[JUMLAH]]="","",(NOTA[[#This Row],[JUMLAH]]-NOTA[[#This Row],[DISC 1-]])*NOTA[[#This Row],[DISC 2]])</f>
        <v>0</v>
      </c>
      <c r="AA568" s="66">
        <f>IF(NOTA[[#This Row],[JUMLAH]]="","",(NOTA[[#This Row],[JUMLAH]]-NOTA[[#This Row],[DISC 1-]]-NOTA[[#This Row],[DISC 2-]])*NOTA[[#This Row],[DISC 3]])</f>
        <v>0</v>
      </c>
      <c r="AB568" s="66">
        <f>IF(NOTA[[#This Row],[JUMLAH]]="","",NOTA[[#This Row],[DISC 1-]]+NOTA[[#This Row],[DISC 2-]]+NOTA[[#This Row],[DISC 3-]])</f>
        <v>954720.00000000012</v>
      </c>
      <c r="AC568" s="66">
        <f>IF(NOTA[[#This Row],[JUMLAH]]="","",NOTA[[#This Row],[JUMLAH]]-NOTA[[#This Row],[DISC]])</f>
        <v>4661280</v>
      </c>
      <c r="AD568" s="66"/>
      <c r="AE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1593240</v>
      </c>
      <c r="AF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7778760</v>
      </c>
      <c r="AG568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68" s="66" t="str">
        <f>IF(OR(NOTA[[#This Row],[QTY]]="",NOTA[[#This Row],[HARGA SATUAN]]="",),"",NOTA[[#This Row],[QTY]]*NOTA[[#This Row],[HARGA SATUAN]])</f>
        <v/>
      </c>
      <c r="AI568" s="60">
        <f ca="1">IF(NOTA[ID_H]="","",INDEX(NOTA[TANGGAL],MATCH(,INDIRECT(ADDRESS(ROW(NOTA[TANGGAL]),COLUMN(NOTA[TANGGAL]))&amp;":"&amp;ADDRESS(ROW(),COLUMN(NOTA[TANGGAL]))),-1)))</f>
        <v>45310</v>
      </c>
      <c r="AJ568" s="55" t="str">
        <f ca="1">IF(NOTA[[#This Row],[NAMA BARANG]]="","",INDEX(NOTA[SUPPLIER],MATCH(,INDIRECT(ADDRESS(ROW(NOTA[ID]),COLUMN(NOTA[ID]))&amp;":"&amp;ADDRESS(ROW(),COLUMN(NOTA[ID]))),-1)))</f>
        <v>KENKO SINAR INDONESIA</v>
      </c>
      <c r="AK568" s="55" t="str">
        <f ca="1">IF(NOTA[[#This Row],[ID_H]]="","",IF(NOTA[[#This Row],[FAKTUR]]="",INDIRECT(ADDRESS(ROW()-1,COLUMN())),NOTA[[#This Row],[FAKTUR]]))</f>
        <v>ARTO MORO</v>
      </c>
      <c r="AL568" s="56" t="str">
        <f ca="1">IF(NOTA[[#This Row],[ID]]="","",COUNTIF(NOTA[ID_H],NOTA[[#This Row],[ID_H]]))</f>
        <v/>
      </c>
      <c r="AM568" s="56">
        <f ca="1">IF(NOTA[[#This Row],[TGL.NOTA]]="",IF(NOTA[[#This Row],[SUPPLIER_H]]="","",AM567),MONTH(NOTA[[#This Row],[TGL.NOTA]]))</f>
        <v>1</v>
      </c>
      <c r="AN568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>
        <f>IF(NOTA[[#This Row],[CONCAT1]]="","",MATCH(NOTA[[#This Row],[CONCAT1]],[3]!db[NB NOTA_C],0))</f>
        <v>1622</v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>144 LSN</v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568" s="56" t="e">
        <f ca="1">IF(NOTA[[#This Row],[ID_H]]="","",MATCH(NOTA[[#This Row],[NB NOTA_C_QTY]],[4]!db[NB NOTA_C_QTY+F],0))</f>
        <v>#REF!</v>
      </c>
      <c r="AX568" s="68">
        <f ca="1">IF(NOTA[[#This Row],[NB NOTA_C_QTY]]="","",ROW()-2)</f>
        <v>566</v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37"/>
      <c r="G569" s="37"/>
      <c r="H569" s="47"/>
      <c r="I569" s="58"/>
      <c r="J569" s="60"/>
      <c r="K569" s="58"/>
      <c r="L569" s="37"/>
      <c r="M569" s="61"/>
      <c r="N569" s="56"/>
      <c r="O569" s="37"/>
      <c r="P569" s="55"/>
      <c r="Q569" s="62"/>
      <c r="R569" s="48"/>
      <c r="S569" s="49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>
        <f ca="1">IF(INDIRECT(ADDRESS(ROW()-1,COLUMN(NOTA[[#Headers],[ID]])))="ID",1,IF(NOTA[[#This Row],[FAKTUR]]="","",COUNT(INDIRECT(ADDRESS(ROW(NOTA[ID]),COLUMN(NOTA[ID]))&amp;":"&amp;ADDRESS(ROW()-1,COLUMN(NOTA[ID]))))+1))</f>
        <v>91</v>
      </c>
      <c r="B57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KEN_1901_070-5</v>
      </c>
      <c r="C570" s="56" t="e">
        <f ca="1">IF(NOTA[[#This Row],[ID_P]]="","",MATCH(NOTA[[#This Row],[ID_P]],[1]!B_MSK[N_ID],0))</f>
        <v>#REF!</v>
      </c>
      <c r="D570" s="56">
        <f ca="1">IF(NOTA[[#This Row],[NAMA BARANG]]="","",INDEX(NOTA[ID],MATCH(,INDIRECT(ADDRESS(ROW(NOTA[ID]),COLUMN(NOTA[ID]))&amp;":"&amp;ADDRESS(ROW(),COLUMN(NOTA[ID]))),-1)))</f>
        <v>91</v>
      </c>
      <c r="E570" s="57"/>
      <c r="F570" s="37" t="s">
        <v>22</v>
      </c>
      <c r="G570" s="37" t="s">
        <v>23</v>
      </c>
      <c r="H570" s="47" t="s">
        <v>679</v>
      </c>
      <c r="I570" s="58"/>
      <c r="J570" s="60">
        <v>45308</v>
      </c>
      <c r="K570" s="58">
        <v>0</v>
      </c>
      <c r="L570" s="37" t="s">
        <v>354</v>
      </c>
      <c r="M570" s="61">
        <v>1</v>
      </c>
      <c r="N570" s="56"/>
      <c r="O570" s="37"/>
      <c r="P570" s="55"/>
      <c r="Q570" s="62">
        <v>3758400</v>
      </c>
      <c r="R570" s="48"/>
      <c r="S570" s="64">
        <v>0.17</v>
      </c>
      <c r="T570" s="65"/>
      <c r="U570" s="65"/>
      <c r="V570" s="66"/>
      <c r="W570" s="67"/>
      <c r="X570" s="66">
        <f>IF(NOTA[[#This Row],[HARGA/ CTN]]="",NOTA[[#This Row],[JUMLAH_H]],NOTA[[#This Row],[HARGA/ CTN]]*IF(NOTA[[#This Row],[C]]="",0,NOTA[[#This Row],[C]]))</f>
        <v>3758400</v>
      </c>
      <c r="Y570" s="66">
        <f>IF(NOTA[[#This Row],[JUMLAH]]="","",NOTA[[#This Row],[JUMLAH]]*NOTA[[#This Row],[DISC 1]])</f>
        <v>638928</v>
      </c>
      <c r="Z570" s="66">
        <f>IF(NOTA[[#This Row],[JUMLAH]]="","",(NOTA[[#This Row],[JUMLAH]]-NOTA[[#This Row],[DISC 1-]])*NOTA[[#This Row],[DISC 2]])</f>
        <v>0</v>
      </c>
      <c r="AA570" s="66">
        <f>IF(NOTA[[#This Row],[JUMLAH]]="","",(NOTA[[#This Row],[JUMLAH]]-NOTA[[#This Row],[DISC 1-]]-NOTA[[#This Row],[DISC 2-]])*NOTA[[#This Row],[DISC 3]])</f>
        <v>0</v>
      </c>
      <c r="AB570" s="66">
        <f>IF(NOTA[[#This Row],[JUMLAH]]="","",NOTA[[#This Row],[DISC 1-]]+NOTA[[#This Row],[DISC 2-]]+NOTA[[#This Row],[DISC 3-]])</f>
        <v>638928</v>
      </c>
      <c r="AC570" s="66">
        <f>IF(NOTA[[#This Row],[JUMLAH]]="","",NOTA[[#This Row],[JUMLAH]]-NOTA[[#This Row],[DISC]])</f>
        <v>3119472</v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570" s="66" t="str">
        <f>IF(OR(NOTA[[#This Row],[QTY]]="",NOTA[[#This Row],[HARGA SATUAN]]="",),"",NOTA[[#This Row],[QTY]]*NOTA[[#This Row],[HARGA SATUAN]])</f>
        <v/>
      </c>
      <c r="AI570" s="60">
        <f ca="1">IF(NOTA[ID_H]="","",INDEX(NOTA[TANGGAL],MATCH(,INDIRECT(ADDRESS(ROW(NOTA[TANGGAL]),COLUMN(NOTA[TANGGAL]))&amp;":"&amp;ADDRESS(ROW(),COLUMN(NOTA[TANGGAL]))),-1)))</f>
        <v>45310</v>
      </c>
      <c r="AJ570" s="55" t="str">
        <f ca="1">IF(NOTA[[#This Row],[NAMA BARANG]]="","",INDEX(NOTA[SUPPLIER],MATCH(,INDIRECT(ADDRESS(ROW(NOTA[ID]),COLUMN(NOTA[ID]))&amp;":"&amp;ADDRESS(ROW(),COLUMN(NOTA[ID]))),-1)))</f>
        <v>KENKO SINAR INDONESIA</v>
      </c>
      <c r="AK570" s="55" t="str">
        <f ca="1">IF(NOTA[[#This Row],[ID_H]]="","",IF(NOTA[[#This Row],[FAKTUR]]="",INDIRECT(ADDRESS(ROW()-1,COLUMN())),NOTA[[#This Row],[FAKTUR]]))</f>
        <v>ARTO MORO</v>
      </c>
      <c r="AL570" s="56">
        <f ca="1">IF(NOTA[[#This Row],[ID]]="","",COUNTIF(NOTA[ID_H],NOTA[[#This Row],[ID_H]]))</f>
        <v>5</v>
      </c>
      <c r="AM570" s="56">
        <f>IF(NOTA[[#This Row],[TGL.NOTA]]="",IF(NOTA[[#This Row],[SUPPLIER_H]]="","",AM569),MONTH(NOTA[[#This Row],[TGL.NOTA]]))</f>
        <v>1</v>
      </c>
      <c r="AN570" s="56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MORO2401107045308kenkogelpenwinjellerke600black</v>
      </c>
      <c r="AR570" s="56" t="e">
        <f>IF(NOTA[[#This Row],[CONCAT4]]="","",_xlfn.IFNA(MATCH(NOTA[[#This Row],[CONCAT4]],[2]!RAW[CONCAT_H],0),FALSE))</f>
        <v>#REF!</v>
      </c>
      <c r="AS570" s="56">
        <f>IF(NOTA[[#This Row],[CONCAT1]]="","",MATCH(NOTA[[#This Row],[CONCAT1]],[3]!db[NB NOTA_C],0))</f>
        <v>1658</v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>144 LSN</v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570" s="56" t="e">
        <f ca="1">IF(NOTA[[#This Row],[ID_H]]="","",MATCH(NOTA[[#This Row],[NB NOTA_C_QTY]],[4]!db[NB NOTA_C_QTY+F],0))</f>
        <v>#REF!</v>
      </c>
      <c r="AX570" s="68">
        <f ca="1">IF(NOTA[[#This Row],[NB NOTA_C_QTY]]="","",ROW()-2)</f>
        <v>568</v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>
        <f ca="1">IF(NOTA[[#This Row],[NAMA BARANG]]="","",INDEX(NOTA[ID],MATCH(,INDIRECT(ADDRESS(ROW(NOTA[ID]),COLUMN(NOTA[ID]))&amp;":"&amp;ADDRESS(ROW(),COLUMN(NOTA[ID]))),-1)))</f>
        <v>91</v>
      </c>
      <c r="E571" s="57"/>
      <c r="F571" s="37"/>
      <c r="G571" s="37"/>
      <c r="H571" s="47"/>
      <c r="I571" s="58"/>
      <c r="J571" s="60"/>
      <c r="K571" s="58">
        <v>0</v>
      </c>
      <c r="L571" s="37" t="s">
        <v>681</v>
      </c>
      <c r="M571" s="61">
        <v>1</v>
      </c>
      <c r="N571" s="56"/>
      <c r="O571" s="37"/>
      <c r="P571" s="55"/>
      <c r="Q571" s="62">
        <v>2170800</v>
      </c>
      <c r="R571" s="48"/>
      <c r="S571" s="64">
        <v>0.17</v>
      </c>
      <c r="T571" s="65"/>
      <c r="U571" s="65"/>
      <c r="V571" s="66"/>
      <c r="W571" s="67"/>
      <c r="X571" s="66">
        <f>IF(NOTA[[#This Row],[HARGA/ CTN]]="",NOTA[[#This Row],[JUMLAH_H]],NOTA[[#This Row],[HARGA/ CTN]]*IF(NOTA[[#This Row],[C]]="",0,NOTA[[#This Row],[C]]))</f>
        <v>2170800</v>
      </c>
      <c r="Y571" s="66">
        <f>IF(NOTA[[#This Row],[JUMLAH]]="","",NOTA[[#This Row],[JUMLAH]]*NOTA[[#This Row],[DISC 1]])</f>
        <v>369036</v>
      </c>
      <c r="Z571" s="66">
        <f>IF(NOTA[[#This Row],[JUMLAH]]="","",(NOTA[[#This Row],[JUMLAH]]-NOTA[[#This Row],[DISC 1-]])*NOTA[[#This Row],[DISC 2]])</f>
        <v>0</v>
      </c>
      <c r="AA571" s="66">
        <f>IF(NOTA[[#This Row],[JUMLAH]]="","",(NOTA[[#This Row],[JUMLAH]]-NOTA[[#This Row],[DISC 1-]]-NOTA[[#This Row],[DISC 2-]])*NOTA[[#This Row],[DISC 3]])</f>
        <v>0</v>
      </c>
      <c r="AB571" s="66">
        <f>IF(NOTA[[#This Row],[JUMLAH]]="","",NOTA[[#This Row],[DISC 1-]]+NOTA[[#This Row],[DISC 2-]]+NOTA[[#This Row],[DISC 3-]])</f>
        <v>369036</v>
      </c>
      <c r="AC571" s="66">
        <f>IF(NOTA[[#This Row],[JUMLAH]]="","",NOTA[[#This Row],[JUMLAH]]-NOTA[[#This Row],[DISC]])</f>
        <v>1801764</v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571" s="66" t="str">
        <f>IF(OR(NOTA[[#This Row],[QTY]]="",NOTA[[#This Row],[HARGA SATUAN]]="",),"",NOTA[[#This Row],[QTY]]*NOTA[[#This Row],[HARGA SATUAN]])</f>
        <v/>
      </c>
      <c r="AI571" s="60">
        <f ca="1">IF(NOTA[ID_H]="","",INDEX(NOTA[TANGGAL],MATCH(,INDIRECT(ADDRESS(ROW(NOTA[TANGGAL]),COLUMN(NOTA[TANGGAL]))&amp;":"&amp;ADDRESS(ROW(),COLUMN(NOTA[TANGGAL]))),-1)))</f>
        <v>45310</v>
      </c>
      <c r="AJ571" s="55" t="str">
        <f ca="1">IF(NOTA[[#This Row],[NAMA BARANG]]="","",INDEX(NOTA[SUPPLIER],MATCH(,INDIRECT(ADDRESS(ROW(NOTA[ID]),COLUMN(NOTA[ID]))&amp;":"&amp;ADDRESS(ROW(),COLUMN(NOTA[ID]))),-1)))</f>
        <v>KENKO SINAR INDONESIA</v>
      </c>
      <c r="AK571" s="55" t="str">
        <f ca="1">IF(NOTA[[#This Row],[ID_H]]="","",IF(NOTA[[#This Row],[FAKTUR]]="",INDIRECT(ADDRESS(ROW()-1,COLUMN())),NOTA[[#This Row],[FAKTUR]]))</f>
        <v>ARTO MORO</v>
      </c>
      <c r="AL571" s="56" t="str">
        <f ca="1">IF(NOTA[[#This Row],[ID]]="","",COUNTIF(NOTA[ID_H],NOTA[[#This Row],[ID_H]]))</f>
        <v/>
      </c>
      <c r="AM571" s="56">
        <f ca="1">IF(NOTA[[#This Row],[TGL.NOTA]]="",IF(NOTA[[#This Row],[SUPPLIER_H]]="","",AM570),MONTH(NOTA[[#This Row],[TGL.NOTA]]))</f>
        <v>1</v>
      </c>
      <c r="AN571" s="56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>
        <f>IF(NOTA[[#This Row],[CONCAT1]]="","",MATCH(NOTA[[#This Row],[CONCAT1]],[3]!db[NB NOTA_C],0))</f>
        <v>1563</v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>36 LSN</v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W571" s="56" t="e">
        <f ca="1">IF(NOTA[[#This Row],[ID_H]]="","",MATCH(NOTA[[#This Row],[NB NOTA_C_QTY]],[4]!db[NB NOTA_C_QTY+F],0))</f>
        <v>#REF!</v>
      </c>
      <c r="AX571" s="68">
        <f ca="1">IF(NOTA[[#This Row],[NB NOTA_C_QTY]]="","",ROW()-2)</f>
        <v>569</v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>
        <f ca="1">IF(NOTA[[#This Row],[NAMA BARANG]]="","",INDEX(NOTA[ID],MATCH(,INDIRECT(ADDRESS(ROW(NOTA[ID]),COLUMN(NOTA[ID]))&amp;":"&amp;ADDRESS(ROW(),COLUMN(NOTA[ID]))),-1)))</f>
        <v>91</v>
      </c>
      <c r="E572" s="57"/>
      <c r="F572" s="58"/>
      <c r="G572" s="58"/>
      <c r="H572" s="59"/>
      <c r="I572" s="58"/>
      <c r="J572" s="60"/>
      <c r="K572" s="58">
        <v>0</v>
      </c>
      <c r="L572" s="37" t="s">
        <v>126</v>
      </c>
      <c r="M572" s="61">
        <v>1</v>
      </c>
      <c r="N572" s="56"/>
      <c r="O572" s="58"/>
      <c r="P572" s="55"/>
      <c r="Q572" s="62">
        <v>1200000</v>
      </c>
      <c r="R572" s="63"/>
      <c r="S572" s="64">
        <v>0.17</v>
      </c>
      <c r="T572" s="65"/>
      <c r="U572" s="65"/>
      <c r="V572" s="66"/>
      <c r="W572" s="67"/>
      <c r="X572" s="66">
        <f>IF(NOTA[[#This Row],[HARGA/ CTN]]="",NOTA[[#This Row],[JUMLAH_H]],NOTA[[#This Row],[HARGA/ CTN]]*IF(NOTA[[#This Row],[C]]="",0,NOTA[[#This Row],[C]]))</f>
        <v>1200000</v>
      </c>
      <c r="Y572" s="66">
        <f>IF(NOTA[[#This Row],[JUMLAH]]="","",NOTA[[#This Row],[JUMLAH]]*NOTA[[#This Row],[DISC 1]])</f>
        <v>204000.00000000003</v>
      </c>
      <c r="Z572" s="66">
        <f>IF(NOTA[[#This Row],[JUMLAH]]="","",(NOTA[[#This Row],[JUMLAH]]-NOTA[[#This Row],[DISC 1-]])*NOTA[[#This Row],[DISC 2]])</f>
        <v>0</v>
      </c>
      <c r="AA572" s="66">
        <f>IF(NOTA[[#This Row],[JUMLAH]]="","",(NOTA[[#This Row],[JUMLAH]]-NOTA[[#This Row],[DISC 1-]]-NOTA[[#This Row],[DISC 2-]])*NOTA[[#This Row],[DISC 3]])</f>
        <v>0</v>
      </c>
      <c r="AB572" s="66">
        <f>IF(NOTA[[#This Row],[JUMLAH]]="","",NOTA[[#This Row],[DISC 1-]]+NOTA[[#This Row],[DISC 2-]]+NOTA[[#This Row],[DISC 3-]])</f>
        <v>204000.00000000003</v>
      </c>
      <c r="AC572" s="66">
        <f>IF(NOTA[[#This Row],[JUMLAH]]="","",NOTA[[#This Row],[JUMLAH]]-NOTA[[#This Row],[DISC]])</f>
        <v>996000</v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572" s="66" t="str">
        <f>IF(OR(NOTA[[#This Row],[QTY]]="",NOTA[[#This Row],[HARGA SATUAN]]="",),"",NOTA[[#This Row],[QTY]]*NOTA[[#This Row],[HARGA SATUAN]])</f>
        <v/>
      </c>
      <c r="AI572" s="60">
        <f ca="1">IF(NOTA[ID_H]="","",INDEX(NOTA[TANGGAL],MATCH(,INDIRECT(ADDRESS(ROW(NOTA[TANGGAL]),COLUMN(NOTA[TANGGAL]))&amp;":"&amp;ADDRESS(ROW(),COLUMN(NOTA[TANGGAL]))),-1)))</f>
        <v>45310</v>
      </c>
      <c r="AJ572" s="55" t="str">
        <f ca="1">IF(NOTA[[#This Row],[NAMA BARANG]]="","",INDEX(NOTA[SUPPLIER],MATCH(,INDIRECT(ADDRESS(ROW(NOTA[ID]),COLUMN(NOTA[ID]))&amp;":"&amp;ADDRESS(ROW(),COLUMN(NOTA[ID]))),-1)))</f>
        <v>KENKO SINAR INDONESIA</v>
      </c>
      <c r="AK572" s="55" t="str">
        <f ca="1">IF(NOTA[[#This Row],[ID_H]]="","",IF(NOTA[[#This Row],[FAKTUR]]="",INDIRECT(ADDRESS(ROW()-1,COLUMN())),NOTA[[#This Row],[FAKTUR]]))</f>
        <v>ARTO MORO</v>
      </c>
      <c r="AL572" s="56" t="str">
        <f ca="1">IF(NOTA[[#This Row],[ID]]="","",COUNTIF(NOTA[ID_H],NOTA[[#This Row],[ID_H]]))</f>
        <v/>
      </c>
      <c r="AM572" s="56">
        <f ca="1">IF(NOTA[[#This Row],[TGL.NOTA]]="",IF(NOTA[[#This Row],[SUPPLIER_H]]="","",AM571),MONTH(NOTA[[#This Row],[TGL.NOTA]]))</f>
        <v>1</v>
      </c>
      <c r="AN572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>
        <f>IF(NOTA[[#This Row],[CONCAT1]]="","",MATCH(NOTA[[#This Row],[CONCAT1]],[3]!db[NB NOTA_C],0))</f>
        <v>1501</v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>10 GRS</v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572" s="56" t="e">
        <f ca="1">IF(NOTA[[#This Row],[ID_H]]="","",MATCH(NOTA[[#This Row],[NB NOTA_C_QTY]],[4]!db[NB NOTA_C_QTY+F],0))</f>
        <v>#REF!</v>
      </c>
      <c r="AX572" s="68">
        <f ca="1">IF(NOTA[[#This Row],[NB NOTA_C_QTY]]="","",ROW()-2)</f>
        <v>570</v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>
        <f ca="1">IF(NOTA[[#This Row],[NAMA BARANG]]="","",INDEX(NOTA[ID],MATCH(,INDIRECT(ADDRESS(ROW(NOTA[ID]),COLUMN(NOTA[ID]))&amp;":"&amp;ADDRESS(ROW(),COLUMN(NOTA[ID]))),-1)))</f>
        <v>91</v>
      </c>
      <c r="E573" s="57"/>
      <c r="F573" s="37"/>
      <c r="G573" s="37"/>
      <c r="H573" s="47"/>
      <c r="I573" s="58"/>
      <c r="J573" s="60"/>
      <c r="K573" s="58"/>
      <c r="L573" s="37" t="s">
        <v>678</v>
      </c>
      <c r="M573" s="61">
        <v>2</v>
      </c>
      <c r="N573" s="56"/>
      <c r="O573" s="37"/>
      <c r="P573" s="55"/>
      <c r="Q573" s="62">
        <v>900000</v>
      </c>
      <c r="R573" s="48"/>
      <c r="S573" s="64">
        <v>0.17</v>
      </c>
      <c r="T573" s="65"/>
      <c r="U573" s="65"/>
      <c r="V573" s="66"/>
      <c r="W573" s="67"/>
      <c r="X573" s="66">
        <f>IF(NOTA[[#This Row],[HARGA/ CTN]]="",NOTA[[#This Row],[JUMLAH_H]],NOTA[[#This Row],[HARGA/ CTN]]*IF(NOTA[[#This Row],[C]]="",0,NOTA[[#This Row],[C]]))</f>
        <v>1800000</v>
      </c>
      <c r="Y573" s="66">
        <f>IF(NOTA[[#This Row],[JUMLAH]]="","",NOTA[[#This Row],[JUMLAH]]*NOTA[[#This Row],[DISC 1]])</f>
        <v>306000</v>
      </c>
      <c r="Z573" s="66">
        <f>IF(NOTA[[#This Row],[JUMLAH]]="","",(NOTA[[#This Row],[JUMLAH]]-NOTA[[#This Row],[DISC 1-]])*NOTA[[#This Row],[DISC 2]])</f>
        <v>0</v>
      </c>
      <c r="AA573" s="66">
        <f>IF(NOTA[[#This Row],[JUMLAH]]="","",(NOTA[[#This Row],[JUMLAH]]-NOTA[[#This Row],[DISC 1-]]-NOTA[[#This Row],[DISC 2-]])*NOTA[[#This Row],[DISC 3]])</f>
        <v>0</v>
      </c>
      <c r="AB573" s="66">
        <f>IF(NOTA[[#This Row],[JUMLAH]]="","",NOTA[[#This Row],[DISC 1-]]+NOTA[[#This Row],[DISC 2-]]+NOTA[[#This Row],[DISC 3-]])</f>
        <v>306000</v>
      </c>
      <c r="AC573" s="66">
        <f>IF(NOTA[[#This Row],[JUMLAH]]="","",NOTA[[#This Row],[JUMLAH]]-NOTA[[#This Row],[DISC]])</f>
        <v>1494000</v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73" s="66" t="str">
        <f>IF(OR(NOTA[[#This Row],[QTY]]="",NOTA[[#This Row],[HARGA SATUAN]]="",),"",NOTA[[#This Row],[QTY]]*NOTA[[#This Row],[HARGA SATUAN]])</f>
        <v/>
      </c>
      <c r="AI573" s="60">
        <f ca="1">IF(NOTA[ID_H]="","",INDEX(NOTA[TANGGAL],MATCH(,INDIRECT(ADDRESS(ROW(NOTA[TANGGAL]),COLUMN(NOTA[TANGGAL]))&amp;":"&amp;ADDRESS(ROW(),COLUMN(NOTA[TANGGAL]))),-1)))</f>
        <v>45310</v>
      </c>
      <c r="AJ573" s="55" t="str">
        <f ca="1">IF(NOTA[[#This Row],[NAMA BARANG]]="","",INDEX(NOTA[SUPPLIER],MATCH(,INDIRECT(ADDRESS(ROW(NOTA[ID]),COLUMN(NOTA[ID]))&amp;":"&amp;ADDRESS(ROW(),COLUMN(NOTA[ID]))),-1)))</f>
        <v>KENKO SINAR INDONESIA</v>
      </c>
      <c r="AK573" s="55" t="str">
        <f ca="1">IF(NOTA[[#This Row],[ID_H]]="","",IF(NOTA[[#This Row],[FAKTUR]]="",INDIRECT(ADDRESS(ROW()-1,COLUMN())),NOTA[[#This Row],[FAKTUR]]))</f>
        <v>ARTO MORO</v>
      </c>
      <c r="AL573" s="56" t="str">
        <f ca="1">IF(NOTA[[#This Row],[ID]]="","",COUNTIF(NOTA[ID_H],NOTA[[#This Row],[ID_H]]))</f>
        <v/>
      </c>
      <c r="AM573" s="56">
        <f ca="1">IF(NOTA[[#This Row],[TGL.NOTA]]="",IF(NOTA[[#This Row],[SUPPLIER_H]]="","",AM572),MONTH(NOTA[[#This Row],[TGL.NOTA]]))</f>
        <v>1</v>
      </c>
      <c r="AN573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>
        <f>IF(NOTA[[#This Row],[CONCAT1]]="","",MATCH(NOTA[[#This Row],[CONCAT1]],[3]!db[NB NOTA_C],0))</f>
        <v>1502</v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>5 GRS</v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73" s="56" t="e">
        <f ca="1">IF(NOTA[[#This Row],[ID_H]]="","",MATCH(NOTA[[#This Row],[NB NOTA_C_QTY]],[4]!db[NB NOTA_C_QTY+F],0))</f>
        <v>#REF!</v>
      </c>
      <c r="AX573" s="68">
        <f ca="1">IF(NOTA[[#This Row],[NB NOTA_C_QTY]]="","",ROW()-2)</f>
        <v>571</v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>
        <f ca="1">IF(NOTA[[#This Row],[NAMA BARANG]]="","",INDEX(NOTA[ID],MATCH(,INDIRECT(ADDRESS(ROW(NOTA[ID]),COLUMN(NOTA[ID]))&amp;":"&amp;ADDRESS(ROW(),COLUMN(NOTA[ID]))),-1)))</f>
        <v>91</v>
      </c>
      <c r="E574" s="57"/>
      <c r="F574" s="58"/>
      <c r="G574" s="58"/>
      <c r="H574" s="59"/>
      <c r="I574" s="58"/>
      <c r="J574" s="60"/>
      <c r="K574" s="58">
        <v>0</v>
      </c>
      <c r="L574" s="37" t="s">
        <v>680</v>
      </c>
      <c r="M574" s="61">
        <v>1</v>
      </c>
      <c r="N574" s="56"/>
      <c r="O574" s="37"/>
      <c r="P574" s="55"/>
      <c r="Q574" s="62">
        <v>1560000</v>
      </c>
      <c r="R574" s="48"/>
      <c r="S574" s="64">
        <v>0.17</v>
      </c>
      <c r="T574" s="65"/>
      <c r="U574" s="65"/>
      <c r="V574" s="66"/>
      <c r="W574" s="67"/>
      <c r="X574" s="66">
        <f>IF(NOTA[[#This Row],[HARGA/ CTN]]="",NOTA[[#This Row],[JUMLAH_H]],NOTA[[#This Row],[HARGA/ CTN]]*IF(NOTA[[#This Row],[C]]="",0,NOTA[[#This Row],[C]]))</f>
        <v>1560000</v>
      </c>
      <c r="Y574" s="66">
        <f>IF(NOTA[[#This Row],[JUMLAH]]="","",NOTA[[#This Row],[JUMLAH]]*NOTA[[#This Row],[DISC 1]])</f>
        <v>265200</v>
      </c>
      <c r="Z574" s="66">
        <f>IF(NOTA[[#This Row],[JUMLAH]]="","",(NOTA[[#This Row],[JUMLAH]]-NOTA[[#This Row],[DISC 1-]])*NOTA[[#This Row],[DISC 2]])</f>
        <v>0</v>
      </c>
      <c r="AA574" s="66">
        <f>IF(NOTA[[#This Row],[JUMLAH]]="","",(NOTA[[#This Row],[JUMLAH]]-NOTA[[#This Row],[DISC 1-]]-NOTA[[#This Row],[DISC 2-]])*NOTA[[#This Row],[DISC 3]])</f>
        <v>0</v>
      </c>
      <c r="AB574" s="66">
        <f>IF(NOTA[[#This Row],[JUMLAH]]="","",NOTA[[#This Row],[DISC 1-]]+NOTA[[#This Row],[DISC 2-]]+NOTA[[#This Row],[DISC 3-]])</f>
        <v>265200</v>
      </c>
      <c r="AC574" s="66">
        <f>IF(NOTA[[#This Row],[JUMLAH]]="","",NOTA[[#This Row],[JUMLAH]]-NOTA[[#This Row],[DISC]])</f>
        <v>1294800</v>
      </c>
      <c r="AD574" s="66"/>
      <c r="AE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1783164</v>
      </c>
      <c r="AF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8706036</v>
      </c>
      <c r="AG574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574" s="66" t="str">
        <f>IF(OR(NOTA[[#This Row],[QTY]]="",NOTA[[#This Row],[HARGA SATUAN]]="",),"",NOTA[[#This Row],[QTY]]*NOTA[[#This Row],[HARGA SATUAN]])</f>
        <v/>
      </c>
      <c r="AI574" s="60">
        <f ca="1">IF(NOTA[ID_H]="","",INDEX(NOTA[TANGGAL],MATCH(,INDIRECT(ADDRESS(ROW(NOTA[TANGGAL]),COLUMN(NOTA[TANGGAL]))&amp;":"&amp;ADDRESS(ROW(),COLUMN(NOTA[TANGGAL]))),-1)))</f>
        <v>45310</v>
      </c>
      <c r="AJ574" s="55" t="str">
        <f ca="1">IF(NOTA[[#This Row],[NAMA BARANG]]="","",INDEX(NOTA[SUPPLIER],MATCH(,INDIRECT(ADDRESS(ROW(NOTA[ID]),COLUMN(NOTA[ID]))&amp;":"&amp;ADDRESS(ROW(),COLUMN(NOTA[ID]))),-1)))</f>
        <v>KENKO SINAR INDONESIA</v>
      </c>
      <c r="AK574" s="55" t="str">
        <f ca="1">IF(NOTA[[#This Row],[ID_H]]="","",IF(NOTA[[#This Row],[FAKTUR]]="",INDIRECT(ADDRESS(ROW()-1,COLUMN())),NOTA[[#This Row],[FAKTUR]]))</f>
        <v>ARTO MORO</v>
      </c>
      <c r="AL574" s="56" t="str">
        <f ca="1">IF(NOTA[[#This Row],[ID]]="","",COUNTIF(NOTA[ID_H],NOTA[[#This Row],[ID_H]]))</f>
        <v/>
      </c>
      <c r="AM574" s="56">
        <f ca="1">IF(NOTA[[#This Row],[TGL.NOTA]]="",IF(NOTA[[#This Row],[SUPPLIER_H]]="","",AM573),MONTH(NOTA[[#This Row],[TGL.NOTA]]))</f>
        <v>1</v>
      </c>
      <c r="AN574" s="56" t="str">
        <f>LOWER(SUBSTITUTE(SUBSTITUTE(SUBSTITUTE(SUBSTITUTE(SUBSTITUTE(SUBSTITUTE(SUBSTITUTE(SUBSTITUTE(SUBSTITUTE(NOTA[NAMA BARANG]," ",),".",""),"-",""),"(",""),")",""),",",""),"/",""),"""",""),"+",""))</f>
        <v>kenkopunchno30</v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>
        <f>IF(NOTA[[#This Row],[CONCAT1]]="","",MATCH(NOTA[[#This Row],[CONCAT1]],[3]!db[NB NOTA_C],0))</f>
        <v>1746</v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>10 LSN</v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574" s="56" t="e">
        <f ca="1">IF(NOTA[[#This Row],[ID_H]]="","",MATCH(NOTA[[#This Row],[NB NOTA_C_QTY]],[4]!db[NB NOTA_C_QTY+F],0))</f>
        <v>#REF!</v>
      </c>
      <c r="AX574" s="68">
        <f ca="1">IF(NOTA[[#This Row],[NB NOTA_C_QTY]]="","",ROW()-2)</f>
        <v>572</v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37"/>
      <c r="G575" s="37"/>
      <c r="H575" s="47"/>
      <c r="I575" s="58"/>
      <c r="J575" s="60"/>
      <c r="K575" s="58"/>
      <c r="L575" s="37"/>
      <c r="M575" s="61"/>
      <c r="N575" s="56"/>
      <c r="O575" s="37"/>
      <c r="P575" s="55"/>
      <c r="Q575" s="62"/>
      <c r="R575" s="48"/>
      <c r="S575" s="49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>
        <f ca="1">IF(INDIRECT(ADDRESS(ROW()-1,COLUMN(NOTA[[#Headers],[ID]])))="ID",1,IF(NOTA[[#This Row],[FAKTUR]]="","",COUNT(INDIRECT(ADDRESS(ROW(NOTA[ID]),COLUMN(NOTA[ID]))&amp;":"&amp;ADDRESS(ROW()-1,COLUMN(NOTA[ID]))))+1))</f>
        <v>92</v>
      </c>
      <c r="B5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KEN_1901_885-1</v>
      </c>
      <c r="C576" s="56" t="e">
        <f ca="1">IF(NOTA[[#This Row],[ID_P]]="","",MATCH(NOTA[[#This Row],[ID_P]],[1]!B_MSK[N_ID],0))</f>
        <v>#REF!</v>
      </c>
      <c r="D576" s="56">
        <f ca="1">IF(NOTA[[#This Row],[NAMA BARANG]]="","",INDEX(NOTA[ID],MATCH(,INDIRECT(ADDRESS(ROW(NOTA[ID]),COLUMN(NOTA[ID]))&amp;":"&amp;ADDRESS(ROW(),COLUMN(NOTA[ID]))),-1)))</f>
        <v>92</v>
      </c>
      <c r="E576" s="57"/>
      <c r="F576" s="37" t="s">
        <v>22</v>
      </c>
      <c r="G576" s="37" t="s">
        <v>23</v>
      </c>
      <c r="H576" s="47" t="s">
        <v>682</v>
      </c>
      <c r="I576" s="58"/>
      <c r="J576" s="60">
        <v>45307</v>
      </c>
      <c r="K576" s="58">
        <v>0</v>
      </c>
      <c r="L576" s="37" t="s">
        <v>537</v>
      </c>
      <c r="M576" s="61">
        <v>1</v>
      </c>
      <c r="N576" s="56"/>
      <c r="O576" s="37"/>
      <c r="P576" s="55"/>
      <c r="Q576" s="62">
        <v>2112000</v>
      </c>
      <c r="R576" s="48"/>
      <c r="S576" s="64">
        <v>0.17</v>
      </c>
      <c r="T576" s="65"/>
      <c r="U576" s="65"/>
      <c r="V576" s="66"/>
      <c r="W576" s="67"/>
      <c r="X576" s="66">
        <f>IF(NOTA[[#This Row],[HARGA/ CTN]]="",NOTA[[#This Row],[JUMLAH_H]],NOTA[[#This Row],[HARGA/ CTN]]*IF(NOTA[[#This Row],[C]]="",0,NOTA[[#This Row],[C]]))</f>
        <v>2112000</v>
      </c>
      <c r="Y576" s="66">
        <f>IF(NOTA[[#This Row],[JUMLAH]]="","",NOTA[[#This Row],[JUMLAH]]*NOTA[[#This Row],[DISC 1]])</f>
        <v>359040</v>
      </c>
      <c r="Z576" s="66">
        <f>IF(NOTA[[#This Row],[JUMLAH]]="","",(NOTA[[#This Row],[JUMLAH]]-NOTA[[#This Row],[DISC 1-]])*NOTA[[#This Row],[DISC 2]])</f>
        <v>0</v>
      </c>
      <c r="AA576" s="66">
        <f>IF(NOTA[[#This Row],[JUMLAH]]="","",(NOTA[[#This Row],[JUMLAH]]-NOTA[[#This Row],[DISC 1-]]-NOTA[[#This Row],[DISC 2-]])*NOTA[[#This Row],[DISC 3]])</f>
        <v>0</v>
      </c>
      <c r="AB576" s="66">
        <f>IF(NOTA[[#This Row],[JUMLAH]]="","",NOTA[[#This Row],[DISC 1-]]+NOTA[[#This Row],[DISC 2-]]+NOTA[[#This Row],[DISC 3-]])</f>
        <v>359040</v>
      </c>
      <c r="AC576" s="66">
        <f>IF(NOTA[[#This Row],[JUMLAH]]="","",NOTA[[#This Row],[JUMLAH]]-NOTA[[#This Row],[DISC]])</f>
        <v>1752960</v>
      </c>
      <c r="AD576" s="66"/>
      <c r="AE57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359040</v>
      </c>
      <c r="AF57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1752960</v>
      </c>
      <c r="AG576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76" s="66" t="str">
        <f>IF(OR(NOTA[[#This Row],[QTY]]="",NOTA[[#This Row],[HARGA SATUAN]]="",),"",NOTA[[#This Row],[QTY]]*NOTA[[#This Row],[HARGA SATUAN]])</f>
        <v/>
      </c>
      <c r="AI576" s="60">
        <f ca="1">IF(NOTA[ID_H]="","",INDEX(NOTA[TANGGAL],MATCH(,INDIRECT(ADDRESS(ROW(NOTA[TANGGAL]),COLUMN(NOTA[TANGGAL]))&amp;":"&amp;ADDRESS(ROW(),COLUMN(NOTA[TANGGAL]))),-1)))</f>
        <v>45310</v>
      </c>
      <c r="AJ576" s="55" t="str">
        <f ca="1">IF(NOTA[[#This Row],[NAMA BARANG]]="","",INDEX(NOTA[SUPPLIER],MATCH(,INDIRECT(ADDRESS(ROW(NOTA[ID]),COLUMN(NOTA[ID]))&amp;":"&amp;ADDRESS(ROW(),COLUMN(NOTA[ID]))),-1)))</f>
        <v>KENKO SINAR INDONESIA</v>
      </c>
      <c r="AK576" s="55" t="str">
        <f ca="1">IF(NOTA[[#This Row],[ID_H]]="","",IF(NOTA[[#This Row],[FAKTUR]]="",INDIRECT(ADDRESS(ROW()-1,COLUMN())),NOTA[[#This Row],[FAKTUR]]))</f>
        <v>ARTO MORO</v>
      </c>
      <c r="AL576" s="56">
        <f ca="1">IF(NOTA[[#This Row],[ID]]="","",COUNTIF(NOTA[ID_H],NOTA[[#This Row],[ID_H]]))</f>
        <v>1</v>
      </c>
      <c r="AM576" s="56">
        <f>IF(NOTA[[#This Row],[TGL.NOTA]]="",IF(NOTA[[#This Row],[SUPPLIER_H]]="","",AM575),MONTH(NOTA[[#This Row],[TGL.NOTA]]))</f>
        <v>1</v>
      </c>
      <c r="AN576" s="56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MORO2401088545307kenkopencil2b3181hitamcapmerah</v>
      </c>
      <c r="AR576" s="56" t="e">
        <f>IF(NOTA[[#This Row],[CONCAT4]]="","",_xlfn.IFNA(MATCH(NOTA[[#This Row],[CONCAT4]],[2]!RAW[CONCAT_H],0),FALSE))</f>
        <v>#REF!</v>
      </c>
      <c r="AS576" s="56">
        <f>IF(NOTA[[#This Row],[CONCAT1]]="","",MATCH(NOTA[[#This Row],[CONCAT1]],[3]!db[NB NOTA_C],0))</f>
        <v>1715</v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>20 GRS</v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576" s="56" t="e">
        <f ca="1">IF(NOTA[[#This Row],[ID_H]]="","",MATCH(NOTA[[#This Row],[NB NOTA_C_QTY]],[4]!db[NB NOTA_C_QTY+F],0))</f>
        <v>#REF!</v>
      </c>
      <c r="AX576" s="68">
        <f ca="1">IF(NOTA[[#This Row],[NB NOTA_C_QTY]]="","",ROW()-2)</f>
        <v>574</v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37"/>
      <c r="G577" s="37"/>
      <c r="H577" s="47"/>
      <c r="I577" s="58"/>
      <c r="J577" s="60"/>
      <c r="K577" s="58"/>
      <c r="L577" s="37"/>
      <c r="M577" s="61"/>
      <c r="N577" s="56"/>
      <c r="O577" s="37"/>
      <c r="P577" s="55"/>
      <c r="Q577" s="62"/>
      <c r="R577" s="48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55" t="str">
        <f ca="1">IF(NOTA[[#This Row],[NAMA BARANG]]="","",INDEX(NOTA[SUPPLIER],MATCH(,INDIRECT(ADDRESS(ROW(NOTA[ID]),COLUMN(NOTA[ID]))&amp;":"&amp;ADDRESS(ROW(),COLUMN(NOTA[ID]))),-1)))</f>
        <v/>
      </c>
      <c r="AK577" s="55" t="str">
        <f ca="1">IF(NOTA[[#This Row],[ID_H]]="","",IF(NOTA[[#This Row],[FAKTUR]]="",INDIRECT(ADDRESS(ROW()-1,COLUMN())),NOTA[[#This Row],[FAKTUR]]))</f>
        <v/>
      </c>
      <c r="AL577" s="56" t="str">
        <f ca="1">IF(NOTA[[#This Row],[ID]]="","",COUNTIF(NOTA[ID_H],NOTA[[#This Row],[ID_H]]))</f>
        <v/>
      </c>
      <c r="AM577" s="56" t="str">
        <f ca="1">IF(NOTA[[#This Row],[TGL.NOTA]]="",IF(NOTA[[#This Row],[SUPPLIER_H]]="","",AM576),MONTH(NOTA[[#This Row],[TGL.NOTA]]))</f>
        <v/>
      </c>
      <c r="AN577" s="56" t="str">
        <f>LOWER(SUBSTITUTE(SUBSTITUTE(SUBSTITUTE(SUBSTITUTE(SUBSTITUTE(SUBSTITUTE(SUBSTITUTE(SUBSTITUTE(SUBSTITUTE(NOTA[NAMA BARANG]," ",),".",""),"-",""),"(",""),")",""),",",""),"/",""),"""",""),"+",""))</f>
        <v/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 t="str">
        <f>IF(NOTA[[#This Row],[CONCAT1]]="","",MATCH(NOTA[[#This Row],[CONCAT1]],[3]!db[NB NOTA_C],0))</f>
        <v/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/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56" t="str">
        <f ca="1">IF(NOTA[[#This Row],[ID_H]]="","",MATCH(NOTA[[#This Row],[NB NOTA_C_QTY]],[4]!db[NB NOTA_C_QTY+F],0))</f>
        <v/>
      </c>
      <c r="AX577" s="68" t="str">
        <f ca="1">IF(NOTA[[#This Row],[NB NOTA_C_QTY]]="","",ROW()-2)</f>
        <v/>
      </c>
    </row>
    <row r="578" spans="1:50" s="38" customFormat="1" ht="20.100000000000001" customHeight="1" x14ac:dyDescent="0.25">
      <c r="A578" s="55">
        <f ca="1">IF(INDIRECT(ADDRESS(ROW()-1,COLUMN(NOTA[[#Headers],[ID]])))="ID",1,IF(NOTA[[#This Row],[FAKTUR]]="","",COUNT(INDIRECT(ADDRESS(ROW(NOTA[ID]),COLUMN(NOTA[ID]))&amp;":"&amp;ADDRESS(ROW()-1,COLUMN(NOTA[ID]))))+1))</f>
        <v>93</v>
      </c>
      <c r="B57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ATA_1901_983-7</v>
      </c>
      <c r="C578" s="56" t="e">
        <f ca="1">IF(NOTA[[#This Row],[ID_P]]="","",MATCH(NOTA[[#This Row],[ID_P]],[1]!B_MSK[N_ID],0))</f>
        <v>#REF!</v>
      </c>
      <c r="D578" s="56">
        <f ca="1">IF(NOTA[[#This Row],[NAMA BARANG]]="","",INDEX(NOTA[ID],MATCH(,INDIRECT(ADDRESS(ROW(NOTA[ID]),COLUMN(NOTA[ID]))&amp;":"&amp;ADDRESS(ROW(),COLUMN(NOTA[ID]))),-1)))</f>
        <v>93</v>
      </c>
      <c r="E578" s="57"/>
      <c r="F578" s="37" t="s">
        <v>24</v>
      </c>
      <c r="G578" s="37" t="s">
        <v>23</v>
      </c>
      <c r="H578" s="47" t="s">
        <v>683</v>
      </c>
      <c r="I578" s="58"/>
      <c r="J578" s="60">
        <v>45307</v>
      </c>
      <c r="K578" s="58">
        <v>0</v>
      </c>
      <c r="L578" s="37" t="s">
        <v>684</v>
      </c>
      <c r="M578" s="61">
        <v>1</v>
      </c>
      <c r="N578" s="56">
        <v>36</v>
      </c>
      <c r="O578" s="37" t="s">
        <v>116</v>
      </c>
      <c r="P578" s="55">
        <v>41500</v>
      </c>
      <c r="Q578" s="62"/>
      <c r="R578" s="63"/>
      <c r="S578" s="64">
        <v>0.125</v>
      </c>
      <c r="T578" s="65">
        <v>0.05</v>
      </c>
      <c r="U578" s="65"/>
      <c r="V578" s="66"/>
      <c r="W578" s="67"/>
      <c r="X578" s="66">
        <f>IF(NOTA[[#This Row],[HARGA/ CTN]]="",NOTA[[#This Row],[JUMLAH_H]],NOTA[[#This Row],[HARGA/ CTN]]*IF(NOTA[[#This Row],[C]]="",0,NOTA[[#This Row],[C]]))</f>
        <v>1494000</v>
      </c>
      <c r="Y578" s="66">
        <f>IF(NOTA[[#This Row],[JUMLAH]]="","",NOTA[[#This Row],[JUMLAH]]*NOTA[[#This Row],[DISC 1]])</f>
        <v>186750</v>
      </c>
      <c r="Z578" s="66">
        <f>IF(NOTA[[#This Row],[JUMLAH]]="","",(NOTA[[#This Row],[JUMLAH]]-NOTA[[#This Row],[DISC 1-]])*NOTA[[#This Row],[DISC 2]])</f>
        <v>65362.5</v>
      </c>
      <c r="AA578" s="66">
        <f>IF(NOTA[[#This Row],[JUMLAH]]="","",(NOTA[[#This Row],[JUMLAH]]-NOTA[[#This Row],[DISC 1-]]-NOTA[[#This Row],[DISC 2-]])*NOTA[[#This Row],[DISC 3]])</f>
        <v>0</v>
      </c>
      <c r="AB578" s="66">
        <f>IF(NOTA[[#This Row],[JUMLAH]]="","",NOTA[[#This Row],[DISC 1-]]+NOTA[[#This Row],[DISC 2-]]+NOTA[[#This Row],[DISC 3-]])</f>
        <v>252112.5</v>
      </c>
      <c r="AC578" s="66">
        <f>IF(NOTA[[#This Row],[JUMLAH]]="","",NOTA[[#This Row],[JUMLAH]]-NOTA[[#This Row],[DISC]])</f>
        <v>1241887.5</v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578" s="66">
        <f>IF(OR(NOTA[[#This Row],[QTY]]="",NOTA[[#This Row],[HARGA SATUAN]]="",),"",NOTA[[#This Row],[QTY]]*NOTA[[#This Row],[HARGA SATUAN]])</f>
        <v>1494000</v>
      </c>
      <c r="AI578" s="60">
        <f ca="1">IF(NOTA[ID_H]="","",INDEX(NOTA[TANGGAL],MATCH(,INDIRECT(ADDRESS(ROW(NOTA[TANGGAL]),COLUMN(NOTA[TANGGAL]))&amp;":"&amp;ADDRESS(ROW(),COLUMN(NOTA[TANGGAL]))),-1)))</f>
        <v>45310</v>
      </c>
      <c r="AJ578" s="55" t="str">
        <f ca="1">IF(NOTA[[#This Row],[NAMA BARANG]]="","",INDEX(NOTA[SUPPLIER],MATCH(,INDIRECT(ADDRESS(ROW(NOTA[ID]),COLUMN(NOTA[ID]))&amp;":"&amp;ADDRESS(ROW(),COLUMN(NOTA[ID]))),-1)))</f>
        <v>ATALI MAKMUR</v>
      </c>
      <c r="AK578" s="55" t="str">
        <f ca="1">IF(NOTA[[#This Row],[ID_H]]="","",IF(NOTA[[#This Row],[FAKTUR]]="",INDIRECT(ADDRESS(ROW()-1,COLUMN())),NOTA[[#This Row],[FAKTUR]]))</f>
        <v>ARTO MORO</v>
      </c>
      <c r="AL578" s="56">
        <f ca="1">IF(NOTA[[#This Row],[ID]]="","",COUNTIF(NOTA[ID_H],NOTA[[#This Row],[ID_H]]))</f>
        <v>7</v>
      </c>
      <c r="AM578" s="56">
        <f>IF(NOTA[[#This Row],[TGL.NOTA]]="",IF(NOTA[[#This Row],[SUPPLIER_H]]="","",AM577),MONTH(NOTA[[#This Row],[TGL.NOTA]]))</f>
        <v>1</v>
      </c>
      <c r="AN578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MOROSA24010098345307oilpastelop36sppcaseseaworldjk</v>
      </c>
      <c r="AR578" s="56" t="e">
        <f>IF(NOTA[[#This Row],[CONCAT4]]="","",_xlfn.IFNA(MATCH(NOTA[[#This Row],[CONCAT4]],[2]!RAW[CONCAT_H],0),FALSE))</f>
        <v>#REF!</v>
      </c>
      <c r="AS578" s="56">
        <f>IF(NOTA[[#This Row],[CONCAT1]]="","",MATCH(NOTA[[#This Row],[CONCAT1]],[3]!db[NB NOTA_C],0))</f>
        <v>2177</v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>6 BOX (6 SET)</v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578" s="56" t="e">
        <f ca="1">IF(NOTA[[#This Row],[ID_H]]="","",MATCH(NOTA[[#This Row],[NB NOTA_C_QTY]],[4]!db[NB NOTA_C_QTY+F],0))</f>
        <v>#REF!</v>
      </c>
      <c r="AX578" s="68">
        <f ca="1">IF(NOTA[[#This Row],[NB NOTA_C_QTY]]="","",ROW()-2)</f>
        <v>576</v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93</v>
      </c>
      <c r="E579" s="57"/>
      <c r="F579" s="37"/>
      <c r="G579" s="37"/>
      <c r="H579" s="47"/>
      <c r="I579" s="37"/>
      <c r="J579" s="60"/>
      <c r="K579" s="58">
        <v>0</v>
      </c>
      <c r="L579" s="37" t="s">
        <v>685</v>
      </c>
      <c r="M579" s="61">
        <v>1</v>
      </c>
      <c r="N579" s="56" t="s">
        <v>686</v>
      </c>
      <c r="O579" s="37" t="s">
        <v>116</v>
      </c>
      <c r="P579" s="55">
        <v>66900</v>
      </c>
      <c r="Q579" s="62"/>
      <c r="R579" s="63"/>
      <c r="S579" s="64">
        <v>0.125</v>
      </c>
      <c r="T579" s="65">
        <v>0.05</v>
      </c>
      <c r="U579" s="65"/>
      <c r="V579" s="66"/>
      <c r="W579" s="67"/>
      <c r="X579" s="66">
        <f>IF(NOTA[[#This Row],[HARGA/ CTN]]="",NOTA[[#This Row],[JUMLAH_H]],NOTA[[#This Row],[HARGA/ CTN]]*IF(NOTA[[#This Row],[C]]="",0,NOTA[[#This Row],[C]]))</f>
        <v>1605600</v>
      </c>
      <c r="Y579" s="66">
        <f>IF(NOTA[[#This Row],[JUMLAH]]="","",NOTA[[#This Row],[JUMLAH]]*NOTA[[#This Row],[DISC 1]])</f>
        <v>200700</v>
      </c>
      <c r="Z579" s="66">
        <f>IF(NOTA[[#This Row],[JUMLAH]]="","",(NOTA[[#This Row],[JUMLAH]]-NOTA[[#This Row],[DISC 1-]])*NOTA[[#This Row],[DISC 2]])</f>
        <v>70245</v>
      </c>
      <c r="AA579" s="66">
        <f>IF(NOTA[[#This Row],[JUMLAH]]="","",(NOTA[[#This Row],[JUMLAH]]-NOTA[[#This Row],[DISC 1-]]-NOTA[[#This Row],[DISC 2-]])*NOTA[[#This Row],[DISC 3]])</f>
        <v>0</v>
      </c>
      <c r="AB579" s="66">
        <f>IF(NOTA[[#This Row],[JUMLAH]]="","",NOTA[[#This Row],[DISC 1-]]+NOTA[[#This Row],[DISC 2-]]+NOTA[[#This Row],[DISC 3-]])</f>
        <v>270945</v>
      </c>
      <c r="AC579" s="66">
        <f>IF(NOTA[[#This Row],[JUMLAH]]="","",NOTA[[#This Row],[JUMLAH]]-NOTA[[#This Row],[DISC]])</f>
        <v>1334655</v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579" s="66">
        <f>IF(OR(NOTA[[#This Row],[QTY]]="",NOTA[[#This Row],[HARGA SATUAN]]="",),"",NOTA[[#This Row],[QTY]]*NOTA[[#This Row],[HARGA SATUAN]])</f>
        <v>1605600</v>
      </c>
      <c r="AI579" s="60">
        <f ca="1">IF(NOTA[ID_H]="","",INDEX(NOTA[TANGGAL],MATCH(,INDIRECT(ADDRESS(ROW(NOTA[TANGGAL]),COLUMN(NOTA[TANGGAL]))&amp;":"&amp;ADDRESS(ROW(),COLUMN(NOTA[TANGGAL]))),-1)))</f>
        <v>45310</v>
      </c>
      <c r="AJ579" s="55" t="str">
        <f ca="1">IF(NOTA[[#This Row],[NAMA BARANG]]="","",INDEX(NOTA[SUPPLIER],MATCH(,INDIRECT(ADDRESS(ROW(NOTA[ID]),COLUMN(NOTA[ID]))&amp;":"&amp;ADDRESS(ROW(),COLUMN(NOTA[ID]))),-1)))</f>
        <v>ATALI MAKMUR</v>
      </c>
      <c r="AK579" s="55" t="str">
        <f ca="1">IF(NOTA[[#This Row],[ID_H]]="","",IF(NOTA[[#This Row],[FAKTUR]]="",INDIRECT(ADDRESS(ROW()-1,COLUMN())),NOTA[[#This Row],[FAKTUR]]))</f>
        <v>ARTO MORO</v>
      </c>
      <c r="AL579" s="56" t="str">
        <f ca="1">IF(NOTA[[#This Row],[ID]]="","",COUNTIF(NOTA[ID_H],NOTA[[#This Row],[ID_H]]))</f>
        <v/>
      </c>
      <c r="AM579" s="56">
        <f ca="1">IF(NOTA[[#This Row],[TGL.NOTA]]="",IF(NOTA[[#This Row],[SUPPLIER_H]]="","",AM578),MONTH(NOTA[[#This Row],[TGL.NOTA]]))</f>
        <v>1</v>
      </c>
      <c r="AN579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>
        <f>IF(NOTA[[#This Row],[CONCAT1]]="","",MATCH(NOTA[[#This Row],[CONCAT1]],[3]!db[NB NOTA_C],0))</f>
        <v>2179</v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>4 BOX (6 SET)</v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579" s="56" t="e">
        <f ca="1">IF(NOTA[[#This Row],[ID_H]]="","",MATCH(NOTA[[#This Row],[NB NOTA_C_QTY]],[4]!db[NB NOTA_C_QTY+F],0))</f>
        <v>#REF!</v>
      </c>
      <c r="AX579" s="68">
        <f ca="1">IF(NOTA[[#This Row],[NB NOTA_C_QTY]]="","",ROW()-2)</f>
        <v>577</v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>
        <f ca="1">IF(NOTA[[#This Row],[NAMA BARANG]]="","",INDEX(NOTA[ID],MATCH(,INDIRECT(ADDRESS(ROW(NOTA[ID]),COLUMN(NOTA[ID]))&amp;":"&amp;ADDRESS(ROW(),COLUMN(NOTA[ID]))),-1)))</f>
        <v>93</v>
      </c>
      <c r="E580" s="57"/>
      <c r="F580" s="58"/>
      <c r="G580" s="58"/>
      <c r="H580" s="59"/>
      <c r="I580" s="58"/>
      <c r="J580" s="60"/>
      <c r="K580" s="58"/>
      <c r="L580" s="37" t="s">
        <v>119</v>
      </c>
      <c r="M580" s="61"/>
      <c r="N580" s="56">
        <v>48</v>
      </c>
      <c r="O580" s="37" t="s">
        <v>115</v>
      </c>
      <c r="P580" s="55">
        <v>2300</v>
      </c>
      <c r="Q580" s="62"/>
      <c r="R580" s="63"/>
      <c r="S580" s="64">
        <v>0.125</v>
      </c>
      <c r="T580" s="65">
        <v>0.05</v>
      </c>
      <c r="U580" s="65"/>
      <c r="V580" s="66"/>
      <c r="W580" s="67"/>
      <c r="X580" s="66">
        <f>IF(NOTA[[#This Row],[HARGA/ CTN]]="",NOTA[[#This Row],[JUMLAH_H]],NOTA[[#This Row],[HARGA/ CTN]]*IF(NOTA[[#This Row],[C]]="",0,NOTA[[#This Row],[C]]))</f>
        <v>110400</v>
      </c>
      <c r="Y580" s="66">
        <f>IF(NOTA[[#This Row],[JUMLAH]]="","",NOTA[[#This Row],[JUMLAH]]*NOTA[[#This Row],[DISC 1]])</f>
        <v>13800</v>
      </c>
      <c r="Z580" s="66">
        <f>IF(NOTA[[#This Row],[JUMLAH]]="","",(NOTA[[#This Row],[JUMLAH]]-NOTA[[#This Row],[DISC 1-]])*NOTA[[#This Row],[DISC 2]])</f>
        <v>4830</v>
      </c>
      <c r="AA580" s="66">
        <f>IF(NOTA[[#This Row],[JUMLAH]]="","",(NOTA[[#This Row],[JUMLAH]]-NOTA[[#This Row],[DISC 1-]]-NOTA[[#This Row],[DISC 2-]])*NOTA[[#This Row],[DISC 3]])</f>
        <v>0</v>
      </c>
      <c r="AB580" s="66">
        <f>IF(NOTA[[#This Row],[JUMLAH]]="","",NOTA[[#This Row],[DISC 1-]]+NOTA[[#This Row],[DISC 2-]]+NOTA[[#This Row],[DISC 3-]])</f>
        <v>18630</v>
      </c>
      <c r="AC580" s="66">
        <f>IF(NOTA[[#This Row],[JUMLAH]]="","",NOTA[[#This Row],[JUMLAH]]-NOTA[[#This Row],[DISC]])</f>
        <v>91770</v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580" s="66">
        <f>IF(OR(NOTA[[#This Row],[QTY]]="",NOTA[[#This Row],[HARGA SATUAN]]="",),"",NOTA[[#This Row],[QTY]]*NOTA[[#This Row],[HARGA SATUAN]])</f>
        <v>110400</v>
      </c>
      <c r="AI580" s="60">
        <f ca="1">IF(NOTA[ID_H]="","",INDEX(NOTA[TANGGAL],MATCH(,INDIRECT(ADDRESS(ROW(NOTA[TANGGAL]),COLUMN(NOTA[TANGGAL]))&amp;":"&amp;ADDRESS(ROW(),COLUMN(NOTA[TANGGAL]))),-1)))</f>
        <v>45310</v>
      </c>
      <c r="AJ580" s="55" t="str">
        <f ca="1">IF(NOTA[[#This Row],[NAMA BARANG]]="","",INDEX(NOTA[SUPPLIER],MATCH(,INDIRECT(ADDRESS(ROW(NOTA[ID]),COLUMN(NOTA[ID]))&amp;":"&amp;ADDRESS(ROW(),COLUMN(NOTA[ID]))),-1)))</f>
        <v>ATALI MAKMUR</v>
      </c>
      <c r="AK580" s="55" t="str">
        <f ca="1">IF(NOTA[[#This Row],[ID_H]]="","",IF(NOTA[[#This Row],[FAKTUR]]="",INDIRECT(ADDRESS(ROW()-1,COLUMN())),NOTA[[#This Row],[FAKTUR]]))</f>
        <v>ARTO MORO</v>
      </c>
      <c r="AL580" s="56" t="str">
        <f ca="1">IF(NOTA[[#This Row],[ID]]="","",COUNTIF(NOTA[ID_H],NOTA[[#This Row],[ID_H]]))</f>
        <v/>
      </c>
      <c r="AM580" s="56">
        <f ca="1">IF(NOTA[[#This Row],[TGL.NOTA]]="",IF(NOTA[[#This Row],[SUPPLIER_H]]="","",AM579),MONTH(NOTA[[#This Row],[TGL.NOTA]]))</f>
        <v>1</v>
      </c>
      <c r="AN580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>
        <f>IF(NOTA[[#This Row],[CONCAT1]]="","",MATCH(NOTA[[#This Row],[CONCAT1]],[3]!db[NB NOTA_C],0))</f>
        <v>3070</v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>48 LSN</v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80" s="56" t="e">
        <f ca="1">IF(NOTA[[#This Row],[ID_H]]="","",MATCH(NOTA[[#This Row],[NB NOTA_C_QTY]],[4]!db[NB NOTA_C_QTY+F],0))</f>
        <v>#REF!</v>
      </c>
      <c r="AX580" s="68">
        <f ca="1">IF(NOTA[[#This Row],[NB NOTA_C_QTY]]="","",ROW()-2)</f>
        <v>578</v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>
        <f ca="1">IF(NOTA[[#This Row],[NAMA BARANG]]="","",INDEX(NOTA[ID],MATCH(,INDIRECT(ADDRESS(ROW(NOTA[ID]),COLUMN(NOTA[ID]))&amp;":"&amp;ADDRESS(ROW(),COLUMN(NOTA[ID]))),-1)))</f>
        <v>93</v>
      </c>
      <c r="E581" s="57"/>
      <c r="F581" s="37"/>
      <c r="G581" s="37"/>
      <c r="H581" s="47"/>
      <c r="I581" s="58"/>
      <c r="J581" s="60"/>
      <c r="K581" s="58">
        <v>0</v>
      </c>
      <c r="L581" s="37" t="s">
        <v>687</v>
      </c>
      <c r="M581" s="61">
        <v>2</v>
      </c>
      <c r="N581" s="56">
        <v>80</v>
      </c>
      <c r="O581" s="37" t="s">
        <v>111</v>
      </c>
      <c r="P581" s="55">
        <v>49200</v>
      </c>
      <c r="Q581" s="62"/>
      <c r="R581" s="48"/>
      <c r="S581" s="64">
        <v>0.125</v>
      </c>
      <c r="T581" s="65">
        <v>0.05</v>
      </c>
      <c r="U581" s="65"/>
      <c r="V581" s="66"/>
      <c r="W581" s="67"/>
      <c r="X581" s="66">
        <f>IF(NOTA[[#This Row],[HARGA/ CTN]]="",NOTA[[#This Row],[JUMLAH_H]],NOTA[[#This Row],[HARGA/ CTN]]*IF(NOTA[[#This Row],[C]]="",0,NOTA[[#This Row],[C]]))</f>
        <v>3936000</v>
      </c>
      <c r="Y581" s="66">
        <f>IF(NOTA[[#This Row],[JUMLAH]]="","",NOTA[[#This Row],[JUMLAH]]*NOTA[[#This Row],[DISC 1]])</f>
        <v>492000</v>
      </c>
      <c r="Z581" s="66">
        <f>IF(NOTA[[#This Row],[JUMLAH]]="","",(NOTA[[#This Row],[JUMLAH]]-NOTA[[#This Row],[DISC 1-]])*NOTA[[#This Row],[DISC 2]])</f>
        <v>172200</v>
      </c>
      <c r="AA581" s="66">
        <f>IF(NOTA[[#This Row],[JUMLAH]]="","",(NOTA[[#This Row],[JUMLAH]]-NOTA[[#This Row],[DISC 1-]]-NOTA[[#This Row],[DISC 2-]])*NOTA[[#This Row],[DISC 3]])</f>
        <v>0</v>
      </c>
      <c r="AB581" s="66">
        <f>IF(NOTA[[#This Row],[JUMLAH]]="","",NOTA[[#This Row],[DISC 1-]]+NOTA[[#This Row],[DISC 2-]]+NOTA[[#This Row],[DISC 3-]])</f>
        <v>664200</v>
      </c>
      <c r="AC581" s="66">
        <f>IF(NOTA[[#This Row],[JUMLAH]]="","",NOTA[[#This Row],[JUMLAH]]-NOTA[[#This Row],[DISC]])</f>
        <v>3271800</v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581" s="66">
        <f>IF(OR(NOTA[[#This Row],[QTY]]="",NOTA[[#This Row],[HARGA SATUAN]]="",),"",NOTA[[#This Row],[QTY]]*NOTA[[#This Row],[HARGA SATUAN]])</f>
        <v>3936000</v>
      </c>
      <c r="AI581" s="60">
        <f ca="1">IF(NOTA[ID_H]="","",INDEX(NOTA[TANGGAL],MATCH(,INDIRECT(ADDRESS(ROW(NOTA[TANGGAL]),COLUMN(NOTA[TANGGAL]))&amp;":"&amp;ADDRESS(ROW(),COLUMN(NOTA[TANGGAL]))),-1)))</f>
        <v>45310</v>
      </c>
      <c r="AJ581" s="55" t="str">
        <f ca="1">IF(NOTA[[#This Row],[NAMA BARANG]]="","",INDEX(NOTA[SUPPLIER],MATCH(,INDIRECT(ADDRESS(ROW(NOTA[ID]),COLUMN(NOTA[ID]))&amp;":"&amp;ADDRESS(ROW(),COLUMN(NOTA[ID]))),-1)))</f>
        <v>ATALI MAKMUR</v>
      </c>
      <c r="AK581" s="55" t="str">
        <f ca="1">IF(NOTA[[#This Row],[ID_H]]="","",IF(NOTA[[#This Row],[FAKTUR]]="",INDIRECT(ADDRESS(ROW()-1,COLUMN())),NOTA[[#This Row],[FAKTUR]]))</f>
        <v>ARTO MORO</v>
      </c>
      <c r="AL581" s="56" t="str">
        <f ca="1">IF(NOTA[[#This Row],[ID]]="","",COUNTIF(NOTA[ID_H],NOTA[[#This Row],[ID_H]]))</f>
        <v/>
      </c>
      <c r="AM581" s="56">
        <f ca="1">IF(NOTA[[#This Row],[TGL.NOTA]]="",IF(NOTA[[#This Row],[SUPPLIER_H]]="","",AM580),MONTH(NOTA[[#This Row],[TGL.NOTA]]))</f>
        <v>1</v>
      </c>
      <c r="AN581" s="5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>
        <f>IF(NOTA[[#This Row],[CONCAT1]]="","",MATCH(NOTA[[#This Row],[CONCAT1]],[3]!db[NB NOTA_C],0))</f>
        <v>779</v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>40 LSN</v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W581" s="56" t="e">
        <f ca="1">IF(NOTA[[#This Row],[ID_H]]="","",MATCH(NOTA[[#This Row],[NB NOTA_C_QTY]],[4]!db[NB NOTA_C_QTY+F],0))</f>
        <v>#REF!</v>
      </c>
      <c r="AX581" s="68">
        <f ca="1">IF(NOTA[[#This Row],[NB NOTA_C_QTY]]="","",ROW()-2)</f>
        <v>579</v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>
        <f ca="1">IF(NOTA[[#This Row],[NAMA BARANG]]="","",INDEX(NOTA[ID],MATCH(,INDIRECT(ADDRESS(ROW(NOTA[ID]),COLUMN(NOTA[ID]))&amp;":"&amp;ADDRESS(ROW(),COLUMN(NOTA[ID]))),-1)))</f>
        <v>93</v>
      </c>
      <c r="E582" s="57"/>
      <c r="F582" s="37"/>
      <c r="G582" s="37"/>
      <c r="H582" s="47"/>
      <c r="I582" s="58"/>
      <c r="J582" s="60"/>
      <c r="K582" s="58"/>
      <c r="L582" s="37" t="s">
        <v>688</v>
      </c>
      <c r="M582" s="61"/>
      <c r="N582" s="56">
        <v>48</v>
      </c>
      <c r="O582" s="37" t="s">
        <v>115</v>
      </c>
      <c r="P582" s="55">
        <v>2350</v>
      </c>
      <c r="Q582" s="62"/>
      <c r="R582" s="48"/>
      <c r="S582" s="64">
        <v>0.125</v>
      </c>
      <c r="T582" s="65">
        <v>0.05</v>
      </c>
      <c r="U582" s="65"/>
      <c r="V582" s="66"/>
      <c r="W582" s="67"/>
      <c r="X582" s="66">
        <f>IF(NOTA[[#This Row],[HARGA/ CTN]]="",NOTA[[#This Row],[JUMLAH_H]],NOTA[[#This Row],[HARGA/ CTN]]*IF(NOTA[[#This Row],[C]]="",0,NOTA[[#This Row],[C]]))</f>
        <v>112800</v>
      </c>
      <c r="Y582" s="66">
        <f>IF(NOTA[[#This Row],[JUMLAH]]="","",NOTA[[#This Row],[JUMLAH]]*NOTA[[#This Row],[DISC 1]])</f>
        <v>14100</v>
      </c>
      <c r="Z582" s="66">
        <f>IF(NOTA[[#This Row],[JUMLAH]]="","",(NOTA[[#This Row],[JUMLAH]]-NOTA[[#This Row],[DISC 1-]])*NOTA[[#This Row],[DISC 2]])</f>
        <v>4935</v>
      </c>
      <c r="AA582" s="66">
        <f>IF(NOTA[[#This Row],[JUMLAH]]="","",(NOTA[[#This Row],[JUMLAH]]-NOTA[[#This Row],[DISC 1-]]-NOTA[[#This Row],[DISC 2-]])*NOTA[[#This Row],[DISC 3]])</f>
        <v>0</v>
      </c>
      <c r="AB582" s="66">
        <f>IF(NOTA[[#This Row],[JUMLAH]]="","",NOTA[[#This Row],[DISC 1-]]+NOTA[[#This Row],[DISC 2-]]+NOTA[[#This Row],[DISC 3-]])</f>
        <v>19035</v>
      </c>
      <c r="AC582" s="66">
        <f>IF(NOTA[[#This Row],[JUMLAH]]="","",NOTA[[#This Row],[JUMLAH]]-NOTA[[#This Row],[DISC]])</f>
        <v>93765</v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H582" s="66">
        <f>IF(OR(NOTA[[#This Row],[QTY]]="",NOTA[[#This Row],[HARGA SATUAN]]="",),"",NOTA[[#This Row],[QTY]]*NOTA[[#This Row],[HARGA SATUAN]])</f>
        <v>112800</v>
      </c>
      <c r="AI582" s="60">
        <f ca="1">IF(NOTA[ID_H]="","",INDEX(NOTA[TANGGAL],MATCH(,INDIRECT(ADDRESS(ROW(NOTA[TANGGAL]),COLUMN(NOTA[TANGGAL]))&amp;":"&amp;ADDRESS(ROW(),COLUMN(NOTA[TANGGAL]))),-1)))</f>
        <v>45310</v>
      </c>
      <c r="AJ582" s="55" t="str">
        <f ca="1">IF(NOTA[[#This Row],[NAMA BARANG]]="","",INDEX(NOTA[SUPPLIER],MATCH(,INDIRECT(ADDRESS(ROW(NOTA[ID]),COLUMN(NOTA[ID]))&amp;":"&amp;ADDRESS(ROW(),COLUMN(NOTA[ID]))),-1)))</f>
        <v>ATALI MAKMUR</v>
      </c>
      <c r="AK582" s="55" t="str">
        <f ca="1">IF(NOTA[[#This Row],[ID_H]]="","",IF(NOTA[[#This Row],[FAKTUR]]="",INDIRECT(ADDRESS(ROW()-1,COLUMN())),NOTA[[#This Row],[FAKTUR]]))</f>
        <v>ARTO MORO</v>
      </c>
      <c r="AL582" s="56" t="str">
        <f ca="1">IF(NOTA[[#This Row],[ID]]="","",COUNTIF(NOTA[ID_H],NOTA[[#This Row],[ID_H]]))</f>
        <v/>
      </c>
      <c r="AM582" s="56">
        <f ca="1">IF(NOTA[[#This Row],[TGL.NOTA]]="",IF(NOTA[[#This Row],[SUPPLIER_H]]="","",AM581),MONTH(NOTA[[#This Row],[TGL.NOTA]]))</f>
        <v>1</v>
      </c>
      <c r="AN582" s="56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permanentmarkerpm34blackjkbonus1128000.1250.05</v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permanentmarkerpm34blackjkbonus23500.1250.05</v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>
        <f>IF(NOTA[[#This Row],[CONCAT1]]="","",MATCH(NOTA[[#This Row],[CONCAT1]],[3]!db[NB NOTA_C],0))</f>
        <v>2611</v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>48 LSN</v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W582" s="56" t="e">
        <f ca="1">IF(NOTA[[#This Row],[ID_H]]="","",MATCH(NOTA[[#This Row],[NB NOTA_C_QTY]],[4]!db[NB NOTA_C_QTY+F],0))</f>
        <v>#REF!</v>
      </c>
      <c r="AX582" s="68">
        <f ca="1">IF(NOTA[[#This Row],[NB NOTA_C_QTY]]="","",ROW()-2)</f>
        <v>580</v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>
        <f ca="1">IF(NOTA[[#This Row],[NAMA BARANG]]="","",INDEX(NOTA[ID],MATCH(,INDIRECT(ADDRESS(ROW(NOTA[ID]),COLUMN(NOTA[ID]))&amp;":"&amp;ADDRESS(ROW(),COLUMN(NOTA[ID]))),-1)))</f>
        <v>93</v>
      </c>
      <c r="E583" s="57"/>
      <c r="F583" s="58"/>
      <c r="G583" s="58"/>
      <c r="H583" s="59"/>
      <c r="I583" s="58"/>
      <c r="J583" s="60"/>
      <c r="K583" s="58"/>
      <c r="L583" s="37" t="s">
        <v>344</v>
      </c>
      <c r="M583" s="61">
        <v>2</v>
      </c>
      <c r="N583" s="56">
        <v>240</v>
      </c>
      <c r="O583" s="37" t="s">
        <v>111</v>
      </c>
      <c r="P583" s="55">
        <v>9650</v>
      </c>
      <c r="Q583" s="42"/>
      <c r="R583" s="63"/>
      <c r="S583" s="64">
        <v>0.125</v>
      </c>
      <c r="T583" s="65">
        <v>0.05</v>
      </c>
      <c r="U583" s="65"/>
      <c r="V583" s="66"/>
      <c r="W583" s="67"/>
      <c r="X583" s="66">
        <f>IF(NOTA[[#This Row],[HARGA/ CTN]]="",NOTA[[#This Row],[JUMLAH_H]],NOTA[[#This Row],[HARGA/ CTN]]*IF(NOTA[[#This Row],[C]]="",0,NOTA[[#This Row],[C]]))</f>
        <v>2316000</v>
      </c>
      <c r="Y583" s="66">
        <f>IF(NOTA[[#This Row],[JUMLAH]]="","",NOTA[[#This Row],[JUMLAH]]*NOTA[[#This Row],[DISC 1]])</f>
        <v>289500</v>
      </c>
      <c r="Z583" s="66">
        <f>IF(NOTA[[#This Row],[JUMLAH]]="","",(NOTA[[#This Row],[JUMLAH]]-NOTA[[#This Row],[DISC 1-]])*NOTA[[#This Row],[DISC 2]])</f>
        <v>101325</v>
      </c>
      <c r="AA583" s="66">
        <f>IF(NOTA[[#This Row],[JUMLAH]]="","",(NOTA[[#This Row],[JUMLAH]]-NOTA[[#This Row],[DISC 1-]]-NOTA[[#This Row],[DISC 2-]])*NOTA[[#This Row],[DISC 3]])</f>
        <v>0</v>
      </c>
      <c r="AB583" s="66">
        <f>IF(NOTA[[#This Row],[JUMLAH]]="","",NOTA[[#This Row],[DISC 1-]]+NOTA[[#This Row],[DISC 2-]]+NOTA[[#This Row],[DISC 3-]])</f>
        <v>390825</v>
      </c>
      <c r="AC583" s="66">
        <f>IF(NOTA[[#This Row],[JUMLAH]]="","",NOTA[[#This Row],[JUMLAH]]-NOTA[[#This Row],[DISC]])</f>
        <v>1925175</v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583" s="66">
        <f>IF(OR(NOTA[[#This Row],[QTY]]="",NOTA[[#This Row],[HARGA SATUAN]]="",),"",NOTA[[#This Row],[QTY]]*NOTA[[#This Row],[HARGA SATUAN]])</f>
        <v>2316000</v>
      </c>
      <c r="AI583" s="60">
        <f ca="1">IF(NOTA[ID_H]="","",INDEX(NOTA[TANGGAL],MATCH(,INDIRECT(ADDRESS(ROW(NOTA[TANGGAL]),COLUMN(NOTA[TANGGAL]))&amp;":"&amp;ADDRESS(ROW(),COLUMN(NOTA[TANGGAL]))),-1)))</f>
        <v>45310</v>
      </c>
      <c r="AJ583" s="55" t="str">
        <f ca="1">IF(NOTA[[#This Row],[NAMA BARANG]]="","",INDEX(NOTA[SUPPLIER],MATCH(,INDIRECT(ADDRESS(ROW(NOTA[ID]),COLUMN(NOTA[ID]))&amp;":"&amp;ADDRESS(ROW(),COLUMN(NOTA[ID]))),-1)))</f>
        <v>ATALI MAKMUR</v>
      </c>
      <c r="AK583" s="55" t="str">
        <f ca="1">IF(NOTA[[#This Row],[ID_H]]="","",IF(NOTA[[#This Row],[FAKTUR]]="",INDIRECT(ADDRESS(ROW()-1,COLUMN())),NOTA[[#This Row],[FAKTUR]]))</f>
        <v>ARTO MORO</v>
      </c>
      <c r="AL583" s="56" t="str">
        <f ca="1">IF(NOTA[[#This Row],[ID]]="","",COUNTIF(NOTA[ID_H],NOTA[[#This Row],[ID_H]]))</f>
        <v/>
      </c>
      <c r="AM583" s="56">
        <f ca="1">IF(NOTA[[#This Row],[TGL.NOTA]]="",IF(NOTA[[#This Row],[SUPPLIER_H]]="","",AM582),MONTH(NOTA[[#This Row],[TGL.NOTA]]))</f>
        <v>1</v>
      </c>
      <c r="AN583" s="56" t="str">
        <f>LOWER(SUBSTITUTE(SUBSTITUTE(SUBSTITUTE(SUBSTITUTE(SUBSTITUTE(SUBSTITUTE(SUBSTITUTE(SUBSTITUTE(SUBSTITUTE(NOTA[NAMA BARANG]," ",),".",""),"-",""),"(",""),")",""),",",""),"/",""),"""",""),"+",""))</f>
        <v>binderclip200jk</v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>
        <f>IF(NOTA[[#This Row],[CONCAT1]]="","",MATCH(NOTA[[#This Row],[CONCAT1]],[3]!db[NB NOTA_C],0))</f>
        <v>298</v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>10 GRS</v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583" s="56" t="e">
        <f ca="1">IF(NOTA[[#This Row],[ID_H]]="","",MATCH(NOTA[[#This Row],[NB NOTA_C_QTY]],[4]!db[NB NOTA_C_QTY+F],0))</f>
        <v>#REF!</v>
      </c>
      <c r="AX583" s="68">
        <f ca="1">IF(NOTA[[#This Row],[NB NOTA_C_QTY]]="","",ROW()-2)</f>
        <v>581</v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>
        <f ca="1">IF(NOTA[[#This Row],[NAMA BARANG]]="","",INDEX(NOTA[ID],MATCH(,INDIRECT(ADDRESS(ROW(NOTA[ID]),COLUMN(NOTA[ID]))&amp;":"&amp;ADDRESS(ROW(),COLUMN(NOTA[ID]))),-1)))</f>
        <v>93</v>
      </c>
      <c r="E584" s="57"/>
      <c r="F584" s="37"/>
      <c r="G584" s="37"/>
      <c r="H584" s="47"/>
      <c r="I584" s="58"/>
      <c r="J584" s="60"/>
      <c r="K584" s="58"/>
      <c r="L584" s="37" t="s">
        <v>346</v>
      </c>
      <c r="M584" s="61"/>
      <c r="N584" s="56">
        <v>12</v>
      </c>
      <c r="O584" s="37" t="s">
        <v>111</v>
      </c>
      <c r="P584" s="55">
        <v>13200</v>
      </c>
      <c r="Q584" s="62"/>
      <c r="R584" s="48"/>
      <c r="S584" s="64">
        <v>0.125</v>
      </c>
      <c r="T584" s="65">
        <v>0.05</v>
      </c>
      <c r="U584" s="65"/>
      <c r="V584" s="66">
        <v>317205</v>
      </c>
      <c r="W584" s="67"/>
      <c r="X584" s="66">
        <f>IF(NOTA[[#This Row],[HARGA/ CTN]]="",NOTA[[#This Row],[JUMLAH_H]],NOTA[[#This Row],[HARGA/ CTN]]*IF(NOTA[[#This Row],[C]]="",0,NOTA[[#This Row],[C]]))</f>
        <v>158400</v>
      </c>
      <c r="Y584" s="66">
        <f>IF(NOTA[[#This Row],[JUMLAH]]="","",NOTA[[#This Row],[JUMLAH]]*NOTA[[#This Row],[DISC 1]])</f>
        <v>19800</v>
      </c>
      <c r="Z584" s="66">
        <f>IF(NOTA[[#This Row],[JUMLAH]]="","",(NOTA[[#This Row],[JUMLAH]]-NOTA[[#This Row],[DISC 1-]])*NOTA[[#This Row],[DISC 2]])</f>
        <v>6930</v>
      </c>
      <c r="AA584" s="66">
        <f>IF(NOTA[[#This Row],[JUMLAH]]="","",(NOTA[[#This Row],[JUMLAH]]-NOTA[[#This Row],[DISC 1-]]-NOTA[[#This Row],[DISC 2-]])*NOTA[[#This Row],[DISC 3]])</f>
        <v>0</v>
      </c>
      <c r="AB584" s="66">
        <f>IF(NOTA[[#This Row],[JUMLAH]]="","",NOTA[[#This Row],[DISC 1-]]+NOTA[[#This Row],[DISC 2-]]+NOTA[[#This Row],[DISC 3-]])</f>
        <v>26730</v>
      </c>
      <c r="AC584" s="66">
        <f>IF(NOTA[[#This Row],[JUMLAH]]="","",NOTA[[#This Row],[JUMLAH]]-NOTA[[#This Row],[DISC]])</f>
        <v>131670</v>
      </c>
      <c r="AD584" s="66"/>
      <c r="AE5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1959682.5</v>
      </c>
      <c r="AF5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7773517.5</v>
      </c>
      <c r="AG584" s="5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584" s="66">
        <f>IF(OR(NOTA[[#This Row],[QTY]]="",NOTA[[#This Row],[HARGA SATUAN]]="",),"",NOTA[[#This Row],[QTY]]*NOTA[[#This Row],[HARGA SATUAN]])</f>
        <v>158400</v>
      </c>
      <c r="AI584" s="60">
        <f ca="1">IF(NOTA[ID_H]="","",INDEX(NOTA[TANGGAL],MATCH(,INDIRECT(ADDRESS(ROW(NOTA[TANGGAL]),COLUMN(NOTA[TANGGAL]))&amp;":"&amp;ADDRESS(ROW(),COLUMN(NOTA[TANGGAL]))),-1)))</f>
        <v>45310</v>
      </c>
      <c r="AJ584" s="55" t="str">
        <f ca="1">IF(NOTA[[#This Row],[NAMA BARANG]]="","",INDEX(NOTA[SUPPLIER],MATCH(,INDIRECT(ADDRESS(ROW(NOTA[ID]),COLUMN(NOTA[ID]))&amp;":"&amp;ADDRESS(ROW(),COLUMN(NOTA[ID]))),-1)))</f>
        <v>ATALI MAKMUR</v>
      </c>
      <c r="AK584" s="55" t="str">
        <f ca="1">IF(NOTA[[#This Row],[ID_H]]="","",IF(NOTA[[#This Row],[FAKTUR]]="",INDIRECT(ADDRESS(ROW()-1,COLUMN())),NOTA[[#This Row],[FAKTUR]]))</f>
        <v>ARTO MORO</v>
      </c>
      <c r="AL584" s="56" t="str">
        <f ca="1">IF(NOTA[[#This Row],[ID]]="","",COUNTIF(NOTA[ID_H],NOTA[[#This Row],[ID_H]]))</f>
        <v/>
      </c>
      <c r="AM584" s="56">
        <f ca="1">IF(NOTA[[#This Row],[TGL.NOTA]]="",IF(NOTA[[#This Row],[SUPPLIER_H]]="","",AM583),MONTH(NOTA[[#This Row],[TGL.NOTA]]))</f>
        <v>1</v>
      </c>
      <c r="AN584" s="5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>
        <f>IF(NOTA[[#This Row],[CONCAT1]]="","",MATCH(NOTA[[#This Row],[CONCAT1]],[3]!db[NB NOTA_C],0))</f>
        <v>131</v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>144 LSN</v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584" s="56" t="e">
        <f ca="1">IF(NOTA[[#This Row],[ID_H]]="","",MATCH(NOTA[[#This Row],[NB NOTA_C_QTY]],[4]!db[NB NOTA_C_QTY+F],0))</f>
        <v>#REF!</v>
      </c>
      <c r="AX584" s="68">
        <f ca="1">IF(NOTA[[#This Row],[NB NOTA_C_QTY]]="","",ROW()-2)</f>
        <v>582</v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37"/>
      <c r="G585" s="37"/>
      <c r="H585" s="47"/>
      <c r="I585" s="58"/>
      <c r="J585" s="60"/>
      <c r="K585" s="58"/>
      <c r="L585" s="37"/>
      <c r="M585" s="61"/>
      <c r="N585" s="56"/>
      <c r="O585" s="58"/>
      <c r="P585" s="55"/>
      <c r="Q585" s="62"/>
      <c r="R585" s="63"/>
      <c r="S585" s="64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>
        <f ca="1">IF(INDIRECT(ADDRESS(ROW()-1,COLUMN(NOTA[[#Headers],[ID]])))="ID",1,IF(NOTA[[#This Row],[FAKTUR]]="","",COUNT(INDIRECT(ADDRESS(ROW(NOTA[ID]),COLUMN(NOTA[ID]))&amp;":"&amp;ADDRESS(ROW()-1,COLUMN(NOTA[ID]))))+1))</f>
        <v>94</v>
      </c>
      <c r="B58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ATA_1901_982-6</v>
      </c>
      <c r="C586" s="56" t="e">
        <f ca="1">IF(NOTA[[#This Row],[ID_P]]="","",MATCH(NOTA[[#This Row],[ID_P]],[1]!B_MSK[N_ID],0))</f>
        <v>#REF!</v>
      </c>
      <c r="D586" s="56">
        <f ca="1">IF(NOTA[[#This Row],[NAMA BARANG]]="","",INDEX(NOTA[ID],MATCH(,INDIRECT(ADDRESS(ROW(NOTA[ID]),COLUMN(NOTA[ID]))&amp;":"&amp;ADDRESS(ROW(),COLUMN(NOTA[ID]))),-1)))</f>
        <v>94</v>
      </c>
      <c r="E586" s="57"/>
      <c r="F586" s="37" t="s">
        <v>24</v>
      </c>
      <c r="G586" s="37" t="s">
        <v>23</v>
      </c>
      <c r="H586" s="47" t="s">
        <v>689</v>
      </c>
      <c r="I586" s="58"/>
      <c r="J586" s="60">
        <v>45307</v>
      </c>
      <c r="K586" s="58">
        <v>0</v>
      </c>
      <c r="L586" s="37" t="s">
        <v>690</v>
      </c>
      <c r="M586" s="61"/>
      <c r="N586" s="56">
        <v>36</v>
      </c>
      <c r="O586" s="37" t="s">
        <v>115</v>
      </c>
      <c r="P586" s="55">
        <v>20700</v>
      </c>
      <c r="Q586" s="62"/>
      <c r="R586" s="48"/>
      <c r="S586" s="64">
        <v>0.125</v>
      </c>
      <c r="T586" s="65">
        <v>0.05</v>
      </c>
      <c r="U586" s="65"/>
      <c r="V586" s="66"/>
      <c r="W586" s="67"/>
      <c r="X586" s="66">
        <f>IF(NOTA[[#This Row],[HARGA/ CTN]]="",NOTA[[#This Row],[JUMLAH_H]],NOTA[[#This Row],[HARGA/ CTN]]*IF(NOTA[[#This Row],[C]]="",0,NOTA[[#This Row],[C]]))</f>
        <v>745200</v>
      </c>
      <c r="Y586" s="66">
        <f>IF(NOTA[[#This Row],[JUMLAH]]="","",NOTA[[#This Row],[JUMLAH]]*NOTA[[#This Row],[DISC 1]])</f>
        <v>93150</v>
      </c>
      <c r="Z586" s="66">
        <f>IF(NOTA[[#This Row],[JUMLAH]]="","",(NOTA[[#This Row],[JUMLAH]]-NOTA[[#This Row],[DISC 1-]])*NOTA[[#This Row],[DISC 2]])</f>
        <v>32602.5</v>
      </c>
      <c r="AA586" s="66">
        <f>IF(NOTA[[#This Row],[JUMLAH]]="","",(NOTA[[#This Row],[JUMLAH]]-NOTA[[#This Row],[DISC 1-]]-NOTA[[#This Row],[DISC 2-]])*NOTA[[#This Row],[DISC 3]])</f>
        <v>0</v>
      </c>
      <c r="AB586" s="66">
        <f>IF(NOTA[[#This Row],[JUMLAH]]="","",NOTA[[#This Row],[DISC 1-]]+NOTA[[#This Row],[DISC 2-]]+NOTA[[#This Row],[DISC 3-]])</f>
        <v>125752.5</v>
      </c>
      <c r="AC586" s="66">
        <f>IF(NOTA[[#This Row],[JUMLAH]]="","",NOTA[[#This Row],[JUMLAH]]-NOTA[[#This Row],[DISC]])</f>
        <v>619447.5</v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586" s="66">
        <f>IF(OR(NOTA[[#This Row],[QTY]]="",NOTA[[#This Row],[HARGA SATUAN]]="",),"",NOTA[[#This Row],[QTY]]*NOTA[[#This Row],[HARGA SATUAN]])</f>
        <v>745200</v>
      </c>
      <c r="AI586" s="60">
        <f ca="1">IF(NOTA[ID_H]="","",INDEX(NOTA[TANGGAL],MATCH(,INDIRECT(ADDRESS(ROW(NOTA[TANGGAL]),COLUMN(NOTA[TANGGAL]))&amp;":"&amp;ADDRESS(ROW(),COLUMN(NOTA[TANGGAL]))),-1)))</f>
        <v>45310</v>
      </c>
      <c r="AJ586" s="55" t="str">
        <f ca="1">IF(NOTA[[#This Row],[NAMA BARANG]]="","",INDEX(NOTA[SUPPLIER],MATCH(,INDIRECT(ADDRESS(ROW(NOTA[ID]),COLUMN(NOTA[ID]))&amp;":"&amp;ADDRESS(ROW(),COLUMN(NOTA[ID]))),-1)))</f>
        <v>ATALI MAKMUR</v>
      </c>
      <c r="AK586" s="55" t="str">
        <f ca="1">IF(NOTA[[#This Row],[ID_H]]="","",IF(NOTA[[#This Row],[FAKTUR]]="",INDIRECT(ADDRESS(ROW()-1,COLUMN())),NOTA[[#This Row],[FAKTUR]]))</f>
        <v>ARTO MORO</v>
      </c>
      <c r="AL586" s="56">
        <f ca="1">IF(NOTA[[#This Row],[ID]]="","",COUNTIF(NOTA[ID_H],NOTA[[#This Row],[ID_H]]))</f>
        <v>6</v>
      </c>
      <c r="AM586" s="56">
        <f>IF(NOTA[[#This Row],[TGL.NOTA]]="",IF(NOTA[[#This Row],[SUPPLIER_H]]="","",AM585),MONTH(NOTA[[#This Row],[TGL.NOTA]]))</f>
        <v>1</v>
      </c>
      <c r="AN586" s="56" t="str">
        <f>LOWER(SUBSTITUTE(SUBSTITUTE(SUBSTITUTE(SUBSTITUTE(SUBSTITUTE(SUBSTITUTE(SUBSTITUTE(SUBSTITUTE(SUBSTITUTE(NOTA[NAMA BARANG]," ",),".",""),"-",""),"(",""),")",""),",",""),"/",""),"""",""),"+",""))</f>
        <v>binderb5tsaff141animalfacejkf</v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binderb5tsaff141animalfacejkf7452000.1250.05</v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binderb5tsaff141animalfacejkf207000.1250.05</v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MOROSA24010098245307binderb5tsaff141animalfacejkf</v>
      </c>
      <c r="AR586" s="56" t="e">
        <f>IF(NOTA[[#This Row],[CONCAT4]]="","",_xlfn.IFNA(MATCH(NOTA[[#This Row],[CONCAT4]],[2]!RAW[CONCAT_H],0),FALSE))</f>
        <v>#REF!</v>
      </c>
      <c r="AS586" s="56">
        <f>IF(NOTA[[#This Row],[CONCAT1]]="","",MATCH(NOTA[[#This Row],[CONCAT1]],[3]!db[NB NOTA_C],0))</f>
        <v>275</v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>72 PCS</v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binderb5tsaff141animalfacejkf72pcsartomoro</v>
      </c>
      <c r="AW586" s="56" t="e">
        <f ca="1">IF(NOTA[[#This Row],[ID_H]]="","",MATCH(NOTA[[#This Row],[NB NOTA_C_QTY]],[4]!db[NB NOTA_C_QTY+F],0))</f>
        <v>#REF!</v>
      </c>
      <c r="AX586" s="68">
        <f ca="1">IF(NOTA[[#This Row],[NB NOTA_C_QTY]]="","",ROW()-2)</f>
        <v>584</v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>
        <f ca="1">IF(NOTA[[#This Row],[NAMA BARANG]]="","",INDEX(NOTA[ID],MATCH(,INDIRECT(ADDRESS(ROW(NOTA[ID]),COLUMN(NOTA[ID]))&amp;":"&amp;ADDRESS(ROW(),COLUMN(NOTA[ID]))),-1)))</f>
        <v>94</v>
      </c>
      <c r="E587" s="57"/>
      <c r="F587" s="58"/>
      <c r="G587" s="58"/>
      <c r="H587" s="59"/>
      <c r="I587" s="58"/>
      <c r="J587" s="60"/>
      <c r="K587" s="58">
        <v>0</v>
      </c>
      <c r="L587" s="37" t="s">
        <v>691</v>
      </c>
      <c r="M587" s="61"/>
      <c r="N587" s="56">
        <v>36</v>
      </c>
      <c r="O587" s="37" t="s">
        <v>115</v>
      </c>
      <c r="P587" s="55">
        <v>20700</v>
      </c>
      <c r="Q587" s="62"/>
      <c r="R587" s="63"/>
      <c r="S587" s="64">
        <v>0.125</v>
      </c>
      <c r="T587" s="65">
        <v>0.05</v>
      </c>
      <c r="U587" s="65"/>
      <c r="V587" s="66"/>
      <c r="W587" s="67"/>
      <c r="X587" s="66">
        <f>IF(NOTA[[#This Row],[HARGA/ CTN]]="",NOTA[[#This Row],[JUMLAH_H]],NOTA[[#This Row],[HARGA/ CTN]]*IF(NOTA[[#This Row],[C]]="",0,NOTA[[#This Row],[C]]))</f>
        <v>745200</v>
      </c>
      <c r="Y587" s="66">
        <f>IF(NOTA[[#This Row],[JUMLAH]]="","",NOTA[[#This Row],[JUMLAH]]*NOTA[[#This Row],[DISC 1]])</f>
        <v>93150</v>
      </c>
      <c r="Z587" s="66">
        <f>IF(NOTA[[#This Row],[JUMLAH]]="","",(NOTA[[#This Row],[JUMLAH]]-NOTA[[#This Row],[DISC 1-]])*NOTA[[#This Row],[DISC 2]])</f>
        <v>32602.5</v>
      </c>
      <c r="AA587" s="66">
        <f>IF(NOTA[[#This Row],[JUMLAH]]="","",(NOTA[[#This Row],[JUMLAH]]-NOTA[[#This Row],[DISC 1-]]-NOTA[[#This Row],[DISC 2-]])*NOTA[[#This Row],[DISC 3]])</f>
        <v>0</v>
      </c>
      <c r="AB587" s="66">
        <f>IF(NOTA[[#This Row],[JUMLAH]]="","",NOTA[[#This Row],[DISC 1-]]+NOTA[[#This Row],[DISC 2-]]+NOTA[[#This Row],[DISC 3-]])</f>
        <v>125752.5</v>
      </c>
      <c r="AC587" s="66">
        <f>IF(NOTA[[#This Row],[JUMLAH]]="","",NOTA[[#This Row],[JUMLAH]]-NOTA[[#This Row],[DISC]])</f>
        <v>619447.5</v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587" s="66">
        <f>IF(OR(NOTA[[#This Row],[QTY]]="",NOTA[[#This Row],[HARGA SATUAN]]="",),"",NOTA[[#This Row],[QTY]]*NOTA[[#This Row],[HARGA SATUAN]])</f>
        <v>745200</v>
      </c>
      <c r="AI587" s="60">
        <f ca="1">IF(NOTA[ID_H]="","",INDEX(NOTA[TANGGAL],MATCH(,INDIRECT(ADDRESS(ROW(NOTA[TANGGAL]),COLUMN(NOTA[TANGGAL]))&amp;":"&amp;ADDRESS(ROW(),COLUMN(NOTA[TANGGAL]))),-1)))</f>
        <v>45310</v>
      </c>
      <c r="AJ587" s="55" t="str">
        <f ca="1">IF(NOTA[[#This Row],[NAMA BARANG]]="","",INDEX(NOTA[SUPPLIER],MATCH(,INDIRECT(ADDRESS(ROW(NOTA[ID]),COLUMN(NOTA[ID]))&amp;":"&amp;ADDRESS(ROW(),COLUMN(NOTA[ID]))),-1)))</f>
        <v>ATALI MAKMUR</v>
      </c>
      <c r="AK587" s="55" t="str">
        <f ca="1">IF(NOTA[[#This Row],[ID_H]]="","",IF(NOTA[[#This Row],[FAKTUR]]="",INDIRECT(ADDRESS(ROW()-1,COLUMN())),NOTA[[#This Row],[FAKTUR]]))</f>
        <v>ARTO MORO</v>
      </c>
      <c r="AL587" s="56" t="str">
        <f ca="1">IF(NOTA[[#This Row],[ID]]="","",COUNTIF(NOTA[ID_H],NOTA[[#This Row],[ID_H]]))</f>
        <v/>
      </c>
      <c r="AM587" s="56">
        <f ca="1">IF(NOTA[[#This Row],[TGL.NOTA]]="",IF(NOTA[[#This Row],[SUPPLIER_H]]="","",AM586),MONTH(NOTA[[#This Row],[TGL.NOTA]]))</f>
        <v>1</v>
      </c>
      <c r="AN587" s="56" t="str">
        <f>LOWER(SUBSTITUTE(SUBSTITUTE(SUBSTITUTE(SUBSTITUTE(SUBSTITUTE(SUBSTITUTE(SUBSTITUTE(SUBSTITUTE(SUBSTITUTE(NOTA[NAMA BARANG]," ",),".",""),"-",""),"(",""),")",""),",",""),"/",""),"""",""),"+",""))</f>
        <v>binderb5tsvy146voyagetotheseajkf</v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binderb5tsvy146voyagetotheseajkf7452000.1250.05</v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binderb5tsvy146voyagetotheseajkf207000.1250.05</v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 t="e">
        <f>IF(NOTA[[#This Row],[CONCAT1]]="","",MATCH(NOTA[[#This Row],[CONCAT1]],[3]!db[NB NOTA_C],0))</f>
        <v>#N/A</v>
      </c>
      <c r="AT587" s="56" t="str">
        <f>IF(NOTA[[#This Row],[QTY/ CTN]]="","",TRUE)</f>
        <v/>
      </c>
      <c r="AU587" s="56" t="e">
        <f ca="1">IF(NOTA[[#This Row],[ID_H]]="","",IF(NOTA[[#This Row],[Column3]]=TRUE,NOTA[[#This Row],[QTY/ CTN]],INDEX([3]!db[QTY/ CTN],NOTA[[#This Row],[//DB]])))</f>
        <v>#N/A</v>
      </c>
      <c r="AV58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87" s="56" t="e">
        <f ca="1">IF(NOTA[[#This Row],[ID_H]]="","",MATCH(NOTA[[#This Row],[NB NOTA_C_QTY]],[4]!db[NB NOTA_C_QTY+F],0))</f>
        <v>#N/A</v>
      </c>
      <c r="AX587" s="68" t="e">
        <f ca="1">IF(NOTA[[#This Row],[NB NOTA_C_QTY]]="","",ROW()-2)</f>
        <v>#N/A</v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>
        <f ca="1">IF(NOTA[[#This Row],[NAMA BARANG]]="","",INDEX(NOTA[ID],MATCH(,INDIRECT(ADDRESS(ROW(NOTA[ID]),COLUMN(NOTA[ID]))&amp;":"&amp;ADDRESS(ROW(),COLUMN(NOTA[ID]))),-1)))</f>
        <v>94</v>
      </c>
      <c r="E588" s="57"/>
      <c r="F588" s="37"/>
      <c r="G588" s="37"/>
      <c r="H588" s="47"/>
      <c r="I588" s="60"/>
      <c r="J588" s="60"/>
      <c r="K588" s="58">
        <v>0</v>
      </c>
      <c r="L588" s="37" t="s">
        <v>138</v>
      </c>
      <c r="M588" s="61">
        <v>4</v>
      </c>
      <c r="N588" s="56">
        <v>4000</v>
      </c>
      <c r="O588" s="37" t="s">
        <v>117</v>
      </c>
      <c r="P588" s="55">
        <v>2050</v>
      </c>
      <c r="Q588" s="62"/>
      <c r="R588" s="48"/>
      <c r="S588" s="64">
        <v>0.125</v>
      </c>
      <c r="T588" s="65">
        <v>0.05</v>
      </c>
      <c r="U588" s="65"/>
      <c r="V588" s="66"/>
      <c r="W588" s="67"/>
      <c r="X588" s="66">
        <f>IF(NOTA[[#This Row],[HARGA/ CTN]]="",NOTA[[#This Row],[JUMLAH_H]],NOTA[[#This Row],[HARGA/ CTN]]*IF(NOTA[[#This Row],[C]]="",0,NOTA[[#This Row],[C]]))</f>
        <v>8200000</v>
      </c>
      <c r="Y588" s="66">
        <f>IF(NOTA[[#This Row],[JUMLAH]]="","",NOTA[[#This Row],[JUMLAH]]*NOTA[[#This Row],[DISC 1]])</f>
        <v>1025000</v>
      </c>
      <c r="Z588" s="66">
        <f>IF(NOTA[[#This Row],[JUMLAH]]="","",(NOTA[[#This Row],[JUMLAH]]-NOTA[[#This Row],[DISC 1-]])*NOTA[[#This Row],[DISC 2]])</f>
        <v>358750</v>
      </c>
      <c r="AA588" s="66">
        <f>IF(NOTA[[#This Row],[JUMLAH]]="","",(NOTA[[#This Row],[JUMLAH]]-NOTA[[#This Row],[DISC 1-]]-NOTA[[#This Row],[DISC 2-]])*NOTA[[#This Row],[DISC 3]])</f>
        <v>0</v>
      </c>
      <c r="AB588" s="66">
        <f>IF(NOTA[[#This Row],[JUMLAH]]="","",NOTA[[#This Row],[DISC 1-]]+NOTA[[#This Row],[DISC 2-]]+NOTA[[#This Row],[DISC 3-]])</f>
        <v>1383750</v>
      </c>
      <c r="AC588" s="66">
        <f>IF(NOTA[[#This Row],[JUMLAH]]="","",NOTA[[#This Row],[JUMLAH]]-NOTA[[#This Row],[DISC]])</f>
        <v>6816250</v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588" s="66">
        <f>IF(OR(NOTA[[#This Row],[QTY]]="",NOTA[[#This Row],[HARGA SATUAN]]="",),"",NOTA[[#This Row],[QTY]]*NOTA[[#This Row],[HARGA SATUAN]])</f>
        <v>8200000</v>
      </c>
      <c r="AI588" s="60">
        <f ca="1">IF(NOTA[ID_H]="","",INDEX(NOTA[TANGGAL],MATCH(,INDIRECT(ADDRESS(ROW(NOTA[TANGGAL]),COLUMN(NOTA[TANGGAL]))&amp;":"&amp;ADDRESS(ROW(),COLUMN(NOTA[TANGGAL]))),-1)))</f>
        <v>45310</v>
      </c>
      <c r="AJ588" s="55" t="str">
        <f ca="1">IF(NOTA[[#This Row],[NAMA BARANG]]="","",INDEX(NOTA[SUPPLIER],MATCH(,INDIRECT(ADDRESS(ROW(NOTA[ID]),COLUMN(NOTA[ID]))&amp;":"&amp;ADDRESS(ROW(),COLUMN(NOTA[ID]))),-1)))</f>
        <v>ATALI MAKMUR</v>
      </c>
      <c r="AK588" s="55" t="str">
        <f ca="1">IF(NOTA[[#This Row],[ID_H]]="","",IF(NOTA[[#This Row],[FAKTUR]]="",INDIRECT(ADDRESS(ROW()-1,COLUMN())),NOTA[[#This Row],[FAKTUR]]))</f>
        <v>ARTO MORO</v>
      </c>
      <c r="AL588" s="56" t="str">
        <f ca="1">IF(NOTA[[#This Row],[ID]]="","",COUNTIF(NOTA[ID_H],NOTA[[#This Row],[ID_H]]))</f>
        <v/>
      </c>
      <c r="AM588" s="56">
        <f ca="1">IF(NOTA[[#This Row],[TGL.NOTA]]="",IF(NOTA[[#This Row],[SUPPLIER_H]]="","",AM587),MONTH(NOTA[[#This Row],[TGL.NOTA]]))</f>
        <v>1</v>
      </c>
      <c r="AN588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>
        <f>IF(NOTA[[#This Row],[CONCAT1]]="","",MATCH(NOTA[[#This Row],[CONCAT1]],[3]!db[NB NOTA_C],0))</f>
        <v>1854</v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>100 PAK (10 ROL)</v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588" s="56" t="e">
        <f ca="1">IF(NOTA[[#This Row],[ID_H]]="","",MATCH(NOTA[[#This Row],[NB NOTA_C_QTY]],[4]!db[NB NOTA_C_QTY+F],0))</f>
        <v>#REF!</v>
      </c>
      <c r="AX588" s="68">
        <f ca="1">IF(NOTA[[#This Row],[NB NOTA_C_QTY]]="","",ROW()-2)</f>
        <v>586</v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>
        <f ca="1">IF(NOTA[[#This Row],[NAMA BARANG]]="","",INDEX(NOTA[ID],MATCH(,INDIRECT(ADDRESS(ROW(NOTA[ID]),COLUMN(NOTA[ID]))&amp;":"&amp;ADDRESS(ROW(),COLUMN(NOTA[ID]))),-1)))</f>
        <v>94</v>
      </c>
      <c r="E589" s="57"/>
      <c r="F589" s="58"/>
      <c r="G589" s="58"/>
      <c r="H589" s="59"/>
      <c r="I589" s="58"/>
      <c r="J589" s="60"/>
      <c r="K589" s="58">
        <v>0</v>
      </c>
      <c r="L589" s="37" t="s">
        <v>122</v>
      </c>
      <c r="M589" s="61">
        <v>1</v>
      </c>
      <c r="N589" s="56">
        <v>144</v>
      </c>
      <c r="O589" s="37" t="s">
        <v>116</v>
      </c>
      <c r="P589" s="55">
        <v>10600</v>
      </c>
      <c r="Q589" s="62"/>
      <c r="R589" s="48"/>
      <c r="S589" s="64">
        <v>0.125</v>
      </c>
      <c r="T589" s="65">
        <v>0.05</v>
      </c>
      <c r="U589" s="65"/>
      <c r="V589" s="66"/>
      <c r="W589" s="67"/>
      <c r="X589" s="66">
        <f>IF(NOTA[[#This Row],[HARGA/ CTN]]="",NOTA[[#This Row],[JUMLAH_H]],NOTA[[#This Row],[HARGA/ CTN]]*IF(NOTA[[#This Row],[C]]="",0,NOTA[[#This Row],[C]]))</f>
        <v>1526400</v>
      </c>
      <c r="Y589" s="66">
        <f>IF(NOTA[[#This Row],[JUMLAH]]="","",NOTA[[#This Row],[JUMLAH]]*NOTA[[#This Row],[DISC 1]])</f>
        <v>190800</v>
      </c>
      <c r="Z589" s="66">
        <f>IF(NOTA[[#This Row],[JUMLAH]]="","",(NOTA[[#This Row],[JUMLAH]]-NOTA[[#This Row],[DISC 1-]])*NOTA[[#This Row],[DISC 2]])</f>
        <v>66780</v>
      </c>
      <c r="AA589" s="66">
        <f>IF(NOTA[[#This Row],[JUMLAH]]="","",(NOTA[[#This Row],[JUMLAH]]-NOTA[[#This Row],[DISC 1-]]-NOTA[[#This Row],[DISC 2-]])*NOTA[[#This Row],[DISC 3]])</f>
        <v>0</v>
      </c>
      <c r="AB589" s="66">
        <f>IF(NOTA[[#This Row],[JUMLAH]]="","",NOTA[[#This Row],[DISC 1-]]+NOTA[[#This Row],[DISC 2-]]+NOTA[[#This Row],[DISC 3-]])</f>
        <v>257580</v>
      </c>
      <c r="AC589" s="66">
        <f>IF(NOTA[[#This Row],[JUMLAH]]="","",NOTA[[#This Row],[JUMLAH]]-NOTA[[#This Row],[DISC]])</f>
        <v>1268820</v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89" s="66">
        <f>IF(OR(NOTA[[#This Row],[QTY]]="",NOTA[[#This Row],[HARGA SATUAN]]="",),"",NOTA[[#This Row],[QTY]]*NOTA[[#This Row],[HARGA SATUAN]])</f>
        <v>1526400</v>
      </c>
      <c r="AI589" s="60">
        <f ca="1">IF(NOTA[ID_H]="","",INDEX(NOTA[TANGGAL],MATCH(,INDIRECT(ADDRESS(ROW(NOTA[TANGGAL]),COLUMN(NOTA[TANGGAL]))&amp;":"&amp;ADDRESS(ROW(),COLUMN(NOTA[TANGGAL]))),-1)))</f>
        <v>45310</v>
      </c>
      <c r="AJ589" s="55" t="str">
        <f ca="1">IF(NOTA[[#This Row],[NAMA BARANG]]="","",INDEX(NOTA[SUPPLIER],MATCH(,INDIRECT(ADDRESS(ROW(NOTA[ID]),COLUMN(NOTA[ID]))&amp;":"&amp;ADDRESS(ROW(),COLUMN(NOTA[ID]))),-1)))</f>
        <v>ATALI MAKMUR</v>
      </c>
      <c r="AK589" s="55" t="str">
        <f ca="1">IF(NOTA[[#This Row],[ID_H]]="","",IF(NOTA[[#This Row],[FAKTUR]]="",INDIRECT(ADDRESS(ROW()-1,COLUMN())),NOTA[[#This Row],[FAKTUR]]))</f>
        <v>ARTO MORO</v>
      </c>
      <c r="AL589" s="56" t="str">
        <f ca="1">IF(NOTA[[#This Row],[ID]]="","",COUNTIF(NOTA[ID_H],NOTA[[#This Row],[ID_H]]))</f>
        <v/>
      </c>
      <c r="AM589" s="56">
        <f ca="1">IF(NOTA[[#This Row],[TGL.NOTA]]="",IF(NOTA[[#This Row],[SUPPLIER_H]]="","",AM588),MONTH(NOTA[[#This Row],[TGL.NOTA]]))</f>
        <v>1</v>
      </c>
      <c r="AN589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>
        <f>IF(NOTA[[#This Row],[CONCAT1]]="","",MATCH(NOTA[[#This Row],[CONCAT1]],[3]!db[NB NOTA_C],0))</f>
        <v>684</v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>12 LSN</v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589" s="56" t="e">
        <f ca="1">IF(NOTA[[#This Row],[ID_H]]="","",MATCH(NOTA[[#This Row],[NB NOTA_C_QTY]],[4]!db[NB NOTA_C_QTY+F],0))</f>
        <v>#REF!</v>
      </c>
      <c r="AX589" s="68">
        <f ca="1">IF(NOTA[[#This Row],[NB NOTA_C_QTY]]="","",ROW()-2)</f>
        <v>587</v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>
        <f ca="1">IF(NOTA[[#This Row],[NAMA BARANG]]="","",INDEX(NOTA[ID],MATCH(,INDIRECT(ADDRESS(ROW(NOTA[ID]),COLUMN(NOTA[ID]))&amp;":"&amp;ADDRESS(ROW(),COLUMN(NOTA[ID]))),-1)))</f>
        <v>94</v>
      </c>
      <c r="E590" s="57"/>
      <c r="F590" s="58"/>
      <c r="G590" s="58"/>
      <c r="H590" s="59"/>
      <c r="I590" s="58"/>
      <c r="J590" s="60"/>
      <c r="K590" s="58">
        <v>0</v>
      </c>
      <c r="L590" s="37" t="s">
        <v>185</v>
      </c>
      <c r="M590" s="61">
        <v>1</v>
      </c>
      <c r="N590" s="56">
        <v>288</v>
      </c>
      <c r="O590" s="37" t="s">
        <v>116</v>
      </c>
      <c r="P590" s="55">
        <v>6700</v>
      </c>
      <c r="Q590" s="62"/>
      <c r="R590" s="48"/>
      <c r="S590" s="64">
        <v>0.125</v>
      </c>
      <c r="T590" s="65">
        <v>0.05</v>
      </c>
      <c r="U590" s="65"/>
      <c r="V590" s="66"/>
      <c r="W590" s="67"/>
      <c r="X590" s="66">
        <f>IF(NOTA[[#This Row],[HARGA/ CTN]]="",NOTA[[#This Row],[JUMLAH_H]],NOTA[[#This Row],[HARGA/ CTN]]*IF(NOTA[[#This Row],[C]]="",0,NOTA[[#This Row],[C]]))</f>
        <v>1929600</v>
      </c>
      <c r="Y590" s="66">
        <f>IF(NOTA[[#This Row],[JUMLAH]]="","",NOTA[[#This Row],[JUMLAH]]*NOTA[[#This Row],[DISC 1]])</f>
        <v>241200</v>
      </c>
      <c r="Z590" s="66">
        <f>IF(NOTA[[#This Row],[JUMLAH]]="","",(NOTA[[#This Row],[JUMLAH]]-NOTA[[#This Row],[DISC 1-]])*NOTA[[#This Row],[DISC 2]])</f>
        <v>84420</v>
      </c>
      <c r="AA590" s="66">
        <f>IF(NOTA[[#This Row],[JUMLAH]]="","",(NOTA[[#This Row],[JUMLAH]]-NOTA[[#This Row],[DISC 1-]]-NOTA[[#This Row],[DISC 2-]])*NOTA[[#This Row],[DISC 3]])</f>
        <v>0</v>
      </c>
      <c r="AB590" s="66">
        <f>IF(NOTA[[#This Row],[JUMLAH]]="","",NOTA[[#This Row],[DISC 1-]]+NOTA[[#This Row],[DISC 2-]]+NOTA[[#This Row],[DISC 3-]])</f>
        <v>325620</v>
      </c>
      <c r="AC590" s="66">
        <f>IF(NOTA[[#This Row],[JUMLAH]]="","",NOTA[[#This Row],[JUMLAH]]-NOTA[[#This Row],[DISC]])</f>
        <v>1603980</v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90" s="66">
        <f>IF(OR(NOTA[[#This Row],[QTY]]="",NOTA[[#This Row],[HARGA SATUAN]]="",),"",NOTA[[#This Row],[QTY]]*NOTA[[#This Row],[HARGA SATUAN]])</f>
        <v>1929600</v>
      </c>
      <c r="AI590" s="60">
        <f ca="1">IF(NOTA[ID_H]="","",INDEX(NOTA[TANGGAL],MATCH(,INDIRECT(ADDRESS(ROW(NOTA[TANGGAL]),COLUMN(NOTA[TANGGAL]))&amp;":"&amp;ADDRESS(ROW(),COLUMN(NOTA[TANGGAL]))),-1)))</f>
        <v>45310</v>
      </c>
      <c r="AJ590" s="55" t="str">
        <f ca="1">IF(NOTA[[#This Row],[NAMA BARANG]]="","",INDEX(NOTA[SUPPLIER],MATCH(,INDIRECT(ADDRESS(ROW(NOTA[ID]),COLUMN(NOTA[ID]))&amp;":"&amp;ADDRESS(ROW(),COLUMN(NOTA[ID]))),-1)))</f>
        <v>ATALI MAKMUR</v>
      </c>
      <c r="AK590" s="55" t="str">
        <f ca="1">IF(NOTA[[#This Row],[ID_H]]="","",IF(NOTA[[#This Row],[FAKTUR]]="",INDIRECT(ADDRESS(ROW()-1,COLUMN())),NOTA[[#This Row],[FAKTUR]]))</f>
        <v>ARTO MORO</v>
      </c>
      <c r="AL590" s="56" t="str">
        <f ca="1">IF(NOTA[[#This Row],[ID]]="","",COUNTIF(NOTA[ID_H],NOTA[[#This Row],[ID_H]]))</f>
        <v/>
      </c>
      <c r="AM590" s="56">
        <f ca="1">IF(NOTA[[#This Row],[TGL.NOTA]]="",IF(NOTA[[#This Row],[SUPPLIER_H]]="","",AM589),MONTH(NOTA[[#This Row],[TGL.NOTA]]))</f>
        <v>1</v>
      </c>
      <c r="AN590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>
        <f>IF(NOTA[[#This Row],[CONCAT1]]="","",MATCH(NOTA[[#This Row],[CONCAT1]],[3]!db[NB NOTA_C],0))</f>
        <v>691</v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>12 BOX (24 SET)</v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590" s="56" t="e">
        <f ca="1">IF(NOTA[[#This Row],[ID_H]]="","",MATCH(NOTA[[#This Row],[NB NOTA_C_QTY]],[4]!db[NB NOTA_C_QTY+F],0))</f>
        <v>#REF!</v>
      </c>
      <c r="AX590" s="68">
        <f ca="1">IF(NOTA[[#This Row],[NB NOTA_C_QTY]]="","",ROW()-2)</f>
        <v>588</v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>
        <f ca="1">IF(NOTA[[#This Row],[NAMA BARANG]]="","",INDEX(NOTA[ID],MATCH(,INDIRECT(ADDRESS(ROW(NOTA[ID]),COLUMN(NOTA[ID]))&amp;":"&amp;ADDRESS(ROW(),COLUMN(NOTA[ID]))),-1)))</f>
        <v>94</v>
      </c>
      <c r="E591" s="57"/>
      <c r="F591" s="58"/>
      <c r="G591" s="58"/>
      <c r="H591" s="59"/>
      <c r="I591" s="58"/>
      <c r="J591" s="60"/>
      <c r="K591" s="58">
        <v>0</v>
      </c>
      <c r="L591" s="37" t="s">
        <v>662</v>
      </c>
      <c r="M591" s="61">
        <v>2</v>
      </c>
      <c r="N591" s="56">
        <v>288</v>
      </c>
      <c r="O591" s="37" t="s">
        <v>111</v>
      </c>
      <c r="P591" s="55">
        <v>12600</v>
      </c>
      <c r="Q591" s="62"/>
      <c r="R591" s="48"/>
      <c r="S591" s="64">
        <v>0.125</v>
      </c>
      <c r="T591" s="65">
        <v>0.05</v>
      </c>
      <c r="U591" s="65"/>
      <c r="V591" s="66"/>
      <c r="W591" s="67"/>
      <c r="X591" s="66">
        <f>IF(NOTA[[#This Row],[HARGA/ CTN]]="",NOTA[[#This Row],[JUMLAH_H]],NOTA[[#This Row],[HARGA/ CTN]]*IF(NOTA[[#This Row],[C]]="",0,NOTA[[#This Row],[C]]))</f>
        <v>3628800</v>
      </c>
      <c r="Y591" s="66">
        <f>IF(NOTA[[#This Row],[JUMLAH]]="","",NOTA[[#This Row],[JUMLAH]]*NOTA[[#This Row],[DISC 1]])</f>
        <v>453600</v>
      </c>
      <c r="Z591" s="66">
        <f>IF(NOTA[[#This Row],[JUMLAH]]="","",(NOTA[[#This Row],[JUMLAH]]-NOTA[[#This Row],[DISC 1-]])*NOTA[[#This Row],[DISC 2]])</f>
        <v>158760</v>
      </c>
      <c r="AA591" s="66">
        <f>IF(NOTA[[#This Row],[JUMLAH]]="","",(NOTA[[#This Row],[JUMLAH]]-NOTA[[#This Row],[DISC 1-]]-NOTA[[#This Row],[DISC 2-]])*NOTA[[#This Row],[DISC 3]])</f>
        <v>0</v>
      </c>
      <c r="AB591" s="66">
        <f>IF(NOTA[[#This Row],[JUMLAH]]="","",NOTA[[#This Row],[DISC 1-]]+NOTA[[#This Row],[DISC 2-]]+NOTA[[#This Row],[DISC 3-]])</f>
        <v>612360</v>
      </c>
      <c r="AC591" s="66">
        <f>IF(NOTA[[#This Row],[JUMLAH]]="","",NOTA[[#This Row],[JUMLAH]]-NOTA[[#This Row],[DISC]])</f>
        <v>3016440</v>
      </c>
      <c r="AD591" s="66"/>
      <c r="AE5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2830815</v>
      </c>
      <c r="AF5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13944385</v>
      </c>
      <c r="AG591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91" s="66">
        <f>IF(OR(NOTA[[#This Row],[QTY]]="",NOTA[[#This Row],[HARGA SATUAN]]="",),"",NOTA[[#This Row],[QTY]]*NOTA[[#This Row],[HARGA SATUAN]])</f>
        <v>3628800</v>
      </c>
      <c r="AI591" s="60">
        <f ca="1">IF(NOTA[ID_H]="","",INDEX(NOTA[TANGGAL],MATCH(,INDIRECT(ADDRESS(ROW(NOTA[TANGGAL]),COLUMN(NOTA[TANGGAL]))&amp;":"&amp;ADDRESS(ROW(),COLUMN(NOTA[TANGGAL]))),-1)))</f>
        <v>45310</v>
      </c>
      <c r="AJ591" s="55" t="str">
        <f ca="1">IF(NOTA[[#This Row],[NAMA BARANG]]="","",INDEX(NOTA[SUPPLIER],MATCH(,INDIRECT(ADDRESS(ROW(NOTA[ID]),COLUMN(NOTA[ID]))&amp;":"&amp;ADDRESS(ROW(),COLUMN(NOTA[ID]))),-1)))</f>
        <v>ATALI MAKMUR</v>
      </c>
      <c r="AK591" s="55" t="str">
        <f ca="1">IF(NOTA[[#This Row],[ID_H]]="","",IF(NOTA[[#This Row],[FAKTUR]]="",INDIRECT(ADDRESS(ROW()-1,COLUMN())),NOTA[[#This Row],[FAKTUR]]))</f>
        <v>ARTO MORO</v>
      </c>
      <c r="AL591" s="56" t="str">
        <f ca="1">IF(NOTA[[#This Row],[ID]]="","",COUNTIF(NOTA[ID_H],NOTA[[#This Row],[ID_H]]))</f>
        <v/>
      </c>
      <c r="AM591" s="56">
        <f ca="1">IF(NOTA[[#This Row],[TGL.NOTA]]="",IF(NOTA[[#This Row],[SUPPLIER_H]]="","",AM590),MONTH(NOTA[[#This Row],[TGL.NOTA]]))</f>
        <v>1</v>
      </c>
      <c r="AN591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>
        <f>IF(NOTA[[#This Row],[CONCAT1]]="","",MATCH(NOTA[[#This Row],[CONCAT1]],[3]!db[NB NOTA_C],0))</f>
        <v>127</v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>144 LSN</v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591" s="56" t="e">
        <f ca="1">IF(NOTA[[#This Row],[ID_H]]="","",MATCH(NOTA[[#This Row],[NB NOTA_C_QTY]],[4]!db[NB NOTA_C_QTY+F],0))</f>
        <v>#REF!</v>
      </c>
      <c r="AX591" s="68">
        <f ca="1">IF(NOTA[[#This Row],[NB NOTA_C_QTY]]="","",ROW()-2)</f>
        <v>589</v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58"/>
      <c r="G592" s="58"/>
      <c r="H592" s="59"/>
      <c r="I592" s="58"/>
      <c r="J592" s="60"/>
      <c r="K592" s="58"/>
      <c r="L592" s="37"/>
      <c r="M592" s="61"/>
      <c r="N592" s="56"/>
      <c r="O592" s="37"/>
      <c r="P592" s="55"/>
      <c r="Q592" s="62"/>
      <c r="R592" s="48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 t="str">
        <f>IF(NOTA[[#This Row],[CONCAT1]]="","",MATCH(NOTA[[#This Row],[CONCAT1]],[3]!db[NB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NOTA_C_QTY]],[4]!db[NB NOTA_C_QTY+F],0))</f>
        <v/>
      </c>
      <c r="AX592" s="68" t="str">
        <f ca="1">IF(NOTA[[#This Row],[NB NOTA_C_QTY]]="","",ROW()-2)</f>
        <v/>
      </c>
    </row>
    <row r="593" spans="1:50" s="38" customFormat="1" ht="20.100000000000001" customHeight="1" x14ac:dyDescent="0.25">
      <c r="A593" s="55">
        <f ca="1">IF(INDIRECT(ADDRESS(ROW()-1,COLUMN(NOTA[[#Headers],[ID]])))="ID",1,IF(NOTA[[#This Row],[FAKTUR]]="","",COUNT(INDIRECT(ADDRESS(ROW(NOTA[ID]),COLUMN(NOTA[ID]))&amp;":"&amp;ADDRESS(ROW()-1,COLUMN(NOTA[ID]))))+1))</f>
        <v>95</v>
      </c>
      <c r="B59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KAL_1901_167-1</v>
      </c>
      <c r="C593" s="56" t="e">
        <f ca="1">IF(NOTA[[#This Row],[ID_P]]="","",MATCH(NOTA[[#This Row],[ID_P]],[1]!B_MSK[N_ID],0))</f>
        <v>#REF!</v>
      </c>
      <c r="D593" s="56">
        <f ca="1">IF(NOTA[[#This Row],[NAMA BARANG]]="","",INDEX(NOTA[ID],MATCH(,INDIRECT(ADDRESS(ROW(NOTA[ID]),COLUMN(NOTA[ID]))&amp;":"&amp;ADDRESS(ROW(),COLUMN(NOTA[ID]))),-1)))</f>
        <v>95</v>
      </c>
      <c r="E593" s="57"/>
      <c r="F593" s="37" t="s">
        <v>51</v>
      </c>
      <c r="G593" s="37" t="s">
        <v>23</v>
      </c>
      <c r="H593" s="47" t="s">
        <v>692</v>
      </c>
      <c r="I593" s="58"/>
      <c r="J593" s="60">
        <v>45307</v>
      </c>
      <c r="K593" s="58">
        <v>0</v>
      </c>
      <c r="L593" s="37" t="s">
        <v>634</v>
      </c>
      <c r="M593" s="61">
        <v>2</v>
      </c>
      <c r="N593" s="56">
        <v>120</v>
      </c>
      <c r="O593" s="37" t="s">
        <v>115</v>
      </c>
      <c r="P593" s="55">
        <v>24000</v>
      </c>
      <c r="Q593" s="62"/>
      <c r="R593" s="48"/>
      <c r="S593" s="64">
        <v>0.125</v>
      </c>
      <c r="T593" s="65">
        <v>0.05</v>
      </c>
      <c r="U593" s="65"/>
      <c r="V593" s="66"/>
      <c r="W593" s="67"/>
      <c r="X593" s="66">
        <f>IF(NOTA[[#This Row],[HARGA/ CTN]]="",NOTA[[#This Row],[JUMLAH_H]],NOTA[[#This Row],[HARGA/ CTN]]*IF(NOTA[[#This Row],[C]]="",0,NOTA[[#This Row],[C]]))</f>
        <v>2880000</v>
      </c>
      <c r="Y593" s="66">
        <f>IF(NOTA[[#This Row],[JUMLAH]]="","",NOTA[[#This Row],[JUMLAH]]*NOTA[[#This Row],[DISC 1]])</f>
        <v>360000</v>
      </c>
      <c r="Z593" s="66">
        <f>IF(NOTA[[#This Row],[JUMLAH]]="","",(NOTA[[#This Row],[JUMLAH]]-NOTA[[#This Row],[DISC 1-]])*NOTA[[#This Row],[DISC 2]])</f>
        <v>126000</v>
      </c>
      <c r="AA593" s="66">
        <f>IF(NOTA[[#This Row],[JUMLAH]]="","",(NOTA[[#This Row],[JUMLAH]]-NOTA[[#This Row],[DISC 1-]]-NOTA[[#This Row],[DISC 2-]])*NOTA[[#This Row],[DISC 3]])</f>
        <v>0</v>
      </c>
      <c r="AB593" s="66">
        <f>IF(NOTA[[#This Row],[JUMLAH]]="","",NOTA[[#This Row],[DISC 1-]]+NOTA[[#This Row],[DISC 2-]]+NOTA[[#This Row],[DISC 3-]])</f>
        <v>486000</v>
      </c>
      <c r="AC593" s="66">
        <f>IF(NOTA[[#This Row],[JUMLAH]]="","",NOTA[[#This Row],[JUMLAH]]-NOTA[[#This Row],[DISC]])</f>
        <v>2394000</v>
      </c>
      <c r="AD593" s="66"/>
      <c r="AE5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486000</v>
      </c>
      <c r="AF5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2394000</v>
      </c>
      <c r="AG593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93" s="66">
        <f>IF(OR(NOTA[[#This Row],[QTY]]="",NOTA[[#This Row],[HARGA SATUAN]]="",),"",NOTA[[#This Row],[QTY]]*NOTA[[#This Row],[HARGA SATUAN]])</f>
        <v>2880000</v>
      </c>
      <c r="AI593" s="60">
        <f ca="1">IF(NOTA[ID_H]="","",INDEX(NOTA[TANGGAL],MATCH(,INDIRECT(ADDRESS(ROW(NOTA[TANGGAL]),COLUMN(NOTA[TANGGAL]))&amp;":"&amp;ADDRESS(ROW(),COLUMN(NOTA[TANGGAL]))),-1)))</f>
        <v>45310</v>
      </c>
      <c r="AJ593" s="55" t="str">
        <f ca="1">IF(NOTA[[#This Row],[NAMA BARANG]]="","",INDEX(NOTA[SUPPLIER],MATCH(,INDIRECT(ADDRESS(ROW(NOTA[ID]),COLUMN(NOTA[ID]))&amp;":"&amp;ADDRESS(ROW(),COLUMN(NOTA[ID]))),-1)))</f>
        <v>KALINDO SUKSES</v>
      </c>
      <c r="AK593" s="55" t="str">
        <f ca="1">IF(NOTA[[#This Row],[ID_H]]="","",IF(NOTA[[#This Row],[FAKTUR]]="",INDIRECT(ADDRESS(ROW()-1,COLUMN())),NOTA[[#This Row],[FAKTUR]]))</f>
        <v>ARTO MORO</v>
      </c>
      <c r="AL593" s="56">
        <f ca="1">IF(NOTA[[#This Row],[ID]]="","",COUNTIF(NOTA[ID_H],NOTA[[#This Row],[ID_H]]))</f>
        <v>1</v>
      </c>
      <c r="AM593" s="56">
        <f>IF(NOTA[[#This Row],[TGL.NOTA]]="",IF(NOTA[[#This Row],[SUPPLIER_H]]="","",AM592),MONTH(NOTA[[#This Row],[TGL.NOTA]]))</f>
        <v>1</v>
      </c>
      <c r="AN593" s="56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calculatorjoykocc4114400000.1250.05</v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calculatorjoykocc4114400000.1250.05</v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MOROSN2401016745307calculatorjoykocc41</v>
      </c>
      <c r="AR593" s="56" t="e">
        <f>IF(NOTA[[#This Row],[CONCAT4]]="","",_xlfn.IFNA(MATCH(NOTA[[#This Row],[CONCAT4]],[2]!RAW[CONCAT_H],0),FALSE))</f>
        <v>#REF!</v>
      </c>
      <c r="AS593" s="56">
        <f>IF(NOTA[[#This Row],[CONCAT1]]="","",MATCH(NOTA[[#This Row],[CONCAT1]],[3]!db[NB NOTA_C],0))</f>
        <v>592</v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>60 PCS</v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calculatorjoykocc4160pcsartomoro</v>
      </c>
      <c r="AW593" s="56" t="e">
        <f ca="1">IF(NOTA[[#This Row],[ID_H]]="","",MATCH(NOTA[[#This Row],[NB NOTA_C_QTY]],[4]!db[NB NOTA_C_QTY+F],0))</f>
        <v>#REF!</v>
      </c>
      <c r="AX593" s="68">
        <f ca="1">IF(NOTA[[#This Row],[NB NOTA_C_QTY]]="","",ROW()-2)</f>
        <v>591</v>
      </c>
    </row>
    <row r="594" spans="1:50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58"/>
      <c r="G594" s="58"/>
      <c r="H594" s="59"/>
      <c r="I594" s="58"/>
      <c r="J594" s="60"/>
      <c r="K594" s="58"/>
      <c r="L594" s="37"/>
      <c r="M594" s="61"/>
      <c r="N594" s="56"/>
      <c r="O594" s="37"/>
      <c r="P594" s="55"/>
      <c r="Q594" s="62"/>
      <c r="R594" s="48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55" t="str">
        <f ca="1">IF(NOTA[[#This Row],[NAMA BARANG]]="","",INDEX(NOTA[SUPPLIER],MATCH(,INDIRECT(ADDRESS(ROW(NOTA[ID]),COLUMN(NOTA[ID]))&amp;":"&amp;ADDRESS(ROW(),COLUMN(NOTA[ID]))),-1)))</f>
        <v/>
      </c>
      <c r="AK594" s="55" t="str">
        <f ca="1">IF(NOTA[[#This Row],[ID_H]]="","",IF(NOTA[[#This Row],[FAKTUR]]="",INDIRECT(ADDRESS(ROW()-1,COLUMN())),NOTA[[#This Row],[FAKTUR]]))</f>
        <v/>
      </c>
      <c r="AL594" s="56" t="str">
        <f ca="1">IF(NOTA[[#This Row],[ID]]="","",COUNTIF(NOTA[ID_H],NOTA[[#This Row],[ID_H]]))</f>
        <v/>
      </c>
      <c r="AM594" s="56" t="str">
        <f ca="1">IF(NOTA[[#This Row],[TGL.NOTA]]="",IF(NOTA[[#This Row],[SUPPLIER_H]]="","",AM593),MONTH(NOTA[[#This Row],[TGL.NOTA]]))</f>
        <v/>
      </c>
      <c r="AN594" s="56" t="str">
        <f>LOWER(SUBSTITUTE(SUBSTITUTE(SUBSTITUTE(SUBSTITUTE(SUBSTITUTE(SUBSTITUTE(SUBSTITUTE(SUBSTITUTE(SUBSTITUTE(NOTA[NAMA BARANG]," ",),".",""),"-",""),"(",""),")",""),",",""),"/",""),"""",""),"+",""))</f>
        <v/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 t="str">
        <f>IF(NOTA[[#This Row],[CONCAT1]]="","",MATCH(NOTA[[#This Row],[CONCAT1]],[3]!db[NB NOTA_C],0))</f>
        <v/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/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56" t="str">
        <f ca="1">IF(NOTA[[#This Row],[ID_H]]="","",MATCH(NOTA[[#This Row],[NB NOTA_C_QTY]],[4]!db[NB NOTA_C_QTY+F],0))</f>
        <v/>
      </c>
      <c r="AX594" s="68" t="str">
        <f ca="1">IF(NOTA[[#This Row],[NB NOTA_C_QTY]]="","",ROW()-2)</f>
        <v/>
      </c>
    </row>
    <row r="595" spans="1:50" s="38" customFormat="1" ht="20.100000000000001" customHeight="1" x14ac:dyDescent="0.25">
      <c r="A595" s="55">
        <f ca="1">IF(INDIRECT(ADDRESS(ROW()-1,COLUMN(NOTA[[#Headers],[ID]])))="ID",1,IF(NOTA[[#This Row],[FAKTUR]]="","",COUNT(INDIRECT(ADDRESS(ROW(NOTA[ID]),COLUMN(NOTA[ID]))&amp;":"&amp;ADDRESS(ROW()-1,COLUMN(NOTA[ID]))))+1))</f>
        <v>96</v>
      </c>
      <c r="B59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GUN_1901_134-7</v>
      </c>
      <c r="C595" s="56" t="e">
        <f ca="1">IF(NOTA[[#This Row],[ID_P]]="","",MATCH(NOTA[[#This Row],[ID_P]],[1]!B_MSK[N_ID],0))</f>
        <v>#REF!</v>
      </c>
      <c r="D595" s="56">
        <f ca="1">IF(NOTA[[#This Row],[NAMA BARANG]]="","",INDEX(NOTA[ID],MATCH(,INDIRECT(ADDRESS(ROW(NOTA[ID]),COLUMN(NOTA[ID]))&amp;":"&amp;ADDRESS(ROW(),COLUMN(NOTA[ID]))),-1)))</f>
        <v>96</v>
      </c>
      <c r="E595" s="57">
        <v>45310</v>
      </c>
      <c r="F595" s="37" t="s">
        <v>693</v>
      </c>
      <c r="G595" s="37" t="s">
        <v>110</v>
      </c>
      <c r="H595" s="47" t="s">
        <v>694</v>
      </c>
      <c r="I595" s="58"/>
      <c r="J595" s="60">
        <v>45307</v>
      </c>
      <c r="K595" s="58">
        <v>0</v>
      </c>
      <c r="L595" s="37" t="s">
        <v>695</v>
      </c>
      <c r="M595" s="61">
        <v>1</v>
      </c>
      <c r="N595" s="56">
        <v>60</v>
      </c>
      <c r="O595" s="37" t="s">
        <v>111</v>
      </c>
      <c r="P595" s="55">
        <v>47500</v>
      </c>
      <c r="Q595" s="62"/>
      <c r="R595" s="48"/>
      <c r="S595" s="64">
        <v>0.05</v>
      </c>
      <c r="T595" s="65">
        <v>0.1</v>
      </c>
      <c r="U595" s="65"/>
      <c r="V595" s="66"/>
      <c r="W595" s="67"/>
      <c r="X595" s="66">
        <f>IF(NOTA[[#This Row],[HARGA/ CTN]]="",NOTA[[#This Row],[JUMLAH_H]],NOTA[[#This Row],[HARGA/ CTN]]*IF(NOTA[[#This Row],[C]]="",0,NOTA[[#This Row],[C]]))</f>
        <v>2850000</v>
      </c>
      <c r="Y595" s="66">
        <f>IF(NOTA[[#This Row],[JUMLAH]]="","",NOTA[[#This Row],[JUMLAH]]*NOTA[[#This Row],[DISC 1]])</f>
        <v>142500</v>
      </c>
      <c r="Z595" s="66">
        <f>IF(NOTA[[#This Row],[JUMLAH]]="","",(NOTA[[#This Row],[JUMLAH]]-NOTA[[#This Row],[DISC 1-]])*NOTA[[#This Row],[DISC 2]])</f>
        <v>270750</v>
      </c>
      <c r="AA595" s="66">
        <f>IF(NOTA[[#This Row],[JUMLAH]]="","",(NOTA[[#This Row],[JUMLAH]]-NOTA[[#This Row],[DISC 1-]]-NOTA[[#This Row],[DISC 2-]])*NOTA[[#This Row],[DISC 3]])</f>
        <v>0</v>
      </c>
      <c r="AB595" s="66">
        <f>IF(NOTA[[#This Row],[JUMLAH]]="","",NOTA[[#This Row],[DISC 1-]]+NOTA[[#This Row],[DISC 2-]]+NOTA[[#This Row],[DISC 3-]])</f>
        <v>413250</v>
      </c>
      <c r="AC595" s="66">
        <f>IF(NOTA[[#This Row],[JUMLAH]]="","",NOTA[[#This Row],[JUMLAH]]-NOTA[[#This Row],[DISC]])</f>
        <v>2436750</v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595" s="66">
        <f>IF(OR(NOTA[[#This Row],[QTY]]="",NOTA[[#This Row],[HARGA SATUAN]]="",),"",NOTA[[#This Row],[QTY]]*NOTA[[#This Row],[HARGA SATUAN]])</f>
        <v>2850000</v>
      </c>
      <c r="AI595" s="60">
        <f ca="1">IF(NOTA[ID_H]="","",INDEX(NOTA[TANGGAL],MATCH(,INDIRECT(ADDRESS(ROW(NOTA[TANGGAL]),COLUMN(NOTA[TANGGAL]))&amp;":"&amp;ADDRESS(ROW(),COLUMN(NOTA[TANGGAL]))),-1)))</f>
        <v>45310</v>
      </c>
      <c r="AJ595" s="55" t="str">
        <f ca="1">IF(NOTA[[#This Row],[NAMA BARANG]]="","",INDEX(NOTA[SUPPLIER],MATCH(,INDIRECT(ADDRESS(ROW(NOTA[ID]),COLUMN(NOTA[ID]))&amp;":"&amp;ADDRESS(ROW(),COLUMN(NOTA[ID]))),-1)))</f>
        <v>GUNINDO</v>
      </c>
      <c r="AK595" s="55" t="str">
        <f ca="1">IF(NOTA[[#This Row],[ID_H]]="","",IF(NOTA[[#This Row],[FAKTUR]]="",INDIRECT(ADDRESS(ROW()-1,COLUMN())),NOTA[[#This Row],[FAKTUR]]))</f>
        <v>UNTANA</v>
      </c>
      <c r="AL595" s="56">
        <f ca="1">IF(NOTA[[#This Row],[ID]]="","",COUNTIF(NOTA[ID_H],NOTA[[#This Row],[ID_H]]))</f>
        <v>7</v>
      </c>
      <c r="AM595" s="56">
        <f>IF(NOTA[[#This Row],[TGL.NOTA]]="",IF(NOTA[[#This Row],[SUPPLIER_H]]="","",AM594),MONTH(NOTA[[#This Row],[TGL.NOTA]]))</f>
        <v>1</v>
      </c>
      <c r="AN595" s="56" t="str">
        <f>LOWER(SUBSTITUTE(SUBSTITUTE(SUBSTITUTE(SUBSTITUTE(SUBSTITUTE(SUBSTITUTE(SUBSTITUTE(SUBSTITUTE(SUBSTITUTE(NOTA[NAMA BARANG]," ",),".",""),"-",""),"(",""),")",""),",",""),"/",""),"""",""),"+",""))</f>
        <v>cuttera18trans</v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GUNINDOUNTANA240113445307cuttera18trans</v>
      </c>
      <c r="AR595" s="56" t="e">
        <f>IF(NOTA[[#This Row],[CONCAT4]]="","",_xlfn.IFNA(MATCH(NOTA[[#This Row],[CONCAT4]],[2]!RAW[CONCAT_H],0),FALSE))</f>
        <v>#REF!</v>
      </c>
      <c r="AS595" s="56">
        <f>IF(NOTA[[#This Row],[CONCAT1]]="","",MATCH(NOTA[[#This Row],[CONCAT1]],[3]!db[NB NOTA_C],0))</f>
        <v>770</v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>60 LSN</v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W595" s="56" t="e">
        <f ca="1">IF(NOTA[[#This Row],[ID_H]]="","",MATCH(NOTA[[#This Row],[NB NOTA_C_QTY]],[4]!db[NB NOTA_C_QTY+F],0))</f>
        <v>#REF!</v>
      </c>
      <c r="AX595" s="68">
        <f ca="1">IF(NOTA[[#This Row],[NB NOTA_C_QTY]]="","",ROW()-2)</f>
        <v>593</v>
      </c>
    </row>
    <row r="596" spans="1:50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>
        <f ca="1">IF(NOTA[[#This Row],[NAMA BARANG]]="","",INDEX(NOTA[ID],MATCH(,INDIRECT(ADDRESS(ROW(NOTA[ID]),COLUMN(NOTA[ID]))&amp;":"&amp;ADDRESS(ROW(),COLUMN(NOTA[ID]))),-1)))</f>
        <v>96</v>
      </c>
      <c r="E596" s="57"/>
      <c r="F596" s="58"/>
      <c r="G596" s="58"/>
      <c r="H596" s="59"/>
      <c r="I596" s="58"/>
      <c r="J596" s="60"/>
      <c r="K596" s="58">
        <v>2</v>
      </c>
      <c r="L596" s="37" t="s">
        <v>696</v>
      </c>
      <c r="M596" s="61">
        <v>3</v>
      </c>
      <c r="N596" s="56">
        <v>90</v>
      </c>
      <c r="O596" s="37" t="s">
        <v>111</v>
      </c>
      <c r="P596" s="55">
        <v>61000</v>
      </c>
      <c r="Q596" s="62"/>
      <c r="R596" s="48"/>
      <c r="S596" s="64">
        <v>0.05</v>
      </c>
      <c r="T596" s="65">
        <v>0.1</v>
      </c>
      <c r="U596" s="65"/>
      <c r="V596" s="66"/>
      <c r="W596" s="67"/>
      <c r="X596" s="66">
        <f>IF(NOTA[[#This Row],[HARGA/ CTN]]="",NOTA[[#This Row],[JUMLAH_H]],NOTA[[#This Row],[HARGA/ CTN]]*IF(NOTA[[#This Row],[C]]="",0,NOTA[[#This Row],[C]]))</f>
        <v>5490000</v>
      </c>
      <c r="Y596" s="66">
        <f>IF(NOTA[[#This Row],[JUMLAH]]="","",NOTA[[#This Row],[JUMLAH]]*NOTA[[#This Row],[DISC 1]])</f>
        <v>274500</v>
      </c>
      <c r="Z596" s="66">
        <f>IF(NOTA[[#This Row],[JUMLAH]]="","",(NOTA[[#This Row],[JUMLAH]]-NOTA[[#This Row],[DISC 1-]])*NOTA[[#This Row],[DISC 2]])</f>
        <v>521550</v>
      </c>
      <c r="AA596" s="66">
        <f>IF(NOTA[[#This Row],[JUMLAH]]="","",(NOTA[[#This Row],[JUMLAH]]-NOTA[[#This Row],[DISC 1-]]-NOTA[[#This Row],[DISC 2-]])*NOTA[[#This Row],[DISC 3]])</f>
        <v>0</v>
      </c>
      <c r="AB596" s="66">
        <f>IF(NOTA[[#This Row],[JUMLAH]]="","",NOTA[[#This Row],[DISC 1-]]+NOTA[[#This Row],[DISC 2-]]+NOTA[[#This Row],[DISC 3-]])</f>
        <v>796050</v>
      </c>
      <c r="AC596" s="66">
        <f>IF(NOTA[[#This Row],[JUMLAH]]="","",NOTA[[#This Row],[JUMLAH]]-NOTA[[#This Row],[DISC]])</f>
        <v>4693950</v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596" s="66">
        <f>IF(OR(NOTA[[#This Row],[QTY]]="",NOTA[[#This Row],[HARGA SATUAN]]="",),"",NOTA[[#This Row],[QTY]]*NOTA[[#This Row],[HARGA SATUAN]])</f>
        <v>5490000</v>
      </c>
      <c r="AI596" s="60">
        <f ca="1">IF(NOTA[ID_H]="","",INDEX(NOTA[TANGGAL],MATCH(,INDIRECT(ADDRESS(ROW(NOTA[TANGGAL]),COLUMN(NOTA[TANGGAL]))&amp;":"&amp;ADDRESS(ROW(),COLUMN(NOTA[TANGGAL]))),-1)))</f>
        <v>45310</v>
      </c>
      <c r="AJ596" s="55" t="str">
        <f ca="1">IF(NOTA[[#This Row],[NAMA BARANG]]="","",INDEX(NOTA[SUPPLIER],MATCH(,INDIRECT(ADDRESS(ROW(NOTA[ID]),COLUMN(NOTA[ID]))&amp;":"&amp;ADDRESS(ROW(),COLUMN(NOTA[ID]))),-1)))</f>
        <v>GUNINDO</v>
      </c>
      <c r="AK596" s="55" t="str">
        <f ca="1">IF(NOTA[[#This Row],[ID_H]]="","",IF(NOTA[[#This Row],[FAKTUR]]="",INDIRECT(ADDRESS(ROW()-1,COLUMN())),NOTA[[#This Row],[FAKTUR]]))</f>
        <v>UNTANA</v>
      </c>
      <c r="AL596" s="56" t="str">
        <f ca="1">IF(NOTA[[#This Row],[ID]]="","",COUNTIF(NOTA[ID_H],NOTA[[#This Row],[ID_H]]))</f>
        <v/>
      </c>
      <c r="AM596" s="56">
        <f ca="1">IF(NOTA[[#This Row],[TGL.NOTA]]="",IF(NOTA[[#This Row],[SUPPLIER_H]]="","",AM595),MONTH(NOTA[[#This Row],[TGL.NOTA]]))</f>
        <v>1</v>
      </c>
      <c r="AN596" s="56" t="str">
        <f>LOWER(SUBSTITUTE(SUBSTITUTE(SUBSTITUTE(SUBSTITUTE(SUBSTITUTE(SUBSTITUTE(SUBSTITUTE(SUBSTITUTE(SUBSTITUTE(NOTA[NAMA BARANG]," ",),".",""),"-",""),"(",""),")",""),",",""),"/",""),"""",""),"+",""))</f>
        <v>wberaser803</v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>
        <f>IF(NOTA[[#This Row],[CONCAT1]]="","",MATCH(NOTA[[#This Row],[CONCAT1]],[3]!db[NB NOTA_C],0))</f>
        <v>3065</v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>30 LSN</v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W596" s="56" t="e">
        <f ca="1">IF(NOTA[[#This Row],[ID_H]]="","",MATCH(NOTA[[#This Row],[NB NOTA_C_QTY]],[4]!db[NB NOTA_C_QTY+F],0))</f>
        <v>#REF!</v>
      </c>
      <c r="AX596" s="68">
        <f ca="1">IF(NOTA[[#This Row],[NB NOTA_C_QTY]]="","",ROW()-2)</f>
        <v>594</v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>
        <f ca="1">IF(NOTA[[#This Row],[NAMA BARANG]]="","",INDEX(NOTA[ID],MATCH(,INDIRECT(ADDRESS(ROW(NOTA[ID]),COLUMN(NOTA[ID]))&amp;":"&amp;ADDRESS(ROW(),COLUMN(NOTA[ID]))),-1)))</f>
        <v>96</v>
      </c>
      <c r="E597" s="57"/>
      <c r="F597" s="37"/>
      <c r="G597" s="37"/>
      <c r="H597" s="47"/>
      <c r="I597" s="58"/>
      <c r="J597" s="60"/>
      <c r="K597" s="58">
        <v>0</v>
      </c>
      <c r="L597" s="37" t="s">
        <v>697</v>
      </c>
      <c r="M597" s="61">
        <v>2</v>
      </c>
      <c r="N597" s="56">
        <v>60</v>
      </c>
      <c r="O597" s="37" t="s">
        <v>111</v>
      </c>
      <c r="P597" s="55">
        <v>70000</v>
      </c>
      <c r="Q597" s="62"/>
      <c r="R597" s="48"/>
      <c r="S597" s="64">
        <v>0.05</v>
      </c>
      <c r="T597" s="65">
        <v>0.1</v>
      </c>
      <c r="U597" s="65"/>
      <c r="V597" s="66"/>
      <c r="W597" s="67"/>
      <c r="X597" s="66">
        <f>IF(NOTA[[#This Row],[HARGA/ CTN]]="",NOTA[[#This Row],[JUMLAH_H]],NOTA[[#This Row],[HARGA/ CTN]]*IF(NOTA[[#This Row],[C]]="",0,NOTA[[#This Row],[C]]))</f>
        <v>4200000</v>
      </c>
      <c r="Y597" s="66">
        <f>IF(NOTA[[#This Row],[JUMLAH]]="","",NOTA[[#This Row],[JUMLAH]]*NOTA[[#This Row],[DISC 1]])</f>
        <v>210000</v>
      </c>
      <c r="Z597" s="66">
        <f>IF(NOTA[[#This Row],[JUMLAH]]="","",(NOTA[[#This Row],[JUMLAH]]-NOTA[[#This Row],[DISC 1-]])*NOTA[[#This Row],[DISC 2]])</f>
        <v>399000</v>
      </c>
      <c r="AA597" s="66">
        <f>IF(NOTA[[#This Row],[JUMLAH]]="","",(NOTA[[#This Row],[JUMLAH]]-NOTA[[#This Row],[DISC 1-]]-NOTA[[#This Row],[DISC 2-]])*NOTA[[#This Row],[DISC 3]])</f>
        <v>0</v>
      </c>
      <c r="AB597" s="66">
        <f>IF(NOTA[[#This Row],[JUMLAH]]="","",NOTA[[#This Row],[DISC 1-]]+NOTA[[#This Row],[DISC 2-]]+NOTA[[#This Row],[DISC 3-]])</f>
        <v>609000</v>
      </c>
      <c r="AC597" s="66">
        <f>IF(NOTA[[#This Row],[JUMLAH]]="","",NOTA[[#This Row],[JUMLAH]]-NOTA[[#This Row],[DISC]])</f>
        <v>3591000</v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597" s="66">
        <f>IF(OR(NOTA[[#This Row],[QTY]]="",NOTA[[#This Row],[HARGA SATUAN]]="",),"",NOTA[[#This Row],[QTY]]*NOTA[[#This Row],[HARGA SATUAN]])</f>
        <v>4200000</v>
      </c>
      <c r="AI597" s="60">
        <f ca="1">IF(NOTA[ID_H]="","",INDEX(NOTA[TANGGAL],MATCH(,INDIRECT(ADDRESS(ROW(NOTA[TANGGAL]),COLUMN(NOTA[TANGGAL]))&amp;":"&amp;ADDRESS(ROW(),COLUMN(NOTA[TANGGAL]))),-1)))</f>
        <v>45310</v>
      </c>
      <c r="AJ597" s="55" t="str">
        <f ca="1">IF(NOTA[[#This Row],[NAMA BARANG]]="","",INDEX(NOTA[SUPPLIER],MATCH(,INDIRECT(ADDRESS(ROW(NOTA[ID]),COLUMN(NOTA[ID]))&amp;":"&amp;ADDRESS(ROW(),COLUMN(NOTA[ID]))),-1)))</f>
        <v>GUNINDO</v>
      </c>
      <c r="AK597" s="55" t="str">
        <f ca="1">IF(NOTA[[#This Row],[ID_H]]="","",IF(NOTA[[#This Row],[FAKTUR]]="",INDIRECT(ADDRESS(ROW()-1,COLUMN())),NOTA[[#This Row],[FAKTUR]]))</f>
        <v>UNTANA</v>
      </c>
      <c r="AL597" s="56" t="str">
        <f ca="1">IF(NOTA[[#This Row],[ID]]="","",COUNTIF(NOTA[ID_H],NOTA[[#This Row],[ID_H]]))</f>
        <v/>
      </c>
      <c r="AM597" s="56">
        <f ca="1">IF(NOTA[[#This Row],[TGL.NOTA]]="",IF(NOTA[[#This Row],[SUPPLIER_H]]="","",AM596),MONTH(NOTA[[#This Row],[TGL.NOTA]]))</f>
        <v>1</v>
      </c>
      <c r="AN597" s="56" t="str">
        <f>LOWER(SUBSTITUTE(SUBSTITUTE(SUBSTITUTE(SUBSTITUTE(SUBSTITUTE(SUBSTITUTE(SUBSTITUTE(SUBSTITUTE(SUBSTITUTE(NOTA[NAMA BARANG]," ",),".",""),"-",""),"(",""),")",""),",",""),"/",""),"""",""),"+",""))</f>
        <v>ollgunindo</v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>
        <f>IF(NOTA[[#This Row],[CONCAT1]]="","",MATCH(NOTA[[#This Row],[CONCAT1]],[3]!db[NB NOTA_C],0))</f>
        <v>2181</v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>30 LSN</v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597" s="56" t="e">
        <f ca="1">IF(NOTA[[#This Row],[ID_H]]="","",MATCH(NOTA[[#This Row],[NB NOTA_C_QTY]],[4]!db[NB NOTA_C_QTY+F],0))</f>
        <v>#REF!</v>
      </c>
      <c r="AX597" s="68">
        <f ca="1">IF(NOTA[[#This Row],[NB NOTA_C_QTY]]="","",ROW()-2)</f>
        <v>595</v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>
        <f ca="1">IF(NOTA[[#This Row],[NAMA BARANG]]="","",INDEX(NOTA[ID],MATCH(,INDIRECT(ADDRESS(ROW(NOTA[ID]),COLUMN(NOTA[ID]))&amp;":"&amp;ADDRESS(ROW(),COLUMN(NOTA[ID]))),-1)))</f>
        <v>96</v>
      </c>
      <c r="E598" s="57"/>
      <c r="F598" s="58"/>
      <c r="G598" s="58"/>
      <c r="H598" s="59"/>
      <c r="I598" s="58"/>
      <c r="J598" s="60"/>
      <c r="K598" s="58">
        <v>0</v>
      </c>
      <c r="L598" s="37" t="s">
        <v>698</v>
      </c>
      <c r="M598" s="61">
        <v>1</v>
      </c>
      <c r="N598" s="56">
        <v>30</v>
      </c>
      <c r="O598" s="37" t="s">
        <v>111</v>
      </c>
      <c r="P598" s="55">
        <v>90000</v>
      </c>
      <c r="Q598" s="62"/>
      <c r="R598" s="48"/>
      <c r="S598" s="64">
        <v>0.05</v>
      </c>
      <c r="T598" s="65">
        <v>0.1</v>
      </c>
      <c r="U598" s="65"/>
      <c r="V598" s="66"/>
      <c r="W598" s="67"/>
      <c r="X598" s="66">
        <f>IF(NOTA[[#This Row],[HARGA/ CTN]]="",NOTA[[#This Row],[JUMLAH_H]],NOTA[[#This Row],[HARGA/ CTN]]*IF(NOTA[[#This Row],[C]]="",0,NOTA[[#This Row],[C]]))</f>
        <v>2700000</v>
      </c>
      <c r="Y598" s="66">
        <f>IF(NOTA[[#This Row],[JUMLAH]]="","",NOTA[[#This Row],[JUMLAH]]*NOTA[[#This Row],[DISC 1]])</f>
        <v>135000</v>
      </c>
      <c r="Z598" s="66">
        <f>IF(NOTA[[#This Row],[JUMLAH]]="","",(NOTA[[#This Row],[JUMLAH]]-NOTA[[#This Row],[DISC 1-]])*NOTA[[#This Row],[DISC 2]])</f>
        <v>256500</v>
      </c>
      <c r="AA598" s="66">
        <f>IF(NOTA[[#This Row],[JUMLAH]]="","",(NOTA[[#This Row],[JUMLAH]]-NOTA[[#This Row],[DISC 1-]]-NOTA[[#This Row],[DISC 2-]])*NOTA[[#This Row],[DISC 3]])</f>
        <v>0</v>
      </c>
      <c r="AB598" s="66">
        <f>IF(NOTA[[#This Row],[JUMLAH]]="","",NOTA[[#This Row],[DISC 1-]]+NOTA[[#This Row],[DISC 2-]]+NOTA[[#This Row],[DISC 3-]])</f>
        <v>391500</v>
      </c>
      <c r="AC598" s="66">
        <f>IF(NOTA[[#This Row],[JUMLAH]]="","",NOTA[[#This Row],[JUMLAH]]-NOTA[[#This Row],[DISC]])</f>
        <v>2308500</v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598" s="66">
        <f>IF(OR(NOTA[[#This Row],[QTY]]="",NOTA[[#This Row],[HARGA SATUAN]]="",),"",NOTA[[#This Row],[QTY]]*NOTA[[#This Row],[HARGA SATUAN]])</f>
        <v>2700000</v>
      </c>
      <c r="AI598" s="60">
        <f ca="1">IF(NOTA[ID_H]="","",INDEX(NOTA[TANGGAL],MATCH(,INDIRECT(ADDRESS(ROW(NOTA[TANGGAL]),COLUMN(NOTA[TANGGAL]))&amp;":"&amp;ADDRESS(ROW(),COLUMN(NOTA[TANGGAL]))),-1)))</f>
        <v>45310</v>
      </c>
      <c r="AJ598" s="55" t="str">
        <f ca="1">IF(NOTA[[#This Row],[NAMA BARANG]]="","",INDEX(NOTA[SUPPLIER],MATCH(,INDIRECT(ADDRESS(ROW(NOTA[ID]),COLUMN(NOTA[ID]))&amp;":"&amp;ADDRESS(ROW(),COLUMN(NOTA[ID]))),-1)))</f>
        <v>GUNINDO</v>
      </c>
      <c r="AK598" s="55" t="str">
        <f ca="1">IF(NOTA[[#This Row],[ID_H]]="","",IF(NOTA[[#This Row],[FAKTUR]]="",INDIRECT(ADDRESS(ROW()-1,COLUMN())),NOTA[[#This Row],[FAKTUR]]))</f>
        <v>UNTANA</v>
      </c>
      <c r="AL598" s="56" t="str">
        <f ca="1">IF(NOTA[[#This Row],[ID]]="","",COUNTIF(NOTA[ID_H],NOTA[[#This Row],[ID_H]]))</f>
        <v/>
      </c>
      <c r="AM598" s="56">
        <f ca="1">IF(NOTA[[#This Row],[TGL.NOTA]]="",IF(NOTA[[#This Row],[SUPPLIER_H]]="","",AM597),MONTH(NOTA[[#This Row],[TGL.NOTA]]))</f>
        <v>1</v>
      </c>
      <c r="AN598" s="56" t="str">
        <f>LOWER(SUBSTITUTE(SUBSTITUTE(SUBSTITUTE(SUBSTITUTE(SUBSTITUTE(SUBSTITUTE(SUBSTITUTE(SUBSTITUTE(SUBSTITUTE(NOTA[NAMA BARANG]," ",),".",""),"-",""),"(",""),")",""),",",""),"/",""),"""",""),"+",""))</f>
        <v>gunindofmcoklat</v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>
        <f>IF(NOTA[[#This Row],[CONCAT1]]="","",MATCH(NOTA[[#This Row],[CONCAT1]],[3]!db[NB NOTA_C],0))</f>
        <v>1348</v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>30 LSN</v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W598" s="56" t="e">
        <f ca="1">IF(NOTA[[#This Row],[ID_H]]="","",MATCH(NOTA[[#This Row],[NB NOTA_C_QTY]],[4]!db[NB NOTA_C_QTY+F],0))</f>
        <v>#REF!</v>
      </c>
      <c r="AX598" s="68">
        <f ca="1">IF(NOTA[[#This Row],[NB NOTA_C_QTY]]="","",ROW()-2)</f>
        <v>596</v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>
        <f ca="1">IF(NOTA[[#This Row],[NAMA BARANG]]="","",INDEX(NOTA[ID],MATCH(,INDIRECT(ADDRESS(ROW(NOTA[ID]),COLUMN(NOTA[ID]))&amp;":"&amp;ADDRESS(ROW(),COLUMN(NOTA[ID]))),-1)))</f>
        <v>96</v>
      </c>
      <c r="E599" s="57"/>
      <c r="F599" s="58"/>
      <c r="G599" s="58"/>
      <c r="H599" s="59"/>
      <c r="I599" s="58"/>
      <c r="J599" s="60"/>
      <c r="K599" s="58">
        <v>0</v>
      </c>
      <c r="L599" s="37" t="s">
        <v>699</v>
      </c>
      <c r="M599" s="61">
        <v>1</v>
      </c>
      <c r="N599" s="56">
        <v>60</v>
      </c>
      <c r="O599" s="37" t="s">
        <v>111</v>
      </c>
      <c r="P599" s="55">
        <v>33000</v>
      </c>
      <c r="Q599" s="62"/>
      <c r="R599" s="48"/>
      <c r="S599" s="64">
        <v>0.05</v>
      </c>
      <c r="T599" s="65">
        <v>0.1</v>
      </c>
      <c r="U599" s="65"/>
      <c r="V599" s="66"/>
      <c r="W599" s="67"/>
      <c r="X599" s="66">
        <f>IF(NOTA[[#This Row],[HARGA/ CTN]]="",NOTA[[#This Row],[JUMLAH_H]],NOTA[[#This Row],[HARGA/ CTN]]*IF(NOTA[[#This Row],[C]]="",0,NOTA[[#This Row],[C]]))</f>
        <v>1980000</v>
      </c>
      <c r="Y599" s="66">
        <f>IF(NOTA[[#This Row],[JUMLAH]]="","",NOTA[[#This Row],[JUMLAH]]*NOTA[[#This Row],[DISC 1]])</f>
        <v>99000</v>
      </c>
      <c r="Z599" s="66">
        <f>IF(NOTA[[#This Row],[JUMLAH]]="","",(NOTA[[#This Row],[JUMLAH]]-NOTA[[#This Row],[DISC 1-]])*NOTA[[#This Row],[DISC 2]])</f>
        <v>188100</v>
      </c>
      <c r="AA599" s="66">
        <f>IF(NOTA[[#This Row],[JUMLAH]]="","",(NOTA[[#This Row],[JUMLAH]]-NOTA[[#This Row],[DISC 1-]]-NOTA[[#This Row],[DISC 2-]])*NOTA[[#This Row],[DISC 3]])</f>
        <v>0</v>
      </c>
      <c r="AB599" s="66">
        <f>IF(NOTA[[#This Row],[JUMLAH]]="","",NOTA[[#This Row],[DISC 1-]]+NOTA[[#This Row],[DISC 2-]]+NOTA[[#This Row],[DISC 3-]])</f>
        <v>287100</v>
      </c>
      <c r="AC599" s="66">
        <f>IF(NOTA[[#This Row],[JUMLAH]]="","",NOTA[[#This Row],[JUMLAH]]-NOTA[[#This Row],[DISC]])</f>
        <v>1692900</v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599" s="66">
        <f>IF(OR(NOTA[[#This Row],[QTY]]="",NOTA[[#This Row],[HARGA SATUAN]]="",),"",NOTA[[#This Row],[QTY]]*NOTA[[#This Row],[HARGA SATUAN]])</f>
        <v>1980000</v>
      </c>
      <c r="AI599" s="60">
        <f ca="1">IF(NOTA[ID_H]="","",INDEX(NOTA[TANGGAL],MATCH(,INDIRECT(ADDRESS(ROW(NOTA[TANGGAL]),COLUMN(NOTA[TANGGAL]))&amp;":"&amp;ADDRESS(ROW(),COLUMN(NOTA[TANGGAL]))),-1)))</f>
        <v>45310</v>
      </c>
      <c r="AJ599" s="55" t="str">
        <f ca="1">IF(NOTA[[#This Row],[NAMA BARANG]]="","",INDEX(NOTA[SUPPLIER],MATCH(,INDIRECT(ADDRESS(ROW(NOTA[ID]),COLUMN(NOTA[ID]))&amp;":"&amp;ADDRESS(ROW(),COLUMN(NOTA[ID]))),-1)))</f>
        <v>GUNINDO</v>
      </c>
      <c r="AK599" s="55" t="str">
        <f ca="1">IF(NOTA[[#This Row],[ID_H]]="","",IF(NOTA[[#This Row],[FAKTUR]]="",INDIRECT(ADDRESS(ROW()-1,COLUMN())),NOTA[[#This Row],[FAKTUR]]))</f>
        <v>UNTANA</v>
      </c>
      <c r="AL599" s="56" t="str">
        <f ca="1">IF(NOTA[[#This Row],[ID]]="","",COUNTIF(NOTA[ID_H],NOTA[[#This Row],[ID_H]]))</f>
        <v/>
      </c>
      <c r="AM599" s="56">
        <f ca="1">IF(NOTA[[#This Row],[TGL.NOTA]]="",IF(NOTA[[#This Row],[SUPPLIER_H]]="","",AM598),MONTH(NOTA[[#This Row],[TGL.NOTA]]))</f>
        <v>1</v>
      </c>
      <c r="AN599" s="56" t="str">
        <f>LOWER(SUBSTITUTE(SUBSTITUTE(SUBSTITUTE(SUBSTITUTE(SUBSTITUTE(SUBSTITUTE(SUBSTITUTE(SUBSTITUTE(SUBSTITUTE(NOTA[NAMA BARANG]," ",),".",""),"-",""),"(",""),")",""),",",""),"/",""),"""",""),"+",""))</f>
        <v>cuttersc9aputih</v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>
        <f>IF(NOTA[[#This Row],[CONCAT1]]="","",MATCH(NOTA[[#This Row],[CONCAT1]],[3]!db[NB NOTA_C],0))</f>
        <v>788</v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>60 LSN</v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cuttersc9aputih60lsnuntana</v>
      </c>
      <c r="AW599" s="56" t="e">
        <f ca="1">IF(NOTA[[#This Row],[ID_H]]="","",MATCH(NOTA[[#This Row],[NB NOTA_C_QTY]],[4]!db[NB NOTA_C_QTY+F],0))</f>
        <v>#REF!</v>
      </c>
      <c r="AX599" s="68">
        <f ca="1">IF(NOTA[[#This Row],[NB NOTA_C_QTY]]="","",ROW()-2)</f>
        <v>597</v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96</v>
      </c>
      <c r="E600" s="57"/>
      <c r="F600" s="37"/>
      <c r="G600" s="37"/>
      <c r="H600" s="47"/>
      <c r="I600" s="58"/>
      <c r="J600" s="60"/>
      <c r="K600" s="58">
        <v>0</v>
      </c>
      <c r="L600" s="37" t="s">
        <v>700</v>
      </c>
      <c r="M600" s="61">
        <v>1</v>
      </c>
      <c r="N600" s="56">
        <v>60</v>
      </c>
      <c r="O600" s="37" t="s">
        <v>111</v>
      </c>
      <c r="P600" s="55">
        <v>49200</v>
      </c>
      <c r="Q600" s="42"/>
      <c r="R600" s="63"/>
      <c r="S600" s="64">
        <v>0.05</v>
      </c>
      <c r="T600" s="65">
        <v>0.1</v>
      </c>
      <c r="U600" s="65"/>
      <c r="V600" s="66"/>
      <c r="W600" s="45"/>
      <c r="X600" s="66">
        <f>IF(NOTA[[#This Row],[HARGA/ CTN]]="",NOTA[[#This Row],[JUMLAH_H]],NOTA[[#This Row],[HARGA/ CTN]]*IF(NOTA[[#This Row],[C]]="",0,NOTA[[#This Row],[C]]))</f>
        <v>2952000</v>
      </c>
      <c r="Y600" s="66">
        <f>IF(NOTA[[#This Row],[JUMLAH]]="","",NOTA[[#This Row],[JUMLAH]]*NOTA[[#This Row],[DISC 1]])</f>
        <v>147600</v>
      </c>
      <c r="Z600" s="66">
        <f>IF(NOTA[[#This Row],[JUMLAH]]="","",(NOTA[[#This Row],[JUMLAH]]-NOTA[[#This Row],[DISC 1-]])*NOTA[[#This Row],[DISC 2]])</f>
        <v>280440</v>
      </c>
      <c r="AA600" s="66">
        <f>IF(NOTA[[#This Row],[JUMLAH]]="","",(NOTA[[#This Row],[JUMLAH]]-NOTA[[#This Row],[DISC 1-]]-NOTA[[#This Row],[DISC 2-]])*NOTA[[#This Row],[DISC 3]])</f>
        <v>0</v>
      </c>
      <c r="AB600" s="66">
        <f>IF(NOTA[[#This Row],[JUMLAH]]="","",NOTA[[#This Row],[DISC 1-]]+NOTA[[#This Row],[DISC 2-]]+NOTA[[#This Row],[DISC 3-]])</f>
        <v>428040</v>
      </c>
      <c r="AC600" s="66">
        <f>IF(NOTA[[#This Row],[JUMLAH]]="","",NOTA[[#This Row],[JUMLAH]]-NOTA[[#This Row],[DISC]])</f>
        <v>2523960</v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00" s="66">
        <f>IF(OR(NOTA[[#This Row],[QTY]]="",NOTA[[#This Row],[HARGA SATUAN]]="",),"",NOTA[[#This Row],[QTY]]*NOTA[[#This Row],[HARGA SATUAN]])</f>
        <v>2952000</v>
      </c>
      <c r="AI600" s="60">
        <f ca="1">IF(NOTA[ID_H]="","",INDEX(NOTA[TANGGAL],MATCH(,INDIRECT(ADDRESS(ROW(NOTA[TANGGAL]),COLUMN(NOTA[TANGGAL]))&amp;":"&amp;ADDRESS(ROW(),COLUMN(NOTA[TANGGAL]))),-1)))</f>
        <v>45310</v>
      </c>
      <c r="AJ600" s="55" t="str">
        <f ca="1">IF(NOTA[[#This Row],[NAMA BARANG]]="","",INDEX(NOTA[SUPPLIER],MATCH(,INDIRECT(ADDRESS(ROW(NOTA[ID]),COLUMN(NOTA[ID]))&amp;":"&amp;ADDRESS(ROW(),COLUMN(NOTA[ID]))),-1)))</f>
        <v>GUNINDO</v>
      </c>
      <c r="AK600" s="55" t="str">
        <f ca="1">IF(NOTA[[#This Row],[ID_H]]="","",IF(NOTA[[#This Row],[FAKTUR]]="",INDIRECT(ADDRESS(ROW()-1,COLUMN())),NOTA[[#This Row],[FAKTUR]]))</f>
        <v>UNTANA</v>
      </c>
      <c r="AL600" s="56" t="str">
        <f ca="1">IF(NOTA[[#This Row],[ID]]="","",COUNTIF(NOTA[ID_H],NOTA[[#This Row],[ID_H]]))</f>
        <v/>
      </c>
      <c r="AM600" s="56">
        <f ca="1">IF(NOTA[[#This Row],[TGL.NOTA]]="",IF(NOTA[[#This Row],[SUPPLIER_H]]="","",AM599),MONTH(NOTA[[#This Row],[TGL.NOTA]]))</f>
        <v>1</v>
      </c>
      <c r="AN600" s="56" t="str">
        <f>LOWER(SUBSTITUTE(SUBSTITUTE(SUBSTITUTE(SUBSTITUTE(SUBSTITUTE(SUBSTITUTE(SUBSTITUTE(SUBSTITUTE(SUBSTITUTE(NOTA[NAMA BARANG]," ",),".",""),"-",""),"(",""),")",""),",",""),"/",""),"""",""),"+",""))</f>
        <v>ossgunindo</v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>
        <f>IF(NOTA[[#This Row],[CONCAT1]]="","",MATCH(NOTA[[#This Row],[CONCAT1]],[3]!db[NB NOTA_C],0))</f>
        <v>2198</v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>60 LSN</v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600" s="56" t="e">
        <f ca="1">IF(NOTA[[#This Row],[ID_H]]="","",MATCH(NOTA[[#This Row],[NB NOTA_C_QTY]],[4]!db[NB NOTA_C_QTY+F],0))</f>
        <v>#REF!</v>
      </c>
      <c r="AX600" s="68">
        <f ca="1">IF(NOTA[[#This Row],[NB NOTA_C_QTY]]="","",ROW()-2)</f>
        <v>598</v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96</v>
      </c>
      <c r="E601" s="57"/>
      <c r="F601" s="58"/>
      <c r="G601" s="58"/>
      <c r="H601" s="59"/>
      <c r="I601" s="58"/>
      <c r="J601" s="60"/>
      <c r="K601" s="58">
        <v>0</v>
      </c>
      <c r="L601" s="37" t="s">
        <v>701</v>
      </c>
      <c r="M601" s="61">
        <v>1</v>
      </c>
      <c r="N601" s="38">
        <v>20</v>
      </c>
      <c r="O601" s="37" t="s">
        <v>111</v>
      </c>
      <c r="P601" s="55">
        <v>120000</v>
      </c>
      <c r="Q601" s="42"/>
      <c r="R601" s="63"/>
      <c r="S601" s="64">
        <v>0.05</v>
      </c>
      <c r="T601" s="65">
        <v>0.1</v>
      </c>
      <c r="U601" s="65"/>
      <c r="V601" s="66"/>
      <c r="W601" s="45"/>
      <c r="X601" s="66">
        <f>IF(NOTA[[#This Row],[HARGA/ CTN]]="",NOTA[[#This Row],[JUMLAH_H]],NOTA[[#This Row],[HARGA/ CTN]]*IF(NOTA[[#This Row],[C]]="",0,NOTA[[#This Row],[C]]))</f>
        <v>2400000</v>
      </c>
      <c r="Y601" s="66">
        <f>IF(NOTA[[#This Row],[JUMLAH]]="","",NOTA[[#This Row],[JUMLAH]]*NOTA[[#This Row],[DISC 1]])</f>
        <v>120000</v>
      </c>
      <c r="Z601" s="66">
        <f>IF(NOTA[[#This Row],[JUMLAH]]="","",(NOTA[[#This Row],[JUMLAH]]-NOTA[[#This Row],[DISC 1-]])*NOTA[[#This Row],[DISC 2]])</f>
        <v>228000</v>
      </c>
      <c r="AA601" s="66">
        <f>IF(NOTA[[#This Row],[JUMLAH]]="","",(NOTA[[#This Row],[JUMLAH]]-NOTA[[#This Row],[DISC 1-]]-NOTA[[#This Row],[DISC 2-]])*NOTA[[#This Row],[DISC 3]])</f>
        <v>0</v>
      </c>
      <c r="AB601" s="66">
        <f>IF(NOTA[[#This Row],[JUMLAH]]="","",NOTA[[#This Row],[DISC 1-]]+NOTA[[#This Row],[DISC 2-]]+NOTA[[#This Row],[DISC 3-]])</f>
        <v>348000</v>
      </c>
      <c r="AC601" s="66">
        <f>IF(NOTA[[#This Row],[JUMLAH]]="","",NOTA[[#This Row],[JUMLAH]]-NOTA[[#This Row],[DISC]])</f>
        <v>2052000</v>
      </c>
      <c r="AD601" s="66"/>
      <c r="AE6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3272940</v>
      </c>
      <c r="AF6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19299060</v>
      </c>
      <c r="AG601" s="5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601" s="66">
        <f>IF(OR(NOTA[[#This Row],[QTY]]="",NOTA[[#This Row],[HARGA SATUAN]]="",),"",NOTA[[#This Row],[QTY]]*NOTA[[#This Row],[HARGA SATUAN]])</f>
        <v>2400000</v>
      </c>
      <c r="AI601" s="60">
        <f ca="1">IF(NOTA[ID_H]="","",INDEX(NOTA[TANGGAL],MATCH(,INDIRECT(ADDRESS(ROW(NOTA[TANGGAL]),COLUMN(NOTA[TANGGAL]))&amp;":"&amp;ADDRESS(ROW(),COLUMN(NOTA[TANGGAL]))),-1)))</f>
        <v>45310</v>
      </c>
      <c r="AJ601" s="55" t="str">
        <f ca="1">IF(NOTA[[#This Row],[NAMA BARANG]]="","",INDEX(NOTA[SUPPLIER],MATCH(,INDIRECT(ADDRESS(ROW(NOTA[ID]),COLUMN(NOTA[ID]))&amp;":"&amp;ADDRESS(ROW(),COLUMN(NOTA[ID]))),-1)))</f>
        <v>GUNINDO</v>
      </c>
      <c r="AK601" s="55" t="str">
        <f ca="1">IF(NOTA[[#This Row],[ID_H]]="","",IF(NOTA[[#This Row],[FAKTUR]]="",INDIRECT(ADDRESS(ROW()-1,COLUMN())),NOTA[[#This Row],[FAKTUR]]))</f>
        <v>UNTANA</v>
      </c>
      <c r="AL601" s="56" t="str">
        <f ca="1">IF(NOTA[[#This Row],[ID]]="","",COUNTIF(NOTA[ID_H],NOTA[[#This Row],[ID_H]]))</f>
        <v/>
      </c>
      <c r="AM601" s="56">
        <f ca="1">IF(NOTA[[#This Row],[TGL.NOTA]]="",IF(NOTA[[#This Row],[SUPPLIER_H]]="","",AM600),MONTH(NOTA[[#This Row],[TGL.NOTA]]))</f>
        <v>1</v>
      </c>
      <c r="AN601" s="56" t="str">
        <f>LOWER(SUBSTITUTE(SUBSTITUTE(SUBSTITUTE(SUBSTITUTE(SUBSTITUTE(SUBSTITUTE(SUBSTITUTE(SUBSTITUTE(SUBSTITUTE(NOTA[NAMA BARANG]," ",),".",""),"-",""),"(",""),")",""),",",""),"/",""),"""",""),"+",""))</f>
        <v>gunindoflcoklat</v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>
        <f>IF(NOTA[[#This Row],[CONCAT1]]="","",MATCH(NOTA[[#This Row],[CONCAT1]],[3]!db[NB NOTA_C],0))</f>
        <v>1346</v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>20 LSN</v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W601" s="56" t="e">
        <f ca="1">IF(NOTA[[#This Row],[ID_H]]="","",MATCH(NOTA[[#This Row],[NB NOTA_C_QTY]],[4]!db[NB NOTA_C_QTY+F],0))</f>
        <v>#REF!</v>
      </c>
      <c r="AX601" s="68">
        <f ca="1">IF(NOTA[[#This Row],[NB NOTA_C_QTY]]="","",ROW()-2)</f>
        <v>599</v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37"/>
      <c r="M602" s="61"/>
      <c r="N602" s="56"/>
      <c r="O602" s="37"/>
      <c r="P602" s="55"/>
      <c r="Q602" s="42"/>
      <c r="R602" s="63"/>
      <c r="S602" s="64"/>
      <c r="T602" s="65"/>
      <c r="U602" s="65"/>
      <c r="V602" s="66"/>
      <c r="W602" s="45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55" t="str">
        <f ca="1">IF(NOTA[[#This Row],[NAMA BARANG]]="","",INDEX(NOTA[SUPPLIER],MATCH(,INDIRECT(ADDRESS(ROW(NOTA[ID]),COLUMN(NOTA[ID]))&amp;":"&amp;ADDRESS(ROW(),COLUMN(NOTA[ID]))),-1)))</f>
        <v/>
      </c>
      <c r="AK602" s="55" t="str">
        <f ca="1">IF(NOTA[[#This Row],[ID_H]]="","",IF(NOTA[[#This Row],[FAKTUR]]="",INDIRECT(ADDRESS(ROW()-1,COLUMN())),NOTA[[#This Row],[FAKTUR]]))</f>
        <v/>
      </c>
      <c r="AL602" s="56" t="str">
        <f ca="1">IF(NOTA[[#This Row],[ID]]="","",COUNTIF(NOTA[ID_H],NOTA[[#This Row],[ID_H]]))</f>
        <v/>
      </c>
      <c r="AM602" s="56" t="str">
        <f ca="1">IF(NOTA[[#This Row],[TGL.NOTA]]="",IF(NOTA[[#This Row],[SUPPLIER_H]]="","",AM601),MONTH(NOTA[[#This Row],[TGL.NOTA]]))</f>
        <v/>
      </c>
      <c r="AN602" s="56" t="str">
        <f>LOWER(SUBSTITUTE(SUBSTITUTE(SUBSTITUTE(SUBSTITUTE(SUBSTITUTE(SUBSTITUTE(SUBSTITUTE(SUBSTITUTE(SUBSTITUTE(NOTA[NAMA BARANG]," ",),".",""),"-",""),"(",""),")",""),",",""),"/",""),"""",""),"+",""))</f>
        <v/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 t="str">
        <f>IF(NOTA[[#This Row],[CONCAT1]]="","",MATCH(NOTA[[#This Row],[CONCAT1]],[3]!db[NB NOTA_C],0))</f>
        <v/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/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56" t="str">
        <f ca="1">IF(NOTA[[#This Row],[ID_H]]="","",MATCH(NOTA[[#This Row],[NB NOTA_C_QTY]],[4]!db[NB NOTA_C_QTY+F],0))</f>
        <v/>
      </c>
      <c r="AX602" s="68" t="str">
        <f ca="1">IF(NOTA[[#This Row],[NB NOTA_C_QTY]]="","",ROW()-2)</f>
        <v/>
      </c>
    </row>
    <row r="603" spans="1:50" s="38" customFormat="1" ht="20.100000000000001" customHeight="1" x14ac:dyDescent="0.25">
      <c r="A603" s="55">
        <f ca="1">IF(INDIRECT(ADDRESS(ROW()-1,COLUMN(NOTA[[#Headers],[ID]])))="ID",1,IF(NOTA[[#This Row],[FAKTUR]]="","",COUNT(INDIRECT(ADDRESS(ROW(NOTA[ID]),COLUMN(NOTA[ID]))&amp;":"&amp;ADDRESS(ROW()-1,COLUMN(NOTA[ID]))))+1))</f>
        <v>97</v>
      </c>
      <c r="B60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PPW_1901_I24-2</v>
      </c>
      <c r="C603" s="56" t="e">
        <f ca="1">IF(NOTA[[#This Row],[ID_P]]="","",MATCH(NOTA[[#This Row],[ID_P]],[1]!B_MSK[N_ID],0))</f>
        <v>#REF!</v>
      </c>
      <c r="D603" s="56">
        <f ca="1">IF(NOTA[[#This Row],[NAMA BARANG]]="","",INDEX(NOTA[ID],MATCH(,INDIRECT(ADDRESS(ROW(NOTA[ID]),COLUMN(NOTA[ID]))&amp;":"&amp;ADDRESS(ROW(),COLUMN(NOTA[ID]))),-1)))</f>
        <v>97</v>
      </c>
      <c r="E603" s="70">
        <v>45310</v>
      </c>
      <c r="F603" s="37" t="s">
        <v>367</v>
      </c>
      <c r="G603" s="37" t="s">
        <v>110</v>
      </c>
      <c r="H603" s="47" t="s">
        <v>702</v>
      </c>
      <c r="I603" s="71"/>
      <c r="J603" s="73">
        <v>45307</v>
      </c>
      <c r="K603" s="71">
        <v>0</v>
      </c>
      <c r="L603" s="37" t="s">
        <v>703</v>
      </c>
      <c r="M603" s="74">
        <v>1</v>
      </c>
      <c r="N603" s="75">
        <v>16</v>
      </c>
      <c r="O603" s="37" t="s">
        <v>111</v>
      </c>
      <c r="P603" s="76">
        <v>140880</v>
      </c>
      <c r="Q603" s="77"/>
      <c r="R603" s="78"/>
      <c r="S603" s="79">
        <v>0.2</v>
      </c>
      <c r="T603" s="80">
        <v>0.04</v>
      </c>
      <c r="U603" s="80"/>
      <c r="V603" s="81"/>
      <c r="W603" s="82"/>
      <c r="X603" s="66">
        <f>IF(NOTA[[#This Row],[HARGA/ CTN]]="",NOTA[[#This Row],[JUMLAH_H]],NOTA[[#This Row],[HARGA/ CTN]]*IF(NOTA[[#This Row],[C]]="",0,NOTA[[#This Row],[C]]))</f>
        <v>2254080</v>
      </c>
      <c r="Y603" s="66">
        <f>IF(NOTA[[#This Row],[JUMLAH]]="","",NOTA[[#This Row],[JUMLAH]]*NOTA[[#This Row],[DISC 1]])</f>
        <v>450816</v>
      </c>
      <c r="Z603" s="66">
        <f>IF(NOTA[[#This Row],[JUMLAH]]="","",(NOTA[[#This Row],[JUMLAH]]-NOTA[[#This Row],[DISC 1-]])*NOTA[[#This Row],[DISC 2]])</f>
        <v>72130.559999999998</v>
      </c>
      <c r="AA603" s="66">
        <f>IF(NOTA[[#This Row],[JUMLAH]]="","",(NOTA[[#This Row],[JUMLAH]]-NOTA[[#This Row],[DISC 1-]]-NOTA[[#This Row],[DISC 2-]])*NOTA[[#This Row],[DISC 3]])</f>
        <v>0</v>
      </c>
      <c r="AB603" s="66">
        <f>IF(NOTA[[#This Row],[JUMLAH]]="","",NOTA[[#This Row],[DISC 1-]]+NOTA[[#This Row],[DISC 2-]]+NOTA[[#This Row],[DISC 3-]])</f>
        <v>522946.56</v>
      </c>
      <c r="AC603" s="66">
        <f>IF(NOTA[[#This Row],[JUMLAH]]="","",NOTA[[#This Row],[JUMLAH]]-NOTA[[#This Row],[DISC]])</f>
        <v>1731133.4399999999</v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>
        <f>IF(NOTA[[#This Row],[NAMA BARANG]]="","",IF(NOTA[[#This Row],[JUMLAH_H]]="",NOTA[[#This Row],[HARGA/ CTN]],NOTA[[#This Row],[QTY]]*NOTA[[#This Row],[HARGA SATUAN]]/IF(ISNUMBER(NOTA[[#This Row],[C]]),NOTA[[#This Row],[C]],1)))</f>
        <v>2254080</v>
      </c>
      <c r="AH603" s="66">
        <f>IF(OR(NOTA[[#This Row],[QTY]]="",NOTA[[#This Row],[HARGA SATUAN]]="",),"",NOTA[[#This Row],[QTY]]*NOTA[[#This Row],[HARGA SATUAN]])</f>
        <v>2254080</v>
      </c>
      <c r="AI603" s="60">
        <f ca="1">IF(NOTA[ID_H]="","",INDEX(NOTA[TANGGAL],MATCH(,INDIRECT(ADDRESS(ROW(NOTA[TANGGAL]),COLUMN(NOTA[TANGGAL]))&amp;":"&amp;ADDRESS(ROW(),COLUMN(NOTA[TANGGAL]))),-1)))</f>
        <v>45310</v>
      </c>
      <c r="AJ603" s="55" t="str">
        <f ca="1">IF(NOTA[[#This Row],[NAMA BARANG]]="","",INDEX(NOTA[SUPPLIER],MATCH(,INDIRECT(ADDRESS(ROW(NOTA[ID]),COLUMN(NOTA[ID]))&amp;":"&amp;ADDRESS(ROW(),COLUMN(NOTA[ID]))),-1)))</f>
        <v>PPW</v>
      </c>
      <c r="AK603" s="55" t="str">
        <f ca="1">IF(NOTA[[#This Row],[ID_H]]="","",IF(NOTA[[#This Row],[FAKTUR]]="",INDIRECT(ADDRESS(ROW()-1,COLUMN())),NOTA[[#This Row],[FAKTUR]]))</f>
        <v>UNTANA</v>
      </c>
      <c r="AL603" s="56">
        <f ca="1">IF(NOTA[[#This Row],[ID]]="","",COUNTIF(NOTA[ID_H],NOTA[[#This Row],[ID_H]]))</f>
        <v>2</v>
      </c>
      <c r="AM603" s="56">
        <f>IF(NOTA[[#This Row],[TGL.NOTA]]="",IF(NOTA[[#This Row],[SUPPLIER_H]]="","",AM602),MONTH(NOTA[[#This Row],[TGL.NOTA]]))</f>
        <v>1</v>
      </c>
      <c r="AN603" s="56" t="str">
        <f>LOWER(SUBSTITUTE(SUBSTITUTE(SUBSTITUTE(SUBSTITUTE(SUBSTITUTE(SUBSTITUTE(SUBSTITUTE(SUBSTITUTE(SUBSTITUTE(NOTA[NAMA BARANG]," ",),".",""),"-",""),"(",""),")",""),",",""),"/",""),"""",""),"+",""))</f>
        <v>segitigabtno8</v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segitigabtno822540800.20.04</v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segitigabtno822540800.20.04</v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>PPWUNTANA0248/HW/I/2445307segitigabtno8</v>
      </c>
      <c r="AR603" s="56" t="e">
        <f>IF(NOTA[[#This Row],[CONCAT4]]="","",_xlfn.IFNA(MATCH(NOTA[[#This Row],[CONCAT4]],[2]!RAW[CONCAT_H],0),FALSE))</f>
        <v>#REF!</v>
      </c>
      <c r="AS603" s="56">
        <f>IF(NOTA[[#This Row],[CONCAT1]]="","",MATCH(NOTA[[#This Row],[CONCAT1]],[3]!db[NB NOTA_C],0))</f>
        <v>2769</v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>16 LSN</v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segitigabtno816lsnuntana</v>
      </c>
      <c r="AW603" s="56" t="e">
        <f ca="1">IF(NOTA[[#This Row],[ID_H]]="","",MATCH(NOTA[[#This Row],[NB NOTA_C_QTY]],[4]!db[NB NOTA_C_QTY+F],0))</f>
        <v>#REF!</v>
      </c>
      <c r="AX603" s="68">
        <f ca="1">IF(NOTA[[#This Row],[NB NOTA_C_QTY]]="","",ROW()-2)</f>
        <v>601</v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>
        <f ca="1">IF(NOTA[[#This Row],[NAMA BARANG]]="","",INDEX(NOTA[ID],MATCH(,INDIRECT(ADDRESS(ROW(NOTA[ID]),COLUMN(NOTA[ID]))&amp;":"&amp;ADDRESS(ROW(),COLUMN(NOTA[ID]))),-1)))</f>
        <v>97</v>
      </c>
      <c r="E604" s="57"/>
      <c r="F604" s="58"/>
      <c r="G604" s="58"/>
      <c r="H604" s="59"/>
      <c r="I604" s="58"/>
      <c r="J604" s="60"/>
      <c r="K604" s="58">
        <v>0</v>
      </c>
      <c r="L604" s="37" t="s">
        <v>704</v>
      </c>
      <c r="M604" s="61">
        <v>1</v>
      </c>
      <c r="N604" s="56">
        <v>16</v>
      </c>
      <c r="O604" s="37" t="s">
        <v>111</v>
      </c>
      <c r="P604" s="55">
        <v>179780</v>
      </c>
      <c r="Q604" s="62"/>
      <c r="R604" s="63"/>
      <c r="S604" s="64">
        <v>0.2</v>
      </c>
      <c r="T604" s="65">
        <v>0.04</v>
      </c>
      <c r="U604" s="65"/>
      <c r="V604" s="66"/>
      <c r="W604" s="67"/>
      <c r="X604" s="66">
        <f>IF(NOTA[[#This Row],[HARGA/ CTN]]="",NOTA[[#This Row],[JUMLAH_H]],NOTA[[#This Row],[HARGA/ CTN]]*IF(NOTA[[#This Row],[C]]="",0,NOTA[[#This Row],[C]]))</f>
        <v>2876480</v>
      </c>
      <c r="Y604" s="66">
        <f>IF(NOTA[[#This Row],[JUMLAH]]="","",NOTA[[#This Row],[JUMLAH]]*NOTA[[#This Row],[DISC 1]])</f>
        <v>575296</v>
      </c>
      <c r="Z604" s="66">
        <f>IF(NOTA[[#This Row],[JUMLAH]]="","",(NOTA[[#This Row],[JUMLAH]]-NOTA[[#This Row],[DISC 1-]])*NOTA[[#This Row],[DISC 2]])</f>
        <v>92047.360000000001</v>
      </c>
      <c r="AA604" s="66">
        <f>IF(NOTA[[#This Row],[JUMLAH]]="","",(NOTA[[#This Row],[JUMLAH]]-NOTA[[#This Row],[DISC 1-]]-NOTA[[#This Row],[DISC 2-]])*NOTA[[#This Row],[DISC 3]])</f>
        <v>0</v>
      </c>
      <c r="AB604" s="66">
        <f>IF(NOTA[[#This Row],[JUMLAH]]="","",NOTA[[#This Row],[DISC 1-]]+NOTA[[#This Row],[DISC 2-]]+NOTA[[#This Row],[DISC 3-]])</f>
        <v>667343.35999999999</v>
      </c>
      <c r="AC604" s="66">
        <f>IF(NOTA[[#This Row],[JUMLAH]]="","",NOTA[[#This Row],[JUMLAH]]-NOTA[[#This Row],[DISC]])</f>
        <v>2209136.6400000001</v>
      </c>
      <c r="AD604" s="66"/>
      <c r="AE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1190289.9199999999</v>
      </c>
      <c r="AF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3940270.0800000001</v>
      </c>
      <c r="AG604" s="55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H604" s="66">
        <f>IF(OR(NOTA[[#This Row],[QTY]]="",NOTA[[#This Row],[HARGA SATUAN]]="",),"",NOTA[[#This Row],[QTY]]*NOTA[[#This Row],[HARGA SATUAN]])</f>
        <v>2876480</v>
      </c>
      <c r="AI604" s="60">
        <f ca="1">IF(NOTA[ID_H]="","",INDEX(NOTA[TANGGAL],MATCH(,INDIRECT(ADDRESS(ROW(NOTA[TANGGAL]),COLUMN(NOTA[TANGGAL]))&amp;":"&amp;ADDRESS(ROW(),COLUMN(NOTA[TANGGAL]))),-1)))</f>
        <v>45310</v>
      </c>
      <c r="AJ604" s="55" t="str">
        <f ca="1">IF(NOTA[[#This Row],[NAMA BARANG]]="","",INDEX(NOTA[SUPPLIER],MATCH(,INDIRECT(ADDRESS(ROW(NOTA[ID]),COLUMN(NOTA[ID]))&amp;":"&amp;ADDRESS(ROW(),COLUMN(NOTA[ID]))),-1)))</f>
        <v>PPW</v>
      </c>
      <c r="AK604" s="55" t="str">
        <f ca="1">IF(NOTA[[#This Row],[ID_H]]="","",IF(NOTA[[#This Row],[FAKTUR]]="",INDIRECT(ADDRESS(ROW()-1,COLUMN())),NOTA[[#This Row],[FAKTUR]]))</f>
        <v>UNTANA</v>
      </c>
      <c r="AL604" s="56" t="str">
        <f ca="1">IF(NOTA[[#This Row],[ID]]="","",COUNTIF(NOTA[ID_H],NOTA[[#This Row],[ID_H]]))</f>
        <v/>
      </c>
      <c r="AM604" s="56">
        <f ca="1">IF(NOTA[[#This Row],[TGL.NOTA]]="",IF(NOTA[[#This Row],[SUPPLIER_H]]="","",AM603),MONTH(NOTA[[#This Row],[TGL.NOTA]]))</f>
        <v>1</v>
      </c>
      <c r="AN604" s="56" t="str">
        <f>LOWER(SUBSTITUTE(SUBSTITUTE(SUBSTITUTE(SUBSTITUTE(SUBSTITUTE(SUBSTITUTE(SUBSTITUTE(SUBSTITUTE(SUBSTITUTE(NOTA[NAMA BARANG]," ",),".",""),"-",""),"(",""),")",""),",",""),"/",""),"""",""),"+",""))</f>
        <v>segitigano10</v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segitigano1028764800.20.04</v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segitigano1028764800.20.04</v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 t="e">
        <f>IF(NOTA[[#This Row],[CONCAT1]]="","",MATCH(NOTA[[#This Row],[CONCAT1]],[3]!db[NB NOTA_C],0))</f>
        <v>#N/A</v>
      </c>
      <c r="AT604" s="56" t="str">
        <f>IF(NOTA[[#This Row],[QTY/ CTN]]="","",TRUE)</f>
        <v/>
      </c>
      <c r="AU604" s="56" t="e">
        <f ca="1">IF(NOTA[[#This Row],[ID_H]]="","",IF(NOTA[[#This Row],[Column3]]=TRUE,NOTA[[#This Row],[QTY/ CTN]],INDEX([3]!db[QTY/ CTN],NOTA[[#This Row],[//DB]])))</f>
        <v>#N/A</v>
      </c>
      <c r="AV604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04" s="56" t="e">
        <f ca="1">IF(NOTA[[#This Row],[ID_H]]="","",MATCH(NOTA[[#This Row],[NB NOTA_C_QTY]],[4]!db[NB NOTA_C_QTY+F],0))</f>
        <v>#N/A</v>
      </c>
      <c r="AX604" s="68" t="e">
        <f ca="1">IF(NOTA[[#This Row],[NB NOTA_C_QTY]]="","",ROW()-2)</f>
        <v>#N/A</v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37"/>
      <c r="G605" s="37"/>
      <c r="H605" s="47"/>
      <c r="I605" s="58"/>
      <c r="J605" s="60"/>
      <c r="K605" s="58"/>
      <c r="L605" s="37"/>
      <c r="M605" s="61"/>
      <c r="N605" s="56"/>
      <c r="O605" s="37"/>
      <c r="P605" s="55"/>
      <c r="Q605" s="62"/>
      <c r="R605" s="48"/>
      <c r="S605" s="64"/>
      <c r="T605" s="65"/>
      <c r="U605" s="65"/>
      <c r="V605" s="66"/>
      <c r="W605" s="45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55" t="str">
        <f ca="1">IF(NOTA[[#This Row],[NAMA BARANG]]="","",INDEX(NOTA[SUPPLIER],MATCH(,INDIRECT(ADDRESS(ROW(NOTA[ID]),COLUMN(NOTA[ID]))&amp;":"&amp;ADDRESS(ROW(),COLUMN(NOTA[ID]))),-1)))</f>
        <v/>
      </c>
      <c r="AK605" s="55" t="str">
        <f ca="1">IF(NOTA[[#This Row],[ID_H]]="","",IF(NOTA[[#This Row],[FAKTUR]]="",INDIRECT(ADDRESS(ROW()-1,COLUMN())),NOTA[[#This Row],[FAKTUR]]))</f>
        <v/>
      </c>
      <c r="AL605" s="56" t="str">
        <f ca="1">IF(NOTA[[#This Row],[ID]]="","",COUNTIF(NOTA[ID_H],NOTA[[#This Row],[ID_H]]))</f>
        <v/>
      </c>
      <c r="AM605" s="56" t="str">
        <f ca="1">IF(NOTA[[#This Row],[TGL.NOTA]]="",IF(NOTA[[#This Row],[SUPPLIER_H]]="","",AM604),MONTH(NOTA[[#This Row],[TGL.NOTA]]))</f>
        <v/>
      </c>
      <c r="AN605" s="56" t="str">
        <f>LOWER(SUBSTITUTE(SUBSTITUTE(SUBSTITUTE(SUBSTITUTE(SUBSTITUTE(SUBSTITUTE(SUBSTITUTE(SUBSTITUTE(SUBSTITUTE(NOTA[NAMA BARANG]," ",),".",""),"-",""),"(",""),")",""),",",""),"/",""),"""",""),"+",""))</f>
        <v/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 t="str">
        <f>IF(NOTA[[#This Row],[CONCAT1]]="","",MATCH(NOTA[[#This Row],[CONCAT1]],[3]!db[NB NOTA_C],0))</f>
        <v/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CTN]],INDEX([3]!db[QTY/ CTN],NOTA[[#This Row],[//DB]])))</f>
        <v/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56" t="str">
        <f ca="1">IF(NOTA[[#This Row],[ID_H]]="","",MATCH(NOTA[[#This Row],[NB NOTA_C_QTY]],[4]!db[NB NOTA_C_QTY+F],0))</f>
        <v/>
      </c>
      <c r="AX605" s="68" t="str">
        <f ca="1">IF(NOTA[[#This Row],[NB NOTA_C_QTY]]="","",ROW()-2)</f>
        <v/>
      </c>
    </row>
    <row r="606" spans="1:50" s="38" customFormat="1" ht="20.100000000000001" customHeight="1" x14ac:dyDescent="0.25">
      <c r="A606" s="55">
        <f ca="1">IF(INDIRECT(ADDRESS(ROW()-1,COLUMN(NOTA[[#Headers],[ID]])))="ID",1,IF(NOTA[[#This Row],[FAKTUR]]="","",COUNT(INDIRECT(ADDRESS(ROW(NOTA[ID]),COLUMN(NOTA[ID]))&amp;":"&amp;ADDRESS(ROW()-1,COLUMN(NOTA[ID]))))+1))</f>
        <v>98</v>
      </c>
      <c r="B60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SBS_1901_2B1-1</v>
      </c>
      <c r="C606" s="56" t="e">
        <f ca="1">IF(NOTA[[#This Row],[ID_P]]="","",MATCH(NOTA[[#This Row],[ID_P]],[1]!B_MSK[N_ID],0))</f>
        <v>#REF!</v>
      </c>
      <c r="D606" s="56">
        <f ca="1">IF(NOTA[[#This Row],[NAMA BARANG]]="","",INDEX(NOTA[ID],MATCH(,INDIRECT(ADDRESS(ROW(NOTA[ID]),COLUMN(NOTA[ID]))&amp;":"&amp;ADDRESS(ROW(),COLUMN(NOTA[ID]))),-1)))</f>
        <v>98</v>
      </c>
      <c r="E606" s="57"/>
      <c r="F606" s="37" t="s">
        <v>371</v>
      </c>
      <c r="G606" s="37" t="s">
        <v>110</v>
      </c>
      <c r="H606" s="47" t="s">
        <v>705</v>
      </c>
      <c r="I606" s="58"/>
      <c r="J606" s="60">
        <v>45304</v>
      </c>
      <c r="K606" s="58"/>
      <c r="L606" s="37" t="s">
        <v>706</v>
      </c>
      <c r="M606" s="61">
        <v>5</v>
      </c>
      <c r="N606" s="56">
        <v>240</v>
      </c>
      <c r="O606" s="37" t="s">
        <v>118</v>
      </c>
      <c r="P606" s="55">
        <v>76500</v>
      </c>
      <c r="Q606" s="62"/>
      <c r="R606" s="48" t="s">
        <v>707</v>
      </c>
      <c r="S606" s="64"/>
      <c r="T606" s="65"/>
      <c r="U606" s="65"/>
      <c r="V606" s="66"/>
      <c r="W606" s="45"/>
      <c r="X606" s="66">
        <f>IF(NOTA[[#This Row],[HARGA/ CTN]]="",NOTA[[#This Row],[JUMLAH_H]],NOTA[[#This Row],[HARGA/ CTN]]*IF(NOTA[[#This Row],[C]]="",0,NOTA[[#This Row],[C]]))</f>
        <v>18360000</v>
      </c>
      <c r="Y606" s="66">
        <f>IF(NOTA[[#This Row],[JUMLAH]]="","",NOTA[[#This Row],[JUMLAH]]*NOTA[[#This Row],[DISC 1]])</f>
        <v>0</v>
      </c>
      <c r="Z606" s="66">
        <f>IF(NOTA[[#This Row],[JUMLAH]]="","",(NOTA[[#This Row],[JUMLAH]]-NOTA[[#This Row],[DISC 1-]])*NOTA[[#This Row],[DISC 2]])</f>
        <v>0</v>
      </c>
      <c r="AA606" s="66">
        <f>IF(NOTA[[#This Row],[JUMLAH]]="","",(NOTA[[#This Row],[JUMLAH]]-NOTA[[#This Row],[DISC 1-]]-NOTA[[#This Row],[DISC 2-]])*NOTA[[#This Row],[DISC 3]])</f>
        <v>0</v>
      </c>
      <c r="AB606" s="66">
        <f>IF(NOTA[[#This Row],[JUMLAH]]="","",NOTA[[#This Row],[DISC 1-]]+NOTA[[#This Row],[DISC 2-]]+NOTA[[#This Row],[DISC 3-]])</f>
        <v>0</v>
      </c>
      <c r="AC606" s="66">
        <f>IF(NOTA[[#This Row],[JUMLAH]]="","",NOTA[[#This Row],[JUMLAH]]-NOTA[[#This Row],[DISC]])</f>
        <v>18360000</v>
      </c>
      <c r="AD606" s="66"/>
      <c r="AE60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18360000</v>
      </c>
      <c r="AG606" s="5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H606" s="66">
        <f>IF(OR(NOTA[[#This Row],[QTY]]="",NOTA[[#This Row],[HARGA SATUAN]]="",),"",NOTA[[#This Row],[QTY]]*NOTA[[#This Row],[HARGA SATUAN]])</f>
        <v>18360000</v>
      </c>
      <c r="AI606" s="60">
        <f ca="1">IF(NOTA[ID_H]="","",INDEX(NOTA[TANGGAL],MATCH(,INDIRECT(ADDRESS(ROW(NOTA[TANGGAL]),COLUMN(NOTA[TANGGAL]))&amp;":"&amp;ADDRESS(ROW(),COLUMN(NOTA[TANGGAL]))),-1)))</f>
        <v>45310</v>
      </c>
      <c r="AJ606" s="55" t="str">
        <f ca="1">IF(NOTA[[#This Row],[NAMA BARANG]]="","",INDEX(NOTA[SUPPLIER],MATCH(,INDIRECT(ADDRESS(ROW(NOTA[ID]),COLUMN(NOTA[ID]))&amp;":"&amp;ADDRESS(ROW(),COLUMN(NOTA[ID]))),-1)))</f>
        <v>SBS</v>
      </c>
      <c r="AK606" s="55" t="str">
        <f ca="1">IF(NOTA[[#This Row],[ID_H]]="","",IF(NOTA[[#This Row],[FAKTUR]]="",INDIRECT(ADDRESS(ROW()-1,COLUMN())),NOTA[[#This Row],[FAKTUR]]))</f>
        <v>UNTANA</v>
      </c>
      <c r="AL606" s="56">
        <f ca="1">IF(NOTA[[#This Row],[ID]]="","",COUNTIF(NOTA[ID_H],NOTA[[#This Row],[ID_H]]))</f>
        <v>1</v>
      </c>
      <c r="AM606" s="56">
        <f>IF(NOTA[[#This Row],[TGL.NOTA]]="",IF(NOTA[[#This Row],[SUPPLIER_H]]="","",AM605),MONTH(NOTA[[#This Row],[TGL.NOTA]]))</f>
        <v>1</v>
      </c>
      <c r="AN606" s="56" t="str">
        <f>LOWER(SUBSTITUTE(SUBSTITUTE(SUBSTITUTE(SUBSTITUTE(SUBSTITUTE(SUBSTITUTE(SUBSTITUTE(SUBSTITUTE(SUBSTITUTE(NOTA[NAMA BARANG]," ",),".",""),"-",""),"(",""),")",""),",",""),"/",""),"""",""),"+",""))</f>
        <v>correctiontapemicrotopmt7375x16re</v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correctiontapemicrotopmt7375x16re3672000</v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correctiontapemicrotopmt7375x16re3672000</v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>SBSUNTANAWA0272B145304correctiontapemicrotopmt7375x16re</v>
      </c>
      <c r="AR606" s="56" t="e">
        <f>IF(NOTA[[#This Row],[CONCAT4]]="","",_xlfn.IFNA(MATCH(NOTA[[#This Row],[CONCAT4]],[2]!RAW[CONCAT_H],0),FALSE))</f>
        <v>#REF!</v>
      </c>
      <c r="AS606" s="56" t="e">
        <f>IF(NOTA[[#This Row],[CONCAT1]]="","",MATCH(NOTA[[#This Row],[CONCAT1]],[3]!db[NB NOTA_C],0))</f>
        <v>#N/A</v>
      </c>
      <c r="AT606" s="56" t="b">
        <f>IF(NOTA[[#This Row],[QTY/ CTN]]="","",TRUE)</f>
        <v>1</v>
      </c>
      <c r="AU606" s="56" t="str">
        <f ca="1">IF(NOTA[[#This Row],[ID_H]]="","",IF(NOTA[[#This Row],[Column3]]=TRUE,NOTA[[#This Row],[QTY/ CTN]],INDEX([3]!db[QTY/ CTN],NOTA[[#This Row],[//DB]])))</f>
        <v>48 BOX (12 PCS)</v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correctiontapemicrotopmt7375x16re48box12pcsuntana</v>
      </c>
      <c r="AW606" s="56" t="e">
        <f ca="1">IF(NOTA[[#This Row],[ID_H]]="","",MATCH(NOTA[[#This Row],[NB NOTA_C_QTY]],[4]!db[NB NOTA_C_QTY+F],0))</f>
        <v>#REF!</v>
      </c>
      <c r="AX606" s="68">
        <f ca="1">IF(NOTA[[#This Row],[NB NOTA_C_QTY]]="","",ROW()-2)</f>
        <v>604</v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37"/>
      <c r="G607" s="37"/>
      <c r="H607" s="47"/>
      <c r="I607" s="58"/>
      <c r="J607" s="60"/>
      <c r="K607" s="58"/>
      <c r="L607" s="37"/>
      <c r="M607" s="61"/>
      <c r="N607" s="56"/>
      <c r="O607" s="37"/>
      <c r="P607" s="55"/>
      <c r="Q607" s="62"/>
      <c r="R607" s="48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 t="str">
        <f>IF(NOTA[[#This Row],[CONCAT1]]="","",MATCH(NOTA[[#This Row],[CONCAT1]],[3]!db[NB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NOTA_C_QTY]],[4]!db[NB NOTA_C_QTY+F],0))</f>
        <v/>
      </c>
      <c r="AX607" s="68" t="str">
        <f ca="1">IF(NOTA[[#This Row],[NB NOTA_C_QTY]]="","",ROW()-2)</f>
        <v/>
      </c>
    </row>
    <row r="608" spans="1:50" s="38" customFormat="1" ht="20.100000000000001" customHeight="1" x14ac:dyDescent="0.25">
      <c r="A608" s="55">
        <f ca="1">IF(INDIRECT(ADDRESS(ROW()-1,COLUMN(NOTA[[#Headers],[ID]])))="ID",1,IF(NOTA[[#This Row],[FAKTUR]]="","",COUNT(INDIRECT(ADDRESS(ROW(NOTA[ID]),COLUMN(NOTA[ID]))&amp;":"&amp;ADDRESS(ROW()-1,COLUMN(NOTA[ID]))))+1))</f>
        <v>99</v>
      </c>
      <c r="B60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SBS_1901_3B1-5</v>
      </c>
      <c r="C608" s="56" t="e">
        <f ca="1">IF(NOTA[[#This Row],[ID_P]]="","",MATCH(NOTA[[#This Row],[ID_P]],[1]!B_MSK[N_ID],0))</f>
        <v>#REF!</v>
      </c>
      <c r="D608" s="56">
        <f ca="1">IF(NOTA[[#This Row],[NAMA BARANG]]="","",INDEX(NOTA[ID],MATCH(,INDIRECT(ADDRESS(ROW(NOTA[ID]),COLUMN(NOTA[ID]))&amp;":"&amp;ADDRESS(ROW(),COLUMN(NOTA[ID]))),-1)))</f>
        <v>99</v>
      </c>
      <c r="E608" s="57"/>
      <c r="F608" s="37" t="s">
        <v>371</v>
      </c>
      <c r="G608" s="37" t="s">
        <v>110</v>
      </c>
      <c r="H608" s="47" t="s">
        <v>708</v>
      </c>
      <c r="I608" s="58"/>
      <c r="J608" s="60">
        <v>45304</v>
      </c>
      <c r="K608" s="58">
        <v>1</v>
      </c>
      <c r="L608" s="37" t="s">
        <v>709</v>
      </c>
      <c r="M608" s="61">
        <v>3</v>
      </c>
      <c r="N608" s="56">
        <v>360</v>
      </c>
      <c r="O608" s="37" t="s">
        <v>115</v>
      </c>
      <c r="P608" s="55">
        <v>16000</v>
      </c>
      <c r="Q608" s="62"/>
      <c r="R608" s="48"/>
      <c r="S608" s="64"/>
      <c r="T608" s="65"/>
      <c r="U608" s="65"/>
      <c r="V608" s="66"/>
      <c r="W608" s="67"/>
      <c r="X608" s="66">
        <f>IF(NOTA[[#This Row],[HARGA/ CTN]]="",NOTA[[#This Row],[JUMLAH_H]],NOTA[[#This Row],[HARGA/ CTN]]*IF(NOTA[[#This Row],[C]]="",0,NOTA[[#This Row],[C]]))</f>
        <v>5760000</v>
      </c>
      <c r="Y608" s="66">
        <f>IF(NOTA[[#This Row],[JUMLAH]]="","",NOTA[[#This Row],[JUMLAH]]*NOTA[[#This Row],[DISC 1]])</f>
        <v>0</v>
      </c>
      <c r="Z608" s="66">
        <f>IF(NOTA[[#This Row],[JUMLAH]]="","",(NOTA[[#This Row],[JUMLAH]]-NOTA[[#This Row],[DISC 1-]])*NOTA[[#This Row],[DISC 2]])</f>
        <v>0</v>
      </c>
      <c r="AA608" s="66">
        <f>IF(NOTA[[#This Row],[JUMLAH]]="","",(NOTA[[#This Row],[JUMLAH]]-NOTA[[#This Row],[DISC 1-]]-NOTA[[#This Row],[DISC 2-]])*NOTA[[#This Row],[DISC 3]])</f>
        <v>0</v>
      </c>
      <c r="AB608" s="66">
        <f>IF(NOTA[[#This Row],[JUMLAH]]="","",NOTA[[#This Row],[DISC 1-]]+NOTA[[#This Row],[DISC 2-]]+NOTA[[#This Row],[DISC 3-]])</f>
        <v>0</v>
      </c>
      <c r="AC608" s="66">
        <f>IF(NOTA[[#This Row],[JUMLAH]]="","",NOTA[[#This Row],[JUMLAH]]-NOTA[[#This Row],[DISC]])</f>
        <v>5760000</v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608" s="66">
        <f>IF(OR(NOTA[[#This Row],[QTY]]="",NOTA[[#This Row],[HARGA SATUAN]]="",),"",NOTA[[#This Row],[QTY]]*NOTA[[#This Row],[HARGA SATUAN]])</f>
        <v>5760000</v>
      </c>
      <c r="AI608" s="60">
        <f ca="1">IF(NOTA[ID_H]="","",INDEX(NOTA[TANGGAL],MATCH(,INDIRECT(ADDRESS(ROW(NOTA[TANGGAL]),COLUMN(NOTA[TANGGAL]))&amp;":"&amp;ADDRESS(ROW(),COLUMN(NOTA[TANGGAL]))),-1)))</f>
        <v>45310</v>
      </c>
      <c r="AJ608" s="55" t="str">
        <f ca="1">IF(NOTA[[#This Row],[NAMA BARANG]]="","",INDEX(NOTA[SUPPLIER],MATCH(,INDIRECT(ADDRESS(ROW(NOTA[ID]),COLUMN(NOTA[ID]))&amp;":"&amp;ADDRESS(ROW(),COLUMN(NOTA[ID]))),-1)))</f>
        <v>SBS</v>
      </c>
      <c r="AK608" s="55" t="str">
        <f ca="1">IF(NOTA[[#This Row],[ID_H]]="","",IF(NOTA[[#This Row],[FAKTUR]]="",INDIRECT(ADDRESS(ROW()-1,COLUMN())),NOTA[[#This Row],[FAKTUR]]))</f>
        <v>UNTANA</v>
      </c>
      <c r="AL608" s="56">
        <f ca="1">IF(NOTA[[#This Row],[ID]]="","",COUNTIF(NOTA[ID_H],NOTA[[#This Row],[ID_H]]))</f>
        <v>5</v>
      </c>
      <c r="AM608" s="56">
        <f>IF(NOTA[[#This Row],[TGL.NOTA]]="",IF(NOTA[[#This Row],[SUPPLIER_H]]="","",AM607),MONTH(NOTA[[#This Row],[TGL.NOTA]]))</f>
        <v>1</v>
      </c>
      <c r="AN608" s="56" t="str">
        <f>LOWER(SUBSTITUTE(SUBSTITUTE(SUBSTITUTE(SUBSTITUTE(SUBSTITUTE(SUBSTITUTE(SUBSTITUTE(SUBSTITUTE(SUBSTITUTE(NOTA[NAMA BARANG]," ",),".",""),"-",""),"(",""),")",""),",",""),"/",""),"""",""),"+",""))</f>
        <v>pcklpy99108x215x453swbd</v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pcklpy99108x215x453swbd1920000</v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pcklpy99108x215x453swbd1920000</v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>SBSUNTANAWA0273B145304pcklpy99108x215x453swbd</v>
      </c>
      <c r="AR608" s="56" t="e">
        <f>IF(NOTA[[#This Row],[CONCAT4]]="","",_xlfn.IFNA(MATCH(NOTA[[#This Row],[CONCAT4]],[2]!RAW[CONCAT_H],0),FALSE))</f>
        <v>#REF!</v>
      </c>
      <c r="AS608" s="56" t="e">
        <f>IF(NOTA[[#This Row],[CONCAT1]]="","",MATCH(NOTA[[#This Row],[CONCAT1]],[3]!db[NB NOTA_C],0))</f>
        <v>#N/A</v>
      </c>
      <c r="AT608" s="56" t="str">
        <f>IF(NOTA[[#This Row],[QTY/ CTN]]="","",TRUE)</f>
        <v/>
      </c>
      <c r="AU608" s="56" t="e">
        <f ca="1">IF(NOTA[[#This Row],[ID_H]]="","",IF(NOTA[[#This Row],[Column3]]=TRUE,NOTA[[#This Row],[QTY/ CTN]],INDEX([3]!db[QTY/ CTN],NOTA[[#This Row],[//DB]])))</f>
        <v>#N/A</v>
      </c>
      <c r="AV608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08" s="56" t="e">
        <f ca="1">IF(NOTA[[#This Row],[ID_H]]="","",MATCH(NOTA[[#This Row],[NB NOTA_C_QTY]],[4]!db[NB NOTA_C_QTY+F],0))</f>
        <v>#N/A</v>
      </c>
      <c r="AX608" s="68" t="e">
        <f ca="1">IF(NOTA[[#This Row],[NB NOTA_C_QTY]]="","",ROW()-2)</f>
        <v>#N/A</v>
      </c>
    </row>
    <row r="609" spans="1:51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>
        <f ca="1">IF(NOTA[[#This Row],[NAMA BARANG]]="","",INDEX(NOTA[ID],MATCH(,INDIRECT(ADDRESS(ROW(NOTA[ID]),COLUMN(NOTA[ID]))&amp;":"&amp;ADDRESS(ROW(),COLUMN(NOTA[ID]))),-1)))</f>
        <v>99</v>
      </c>
      <c r="E609" s="57"/>
      <c r="F609" s="58"/>
      <c r="G609" s="58"/>
      <c r="H609" s="59"/>
      <c r="I609" s="58"/>
      <c r="J609" s="60"/>
      <c r="K609" s="58">
        <v>1</v>
      </c>
      <c r="L609" s="37" t="s">
        <v>710</v>
      </c>
      <c r="M609" s="61">
        <v>3</v>
      </c>
      <c r="N609" s="56">
        <v>432</v>
      </c>
      <c r="O609" s="37" t="s">
        <v>115</v>
      </c>
      <c r="P609" s="55">
        <v>12500</v>
      </c>
      <c r="Q609" s="62"/>
      <c r="R609" s="63"/>
      <c r="S609" s="64"/>
      <c r="T609" s="65"/>
      <c r="U609" s="65"/>
      <c r="V609" s="66"/>
      <c r="W609" s="67"/>
      <c r="X609" s="66">
        <f>IF(NOTA[[#This Row],[HARGA/ CTN]]="",NOTA[[#This Row],[JUMLAH_H]],NOTA[[#This Row],[HARGA/ CTN]]*IF(NOTA[[#This Row],[C]]="",0,NOTA[[#This Row],[C]]))</f>
        <v>5400000</v>
      </c>
      <c r="Y609" s="66">
        <f>IF(NOTA[[#This Row],[JUMLAH]]="","",NOTA[[#This Row],[JUMLAH]]*NOTA[[#This Row],[DISC 1]])</f>
        <v>0</v>
      </c>
      <c r="Z609" s="66">
        <f>IF(NOTA[[#This Row],[JUMLAH]]="","",(NOTA[[#This Row],[JUMLAH]]-NOTA[[#This Row],[DISC 1-]])*NOTA[[#This Row],[DISC 2]])</f>
        <v>0</v>
      </c>
      <c r="AA609" s="66">
        <f>IF(NOTA[[#This Row],[JUMLAH]]="","",(NOTA[[#This Row],[JUMLAH]]-NOTA[[#This Row],[DISC 1-]]-NOTA[[#This Row],[DISC 2-]])*NOTA[[#This Row],[DISC 3]])</f>
        <v>0</v>
      </c>
      <c r="AB609" s="66">
        <f>IF(NOTA[[#This Row],[JUMLAH]]="","",NOTA[[#This Row],[DISC 1-]]+NOTA[[#This Row],[DISC 2-]]+NOTA[[#This Row],[DISC 3-]])</f>
        <v>0</v>
      </c>
      <c r="AC609" s="66">
        <f>IF(NOTA[[#This Row],[JUMLAH]]="","",NOTA[[#This Row],[JUMLAH]]-NOTA[[#This Row],[DISC]])</f>
        <v>5400000</v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609" s="66">
        <f>IF(OR(NOTA[[#This Row],[QTY]]="",NOTA[[#This Row],[HARGA SATUAN]]="",),"",NOTA[[#This Row],[QTY]]*NOTA[[#This Row],[HARGA SATUAN]])</f>
        <v>5400000</v>
      </c>
      <c r="AI609" s="60">
        <f ca="1">IF(NOTA[ID_H]="","",INDEX(NOTA[TANGGAL],MATCH(,INDIRECT(ADDRESS(ROW(NOTA[TANGGAL]),COLUMN(NOTA[TANGGAL]))&amp;":"&amp;ADDRESS(ROW(),COLUMN(NOTA[TANGGAL]))),-1)))</f>
        <v>45310</v>
      </c>
      <c r="AJ609" s="55" t="str">
        <f ca="1">IF(NOTA[[#This Row],[NAMA BARANG]]="","",INDEX(NOTA[SUPPLIER],MATCH(,INDIRECT(ADDRESS(ROW(NOTA[ID]),COLUMN(NOTA[ID]))&amp;":"&amp;ADDRESS(ROW(),COLUMN(NOTA[ID]))),-1)))</f>
        <v>SBS</v>
      </c>
      <c r="AK609" s="55" t="str">
        <f ca="1">IF(NOTA[[#This Row],[ID_H]]="","",IF(NOTA[[#This Row],[FAKTUR]]="",INDIRECT(ADDRESS(ROW()-1,COLUMN())),NOTA[[#This Row],[FAKTUR]]))</f>
        <v>UNTANA</v>
      </c>
      <c r="AL609" s="56" t="str">
        <f ca="1">IF(NOTA[[#This Row],[ID]]="","",COUNTIF(NOTA[ID_H],NOTA[[#This Row],[ID_H]]))</f>
        <v/>
      </c>
      <c r="AM609" s="56">
        <f ca="1">IF(NOTA[[#This Row],[TGL.NOTA]]="",IF(NOTA[[#This Row],[SUPPLIER_H]]="","",AM608),MONTH(NOTA[[#This Row],[TGL.NOTA]]))</f>
        <v>1</v>
      </c>
      <c r="AN609" s="56" t="str">
        <f>LOWER(SUBSTITUTE(SUBSTITUTE(SUBSTITUTE(SUBSTITUTE(SUBSTITUTE(SUBSTITUTE(SUBSTITUTE(SUBSTITUTE(SUBSTITUTE(NOTA[NAMA BARANG]," ",),".",""),"-",""),"(",""),")",""),",",""),"/",""),"""",""),"+",""))</f>
        <v>pcklpy99389x217setd</v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pcklpy99389x217setd1800000</v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pcklpy99389x217setd1800000</v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>
        <f>IF(NOTA[[#This Row],[CONCAT1]]="","",MATCH(NOTA[[#This Row],[CONCAT1]],[3]!db[NB NOTA_C],0))</f>
        <v>2356</v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>144 PCS</v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pcklpy99389x217setd144pcsuntana</v>
      </c>
      <c r="AW609" s="56" t="e">
        <f ca="1">IF(NOTA[[#This Row],[ID_H]]="","",MATCH(NOTA[[#This Row],[NB NOTA_C_QTY]],[4]!db[NB NOTA_C_QTY+F],0))</f>
        <v>#REF!</v>
      </c>
      <c r="AX609" s="68">
        <f ca="1">IF(NOTA[[#This Row],[NB NOTA_C_QTY]]="","",ROW()-2)</f>
        <v>607</v>
      </c>
    </row>
    <row r="610" spans="1:51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>
        <f ca="1">IF(NOTA[[#This Row],[NAMA BARANG]]="","",INDEX(NOTA[ID],MATCH(,INDIRECT(ADDRESS(ROW(NOTA[ID]),COLUMN(NOTA[ID]))&amp;":"&amp;ADDRESS(ROW(),COLUMN(NOTA[ID]))),-1)))</f>
        <v>99</v>
      </c>
      <c r="E610" s="57"/>
      <c r="F610" s="37"/>
      <c r="G610" s="37"/>
      <c r="H610" s="47"/>
      <c r="I610" s="58"/>
      <c r="J610" s="60"/>
      <c r="K610" s="58">
        <v>1</v>
      </c>
      <c r="L610" s="37" t="s">
        <v>711</v>
      </c>
      <c r="M610" s="61">
        <v>2</v>
      </c>
      <c r="N610" s="56">
        <v>192</v>
      </c>
      <c r="O610" s="37" t="s">
        <v>115</v>
      </c>
      <c r="P610" s="55">
        <v>15200</v>
      </c>
      <c r="Q610" s="62"/>
      <c r="R610" s="48"/>
      <c r="S610" s="64"/>
      <c r="T610" s="65"/>
      <c r="U610" s="65"/>
      <c r="V610" s="66"/>
      <c r="W610" s="67"/>
      <c r="X610" s="66">
        <f>IF(NOTA[[#This Row],[HARGA/ CTN]]="",NOTA[[#This Row],[JUMLAH_H]],NOTA[[#This Row],[HARGA/ CTN]]*IF(NOTA[[#This Row],[C]]="",0,NOTA[[#This Row],[C]]))</f>
        <v>2918400</v>
      </c>
      <c r="Y610" s="66">
        <f>IF(NOTA[[#This Row],[JUMLAH]]="","",NOTA[[#This Row],[JUMLAH]]*NOTA[[#This Row],[DISC 1]])</f>
        <v>0</v>
      </c>
      <c r="Z610" s="66">
        <f>IF(NOTA[[#This Row],[JUMLAH]]="","",(NOTA[[#This Row],[JUMLAH]]-NOTA[[#This Row],[DISC 1-]])*NOTA[[#This Row],[DISC 2]])</f>
        <v>0</v>
      </c>
      <c r="AA610" s="66">
        <f>IF(NOTA[[#This Row],[JUMLAH]]="","",(NOTA[[#This Row],[JUMLAH]]-NOTA[[#This Row],[DISC 1-]]-NOTA[[#This Row],[DISC 2-]])*NOTA[[#This Row],[DISC 3]])</f>
        <v>0</v>
      </c>
      <c r="AB610" s="66">
        <f>IF(NOTA[[#This Row],[JUMLAH]]="","",NOTA[[#This Row],[DISC 1-]]+NOTA[[#This Row],[DISC 2-]]+NOTA[[#This Row],[DISC 3-]])</f>
        <v>0</v>
      </c>
      <c r="AC610" s="66">
        <f>IF(NOTA[[#This Row],[JUMLAH]]="","",NOTA[[#This Row],[JUMLAH]]-NOTA[[#This Row],[DISC]])</f>
        <v>2918400</v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>
        <f>IF(NOTA[[#This Row],[NAMA BARANG]]="","",IF(NOTA[[#This Row],[JUMLAH_H]]="",NOTA[[#This Row],[HARGA/ CTN]],NOTA[[#This Row],[QTY]]*NOTA[[#This Row],[HARGA SATUAN]]/IF(ISNUMBER(NOTA[[#This Row],[C]]),NOTA[[#This Row],[C]],1)))</f>
        <v>1459200</v>
      </c>
      <c r="AH610" s="66">
        <f>IF(OR(NOTA[[#This Row],[QTY]]="",NOTA[[#This Row],[HARGA SATUAN]]="",),"",NOTA[[#This Row],[QTY]]*NOTA[[#This Row],[HARGA SATUAN]])</f>
        <v>2918400</v>
      </c>
      <c r="AI610" s="60">
        <f ca="1">IF(NOTA[ID_H]="","",INDEX(NOTA[TANGGAL],MATCH(,INDIRECT(ADDRESS(ROW(NOTA[TANGGAL]),COLUMN(NOTA[TANGGAL]))&amp;":"&amp;ADDRESS(ROW(),COLUMN(NOTA[TANGGAL]))),-1)))</f>
        <v>45310</v>
      </c>
      <c r="AJ610" s="55" t="str">
        <f ca="1">IF(NOTA[[#This Row],[NAMA BARANG]]="","",INDEX(NOTA[SUPPLIER],MATCH(,INDIRECT(ADDRESS(ROW(NOTA[ID]),COLUMN(NOTA[ID]))&amp;":"&amp;ADDRESS(ROW(),COLUMN(NOTA[ID]))),-1)))</f>
        <v>SBS</v>
      </c>
      <c r="AK610" s="55" t="str">
        <f ca="1">IF(NOTA[[#This Row],[ID_H]]="","",IF(NOTA[[#This Row],[FAKTUR]]="",INDIRECT(ADDRESS(ROW()-1,COLUMN())),NOTA[[#This Row],[FAKTUR]]))</f>
        <v>UNTANA</v>
      </c>
      <c r="AL610" s="56" t="str">
        <f ca="1">IF(NOTA[[#This Row],[ID]]="","",COUNTIF(NOTA[ID_H],NOTA[[#This Row],[ID_H]]))</f>
        <v/>
      </c>
      <c r="AM610" s="56">
        <f ca="1">IF(NOTA[[#This Row],[TGL.NOTA]]="",IF(NOTA[[#This Row],[SUPPLIER_H]]="","",AM609),MONTH(NOTA[[#This Row],[TGL.NOTA]]))</f>
        <v>1</v>
      </c>
      <c r="AN610" s="56" t="str">
        <f>LOWER(SUBSTITUTE(SUBSTITUTE(SUBSTITUTE(SUBSTITUTE(SUBSTITUTE(SUBSTITUTE(SUBSTITUTE(SUBSTITUTE(SUBSTITUTE(NOTA[NAMA BARANG]," ",),".",""),"-",""),"(",""),")",""),",",""),"/",""),"""",""),"+",""))</f>
        <v>whiteboardxgpolos2s20x30</v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whiteboardxgpolos2s20x301459200</v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whiteboardxgpolos2s20x301459200</v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>
        <f>IF(NOTA[[#This Row],[CONCAT1]]="","",MATCH(NOTA[[#This Row],[CONCAT1]],[3]!db[NB NOTA_C],0))</f>
        <v>3068</v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>96 PCS</v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W610" s="56" t="e">
        <f ca="1">IF(NOTA[[#This Row],[ID_H]]="","",MATCH(NOTA[[#This Row],[NB NOTA_C_QTY]],[4]!db[NB NOTA_C_QTY+F],0))</f>
        <v>#REF!</v>
      </c>
      <c r="AX610" s="68">
        <f ca="1">IF(NOTA[[#This Row],[NB NOTA_C_QTY]]="","",ROW()-2)</f>
        <v>608</v>
      </c>
    </row>
    <row r="611" spans="1:51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99</v>
      </c>
      <c r="E611" s="57"/>
      <c r="F611" s="58"/>
      <c r="G611" s="58"/>
      <c r="H611" s="59"/>
      <c r="I611" s="58"/>
      <c r="J611" s="60"/>
      <c r="K611" s="58">
        <v>1</v>
      </c>
      <c r="L611" s="37" t="s">
        <v>712</v>
      </c>
      <c r="M611" s="61">
        <v>2</v>
      </c>
      <c r="N611" s="56">
        <v>144</v>
      </c>
      <c r="O611" s="37" t="s">
        <v>115</v>
      </c>
      <c r="P611" s="55">
        <v>19000</v>
      </c>
      <c r="Q611" s="62"/>
      <c r="R611" s="48"/>
      <c r="S611" s="64"/>
      <c r="T611" s="65"/>
      <c r="U611" s="65"/>
      <c r="V611" s="66"/>
      <c r="W611" s="67"/>
      <c r="X611" s="66">
        <f>IF(NOTA[[#This Row],[HARGA/ CTN]]="",NOTA[[#This Row],[JUMLAH_H]],NOTA[[#This Row],[HARGA/ CTN]]*IF(NOTA[[#This Row],[C]]="",0,NOTA[[#This Row],[C]]))</f>
        <v>2736000</v>
      </c>
      <c r="Y611" s="66">
        <f>IF(NOTA[[#This Row],[JUMLAH]]="","",NOTA[[#This Row],[JUMLAH]]*NOTA[[#This Row],[DISC 1]])</f>
        <v>0</v>
      </c>
      <c r="Z611" s="66">
        <f>IF(NOTA[[#This Row],[JUMLAH]]="","",(NOTA[[#This Row],[JUMLAH]]-NOTA[[#This Row],[DISC 1-]])*NOTA[[#This Row],[DISC 2]])</f>
        <v>0</v>
      </c>
      <c r="AA611" s="66">
        <f>IF(NOTA[[#This Row],[JUMLAH]]="","",(NOTA[[#This Row],[JUMLAH]]-NOTA[[#This Row],[DISC 1-]]-NOTA[[#This Row],[DISC 2-]])*NOTA[[#This Row],[DISC 3]])</f>
        <v>0</v>
      </c>
      <c r="AB611" s="66">
        <f>IF(NOTA[[#This Row],[JUMLAH]]="","",NOTA[[#This Row],[DISC 1-]]+NOTA[[#This Row],[DISC 2-]]+NOTA[[#This Row],[DISC 3-]])</f>
        <v>0</v>
      </c>
      <c r="AC611" s="66">
        <f>IF(NOTA[[#This Row],[JUMLAH]]="","",NOTA[[#This Row],[JUMLAH]]-NOTA[[#This Row],[DISC]])</f>
        <v>2736000</v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611" s="66">
        <f>IF(OR(NOTA[[#This Row],[QTY]]="",NOTA[[#This Row],[HARGA SATUAN]]="",),"",NOTA[[#This Row],[QTY]]*NOTA[[#This Row],[HARGA SATUAN]])</f>
        <v>2736000</v>
      </c>
      <c r="AI611" s="60">
        <f ca="1">IF(NOTA[ID_H]="","",INDEX(NOTA[TANGGAL],MATCH(,INDIRECT(ADDRESS(ROW(NOTA[TANGGAL]),COLUMN(NOTA[TANGGAL]))&amp;":"&amp;ADDRESS(ROW(),COLUMN(NOTA[TANGGAL]))),-1)))</f>
        <v>45310</v>
      </c>
      <c r="AJ611" s="55" t="str">
        <f ca="1">IF(NOTA[[#This Row],[NAMA BARANG]]="","",INDEX(NOTA[SUPPLIER],MATCH(,INDIRECT(ADDRESS(ROW(NOTA[ID]),COLUMN(NOTA[ID]))&amp;":"&amp;ADDRESS(ROW(),COLUMN(NOTA[ID]))),-1)))</f>
        <v>SBS</v>
      </c>
      <c r="AK611" s="55" t="str">
        <f ca="1">IF(NOTA[[#This Row],[ID_H]]="","",IF(NOTA[[#This Row],[FAKTUR]]="",INDIRECT(ADDRESS(ROW()-1,COLUMN())),NOTA[[#This Row],[FAKTUR]]))</f>
        <v>UNTANA</v>
      </c>
      <c r="AL611" s="56" t="str">
        <f ca="1">IF(NOTA[[#This Row],[ID]]="","",COUNTIF(NOTA[ID_H],NOTA[[#This Row],[ID_H]]))</f>
        <v/>
      </c>
      <c r="AM611" s="56">
        <f ca="1">IF(NOTA[[#This Row],[TGL.NOTA]]="",IF(NOTA[[#This Row],[SUPPLIER_H]]="","",AM610),MONTH(NOTA[[#This Row],[TGL.NOTA]]))</f>
        <v>1</v>
      </c>
      <c r="AN611" s="56" t="str">
        <f>LOWER(SUBSTITUTE(SUBSTITUTE(SUBSTITUTE(SUBSTITUTE(SUBSTITUTE(SUBSTITUTE(SUBSTITUTE(SUBSTITUTE(SUBSTITUTE(NOTA[NAMA BARANG]," ",),".",""),"-",""),"(",""),")",""),",",""),"/",""),"""",""),"+",""))</f>
        <v>whiteboardxgpolos2s25x35</v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whiteboardxgpolos2s25x351368000</v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whiteboardxgpolos2s25x351368000</v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>
        <f>IF(NOTA[[#This Row],[CONCAT1]]="","",MATCH(NOTA[[#This Row],[CONCAT1]],[3]!db[NB NOTA_C],0))</f>
        <v>3069</v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>72 PCS</v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whiteboardxgpolos2s25x3572pcsuntana</v>
      </c>
      <c r="AW611" s="56" t="e">
        <f ca="1">IF(NOTA[[#This Row],[ID_H]]="","",MATCH(NOTA[[#This Row],[NB NOTA_C_QTY]],[4]!db[NB NOTA_C_QTY+F],0))</f>
        <v>#REF!</v>
      </c>
      <c r="AX611" s="68">
        <f ca="1">IF(NOTA[[#This Row],[NB NOTA_C_QTY]]="","",ROW()-2)</f>
        <v>609</v>
      </c>
    </row>
    <row r="612" spans="1:51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99</v>
      </c>
      <c r="E612" s="57"/>
      <c r="F612" s="58"/>
      <c r="G612" s="58"/>
      <c r="H612" s="47"/>
      <c r="I612" s="58"/>
      <c r="J612" s="60"/>
      <c r="K612" s="58"/>
      <c r="L612" s="37" t="s">
        <v>713</v>
      </c>
      <c r="M612" s="61">
        <v>2</v>
      </c>
      <c r="N612" s="56">
        <v>120</v>
      </c>
      <c r="O612" s="37" t="s">
        <v>115</v>
      </c>
      <c r="P612" s="55">
        <v>22750</v>
      </c>
      <c r="Q612" s="62"/>
      <c r="R612" s="63"/>
      <c r="S612" s="64"/>
      <c r="T612" s="65"/>
      <c r="U612" s="65"/>
      <c r="V612" s="66"/>
      <c r="W612" s="67"/>
      <c r="X612" s="66">
        <f>IF(NOTA[[#This Row],[HARGA/ CTN]]="",NOTA[[#This Row],[JUMLAH_H]],NOTA[[#This Row],[HARGA/ CTN]]*IF(NOTA[[#This Row],[C]]="",0,NOTA[[#This Row],[C]]))</f>
        <v>2730000</v>
      </c>
      <c r="Y612" s="66">
        <f>IF(NOTA[[#This Row],[JUMLAH]]="","",NOTA[[#This Row],[JUMLAH]]*NOTA[[#This Row],[DISC 1]])</f>
        <v>0</v>
      </c>
      <c r="Z612" s="66">
        <f>IF(NOTA[[#This Row],[JUMLAH]]="","",(NOTA[[#This Row],[JUMLAH]]-NOTA[[#This Row],[DISC 1-]])*NOTA[[#This Row],[DISC 2]])</f>
        <v>0</v>
      </c>
      <c r="AA612" s="66">
        <f>IF(NOTA[[#This Row],[JUMLAH]]="","",(NOTA[[#This Row],[JUMLAH]]-NOTA[[#This Row],[DISC 1-]]-NOTA[[#This Row],[DISC 2-]])*NOTA[[#This Row],[DISC 3]])</f>
        <v>0</v>
      </c>
      <c r="AB612" s="66">
        <f>IF(NOTA[[#This Row],[JUMLAH]]="","",NOTA[[#This Row],[DISC 1-]]+NOTA[[#This Row],[DISC 2-]]+NOTA[[#This Row],[DISC 3-]])</f>
        <v>0</v>
      </c>
      <c r="AC612" s="66">
        <f>IF(NOTA[[#This Row],[JUMLAH]]="","",NOTA[[#This Row],[JUMLAH]]-NOTA[[#This Row],[DISC]])</f>
        <v>2730000</v>
      </c>
      <c r="AD612" s="66"/>
      <c r="AE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19544400</v>
      </c>
      <c r="AG612" s="55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612" s="66">
        <f>IF(OR(NOTA[[#This Row],[QTY]]="",NOTA[[#This Row],[HARGA SATUAN]]="",),"",NOTA[[#This Row],[QTY]]*NOTA[[#This Row],[HARGA SATUAN]])</f>
        <v>2730000</v>
      </c>
      <c r="AI612" s="60">
        <f ca="1">IF(NOTA[ID_H]="","",INDEX(NOTA[TANGGAL],MATCH(,INDIRECT(ADDRESS(ROW(NOTA[TANGGAL]),COLUMN(NOTA[TANGGAL]))&amp;":"&amp;ADDRESS(ROW(),COLUMN(NOTA[TANGGAL]))),-1)))</f>
        <v>45310</v>
      </c>
      <c r="AJ612" s="55" t="str">
        <f ca="1">IF(NOTA[[#This Row],[NAMA BARANG]]="","",INDEX(NOTA[SUPPLIER],MATCH(,INDIRECT(ADDRESS(ROW(NOTA[ID]),COLUMN(NOTA[ID]))&amp;":"&amp;ADDRESS(ROW(),COLUMN(NOTA[ID]))),-1)))</f>
        <v>SBS</v>
      </c>
      <c r="AK612" s="55" t="str">
        <f ca="1">IF(NOTA[[#This Row],[ID_H]]="","",IF(NOTA[[#This Row],[FAKTUR]]="",INDIRECT(ADDRESS(ROW()-1,COLUMN())),NOTA[[#This Row],[FAKTUR]]))</f>
        <v>UNTANA</v>
      </c>
      <c r="AL612" s="56" t="str">
        <f ca="1">IF(NOTA[[#This Row],[ID]]="","",COUNTIF(NOTA[ID_H],NOTA[[#This Row],[ID_H]]))</f>
        <v/>
      </c>
      <c r="AM612" s="56">
        <f ca="1">IF(NOTA[[#This Row],[TGL.NOTA]]="",IF(NOTA[[#This Row],[SUPPLIER_H]]="","",AM611),MONTH(NOTA[[#This Row],[TGL.NOTA]]))</f>
        <v>1</v>
      </c>
      <c r="AN612" s="56" t="str">
        <f>LOWER(SUBSTITUTE(SUBSTITUTE(SUBSTITUTE(SUBSTITUTE(SUBSTITUTE(SUBSTITUTE(SUBSTITUTE(SUBSTITUTE(SUBSTITUTE(NOTA[NAMA BARANG]," ",),".",""),"-",""),"(",""),")",""),",",""),"/",""),"""",""),"+",""))</f>
        <v>whiteboardxgpolos2s30x40</v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whiteboardxgpolos2s30x401365000</v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whiteboardxgpolos2s30x401365000</v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 t="e">
        <f>IF(NOTA[[#This Row],[CONCAT1]]="","",MATCH(NOTA[[#This Row],[CONCAT1]],[3]!db[NB NOTA_C],0))</f>
        <v>#N/A</v>
      </c>
      <c r="AT612" s="56" t="str">
        <f>IF(NOTA[[#This Row],[QTY/ CTN]]="","",TRUE)</f>
        <v/>
      </c>
      <c r="AU612" s="56" t="e">
        <f ca="1">IF(NOTA[[#This Row],[ID_H]]="","",IF(NOTA[[#This Row],[Column3]]=TRUE,NOTA[[#This Row],[QTY/ CTN]],INDEX([3]!db[QTY/ CTN],NOTA[[#This Row],[//DB]])))</f>
        <v>#N/A</v>
      </c>
      <c r="AV61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12" s="56" t="e">
        <f ca="1">IF(NOTA[[#This Row],[ID_H]]="","",MATCH(NOTA[[#This Row],[NB NOTA_C_QTY]],[4]!db[NB NOTA_C_QTY+F],0))</f>
        <v>#N/A</v>
      </c>
      <c r="AX612" s="68" t="e">
        <f ca="1">IF(NOTA[[#This Row],[NB NOTA_C_QTY]]="","",ROW()-2)</f>
        <v>#N/A</v>
      </c>
    </row>
    <row r="613" spans="1:51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37"/>
      <c r="G613" s="37"/>
      <c r="H613" s="47"/>
      <c r="I613" s="58"/>
      <c r="J613" s="60"/>
      <c r="K613" s="58"/>
      <c r="L613" s="37"/>
      <c r="M613" s="61"/>
      <c r="N613" s="56"/>
      <c r="O613" s="37"/>
      <c r="P613" s="55"/>
      <c r="Q613" s="62"/>
      <c r="R613" s="48"/>
      <c r="S613" s="64"/>
      <c r="T613" s="65"/>
      <c r="U613" s="65"/>
      <c r="V613" s="66"/>
      <c r="W613" s="67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1" s="38" customFormat="1" ht="20.100000000000001" customHeight="1" x14ac:dyDescent="0.25">
      <c r="A614" s="55">
        <f ca="1">IF(INDIRECT(ADDRESS(ROW()-1,COLUMN(NOTA[[#Headers],[ID]])))="ID",1,IF(NOTA[[#This Row],[FAKTUR]]="","",COUNT(INDIRECT(ADDRESS(ROW(NOTA[ID]),COLUMN(NOTA[ID]))&amp;":"&amp;ADDRESS(ROW()-1,COLUMN(NOTA[ID]))))+1))</f>
        <v>100</v>
      </c>
      <c r="B6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PMJ_2001_-4</v>
      </c>
      <c r="C614" s="56" t="e">
        <f ca="1">IF(NOTA[[#This Row],[ID_P]]="","",MATCH(NOTA[[#This Row],[ID_P]],[1]!B_MSK[N_ID],0))</f>
        <v>#REF!</v>
      </c>
      <c r="D614" s="56">
        <f ca="1">IF(NOTA[[#This Row],[NAMA BARANG]]="","",INDEX(NOTA[ID],MATCH(,INDIRECT(ADDRESS(ROW(NOTA[ID]),COLUMN(NOTA[ID]))&amp;":"&amp;ADDRESS(ROW(),COLUMN(NOTA[ID]))),-1)))</f>
        <v>100</v>
      </c>
      <c r="E614" s="57">
        <v>45311</v>
      </c>
      <c r="F614" s="37" t="s">
        <v>714</v>
      </c>
      <c r="G614" s="37" t="s">
        <v>110</v>
      </c>
      <c r="H614" s="59"/>
      <c r="I614" s="58"/>
      <c r="J614" s="60">
        <v>45304</v>
      </c>
      <c r="K614" s="58"/>
      <c r="L614" s="37" t="s">
        <v>715</v>
      </c>
      <c r="M614" s="61">
        <v>2</v>
      </c>
      <c r="N614" s="56">
        <v>32</v>
      </c>
      <c r="O614" s="37" t="s">
        <v>111</v>
      </c>
      <c r="P614" s="55">
        <v>47000</v>
      </c>
      <c r="Q614" s="62"/>
      <c r="R614" s="63"/>
      <c r="S614" s="64"/>
      <c r="T614" s="65"/>
      <c r="U614" s="65"/>
      <c r="V614" s="66"/>
      <c r="W614" s="67"/>
      <c r="X614" s="66">
        <f>IF(NOTA[[#This Row],[HARGA/ CTN]]="",NOTA[[#This Row],[JUMLAH_H]],NOTA[[#This Row],[HARGA/ CTN]]*IF(NOTA[[#This Row],[C]]="",0,NOTA[[#This Row],[C]]))</f>
        <v>1504000</v>
      </c>
      <c r="Y614" s="66">
        <f>IF(NOTA[[#This Row],[JUMLAH]]="","",NOTA[[#This Row],[JUMLAH]]*NOTA[[#This Row],[DISC 1]])</f>
        <v>0</v>
      </c>
      <c r="Z614" s="66">
        <f>IF(NOTA[[#This Row],[JUMLAH]]="","",(NOTA[[#This Row],[JUMLAH]]-NOTA[[#This Row],[DISC 1-]])*NOTA[[#This Row],[DISC 2]])</f>
        <v>0</v>
      </c>
      <c r="AA614" s="66">
        <f>IF(NOTA[[#This Row],[JUMLAH]]="","",(NOTA[[#This Row],[JUMLAH]]-NOTA[[#This Row],[DISC 1-]]-NOTA[[#This Row],[DISC 2-]])*NOTA[[#This Row],[DISC 3]])</f>
        <v>0</v>
      </c>
      <c r="AB614" s="66">
        <f>IF(NOTA[[#This Row],[JUMLAH]]="","",NOTA[[#This Row],[DISC 1-]]+NOTA[[#This Row],[DISC 2-]]+NOTA[[#This Row],[DISC 3-]])</f>
        <v>0</v>
      </c>
      <c r="AC614" s="66">
        <f>IF(NOTA[[#This Row],[JUMLAH]]="","",NOTA[[#This Row],[JUMLAH]]-NOTA[[#This Row],[DISC]])</f>
        <v>1504000</v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>
        <f>IF(NOTA[[#This Row],[NAMA BARANG]]="","",IF(NOTA[[#This Row],[JUMLAH_H]]="",NOTA[[#This Row],[HARGA/ CTN]],NOTA[[#This Row],[QTY]]*NOTA[[#This Row],[HARGA SATUAN]]/IF(ISNUMBER(NOTA[[#This Row],[C]]),NOTA[[#This Row],[C]],1)))</f>
        <v>752000</v>
      </c>
      <c r="AH614" s="66">
        <f>IF(OR(NOTA[[#This Row],[QTY]]="",NOTA[[#This Row],[HARGA SATUAN]]="",),"",NOTA[[#This Row],[QTY]]*NOTA[[#This Row],[HARGA SATUAN]])</f>
        <v>1504000</v>
      </c>
      <c r="AI614" s="60">
        <f ca="1">IF(NOTA[ID_H]="","",INDEX(NOTA[TANGGAL],MATCH(,INDIRECT(ADDRESS(ROW(NOTA[TANGGAL]),COLUMN(NOTA[TANGGAL]))&amp;":"&amp;ADDRESS(ROW(),COLUMN(NOTA[TANGGAL]))),-1)))</f>
        <v>45311</v>
      </c>
      <c r="AJ614" s="55" t="str">
        <f ca="1">IF(NOTA[[#This Row],[NAMA BARANG]]="","",INDEX(NOTA[SUPPLIER],MATCH(,INDIRECT(ADDRESS(ROW(NOTA[ID]),COLUMN(NOTA[ID]))&amp;":"&amp;ADDRESS(ROW(),COLUMN(NOTA[ID]))),-1)))</f>
        <v>PMJP</v>
      </c>
      <c r="AK614" s="55" t="str">
        <f ca="1">IF(NOTA[[#This Row],[ID_H]]="","",IF(NOTA[[#This Row],[FAKTUR]]="",INDIRECT(ADDRESS(ROW()-1,COLUMN())),NOTA[[#This Row],[FAKTUR]]))</f>
        <v>UNTANA</v>
      </c>
      <c r="AL614" s="56">
        <f ca="1">IF(NOTA[[#This Row],[ID]]="","",COUNTIF(NOTA[ID_H],NOTA[[#This Row],[ID_H]]))</f>
        <v>4</v>
      </c>
      <c r="AM614" s="56">
        <f>IF(NOTA[[#This Row],[TGL.NOTA]]="",IF(NOTA[[#This Row],[SUPPLIER_H]]="","",AM613),MONTH(NOTA[[#This Row],[TGL.NOTA]]))</f>
        <v>1</v>
      </c>
      <c r="AN614" s="56" t="str">
        <f>LOWER(SUBSTITUTE(SUBSTITUTE(SUBSTITUTE(SUBSTITUTE(SUBSTITUTE(SUBSTITUTE(SUBSTITUTE(SUBSTITUTE(SUBSTITUTE(NOTA[NAMA BARANG]," ",),".",""),"-",""),"(",""),")",""),",",""),"/",""),"""",""),"+",""))</f>
        <v>celengans</v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celengans752000</v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celengans752000</v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>PMJPUNTANA45304celengans</v>
      </c>
      <c r="AR614" s="56" t="e">
        <f>IF(NOTA[[#This Row],[CONCAT4]]="","",_xlfn.IFNA(MATCH(NOTA[[#This Row],[CONCAT4]],[2]!RAW[CONCAT_H],0),FALSE))</f>
        <v>#REF!</v>
      </c>
      <c r="AS614" s="56">
        <f>IF(NOTA[[#This Row],[CONCAT1]]="","",MATCH(NOTA[[#This Row],[CONCAT1]],[3]!db[NB NOTA_C],0))</f>
        <v>639</v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>16 LSN</v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celengans16lsnuntana</v>
      </c>
      <c r="AW614" s="56" t="e">
        <f ca="1">IF(NOTA[[#This Row],[ID_H]]="","",MATCH(NOTA[[#This Row],[NB NOTA_C_QTY]],[4]!db[NB NOTA_C_QTY+F],0))</f>
        <v>#REF!</v>
      </c>
      <c r="AX614" s="68">
        <f ca="1">IF(NOTA[[#This Row],[NB NOTA_C_QTY]]="","",ROW()-2)</f>
        <v>612</v>
      </c>
    </row>
    <row r="615" spans="1:51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100</v>
      </c>
      <c r="E615" s="57"/>
      <c r="F615" s="37"/>
      <c r="G615" s="37"/>
      <c r="H615" s="47"/>
      <c r="I615" s="58"/>
      <c r="J615" s="60"/>
      <c r="K615" s="58"/>
      <c r="L615" s="37" t="s">
        <v>716</v>
      </c>
      <c r="M615" s="61">
        <v>2</v>
      </c>
      <c r="N615" s="56">
        <v>32</v>
      </c>
      <c r="O615" s="37" t="s">
        <v>111</v>
      </c>
      <c r="P615" s="55">
        <v>56000</v>
      </c>
      <c r="Q615" s="62"/>
      <c r="R615" s="63"/>
      <c r="S615" s="64"/>
      <c r="T615" s="65"/>
      <c r="U615" s="65"/>
      <c r="V615" s="66"/>
      <c r="W615" s="67"/>
      <c r="X615" s="66">
        <f>IF(NOTA[[#This Row],[HARGA/ CTN]]="",NOTA[[#This Row],[JUMLAH_H]],NOTA[[#This Row],[HARGA/ CTN]]*IF(NOTA[[#This Row],[C]]="",0,NOTA[[#This Row],[C]]))</f>
        <v>1792000</v>
      </c>
      <c r="Y615" s="66">
        <f>IF(NOTA[[#This Row],[JUMLAH]]="","",NOTA[[#This Row],[JUMLAH]]*NOTA[[#This Row],[DISC 1]])</f>
        <v>0</v>
      </c>
      <c r="Z615" s="66">
        <f>IF(NOTA[[#This Row],[JUMLAH]]="","",(NOTA[[#This Row],[JUMLAH]]-NOTA[[#This Row],[DISC 1-]])*NOTA[[#This Row],[DISC 2]])</f>
        <v>0</v>
      </c>
      <c r="AA615" s="66">
        <f>IF(NOTA[[#This Row],[JUMLAH]]="","",(NOTA[[#This Row],[JUMLAH]]-NOTA[[#This Row],[DISC 1-]]-NOTA[[#This Row],[DISC 2-]])*NOTA[[#This Row],[DISC 3]])</f>
        <v>0</v>
      </c>
      <c r="AB615" s="66">
        <f>IF(NOTA[[#This Row],[JUMLAH]]="","",NOTA[[#This Row],[DISC 1-]]+NOTA[[#This Row],[DISC 2-]]+NOTA[[#This Row],[DISC 3-]])</f>
        <v>0</v>
      </c>
      <c r="AC615" s="66">
        <f>IF(NOTA[[#This Row],[JUMLAH]]="","",NOTA[[#This Row],[JUMLAH]]-NOTA[[#This Row],[DISC]])</f>
        <v>1792000</v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>
        <f>IF(NOTA[[#This Row],[NAMA BARANG]]="","",IF(NOTA[[#This Row],[JUMLAH_H]]="",NOTA[[#This Row],[HARGA/ CTN]],NOTA[[#This Row],[QTY]]*NOTA[[#This Row],[HARGA SATUAN]]/IF(ISNUMBER(NOTA[[#This Row],[C]]),NOTA[[#This Row],[C]],1)))</f>
        <v>896000</v>
      </c>
      <c r="AH615" s="66">
        <f>IF(OR(NOTA[[#This Row],[QTY]]="",NOTA[[#This Row],[HARGA SATUAN]]="",),"",NOTA[[#This Row],[QTY]]*NOTA[[#This Row],[HARGA SATUAN]])</f>
        <v>1792000</v>
      </c>
      <c r="AI615" s="60">
        <f ca="1">IF(NOTA[ID_H]="","",INDEX(NOTA[TANGGAL],MATCH(,INDIRECT(ADDRESS(ROW(NOTA[TANGGAL]),COLUMN(NOTA[TANGGAL]))&amp;":"&amp;ADDRESS(ROW(),COLUMN(NOTA[TANGGAL]))),-1)))</f>
        <v>45311</v>
      </c>
      <c r="AJ615" s="55" t="str">
        <f ca="1">IF(NOTA[[#This Row],[NAMA BARANG]]="","",INDEX(NOTA[SUPPLIER],MATCH(,INDIRECT(ADDRESS(ROW(NOTA[ID]),COLUMN(NOTA[ID]))&amp;":"&amp;ADDRESS(ROW(),COLUMN(NOTA[ID]))),-1)))</f>
        <v>PMJP</v>
      </c>
      <c r="AK615" s="55" t="str">
        <f ca="1">IF(NOTA[[#This Row],[ID_H]]="","",IF(NOTA[[#This Row],[FAKTUR]]="",INDIRECT(ADDRESS(ROW()-1,COLUMN())),NOTA[[#This Row],[FAKTUR]]))</f>
        <v>UNTANA</v>
      </c>
      <c r="AL615" s="56" t="str">
        <f ca="1">IF(NOTA[[#This Row],[ID]]="","",COUNTIF(NOTA[ID_H],NOTA[[#This Row],[ID_H]]))</f>
        <v/>
      </c>
      <c r="AM615" s="56">
        <f ca="1">IF(NOTA[[#This Row],[TGL.NOTA]]="",IF(NOTA[[#This Row],[SUPPLIER_H]]="","",AM614),MONTH(NOTA[[#This Row],[TGL.NOTA]]))</f>
        <v>1</v>
      </c>
      <c r="AN615" s="56" t="str">
        <f>LOWER(SUBSTITUTE(SUBSTITUTE(SUBSTITUTE(SUBSTITUTE(SUBSTITUTE(SUBSTITUTE(SUBSTITUTE(SUBSTITUTE(SUBSTITUTE(NOTA[NAMA BARANG]," ",),".",""),"-",""),"(",""),")",""),",",""),"/",""),"""",""),"+",""))</f>
        <v>celenganm</v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celenganm896000</v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celenganm896000</v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>
        <f>IF(NOTA[[#This Row],[CONCAT1]]="","",MATCH(NOTA[[#This Row],[CONCAT1]],[3]!db[NB NOTA_C],0))</f>
        <v>638</v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>10 LSN</v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celenganm10lsnuntana</v>
      </c>
      <c r="AW615" s="56" t="e">
        <f ca="1">IF(NOTA[[#This Row],[ID_H]]="","",MATCH(NOTA[[#This Row],[NB NOTA_C_QTY]],[4]!db[NB NOTA_C_QTY+F],0))</f>
        <v>#REF!</v>
      </c>
      <c r="AX615" s="68">
        <f ca="1">IF(NOTA[[#This Row],[NB NOTA_C_QTY]]="","",ROW()-2)</f>
        <v>613</v>
      </c>
    </row>
    <row r="616" spans="1:51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100</v>
      </c>
      <c r="E616" s="57"/>
      <c r="F616" s="37"/>
      <c r="G616" s="37"/>
      <c r="H616" s="47"/>
      <c r="I616" s="58"/>
      <c r="J616" s="60"/>
      <c r="K616" s="58"/>
      <c r="L616" s="37" t="s">
        <v>717</v>
      </c>
      <c r="M616" s="61">
        <v>2</v>
      </c>
      <c r="N616" s="56">
        <v>20</v>
      </c>
      <c r="O616" s="37" t="s">
        <v>111</v>
      </c>
      <c r="P616" s="55">
        <v>70000</v>
      </c>
      <c r="Q616" s="62"/>
      <c r="R616" s="63"/>
      <c r="S616" s="64"/>
      <c r="T616" s="65"/>
      <c r="U616" s="65"/>
      <c r="V616" s="66"/>
      <c r="W616" s="45"/>
      <c r="X616" s="66">
        <f>IF(NOTA[[#This Row],[HARGA/ CTN]]="",NOTA[[#This Row],[JUMLAH_H]],NOTA[[#This Row],[HARGA/ CTN]]*IF(NOTA[[#This Row],[C]]="",0,NOTA[[#This Row],[C]]))</f>
        <v>1400000</v>
      </c>
      <c r="Y616" s="66">
        <f>IF(NOTA[[#This Row],[JUMLAH]]="","",NOTA[[#This Row],[JUMLAH]]*NOTA[[#This Row],[DISC 1]])</f>
        <v>0</v>
      </c>
      <c r="Z616" s="66">
        <f>IF(NOTA[[#This Row],[JUMLAH]]="","",(NOTA[[#This Row],[JUMLAH]]-NOTA[[#This Row],[DISC 1-]])*NOTA[[#This Row],[DISC 2]])</f>
        <v>0</v>
      </c>
      <c r="AA616" s="66">
        <f>IF(NOTA[[#This Row],[JUMLAH]]="","",(NOTA[[#This Row],[JUMLAH]]-NOTA[[#This Row],[DISC 1-]]-NOTA[[#This Row],[DISC 2-]])*NOTA[[#This Row],[DISC 3]])</f>
        <v>0</v>
      </c>
      <c r="AB616" s="66">
        <f>IF(NOTA[[#This Row],[JUMLAH]]="","",NOTA[[#This Row],[DISC 1-]]+NOTA[[#This Row],[DISC 2-]]+NOTA[[#This Row],[DISC 3-]])</f>
        <v>0</v>
      </c>
      <c r="AC616" s="66">
        <f>IF(NOTA[[#This Row],[JUMLAH]]="","",NOTA[[#This Row],[JUMLAH]]-NOTA[[#This Row],[DISC]])</f>
        <v>1400000</v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616" s="66">
        <f>IF(OR(NOTA[[#This Row],[QTY]]="",NOTA[[#This Row],[HARGA SATUAN]]="",),"",NOTA[[#This Row],[QTY]]*NOTA[[#This Row],[HARGA SATUAN]])</f>
        <v>1400000</v>
      </c>
      <c r="AI616" s="60">
        <f ca="1">IF(NOTA[ID_H]="","",INDEX(NOTA[TANGGAL],MATCH(,INDIRECT(ADDRESS(ROW(NOTA[TANGGAL]),COLUMN(NOTA[TANGGAL]))&amp;":"&amp;ADDRESS(ROW(),COLUMN(NOTA[TANGGAL]))),-1)))</f>
        <v>45311</v>
      </c>
      <c r="AJ616" s="55" t="str">
        <f ca="1">IF(NOTA[[#This Row],[NAMA BARANG]]="","",INDEX(NOTA[SUPPLIER],MATCH(,INDIRECT(ADDRESS(ROW(NOTA[ID]),COLUMN(NOTA[ID]))&amp;":"&amp;ADDRESS(ROW(),COLUMN(NOTA[ID]))),-1)))</f>
        <v>PMJP</v>
      </c>
      <c r="AK616" s="55" t="str">
        <f ca="1">IF(NOTA[[#This Row],[ID_H]]="","",IF(NOTA[[#This Row],[FAKTUR]]="",INDIRECT(ADDRESS(ROW()-1,COLUMN())),NOTA[[#This Row],[FAKTUR]]))</f>
        <v>UNTANA</v>
      </c>
      <c r="AL616" s="56" t="str">
        <f ca="1">IF(NOTA[[#This Row],[ID]]="","",COUNTIF(NOTA[ID_H],NOTA[[#This Row],[ID_H]]))</f>
        <v/>
      </c>
      <c r="AM616" s="56">
        <f ca="1">IF(NOTA[[#This Row],[TGL.NOTA]]="",IF(NOTA[[#This Row],[SUPPLIER_H]]="","",AM615),MONTH(NOTA[[#This Row],[TGL.NOTA]]))</f>
        <v>1</v>
      </c>
      <c r="AN616" s="56" t="str">
        <f>LOWER(SUBSTITUTE(SUBSTITUTE(SUBSTITUTE(SUBSTITUTE(SUBSTITUTE(SUBSTITUTE(SUBSTITUTE(SUBSTITUTE(SUBSTITUTE(NOTA[NAMA BARANG]," ",),".",""),"-",""),"(",""),")",""),",",""),"/",""),"""",""),"+",""))</f>
        <v>celenganl</v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celenganl700000</v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celenganl700000</v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>
        <f>IF(NOTA[[#This Row],[CONCAT1]]="","",MATCH(NOTA[[#This Row],[CONCAT1]],[3]!db[NB NOTA_C],0))</f>
        <v>637</v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>10 LSN</v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celenganl10lsnuntana</v>
      </c>
      <c r="AW616" s="56" t="e">
        <f ca="1">IF(NOTA[[#This Row],[ID_H]]="","",MATCH(NOTA[[#This Row],[NB NOTA_C_QTY]],[4]!db[NB NOTA_C_QTY+F],0))</f>
        <v>#REF!</v>
      </c>
      <c r="AX616" s="68">
        <f ca="1">IF(NOTA[[#This Row],[NB NOTA_C_QTY]]="","",ROW()-2)</f>
        <v>614</v>
      </c>
    </row>
    <row r="617" spans="1:51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>
        <f ca="1">IF(NOTA[[#This Row],[NAMA BARANG]]="","",INDEX(NOTA[ID],MATCH(,INDIRECT(ADDRESS(ROW(NOTA[ID]),COLUMN(NOTA[ID]))&amp;":"&amp;ADDRESS(ROW(),COLUMN(NOTA[ID]))),-1)))</f>
        <v>100</v>
      </c>
      <c r="E617" s="57"/>
      <c r="F617" s="58"/>
      <c r="G617" s="58"/>
      <c r="H617" s="59"/>
      <c r="I617" s="58"/>
      <c r="J617" s="60"/>
      <c r="K617" s="58"/>
      <c r="L617" s="37" t="s">
        <v>718</v>
      </c>
      <c r="M617" s="61">
        <v>2</v>
      </c>
      <c r="N617" s="56">
        <v>12</v>
      </c>
      <c r="O617" s="37" t="s">
        <v>111</v>
      </c>
      <c r="P617" s="55">
        <v>85000</v>
      </c>
      <c r="Q617" s="62"/>
      <c r="R617" s="63"/>
      <c r="S617" s="64"/>
      <c r="T617" s="65"/>
      <c r="U617" s="65"/>
      <c r="V617" s="66"/>
      <c r="W617" s="67"/>
      <c r="X617" s="66">
        <f>IF(NOTA[[#This Row],[HARGA/ CTN]]="",NOTA[[#This Row],[JUMLAH_H]],NOTA[[#This Row],[HARGA/ CTN]]*IF(NOTA[[#This Row],[C]]="",0,NOTA[[#This Row],[C]]))</f>
        <v>1020000</v>
      </c>
      <c r="Y617" s="66">
        <f>IF(NOTA[[#This Row],[JUMLAH]]="","",NOTA[[#This Row],[JUMLAH]]*NOTA[[#This Row],[DISC 1]])</f>
        <v>0</v>
      </c>
      <c r="Z617" s="66">
        <f>IF(NOTA[[#This Row],[JUMLAH]]="","",(NOTA[[#This Row],[JUMLAH]]-NOTA[[#This Row],[DISC 1-]])*NOTA[[#This Row],[DISC 2]])</f>
        <v>0</v>
      </c>
      <c r="AA617" s="66">
        <f>IF(NOTA[[#This Row],[JUMLAH]]="","",(NOTA[[#This Row],[JUMLAH]]-NOTA[[#This Row],[DISC 1-]]-NOTA[[#This Row],[DISC 2-]])*NOTA[[#This Row],[DISC 3]])</f>
        <v>0</v>
      </c>
      <c r="AB617" s="66">
        <f>IF(NOTA[[#This Row],[JUMLAH]]="","",NOTA[[#This Row],[DISC 1-]]+NOTA[[#This Row],[DISC 2-]]+NOTA[[#This Row],[DISC 3-]])</f>
        <v>0</v>
      </c>
      <c r="AC617" s="66">
        <f>IF(NOTA[[#This Row],[JUMLAH]]="","",NOTA[[#This Row],[JUMLAH]]-NOTA[[#This Row],[DISC]])</f>
        <v>1020000</v>
      </c>
      <c r="AD617" s="66"/>
      <c r="AE6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5716000</v>
      </c>
      <c r="AG617" s="55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H617" s="66">
        <f>IF(OR(NOTA[[#This Row],[QTY]]="",NOTA[[#This Row],[HARGA SATUAN]]="",),"",NOTA[[#This Row],[QTY]]*NOTA[[#This Row],[HARGA SATUAN]])</f>
        <v>1020000</v>
      </c>
      <c r="AI617" s="60">
        <f ca="1">IF(NOTA[ID_H]="","",INDEX(NOTA[TANGGAL],MATCH(,INDIRECT(ADDRESS(ROW(NOTA[TANGGAL]),COLUMN(NOTA[TANGGAL]))&amp;":"&amp;ADDRESS(ROW(),COLUMN(NOTA[TANGGAL]))),-1)))</f>
        <v>45311</v>
      </c>
      <c r="AJ617" s="55" t="str">
        <f ca="1">IF(NOTA[[#This Row],[NAMA BARANG]]="","",INDEX(NOTA[SUPPLIER],MATCH(,INDIRECT(ADDRESS(ROW(NOTA[ID]),COLUMN(NOTA[ID]))&amp;":"&amp;ADDRESS(ROW(),COLUMN(NOTA[ID]))),-1)))</f>
        <v>PMJP</v>
      </c>
      <c r="AK617" s="55" t="str">
        <f ca="1">IF(NOTA[[#This Row],[ID_H]]="","",IF(NOTA[[#This Row],[FAKTUR]]="",INDIRECT(ADDRESS(ROW()-1,COLUMN())),NOTA[[#This Row],[FAKTUR]]))</f>
        <v>UNTANA</v>
      </c>
      <c r="AL617" s="56" t="str">
        <f ca="1">IF(NOTA[[#This Row],[ID]]="","",COUNTIF(NOTA[ID_H],NOTA[[#This Row],[ID_H]]))</f>
        <v/>
      </c>
      <c r="AM617" s="56">
        <f ca="1">IF(NOTA[[#This Row],[TGL.NOTA]]="",IF(NOTA[[#This Row],[SUPPLIER_H]]="","",AM616),MONTH(NOTA[[#This Row],[TGL.NOTA]]))</f>
        <v>1</v>
      </c>
      <c r="AN617" s="56" t="str">
        <f>LOWER(SUBSTITUTE(SUBSTITUTE(SUBSTITUTE(SUBSTITUTE(SUBSTITUTE(SUBSTITUTE(SUBSTITUTE(SUBSTITUTE(SUBSTITUTE(NOTA[NAMA BARANG]," ",),".",""),"-",""),"(",""),")",""),",",""),"/",""),"""",""),"+",""))</f>
        <v>celenganxl</v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celenganxl510000</v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celenganxl510000</v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>
        <f>IF(NOTA[[#This Row],[CONCAT1]]="","",MATCH(NOTA[[#This Row],[CONCAT1]],[3]!db[NB NOTA_C],0))</f>
        <v>640</v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>6 LSN</v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celenganxl6lsnuntana</v>
      </c>
      <c r="AW617" s="56" t="e">
        <f ca="1">IF(NOTA[[#This Row],[ID_H]]="","",MATCH(NOTA[[#This Row],[NB NOTA_C_QTY]],[4]!db[NB NOTA_C_QTY+F],0))</f>
        <v>#REF!</v>
      </c>
      <c r="AX617" s="68">
        <f ca="1">IF(NOTA[[#This Row],[NB NOTA_C_QTY]]="","",ROW()-2)</f>
        <v>615</v>
      </c>
    </row>
    <row r="618" spans="1:51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37"/>
      <c r="G618" s="37"/>
      <c r="H618" s="47"/>
      <c r="I618" s="58"/>
      <c r="J618" s="60"/>
      <c r="K618" s="58"/>
      <c r="L618" s="37"/>
      <c r="M618" s="61"/>
      <c r="N618" s="56"/>
      <c r="O618" s="37"/>
      <c r="P618" s="55"/>
      <c r="Q618" s="62"/>
      <c r="R618" s="48"/>
      <c r="S618" s="64"/>
      <c r="T618" s="65"/>
      <c r="U618" s="65"/>
      <c r="V618" s="66"/>
      <c r="W618" s="45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1" s="38" customFormat="1" ht="20.100000000000001" customHeight="1" x14ac:dyDescent="0.25">
      <c r="A619" s="55">
        <f ca="1">IF(INDIRECT(ADDRESS(ROW()-1,COLUMN(NOTA[[#Headers],[ID]])))="ID",1,IF(NOTA[[#This Row],[FAKTUR]]="","",COUNT(INDIRECT(ADDRESS(ROW(NOTA[ID]),COLUMN(NOTA[ID]))&amp;":"&amp;ADDRESS(ROW()-1,COLUMN(NOTA[ID]))))+1))</f>
        <v>101</v>
      </c>
      <c r="B6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NCL_1901_-4</v>
      </c>
      <c r="C619" s="56" t="e">
        <f ca="1">IF(NOTA[[#This Row],[ID_P]]="","",MATCH(NOTA[[#This Row],[ID_P]],[1]!B_MSK[N_ID],0))</f>
        <v>#REF!</v>
      </c>
      <c r="D619" s="56">
        <f ca="1">IF(NOTA[[#This Row],[NAMA BARANG]]="","",INDEX(NOTA[ID],MATCH(,INDIRECT(ADDRESS(ROW(NOTA[ID]),COLUMN(NOTA[ID]))&amp;":"&amp;ADDRESS(ROW(),COLUMN(NOTA[ID]))),-1)))</f>
        <v>101</v>
      </c>
      <c r="E619" s="57">
        <v>45310</v>
      </c>
      <c r="F619" s="37" t="s">
        <v>108</v>
      </c>
      <c r="G619" s="37" t="s">
        <v>23</v>
      </c>
      <c r="H619" s="59"/>
      <c r="I619" s="58"/>
      <c r="J619" s="60">
        <v>45306</v>
      </c>
      <c r="K619" s="58">
        <v>0</v>
      </c>
      <c r="L619" s="37" t="s">
        <v>719</v>
      </c>
      <c r="M619" s="61">
        <v>1</v>
      </c>
      <c r="N619" s="56">
        <v>50</v>
      </c>
      <c r="O619" s="37" t="s">
        <v>720</v>
      </c>
      <c r="P619" s="55">
        <v>67568</v>
      </c>
      <c r="Q619" s="62"/>
      <c r="R619" s="63"/>
      <c r="S619" s="64">
        <v>0.2</v>
      </c>
      <c r="T619" s="65"/>
      <c r="U619" s="65"/>
      <c r="V619" s="66"/>
      <c r="W619" s="45"/>
      <c r="X619" s="66">
        <f>IF(NOTA[[#This Row],[HARGA/ CTN]]="",NOTA[[#This Row],[JUMLAH_H]],NOTA[[#This Row],[HARGA/ CTN]]*IF(NOTA[[#This Row],[C]]="",0,NOTA[[#This Row],[C]]))</f>
        <v>3378400</v>
      </c>
      <c r="Y619" s="66">
        <f>IF(NOTA[[#This Row],[JUMLAH]]="","",NOTA[[#This Row],[JUMLAH]]*NOTA[[#This Row],[DISC 1]])</f>
        <v>675680</v>
      </c>
      <c r="Z619" s="66">
        <f>IF(NOTA[[#This Row],[JUMLAH]]="","",(NOTA[[#This Row],[JUMLAH]]-NOTA[[#This Row],[DISC 1-]])*NOTA[[#This Row],[DISC 2]])</f>
        <v>0</v>
      </c>
      <c r="AA619" s="66">
        <f>IF(NOTA[[#This Row],[JUMLAH]]="","",(NOTA[[#This Row],[JUMLAH]]-NOTA[[#This Row],[DISC 1-]]-NOTA[[#This Row],[DISC 2-]])*NOTA[[#This Row],[DISC 3]])</f>
        <v>0</v>
      </c>
      <c r="AB619" s="66">
        <f>IF(NOTA[[#This Row],[JUMLAH]]="","",NOTA[[#This Row],[DISC 1-]]+NOTA[[#This Row],[DISC 2-]]+NOTA[[#This Row],[DISC 3-]])</f>
        <v>675680</v>
      </c>
      <c r="AC619" s="66">
        <f>IF(NOTA[[#This Row],[JUMLAH]]="","",NOTA[[#This Row],[JUMLAH]]-NOTA[[#This Row],[DISC]])</f>
        <v>2702720</v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>
        <f>IF(NOTA[[#This Row],[NAMA BARANG]]="","",IF(NOTA[[#This Row],[JUMLAH_H]]="",NOTA[[#This Row],[HARGA/ CTN]],NOTA[[#This Row],[QTY]]*NOTA[[#This Row],[HARGA SATUAN]]/IF(ISNUMBER(NOTA[[#This Row],[C]]),NOTA[[#This Row],[C]],1)))</f>
        <v>3378400</v>
      </c>
      <c r="AH619" s="66">
        <f>IF(OR(NOTA[[#This Row],[QTY]]="",NOTA[[#This Row],[HARGA SATUAN]]="",),"",NOTA[[#This Row],[QTY]]*NOTA[[#This Row],[HARGA SATUAN]])</f>
        <v>3378400</v>
      </c>
      <c r="AI619" s="60">
        <f ca="1">IF(NOTA[ID_H]="","",INDEX(NOTA[TANGGAL],MATCH(,INDIRECT(ADDRESS(ROW(NOTA[TANGGAL]),COLUMN(NOTA[TANGGAL]))&amp;":"&amp;ADDRESS(ROW(),COLUMN(NOTA[TANGGAL]))),-1)))</f>
        <v>45310</v>
      </c>
      <c r="AJ619" s="55" t="str">
        <f ca="1">IF(NOTA[[#This Row],[NAMA BARANG]]="","",INDEX(NOTA[SUPPLIER],MATCH(,INDIRECT(ADDRESS(ROW(NOTA[ID]),COLUMN(NOTA[ID]))&amp;":"&amp;ADDRESS(ROW(),COLUMN(NOTA[ID]))),-1)))</f>
        <v>NCL</v>
      </c>
      <c r="AK619" s="55" t="str">
        <f ca="1">IF(NOTA[[#This Row],[ID_H]]="","",IF(NOTA[[#This Row],[FAKTUR]]="",INDIRECT(ADDRESS(ROW()-1,COLUMN())),NOTA[[#This Row],[FAKTUR]]))</f>
        <v>ARTO MORO</v>
      </c>
      <c r="AL619" s="56">
        <f ca="1">IF(NOTA[[#This Row],[ID]]="","",COUNTIF(NOTA[ID_H],NOTA[[#This Row],[ID_H]]))</f>
        <v>4</v>
      </c>
      <c r="AM619" s="56">
        <f>IF(NOTA[[#This Row],[TGL.NOTA]]="",IF(NOTA[[#This Row],[SUPPLIER_H]]="","",AM618),MONTH(NOTA[[#This Row],[TGL.NOTA]]))</f>
        <v>1</v>
      </c>
      <c r="AN619" s="56" t="str">
        <f>LOWER(SUBSTITUTE(SUBSTITUTE(SUBSTITUTE(SUBSTITUTE(SUBSTITUTE(SUBSTITUTE(SUBSTITUTE(SUBSTITUTE(SUBSTITUTE(NOTA[NAMA BARANG]," ",),".",""),"-",""),"(",""),")",""),",",""),"/",""),"""",""),"+",""))</f>
        <v>balonmetalik122820x5lmp2800</v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balonmetalik122820x5lmp280033784000.2</v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balonmetalik122820x5lmp280033784000.2</v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>NCLARTO MORO45306balonmetalik122820x5lmp2800</v>
      </c>
      <c r="AR619" s="56" t="e">
        <f>IF(NOTA[[#This Row],[CONCAT4]]="","",_xlfn.IFNA(MATCH(NOTA[[#This Row],[CONCAT4]],[2]!RAW[CONCAT_H],0),FALSE))</f>
        <v>#REF!</v>
      </c>
      <c r="AS619" s="56">
        <f>IF(NOTA[[#This Row],[CONCAT1]]="","",MATCH(NOTA[[#This Row],[CONCAT1]],[3]!db[NB NOTA_C],0))</f>
        <v>200</v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>50 LPG</v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balonmetalik122820x5lmp280050lpgartomoro</v>
      </c>
      <c r="AW619" s="56" t="e">
        <f ca="1">IF(NOTA[[#This Row],[ID_H]]="","",MATCH(NOTA[[#This Row],[NB NOTA_C_QTY]],[4]!db[NB NOTA_C_QTY+F],0))</f>
        <v>#REF!</v>
      </c>
      <c r="AX619" s="68">
        <f ca="1">IF(NOTA[[#This Row],[NB NOTA_C_QTY]]="","",ROW()-2)</f>
        <v>617</v>
      </c>
    </row>
    <row r="620" spans="1:51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>
        <f ca="1">IF(NOTA[[#This Row],[NAMA BARANG]]="","",INDEX(NOTA[ID],MATCH(,INDIRECT(ADDRESS(ROW(NOTA[ID]),COLUMN(NOTA[ID]))&amp;":"&amp;ADDRESS(ROW(),COLUMN(NOTA[ID]))),-1)))</f>
        <v>101</v>
      </c>
      <c r="E620" s="57"/>
      <c r="F620" s="37"/>
      <c r="G620" s="37"/>
      <c r="H620" s="47"/>
      <c r="I620" s="58"/>
      <c r="J620" s="60"/>
      <c r="K620" s="58">
        <v>1</v>
      </c>
      <c r="L620" s="37" t="s">
        <v>721</v>
      </c>
      <c r="M620" s="61">
        <v>2</v>
      </c>
      <c r="N620" s="56">
        <v>96</v>
      </c>
      <c r="O620" s="37" t="s">
        <v>720</v>
      </c>
      <c r="P620" s="55">
        <v>99100</v>
      </c>
      <c r="Q620" s="62"/>
      <c r="R620" s="48" t="s">
        <v>722</v>
      </c>
      <c r="S620" s="64">
        <v>0.2</v>
      </c>
      <c r="T620" s="65"/>
      <c r="U620" s="65"/>
      <c r="V620" s="66"/>
      <c r="W620" s="67"/>
      <c r="X620" s="66">
        <f>IF(NOTA[[#This Row],[HARGA/ CTN]]="",NOTA[[#This Row],[JUMLAH_H]],NOTA[[#This Row],[HARGA/ CTN]]*IF(NOTA[[#This Row],[C]]="",0,NOTA[[#This Row],[C]]))</f>
        <v>9513600</v>
      </c>
      <c r="Y620" s="66">
        <f>IF(NOTA[[#This Row],[JUMLAH]]="","",NOTA[[#This Row],[JUMLAH]]*NOTA[[#This Row],[DISC 1]])</f>
        <v>1902720</v>
      </c>
      <c r="Z620" s="66">
        <f>IF(NOTA[[#This Row],[JUMLAH]]="","",(NOTA[[#This Row],[JUMLAH]]-NOTA[[#This Row],[DISC 1-]])*NOTA[[#This Row],[DISC 2]])</f>
        <v>0</v>
      </c>
      <c r="AA620" s="66">
        <f>IF(NOTA[[#This Row],[JUMLAH]]="","",(NOTA[[#This Row],[JUMLAH]]-NOTA[[#This Row],[DISC 1-]]-NOTA[[#This Row],[DISC 2-]])*NOTA[[#This Row],[DISC 3]])</f>
        <v>0</v>
      </c>
      <c r="AB620" s="66">
        <f>IF(NOTA[[#This Row],[JUMLAH]]="","",NOTA[[#This Row],[DISC 1-]]+NOTA[[#This Row],[DISC 2-]]+NOTA[[#This Row],[DISC 3-]])</f>
        <v>1902720</v>
      </c>
      <c r="AC620" s="66">
        <f>IF(NOTA[[#This Row],[JUMLAH]]="","",NOTA[[#This Row],[JUMLAH]]-NOTA[[#This Row],[DISC]])</f>
        <v>7610880</v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>
        <f>IF(NOTA[[#This Row],[NAMA BARANG]]="","",IF(NOTA[[#This Row],[JUMLAH_H]]="",NOTA[[#This Row],[HARGA/ CTN]],NOTA[[#This Row],[QTY]]*NOTA[[#This Row],[HARGA SATUAN]]/IF(ISNUMBER(NOTA[[#This Row],[C]]),NOTA[[#This Row],[C]],1)))</f>
        <v>4756800</v>
      </c>
      <c r="AH620" s="66">
        <f>IF(OR(NOTA[[#This Row],[QTY]]="",NOTA[[#This Row],[HARGA SATUAN]]="",),"",NOTA[[#This Row],[QTY]]*NOTA[[#This Row],[HARGA SATUAN]])</f>
        <v>9513600</v>
      </c>
      <c r="AI620" s="60">
        <f ca="1">IF(NOTA[ID_H]="","",INDEX(NOTA[TANGGAL],MATCH(,INDIRECT(ADDRESS(ROW(NOTA[TANGGAL]),COLUMN(NOTA[TANGGAL]))&amp;":"&amp;ADDRESS(ROW(),COLUMN(NOTA[TANGGAL]))),-1)))</f>
        <v>45310</v>
      </c>
      <c r="AJ620" s="55" t="str">
        <f ca="1">IF(NOTA[[#This Row],[NAMA BARANG]]="","",INDEX(NOTA[SUPPLIER],MATCH(,INDIRECT(ADDRESS(ROW(NOTA[ID]),COLUMN(NOTA[ID]))&amp;":"&amp;ADDRESS(ROW(),COLUMN(NOTA[ID]))),-1)))</f>
        <v>NCL</v>
      </c>
      <c r="AK620" s="55" t="str">
        <f ca="1">IF(NOTA[[#This Row],[ID_H]]="","",IF(NOTA[[#This Row],[FAKTUR]]="",INDIRECT(ADDRESS(ROW()-1,COLUMN())),NOTA[[#This Row],[FAKTUR]]))</f>
        <v>ARTO MORO</v>
      </c>
      <c r="AL620" s="56" t="str">
        <f ca="1">IF(NOTA[[#This Row],[ID]]="","",COUNTIF(NOTA[ID_H],NOTA[[#This Row],[ID_H]]))</f>
        <v/>
      </c>
      <c r="AM620" s="56">
        <f ca="1">IF(NOTA[[#This Row],[TGL.NOTA]]="",IF(NOTA[[#This Row],[SUPPLIER_H]]="","",AM619),MONTH(NOTA[[#This Row],[TGL.NOTA]]))</f>
        <v>1</v>
      </c>
      <c r="AN620" s="56" t="str">
        <f>LOWER(SUBSTITUTE(SUBSTITUTE(SUBSTITUTE(SUBSTITUTE(SUBSTITUTE(SUBSTITUTE(SUBSTITUTE(SUBSTITUTE(SUBSTITUTE(NOTA[NAMA BARANG]," ",),".",""),"-",""),"(",""),")",""),",",""),"/",""),"""",""),"+",""))</f>
        <v>balonsmilewarna20x5lks3200sw</v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balonsmilewarna20x5lks3200sw47568000.2</v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balonsmilewarna20x5lks3200sw47568000.2</v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>
        <f>IF(NOTA[[#This Row],[CONCAT1]]="","",MATCH(NOTA[[#This Row],[CONCAT1]],[3]!db[NB NOTA_C],0))</f>
        <v>203</v>
      </c>
      <c r="AT620" s="56" t="b">
        <f>IF(NOTA[[#This Row],[QTY/ CTN]]="","",TRUE)</f>
        <v>1</v>
      </c>
      <c r="AU620" s="56" t="str">
        <f ca="1">IF(NOTA[[#This Row],[ID_H]]="","",IF(NOTA[[#This Row],[Column3]]=TRUE,NOTA[[#This Row],[QTY/ CTN]],INDEX([3]!db[QTY/ CTN],NOTA[[#This Row],[//DB]])))</f>
        <v>48 LPG</v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balonsmilewarna20x5lks3200sw48lpgartomoro</v>
      </c>
      <c r="AW620" s="56" t="e">
        <f ca="1">IF(NOTA[[#This Row],[ID_H]]="","",MATCH(NOTA[[#This Row],[NB NOTA_C_QTY]],[4]!db[NB NOTA_C_QTY+F],0))</f>
        <v>#REF!</v>
      </c>
      <c r="AX620" s="68">
        <f ca="1">IF(NOTA[[#This Row],[NB NOTA_C_QTY]]="","",ROW()-2)</f>
        <v>618</v>
      </c>
    </row>
    <row r="621" spans="1:51" s="38" customFormat="1" ht="20.100000000000001" customHeight="1" x14ac:dyDescent="0.25">
      <c r="A621" s="9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10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100" t="str">
        <f>IF(NOTA[[#This Row],[ID_P]]="","",MATCH(NOTA[[#This Row],[ID_P]],[1]!B_MSK[N_ID],0))</f>
        <v/>
      </c>
      <c r="D621" s="100">
        <f ca="1">IF(NOTA[[#This Row],[NAMA BARANG]]="","",INDEX(NOTA[ID],MATCH(,INDIRECT(ADDRESS(ROW(NOTA[ID]),COLUMN(NOTA[ID]))&amp;":"&amp;ADDRESS(ROW(),COLUMN(NOTA[ID]))),-1)))</f>
        <v>101</v>
      </c>
      <c r="E621" s="101"/>
      <c r="F621" s="102"/>
      <c r="G621" s="102"/>
      <c r="H621" s="103"/>
      <c r="I621" s="102"/>
      <c r="J621" s="104"/>
      <c r="K621" s="102">
        <v>1</v>
      </c>
      <c r="L621" s="102" t="s">
        <v>724</v>
      </c>
      <c r="M621" s="105">
        <v>2</v>
      </c>
      <c r="N621" s="100">
        <v>80</v>
      </c>
      <c r="O621" s="102" t="s">
        <v>720</v>
      </c>
      <c r="P621" s="99">
        <v>112613</v>
      </c>
      <c r="Q621" s="106"/>
      <c r="R621" s="107">
        <v>40</v>
      </c>
      <c r="S621" s="108">
        <v>0.2</v>
      </c>
      <c r="T621" s="109"/>
      <c r="U621" s="109"/>
      <c r="V621" s="110"/>
      <c r="W621" s="111"/>
      <c r="X621" s="110">
        <f>IF(NOTA[[#This Row],[HARGA/ CTN]]="",NOTA[[#This Row],[JUMLAH_H]],NOTA[[#This Row],[HARGA/ CTN]]*IF(NOTA[[#This Row],[C]]="",0,NOTA[[#This Row],[C]]))</f>
        <v>9009040</v>
      </c>
      <c r="Y621" s="110">
        <f>IF(NOTA[[#This Row],[JUMLAH]]="","",NOTA[[#This Row],[JUMLAH]]*NOTA[[#This Row],[DISC 1]])</f>
        <v>1801808</v>
      </c>
      <c r="Z621" s="110">
        <f>IF(NOTA[[#This Row],[JUMLAH]]="","",(NOTA[[#This Row],[JUMLAH]]-NOTA[[#This Row],[DISC 1-]])*NOTA[[#This Row],[DISC 2]])</f>
        <v>0</v>
      </c>
      <c r="AA621" s="110">
        <f>IF(NOTA[[#This Row],[JUMLAH]]="","",(NOTA[[#This Row],[JUMLAH]]-NOTA[[#This Row],[DISC 1-]]-NOTA[[#This Row],[DISC 2-]])*NOTA[[#This Row],[DISC 3]])</f>
        <v>0</v>
      </c>
      <c r="AB621" s="110">
        <f>IF(NOTA[[#This Row],[JUMLAH]]="","",NOTA[[#This Row],[DISC 1-]]+NOTA[[#This Row],[DISC 2-]]+NOTA[[#This Row],[DISC 3-]])</f>
        <v>1801808</v>
      </c>
      <c r="AC621" s="110">
        <f>IF(NOTA[[#This Row],[JUMLAH]]="","",NOTA[[#This Row],[JUMLAH]]-NOTA[[#This Row],[DISC]])</f>
        <v>7207232</v>
      </c>
      <c r="AD621" s="110"/>
      <c r="AE621" s="11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11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99">
        <f>IF(NOTA[[#This Row],[NAMA BARANG]]="","",IF(NOTA[[#This Row],[JUMLAH_H]]="",NOTA[[#This Row],[HARGA/ CTN]],NOTA[[#This Row],[QTY]]*NOTA[[#This Row],[HARGA SATUAN]]/IF(ISNUMBER(NOTA[[#This Row],[C]]),NOTA[[#This Row],[C]],1)))</f>
        <v>4504520</v>
      </c>
      <c r="AH621" s="110">
        <f>IF(OR(NOTA[[#This Row],[QTY]]="",NOTA[[#This Row],[HARGA SATUAN]]="",),"",NOTA[[#This Row],[QTY]]*NOTA[[#This Row],[HARGA SATUAN]])</f>
        <v>9009040</v>
      </c>
      <c r="AI621" s="104">
        <f ca="1">IF(NOTA[ID_H]="","",INDEX(NOTA[TANGGAL],MATCH(,INDIRECT(ADDRESS(ROW(NOTA[TANGGAL]),COLUMN(NOTA[TANGGAL]))&amp;":"&amp;ADDRESS(ROW(),COLUMN(NOTA[TANGGAL]))),-1)))</f>
        <v>45310</v>
      </c>
      <c r="AJ621" s="99" t="str">
        <f ca="1">IF(NOTA[[#This Row],[NAMA BARANG]]="","",INDEX(NOTA[SUPPLIER],MATCH(,INDIRECT(ADDRESS(ROW(NOTA[ID]),COLUMN(NOTA[ID]))&amp;":"&amp;ADDRESS(ROW(),COLUMN(NOTA[ID]))),-1)))</f>
        <v>NCL</v>
      </c>
      <c r="AK621" s="99" t="str">
        <f ca="1">IF(NOTA[[#This Row],[ID_H]]="","",IF(NOTA[[#This Row],[FAKTUR]]="",INDIRECT(ADDRESS(ROW()-1,COLUMN())),NOTA[[#This Row],[FAKTUR]]))</f>
        <v>ARTO MORO</v>
      </c>
      <c r="AL621" s="100" t="str">
        <f ca="1">IF(NOTA[[#This Row],[ID]]="","",COUNTIF(NOTA[ID_H],NOTA[[#This Row],[ID_H]]))</f>
        <v/>
      </c>
      <c r="AM621" s="100">
        <f ca="1">IF(NOTA[[#This Row],[TGL.NOTA]]="",IF(NOTA[[#This Row],[SUPPLIER_H]]="","",AM620),MONTH(NOTA[[#This Row],[TGL.NOTA]]))</f>
        <v>1</v>
      </c>
      <c r="AN621" s="100" t="str">
        <f>LOWER(SUBSTITUTE(SUBSTITUTE(SUBSTITUTE(SUBSTITUTE(SUBSTITUTE(SUBSTITUTE(SUBSTITUTE(SUBSTITUTE(SUBSTITUTE(NOTA[NAMA BARANG]," ",),".",""),"-",""),"(",""),")",""),",",""),"/",""),"""",""),"+",""))</f>
        <v>balonfscupcake20x5lkf3200m16</v>
      </c>
      <c r="AO621" s="10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balonfscupcake20x5lkf3200m1645045200.2</v>
      </c>
      <c r="AP621" s="10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balonfscupcake20x5lkf3200m1645045200.2</v>
      </c>
      <c r="AQ621" s="10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100" t="str">
        <f>IF(NOTA[[#This Row],[CONCAT4]]="","",_xlfn.IFNA(MATCH(NOTA[[#This Row],[CONCAT4]],[2]!RAW[CONCAT_H],0),FALSE))</f>
        <v/>
      </c>
      <c r="AS621" s="100">
        <f>IF(NOTA[[#This Row],[CONCAT1]]="","",MATCH(NOTA[[#This Row],[CONCAT1]],[3]!db[NB NOTA_C],0))</f>
        <v>181</v>
      </c>
      <c r="AT621" s="100" t="b">
        <f>IF(NOTA[[#This Row],[QTY/ CTN]]="","",TRUE)</f>
        <v>1</v>
      </c>
      <c r="AU621" s="100">
        <f ca="1">IF(NOTA[[#This Row],[ID_H]]="","",IF(NOTA[[#This Row],[Column3]]=TRUE,NOTA[[#This Row],[QTY/ CTN]],INDEX([3]!db[QTY/ CTN],NOTA[[#This Row],[//DB]])))</f>
        <v>40</v>
      </c>
      <c r="AV621" s="100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balonfscupcake20x5lkf3200m1640artomoro</v>
      </c>
      <c r="AW621" s="100" t="e">
        <f ca="1">IF(NOTA[[#This Row],[ID_H]]="","",MATCH(NOTA[[#This Row],[NB NOTA_C_QTY]],[4]!db[NB NOTA_C_QTY+F],0))</f>
        <v>#REF!</v>
      </c>
      <c r="AX621" s="112">
        <f ca="1">IF(NOTA[[#This Row],[NB NOTA_C_QTY]]="","",ROW()-2)</f>
        <v>619</v>
      </c>
      <c r="AY621" s="100"/>
    </row>
    <row r="622" spans="1:51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>
        <f ca="1">IF(NOTA[[#This Row],[NAMA BARANG]]="","",INDEX(NOTA[ID],MATCH(,INDIRECT(ADDRESS(ROW(NOTA[ID]),COLUMN(NOTA[ID]))&amp;":"&amp;ADDRESS(ROW(),COLUMN(NOTA[ID]))),-1)))</f>
        <v>101</v>
      </c>
      <c r="E622" s="57"/>
      <c r="F622" s="37"/>
      <c r="G622" s="37"/>
      <c r="H622" s="47"/>
      <c r="I622" s="58"/>
      <c r="J622" s="60"/>
      <c r="K622" s="58">
        <v>0</v>
      </c>
      <c r="L622" s="37" t="s">
        <v>723</v>
      </c>
      <c r="M622" s="61">
        <v>1</v>
      </c>
      <c r="N622" s="56">
        <v>50</v>
      </c>
      <c r="O622" s="37" t="s">
        <v>720</v>
      </c>
      <c r="P622" s="55">
        <v>67568</v>
      </c>
      <c r="Q622" s="62"/>
      <c r="R622" s="48"/>
      <c r="S622" s="64">
        <v>0.2</v>
      </c>
      <c r="T622" s="65"/>
      <c r="U622" s="65"/>
      <c r="V622" s="66"/>
      <c r="W622" s="67"/>
      <c r="X622" s="66">
        <f>IF(NOTA[[#This Row],[HARGA/ CTN]]="",NOTA[[#This Row],[JUMLAH_H]],NOTA[[#This Row],[HARGA/ CTN]]*IF(NOTA[[#This Row],[C]]="",0,NOTA[[#This Row],[C]]))</f>
        <v>3378400</v>
      </c>
      <c r="Y622" s="66">
        <f>IF(NOTA[[#This Row],[JUMLAH]]="","",NOTA[[#This Row],[JUMLAH]]*NOTA[[#This Row],[DISC 1]])</f>
        <v>675680</v>
      </c>
      <c r="Z622" s="66">
        <f>IF(NOTA[[#This Row],[JUMLAH]]="","",(NOTA[[#This Row],[JUMLAH]]-NOTA[[#This Row],[DISC 1-]])*NOTA[[#This Row],[DISC 2]])</f>
        <v>0</v>
      </c>
      <c r="AA622" s="66">
        <f>IF(NOTA[[#This Row],[JUMLAH]]="","",(NOTA[[#This Row],[JUMLAH]]-NOTA[[#This Row],[DISC 1-]]-NOTA[[#This Row],[DISC 2-]])*NOTA[[#This Row],[DISC 3]])</f>
        <v>0</v>
      </c>
      <c r="AB622" s="66">
        <f>IF(NOTA[[#This Row],[JUMLAH]]="","",NOTA[[#This Row],[DISC 1-]]+NOTA[[#This Row],[DISC 2-]]+NOTA[[#This Row],[DISC 3-]])</f>
        <v>675680</v>
      </c>
      <c r="AC622" s="66">
        <f>IF(NOTA[[#This Row],[JUMLAH]]="","",NOTA[[#This Row],[JUMLAH]]-NOTA[[#This Row],[DISC]])</f>
        <v>2702720</v>
      </c>
      <c r="AD622" s="66"/>
      <c r="AE6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5055888</v>
      </c>
      <c r="AF6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20223552</v>
      </c>
      <c r="AG622" s="55">
        <f>IF(NOTA[[#This Row],[NAMA BARANG]]="","",IF(NOTA[[#This Row],[JUMLAH_H]]="",NOTA[[#This Row],[HARGA/ CTN]],NOTA[[#This Row],[QTY]]*NOTA[[#This Row],[HARGA SATUAN]]/IF(ISNUMBER(NOTA[[#This Row],[C]]),NOTA[[#This Row],[C]],1)))</f>
        <v>3378400</v>
      </c>
      <c r="AH622" s="66">
        <f>IF(OR(NOTA[[#This Row],[QTY]]="",NOTA[[#This Row],[HARGA SATUAN]]="",),"",NOTA[[#This Row],[QTY]]*NOTA[[#This Row],[HARGA SATUAN]])</f>
        <v>3378400</v>
      </c>
      <c r="AI622" s="60">
        <f ca="1">IF(NOTA[ID_H]="","",INDEX(NOTA[TANGGAL],MATCH(,INDIRECT(ADDRESS(ROW(NOTA[TANGGAL]),COLUMN(NOTA[TANGGAL]))&amp;":"&amp;ADDRESS(ROW(),COLUMN(NOTA[TANGGAL]))),-1)))</f>
        <v>45310</v>
      </c>
      <c r="AJ622" s="55" t="str">
        <f ca="1">IF(NOTA[[#This Row],[NAMA BARANG]]="","",INDEX(NOTA[SUPPLIER],MATCH(,INDIRECT(ADDRESS(ROW(NOTA[ID]),COLUMN(NOTA[ID]))&amp;":"&amp;ADDRESS(ROW(),COLUMN(NOTA[ID]))),-1)))</f>
        <v>NCL</v>
      </c>
      <c r="AK622" s="55" t="str">
        <f ca="1">IF(NOTA[[#This Row],[ID_H]]="","",IF(NOTA[[#This Row],[FAKTUR]]="",INDIRECT(ADDRESS(ROW()-1,COLUMN())),NOTA[[#This Row],[FAKTUR]]))</f>
        <v>ARTO MORO</v>
      </c>
      <c r="AL622" s="56" t="str">
        <f ca="1">IF(NOTA[[#This Row],[ID]]="","",COUNTIF(NOTA[ID_H],NOTA[[#This Row],[ID_H]]))</f>
        <v/>
      </c>
      <c r="AM622" s="56">
        <f ca="1">IF(NOTA[[#This Row],[TGL.NOTA]]="",IF(NOTA[[#This Row],[SUPPLIER_H]]="","",AM620),MONTH(NOTA[[#This Row],[TGL.NOTA]]))</f>
        <v>1</v>
      </c>
      <c r="AN622" s="56" t="str">
        <f>LOWER(SUBSTITUTE(SUBSTITUTE(SUBSTITUTE(SUBSTITUTE(SUBSTITUTE(SUBSTITUTE(SUBSTITUTE(SUBSTITUTE(SUBSTITUTE(NOTA[NAMA BARANG]," ",),".",""),"-",""),"(",""),")",""),",",""),"/",""),"""",""),"+",""))</f>
        <v>balonfscupmacaron122812x5lkm2800</v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balonfscupmacaron122812x5lkm280033784000.2</v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balonfscupmacaron122812x5lkm280033784000.2</v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e">
        <f>IF(NOTA[[#This Row],[CONCAT1]]="","",MATCH(NOTA[[#This Row],[CONCAT1]],[3]!db[NB NOTA_C],0))</f>
        <v>#N/A</v>
      </c>
      <c r="AT622" s="56" t="str">
        <f>IF(NOTA[[#This Row],[QTY/ CTN]]="","",TRUE)</f>
        <v/>
      </c>
      <c r="AU622" s="56" t="e">
        <f ca="1">IF(NOTA[[#This Row],[ID_H]]="","",IF(NOTA[[#This Row],[Column3]]=TRUE,NOTA[[#This Row],[QTY/ CTN]],INDEX([3]!db[QTY/ CTN],NOTA[[#This Row],[//DB]])))</f>
        <v>#N/A</v>
      </c>
      <c r="AV62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22" s="56" t="e">
        <f ca="1">IF(NOTA[[#This Row],[ID_H]]="","",MATCH(NOTA[[#This Row],[NB NOTA_C_QTY]],[4]!db[NB NOTA_C_QTY+F],0))</f>
        <v>#N/A</v>
      </c>
      <c r="AX622" s="68" t="e">
        <f ca="1">IF(NOTA[[#This Row],[NB NOTA_C_QTY]]="","",ROW()-2)</f>
        <v>#N/A</v>
      </c>
    </row>
    <row r="623" spans="1:51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70"/>
      <c r="F623" s="71"/>
      <c r="G623" s="71"/>
      <c r="H623" s="72"/>
      <c r="I623" s="71"/>
      <c r="J623" s="73"/>
      <c r="K623" s="71"/>
      <c r="L623" s="37"/>
      <c r="M623" s="74"/>
      <c r="N623" s="75"/>
      <c r="O623" s="37"/>
      <c r="P623" s="76"/>
      <c r="Q623" s="77"/>
      <c r="R623" s="48"/>
      <c r="S623" s="79"/>
      <c r="T623" s="80"/>
      <c r="U623" s="80"/>
      <c r="V623" s="81"/>
      <c r="W623" s="82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1" s="38" customFormat="1" ht="20.100000000000001" customHeight="1" x14ac:dyDescent="0.25">
      <c r="A624" s="55">
        <f ca="1">IF(INDIRECT(ADDRESS(ROW()-1,COLUMN(NOTA[[#Headers],[ID]])))="ID",1,IF(NOTA[[#This Row],[FAKTUR]]="","",COUNT(INDIRECT(ADDRESS(ROW(NOTA[ID]),COLUMN(NOTA[ID]))&amp;":"&amp;ADDRESS(ROW()-1,COLUMN(NOTA[ID]))))+1))</f>
        <v>102</v>
      </c>
      <c r="B6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DUT_1901_-8</v>
      </c>
      <c r="C624" s="56" t="e">
        <f ca="1">IF(NOTA[[#This Row],[ID_P]]="","",MATCH(NOTA[[#This Row],[ID_P]],[1]!B_MSK[N_ID],0))</f>
        <v>#REF!</v>
      </c>
      <c r="D624" s="56">
        <f ca="1">IF(NOTA[[#This Row],[NAMA BARANG]]="","",INDEX(NOTA[ID],MATCH(,INDIRECT(ADDRESS(ROW(NOTA[ID]),COLUMN(NOTA[ID]))&amp;":"&amp;ADDRESS(ROW(),COLUMN(NOTA[ID]))),-1)))</f>
        <v>102</v>
      </c>
      <c r="E624" s="70">
        <v>45310</v>
      </c>
      <c r="F624" s="37" t="s">
        <v>400</v>
      </c>
      <c r="G624" s="37" t="s">
        <v>110</v>
      </c>
      <c r="H624" s="72"/>
      <c r="I624" s="71"/>
      <c r="J624" s="73">
        <v>45308</v>
      </c>
      <c r="K624" s="71">
        <v>0</v>
      </c>
      <c r="L624" s="37" t="s">
        <v>725</v>
      </c>
      <c r="M624" s="74">
        <v>1</v>
      </c>
      <c r="N624" s="75">
        <v>108</v>
      </c>
      <c r="O624" s="37" t="s">
        <v>115</v>
      </c>
      <c r="P624" s="76">
        <v>12500</v>
      </c>
      <c r="Q624" s="77"/>
      <c r="R624" s="48" t="s">
        <v>733</v>
      </c>
      <c r="S624" s="79">
        <v>0.03</v>
      </c>
      <c r="T624" s="80"/>
      <c r="U624" s="80"/>
      <c r="V624" s="81"/>
      <c r="W624" s="82"/>
      <c r="X624" s="66">
        <f>IF(NOTA[[#This Row],[HARGA/ CTN]]="",NOTA[[#This Row],[JUMLAH_H]],NOTA[[#This Row],[HARGA/ CTN]]*IF(NOTA[[#This Row],[C]]="",0,NOTA[[#This Row],[C]]))</f>
        <v>1350000</v>
      </c>
      <c r="Y624" s="66">
        <f>IF(NOTA[[#This Row],[JUMLAH]]="","",NOTA[[#This Row],[JUMLAH]]*NOTA[[#This Row],[DISC 1]])</f>
        <v>40500</v>
      </c>
      <c r="Z624" s="66">
        <f>IF(NOTA[[#This Row],[JUMLAH]]="","",(NOTA[[#This Row],[JUMLAH]]-NOTA[[#This Row],[DISC 1-]])*NOTA[[#This Row],[DISC 2]])</f>
        <v>0</v>
      </c>
      <c r="AA624" s="66">
        <f>IF(NOTA[[#This Row],[JUMLAH]]="","",(NOTA[[#This Row],[JUMLAH]]-NOTA[[#This Row],[DISC 1-]]-NOTA[[#This Row],[DISC 2-]])*NOTA[[#This Row],[DISC 3]])</f>
        <v>0</v>
      </c>
      <c r="AB624" s="66">
        <f>IF(NOTA[[#This Row],[JUMLAH]]="","",NOTA[[#This Row],[DISC 1-]]+NOTA[[#This Row],[DISC 2-]]+NOTA[[#This Row],[DISC 3-]])</f>
        <v>40500</v>
      </c>
      <c r="AC624" s="66">
        <f>IF(NOTA[[#This Row],[JUMLAH]]="","",NOTA[[#This Row],[JUMLAH]]-NOTA[[#This Row],[DISC]])</f>
        <v>1309500</v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624" s="66">
        <f>IF(OR(NOTA[[#This Row],[QTY]]="",NOTA[[#This Row],[HARGA SATUAN]]="",),"",NOTA[[#This Row],[QTY]]*NOTA[[#This Row],[HARGA SATUAN]])</f>
        <v>1350000</v>
      </c>
      <c r="AI624" s="60">
        <f ca="1">IF(NOTA[ID_H]="","",INDEX(NOTA[TANGGAL],MATCH(,INDIRECT(ADDRESS(ROW(NOTA[TANGGAL]),COLUMN(NOTA[TANGGAL]))&amp;":"&amp;ADDRESS(ROW(),COLUMN(NOTA[TANGGAL]))),-1)))</f>
        <v>45310</v>
      </c>
      <c r="AJ624" s="55" t="str">
        <f ca="1">IF(NOTA[[#This Row],[NAMA BARANG]]="","",INDEX(NOTA[SUPPLIER],MATCH(,INDIRECT(ADDRESS(ROW(NOTA[ID]),COLUMN(NOTA[ID]))&amp;":"&amp;ADDRESS(ROW(),COLUMN(NOTA[ID]))),-1)))</f>
        <v>DUTA BUANA</v>
      </c>
      <c r="AK624" s="55" t="str">
        <f ca="1">IF(NOTA[[#This Row],[ID_H]]="","",IF(NOTA[[#This Row],[FAKTUR]]="",INDIRECT(ADDRESS(ROW()-1,COLUMN())),NOTA[[#This Row],[FAKTUR]]))</f>
        <v>UNTANA</v>
      </c>
      <c r="AL624" s="56">
        <f ca="1">IF(NOTA[[#This Row],[ID]]="","",COUNTIF(NOTA[ID_H],NOTA[[#This Row],[ID_H]]))</f>
        <v>8</v>
      </c>
      <c r="AM624" s="56">
        <f>IF(NOTA[[#This Row],[TGL.NOTA]]="",IF(NOTA[[#This Row],[SUPPLIER_H]]="","",AM623),MONTH(NOTA[[#This Row],[TGL.NOTA]]))</f>
        <v>1</v>
      </c>
      <c r="AN624" s="56" t="str">
        <f>LOWER(SUBSTITUTE(SUBSTITUTE(SUBSTITUTE(SUBSTITUTE(SUBSTITUTE(SUBSTITUTE(SUBSTITUTE(SUBSTITUTE(SUBSTITUTE(NOTA[NAMA BARANG]," ",),".",""),"-",""),"(",""),")",""),",",""),"/",""),"""",""),"+",""))</f>
        <v>sticknotetf0246400</v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sticknotetf024640013500000.03</v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sticknotetf024640013500000.03</v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BUANAUNTANA45308sticknotetf0246400</v>
      </c>
      <c r="AR624" s="56" t="e">
        <f>IF(NOTA[[#This Row],[CONCAT4]]="","",_xlfn.IFNA(MATCH(NOTA[[#This Row],[CONCAT4]],[2]!RAW[CONCAT_H],0),FALSE))</f>
        <v>#REF!</v>
      </c>
      <c r="AS624" s="56">
        <f>IF(NOTA[[#This Row],[CONCAT1]]="","",MATCH(NOTA[[#This Row],[CONCAT1]],[3]!db[NB NOTA_C],0))</f>
        <v>2863</v>
      </c>
      <c r="AT624" s="56" t="b">
        <f>IF(NOTA[[#This Row],[QTY/ CTN]]="","",TRUE)</f>
        <v>1</v>
      </c>
      <c r="AU624" s="56" t="str">
        <f ca="1">IF(NOTA[[#This Row],[ID_H]]="","",IF(NOTA[[#This Row],[Column3]]=TRUE,NOTA[[#This Row],[QTY/ CTN]],INDEX([3]!db[QTY/ CTN],NOTA[[#This Row],[//DB]])))</f>
        <v>108 PCS</v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sticknotetf0246400108pcsuntana</v>
      </c>
      <c r="AW624" s="56" t="e">
        <f ca="1">IF(NOTA[[#This Row],[ID_H]]="","",MATCH(NOTA[[#This Row],[NB NOTA_C_QTY]],[4]!db[NB NOTA_C_QTY+F],0))</f>
        <v>#REF!</v>
      </c>
      <c r="AX624" s="68">
        <f ca="1">IF(NOTA[[#This Row],[NB NOTA_C_QTY]]="","",ROW()-2)</f>
        <v>622</v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>
        <f ca="1">IF(NOTA[[#This Row],[NAMA BARANG]]="","",INDEX(NOTA[ID],MATCH(,INDIRECT(ADDRESS(ROW(NOTA[ID]),COLUMN(NOTA[ID]))&amp;":"&amp;ADDRESS(ROW(),COLUMN(NOTA[ID]))),-1)))</f>
        <v>102</v>
      </c>
      <c r="E625" s="70"/>
      <c r="F625" s="37"/>
      <c r="G625" s="37"/>
      <c r="H625" s="47"/>
      <c r="I625" s="71"/>
      <c r="J625" s="73"/>
      <c r="K625" s="71">
        <v>0</v>
      </c>
      <c r="L625" s="37" t="s">
        <v>726</v>
      </c>
      <c r="M625" s="74">
        <v>1</v>
      </c>
      <c r="N625" s="75">
        <v>108</v>
      </c>
      <c r="O625" s="37" t="s">
        <v>115</v>
      </c>
      <c r="P625" s="76">
        <v>13000</v>
      </c>
      <c r="Q625" s="77"/>
      <c r="R625" s="48" t="s">
        <v>733</v>
      </c>
      <c r="S625" s="79">
        <v>0.03</v>
      </c>
      <c r="T625" s="80"/>
      <c r="U625" s="80"/>
      <c r="V625" s="81"/>
      <c r="W625" s="82"/>
      <c r="X625" s="66">
        <f>IF(NOTA[[#This Row],[HARGA/ CTN]]="",NOTA[[#This Row],[JUMLAH_H]],NOTA[[#This Row],[HARGA/ CTN]]*IF(NOTA[[#This Row],[C]]="",0,NOTA[[#This Row],[C]]))</f>
        <v>1404000</v>
      </c>
      <c r="Y625" s="66">
        <f>IF(NOTA[[#This Row],[JUMLAH]]="","",NOTA[[#This Row],[JUMLAH]]*NOTA[[#This Row],[DISC 1]])</f>
        <v>42120</v>
      </c>
      <c r="Z625" s="66">
        <f>IF(NOTA[[#This Row],[JUMLAH]]="","",(NOTA[[#This Row],[JUMLAH]]-NOTA[[#This Row],[DISC 1-]])*NOTA[[#This Row],[DISC 2]])</f>
        <v>0</v>
      </c>
      <c r="AA625" s="66">
        <f>IF(NOTA[[#This Row],[JUMLAH]]="","",(NOTA[[#This Row],[JUMLAH]]-NOTA[[#This Row],[DISC 1-]]-NOTA[[#This Row],[DISC 2-]])*NOTA[[#This Row],[DISC 3]])</f>
        <v>0</v>
      </c>
      <c r="AB625" s="66">
        <f>IF(NOTA[[#This Row],[JUMLAH]]="","",NOTA[[#This Row],[DISC 1-]]+NOTA[[#This Row],[DISC 2-]]+NOTA[[#This Row],[DISC 3-]])</f>
        <v>42120</v>
      </c>
      <c r="AC625" s="66">
        <f>IF(NOTA[[#This Row],[JUMLAH]]="","",NOTA[[#This Row],[JUMLAH]]-NOTA[[#This Row],[DISC]])</f>
        <v>1361880</v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625" s="66">
        <f>IF(OR(NOTA[[#This Row],[QTY]]="",NOTA[[#This Row],[HARGA SATUAN]]="",),"",NOTA[[#This Row],[QTY]]*NOTA[[#This Row],[HARGA SATUAN]])</f>
        <v>1404000</v>
      </c>
      <c r="AI625" s="60">
        <f ca="1">IF(NOTA[ID_H]="","",INDEX(NOTA[TANGGAL],MATCH(,INDIRECT(ADDRESS(ROW(NOTA[TANGGAL]),COLUMN(NOTA[TANGGAL]))&amp;":"&amp;ADDRESS(ROW(),COLUMN(NOTA[TANGGAL]))),-1)))</f>
        <v>45310</v>
      </c>
      <c r="AJ625" s="55" t="str">
        <f ca="1">IF(NOTA[[#This Row],[NAMA BARANG]]="","",INDEX(NOTA[SUPPLIER],MATCH(,INDIRECT(ADDRESS(ROW(NOTA[ID]),COLUMN(NOTA[ID]))&amp;":"&amp;ADDRESS(ROW(),COLUMN(NOTA[ID]))),-1)))</f>
        <v>DUTA BUANA</v>
      </c>
      <c r="AK625" s="55" t="str">
        <f ca="1">IF(NOTA[[#This Row],[ID_H]]="","",IF(NOTA[[#This Row],[FAKTUR]]="",INDIRECT(ADDRESS(ROW()-1,COLUMN())),NOTA[[#This Row],[FAKTUR]]))</f>
        <v>UNTANA</v>
      </c>
      <c r="AL625" s="56" t="str">
        <f ca="1">IF(NOTA[[#This Row],[ID]]="","",COUNTIF(NOTA[ID_H],NOTA[[#This Row],[ID_H]]))</f>
        <v/>
      </c>
      <c r="AM625" s="56">
        <f ca="1">IF(NOTA[[#This Row],[TGL.NOTA]]="",IF(NOTA[[#This Row],[SUPPLIER_H]]="","",AM624),MONTH(NOTA[[#This Row],[TGL.NOTA]]))</f>
        <v>1</v>
      </c>
      <c r="AN625" s="56" t="str">
        <f>LOWER(SUBSTITUTE(SUBSTITUTE(SUBSTITUTE(SUBSTITUTE(SUBSTITUTE(SUBSTITUTE(SUBSTITUTE(SUBSTITUTE(SUBSTITUTE(NOTA[NAMA BARANG]," ",),".",""),"-",""),"(",""),")",""),",",""),"/",""),"""",""),"+",""))</f>
        <v>sticknotetf02458c400</v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sticknotetf02458c40014040000.03</v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sticknotetf02458c40014040000.03</v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e">
        <f>IF(NOTA[[#This Row],[CONCAT1]]="","",MATCH(NOTA[[#This Row],[CONCAT1]],[3]!db[NB NOTA_C],0))</f>
        <v>#N/A</v>
      </c>
      <c r="AT625" s="56" t="b">
        <f>IF(NOTA[[#This Row],[QTY/ CTN]]="","",TRUE)</f>
        <v>1</v>
      </c>
      <c r="AU625" s="56" t="str">
        <f ca="1">IF(NOTA[[#This Row],[ID_H]]="","",IF(NOTA[[#This Row],[Column3]]=TRUE,NOTA[[#This Row],[QTY/ CTN]],INDEX([3]!db[QTY/ CTN],NOTA[[#This Row],[//DB]])))</f>
        <v>108 PCS</v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sticknotetf02458c400108pcsuntana</v>
      </c>
      <c r="AW625" s="56" t="e">
        <f ca="1">IF(NOTA[[#This Row],[ID_H]]="","",MATCH(NOTA[[#This Row],[NB NOTA_C_QTY]],[4]!db[NB NOTA_C_QTY+F],0))</f>
        <v>#REF!</v>
      </c>
      <c r="AX625" s="68">
        <f ca="1">IF(NOTA[[#This Row],[NB NOTA_C_QTY]]="","",ROW()-2)</f>
        <v>623</v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>
        <f ca="1">IF(NOTA[[#This Row],[NAMA BARANG]]="","",INDEX(NOTA[ID],MATCH(,INDIRECT(ADDRESS(ROW(NOTA[ID]),COLUMN(NOTA[ID]))&amp;":"&amp;ADDRESS(ROW(),COLUMN(NOTA[ID]))),-1)))</f>
        <v>102</v>
      </c>
      <c r="E626" s="70"/>
      <c r="F626" s="71"/>
      <c r="G626" s="71"/>
      <c r="H626" s="72"/>
      <c r="I626" s="71"/>
      <c r="J626" s="73"/>
      <c r="K626" s="71">
        <v>1</v>
      </c>
      <c r="L626" s="37" t="s">
        <v>727</v>
      </c>
      <c r="M626" s="74">
        <v>2</v>
      </c>
      <c r="N626" s="75">
        <v>600</v>
      </c>
      <c r="O626" s="37" t="s">
        <v>115</v>
      </c>
      <c r="P626" s="76">
        <v>7000</v>
      </c>
      <c r="Q626" s="77"/>
      <c r="R626" s="48" t="s">
        <v>734</v>
      </c>
      <c r="S626" s="79">
        <v>0.03</v>
      </c>
      <c r="T626" s="80"/>
      <c r="U626" s="80"/>
      <c r="V626" s="81"/>
      <c r="W626" s="82"/>
      <c r="X626" s="66">
        <f>IF(NOTA[[#This Row],[HARGA/ CTN]]="",NOTA[[#This Row],[JUMLAH_H]],NOTA[[#This Row],[HARGA/ CTN]]*IF(NOTA[[#This Row],[C]]="",0,NOTA[[#This Row],[C]]))</f>
        <v>4200000</v>
      </c>
      <c r="Y626" s="66">
        <f>IF(NOTA[[#This Row],[JUMLAH]]="","",NOTA[[#This Row],[JUMLAH]]*NOTA[[#This Row],[DISC 1]])</f>
        <v>126000</v>
      </c>
      <c r="Z626" s="66">
        <f>IF(NOTA[[#This Row],[JUMLAH]]="","",(NOTA[[#This Row],[JUMLAH]]-NOTA[[#This Row],[DISC 1-]])*NOTA[[#This Row],[DISC 2]])</f>
        <v>0</v>
      </c>
      <c r="AA626" s="66">
        <f>IF(NOTA[[#This Row],[JUMLAH]]="","",(NOTA[[#This Row],[JUMLAH]]-NOTA[[#This Row],[DISC 1-]]-NOTA[[#This Row],[DISC 2-]])*NOTA[[#This Row],[DISC 3]])</f>
        <v>0</v>
      </c>
      <c r="AB626" s="66">
        <f>IF(NOTA[[#This Row],[JUMLAH]]="","",NOTA[[#This Row],[DISC 1-]]+NOTA[[#This Row],[DISC 2-]]+NOTA[[#This Row],[DISC 3-]])</f>
        <v>126000</v>
      </c>
      <c r="AC626" s="66">
        <f>IF(NOTA[[#This Row],[JUMLAH]]="","",NOTA[[#This Row],[JUMLAH]]-NOTA[[#This Row],[DISC]])</f>
        <v>4074000</v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626" s="66">
        <f>IF(OR(NOTA[[#This Row],[QTY]]="",NOTA[[#This Row],[HARGA SATUAN]]="",),"",NOTA[[#This Row],[QTY]]*NOTA[[#This Row],[HARGA SATUAN]])</f>
        <v>4200000</v>
      </c>
      <c r="AI626" s="60">
        <f ca="1">IF(NOTA[ID_H]="","",INDEX(NOTA[TANGGAL],MATCH(,INDIRECT(ADDRESS(ROW(NOTA[TANGGAL]),COLUMN(NOTA[TANGGAL]))&amp;":"&amp;ADDRESS(ROW(),COLUMN(NOTA[TANGGAL]))),-1)))</f>
        <v>45310</v>
      </c>
      <c r="AJ626" s="55" t="str">
        <f ca="1">IF(NOTA[[#This Row],[NAMA BARANG]]="","",INDEX(NOTA[SUPPLIER],MATCH(,INDIRECT(ADDRESS(ROW(NOTA[ID]),COLUMN(NOTA[ID]))&amp;":"&amp;ADDRESS(ROW(),COLUMN(NOTA[ID]))),-1)))</f>
        <v>DUTA BUANA</v>
      </c>
      <c r="AK626" s="55" t="str">
        <f ca="1">IF(NOTA[[#This Row],[ID_H]]="","",IF(NOTA[[#This Row],[FAKTUR]]="",INDIRECT(ADDRESS(ROW()-1,COLUMN())),NOTA[[#This Row],[FAKTUR]]))</f>
        <v>UNTANA</v>
      </c>
      <c r="AL626" s="56" t="str">
        <f ca="1">IF(NOTA[[#This Row],[ID]]="","",COUNTIF(NOTA[ID_H],NOTA[[#This Row],[ID_H]]))</f>
        <v/>
      </c>
      <c r="AM626" s="56">
        <f ca="1">IF(NOTA[[#This Row],[TGL.NOTA]]="",IF(NOTA[[#This Row],[SUPPLIER_H]]="","",AM625),MONTH(NOTA[[#This Row],[TGL.NOTA]]))</f>
        <v>1</v>
      </c>
      <c r="AN626" s="56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>
        <f>IF(NOTA[[#This Row],[CONCAT1]]="","",MATCH(NOTA[[#This Row],[CONCAT1]],[3]!db[NB NOTA_C],0))</f>
        <v>2860</v>
      </c>
      <c r="AT626" s="56" t="b">
        <f>IF(NOTA[[#This Row],[QTY/ CTN]]="","",TRUE)</f>
        <v>1</v>
      </c>
      <c r="AU626" s="56" t="str">
        <f ca="1">IF(NOTA[[#This Row],[ID_H]]="","",IF(NOTA[[#This Row],[Column3]]=TRUE,NOTA[[#This Row],[QTY/ CTN]],INDEX([3]!db[QTY/ CTN],NOTA[[#This Row],[//DB]])))</f>
        <v>300 PCS</v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sticknotetf6548c200lbr300pcsuntana</v>
      </c>
      <c r="AW626" s="56" t="e">
        <f ca="1">IF(NOTA[[#This Row],[ID_H]]="","",MATCH(NOTA[[#This Row],[NB NOTA_C_QTY]],[4]!db[NB NOTA_C_QTY+F],0))</f>
        <v>#REF!</v>
      </c>
      <c r="AX626" s="68">
        <f ca="1">IF(NOTA[[#This Row],[NB NOTA_C_QTY]]="","",ROW()-2)</f>
        <v>624</v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>
        <f ca="1">IF(NOTA[[#This Row],[NAMA BARANG]]="","",INDEX(NOTA[ID],MATCH(,INDIRECT(ADDRESS(ROW(NOTA[ID]),COLUMN(NOTA[ID]))&amp;":"&amp;ADDRESS(ROW(),COLUMN(NOTA[ID]))),-1)))</f>
        <v>102</v>
      </c>
      <c r="E627" s="70"/>
      <c r="F627" s="71"/>
      <c r="G627" s="71"/>
      <c r="H627" s="72"/>
      <c r="I627" s="71"/>
      <c r="J627" s="73"/>
      <c r="K627" s="71">
        <v>1</v>
      </c>
      <c r="L627" s="37" t="s">
        <v>728</v>
      </c>
      <c r="M627" s="74">
        <v>2</v>
      </c>
      <c r="N627" s="75">
        <v>480</v>
      </c>
      <c r="O627" s="37" t="s">
        <v>116</v>
      </c>
      <c r="P627" s="76">
        <v>9500</v>
      </c>
      <c r="Q627" s="77"/>
      <c r="R627" s="48" t="s">
        <v>590</v>
      </c>
      <c r="S627" s="79">
        <v>0.03</v>
      </c>
      <c r="T627" s="80"/>
      <c r="U627" s="80"/>
      <c r="V627" s="81"/>
      <c r="W627" s="82"/>
      <c r="X627" s="66">
        <f>IF(NOTA[[#This Row],[HARGA/ CTN]]="",NOTA[[#This Row],[JUMLAH_H]],NOTA[[#This Row],[HARGA/ CTN]]*IF(NOTA[[#This Row],[C]]="",0,NOTA[[#This Row],[C]]))</f>
        <v>4560000</v>
      </c>
      <c r="Y627" s="66">
        <f>IF(NOTA[[#This Row],[JUMLAH]]="","",NOTA[[#This Row],[JUMLAH]]*NOTA[[#This Row],[DISC 1]])</f>
        <v>136800</v>
      </c>
      <c r="Z627" s="66">
        <f>IF(NOTA[[#This Row],[JUMLAH]]="","",(NOTA[[#This Row],[JUMLAH]]-NOTA[[#This Row],[DISC 1-]])*NOTA[[#This Row],[DISC 2]])</f>
        <v>0</v>
      </c>
      <c r="AA627" s="66">
        <f>IF(NOTA[[#This Row],[JUMLAH]]="","",(NOTA[[#This Row],[JUMLAH]]-NOTA[[#This Row],[DISC 1-]]-NOTA[[#This Row],[DISC 2-]])*NOTA[[#This Row],[DISC 3]])</f>
        <v>0</v>
      </c>
      <c r="AB627" s="66">
        <f>IF(NOTA[[#This Row],[JUMLAH]]="","",NOTA[[#This Row],[DISC 1-]]+NOTA[[#This Row],[DISC 2-]]+NOTA[[#This Row],[DISC 3-]])</f>
        <v>136800</v>
      </c>
      <c r="AC627" s="66">
        <f>IF(NOTA[[#This Row],[JUMLAH]]="","",NOTA[[#This Row],[JUMLAH]]-NOTA[[#This Row],[DISC]])</f>
        <v>4423200</v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627" s="66">
        <f>IF(OR(NOTA[[#This Row],[QTY]]="",NOTA[[#This Row],[HARGA SATUAN]]="",),"",NOTA[[#This Row],[QTY]]*NOTA[[#This Row],[HARGA SATUAN]])</f>
        <v>4560000</v>
      </c>
      <c r="AI627" s="60">
        <f ca="1">IF(NOTA[ID_H]="","",INDEX(NOTA[TANGGAL],MATCH(,INDIRECT(ADDRESS(ROW(NOTA[TANGGAL]),COLUMN(NOTA[TANGGAL]))&amp;":"&amp;ADDRESS(ROW(),COLUMN(NOTA[TANGGAL]))),-1)))</f>
        <v>45310</v>
      </c>
      <c r="AJ627" s="55" t="str">
        <f ca="1">IF(NOTA[[#This Row],[NAMA BARANG]]="","",INDEX(NOTA[SUPPLIER],MATCH(,INDIRECT(ADDRESS(ROW(NOTA[ID]),COLUMN(NOTA[ID]))&amp;":"&amp;ADDRESS(ROW(),COLUMN(NOTA[ID]))),-1)))</f>
        <v>DUTA BUANA</v>
      </c>
      <c r="AK627" s="55" t="str">
        <f ca="1">IF(NOTA[[#This Row],[ID_H]]="","",IF(NOTA[[#This Row],[FAKTUR]]="",INDIRECT(ADDRESS(ROW()-1,COLUMN())),NOTA[[#This Row],[FAKTUR]]))</f>
        <v>UNTANA</v>
      </c>
      <c r="AL627" s="56" t="str">
        <f ca="1">IF(NOTA[[#This Row],[ID]]="","",COUNTIF(NOTA[ID_H],NOTA[[#This Row],[ID_H]]))</f>
        <v/>
      </c>
      <c r="AM627" s="56">
        <f ca="1">IF(NOTA[[#This Row],[TGL.NOTA]]="",IF(NOTA[[#This Row],[SUPPLIER_H]]="","",AM626),MONTH(NOTA[[#This Row],[TGL.NOTA]]))</f>
        <v>1</v>
      </c>
      <c r="AN627" s="56" t="str">
        <f>LOWER(SUBSTITUTE(SUBSTITUTE(SUBSTITUTE(SUBSTITUTE(SUBSTITUTE(SUBSTITUTE(SUBSTITUTE(SUBSTITUTE(SUBSTITUTE(NOTA[NAMA BARANG]," ",),".",""),"-",""),"(",""),")",""),",",""),"/",""),"""",""),"+",""))</f>
        <v>penciltf19512pastel12wrpj</v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penciltf19512pastel12wrpj22800000.03</v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penciltf19512pastel12wrpj22800000.03</v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>
        <f>IF(NOTA[[#This Row],[CONCAT1]]="","",MATCH(NOTA[[#This Row],[CONCAT1]],[3]!db[NB NOTA_C],0))</f>
        <v>2492</v>
      </c>
      <c r="AT627" s="56" t="b">
        <f>IF(NOTA[[#This Row],[QTY/ CTN]]="","",TRUE)</f>
        <v>1</v>
      </c>
      <c r="AU627" s="56" t="str">
        <f ca="1">IF(NOTA[[#This Row],[ID_H]]="","",IF(NOTA[[#This Row],[Column3]]=TRUE,NOTA[[#This Row],[QTY/ CTN]],INDEX([3]!db[QTY/ CTN],NOTA[[#This Row],[//DB]])))</f>
        <v>240 SET</v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penciltf19512pastel12wrpj240setuntana</v>
      </c>
      <c r="AW627" s="56" t="e">
        <f ca="1">IF(NOTA[[#This Row],[ID_H]]="","",MATCH(NOTA[[#This Row],[NB NOTA_C_QTY]],[4]!db[NB NOTA_C_QTY+F],0))</f>
        <v>#REF!</v>
      </c>
      <c r="AX627" s="68">
        <f ca="1">IF(NOTA[[#This Row],[NB NOTA_C_QTY]]="","",ROW()-2)</f>
        <v>625</v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>
        <f ca="1">IF(NOTA[[#This Row],[NAMA BARANG]]="","",INDEX(NOTA[ID],MATCH(,INDIRECT(ADDRESS(ROW(NOTA[ID]),COLUMN(NOTA[ID]))&amp;":"&amp;ADDRESS(ROW(),COLUMN(NOTA[ID]))),-1)))</f>
        <v>102</v>
      </c>
      <c r="E628" s="70"/>
      <c r="F628" s="37"/>
      <c r="G628" s="37"/>
      <c r="H628" s="47"/>
      <c r="I628" s="71"/>
      <c r="J628" s="73"/>
      <c r="K628" s="71">
        <v>0</v>
      </c>
      <c r="L628" s="37" t="s">
        <v>729</v>
      </c>
      <c r="M628" s="74">
        <v>1</v>
      </c>
      <c r="N628" s="75">
        <v>120</v>
      </c>
      <c r="O628" s="37" t="s">
        <v>116</v>
      </c>
      <c r="P628" s="76">
        <v>19000</v>
      </c>
      <c r="Q628" s="77"/>
      <c r="R628" s="48" t="s">
        <v>735</v>
      </c>
      <c r="S628" s="79">
        <v>0.03</v>
      </c>
      <c r="T628" s="80"/>
      <c r="U628" s="80"/>
      <c r="V628" s="81"/>
      <c r="W628" s="82"/>
      <c r="X628" s="66">
        <f>IF(NOTA[[#This Row],[HARGA/ CTN]]="",NOTA[[#This Row],[JUMLAH_H]],NOTA[[#This Row],[HARGA/ CTN]]*IF(NOTA[[#This Row],[C]]="",0,NOTA[[#This Row],[C]]))</f>
        <v>2280000</v>
      </c>
      <c r="Y628" s="66">
        <f>IF(NOTA[[#This Row],[JUMLAH]]="","",NOTA[[#This Row],[JUMLAH]]*NOTA[[#This Row],[DISC 1]])</f>
        <v>68400</v>
      </c>
      <c r="Z628" s="66">
        <f>IF(NOTA[[#This Row],[JUMLAH]]="","",(NOTA[[#This Row],[JUMLAH]]-NOTA[[#This Row],[DISC 1-]])*NOTA[[#This Row],[DISC 2]])</f>
        <v>0</v>
      </c>
      <c r="AA628" s="66">
        <f>IF(NOTA[[#This Row],[JUMLAH]]="","",(NOTA[[#This Row],[JUMLAH]]-NOTA[[#This Row],[DISC 1-]]-NOTA[[#This Row],[DISC 2-]])*NOTA[[#This Row],[DISC 3]])</f>
        <v>0</v>
      </c>
      <c r="AB628" s="66">
        <f>IF(NOTA[[#This Row],[JUMLAH]]="","",NOTA[[#This Row],[DISC 1-]]+NOTA[[#This Row],[DISC 2-]]+NOTA[[#This Row],[DISC 3-]])</f>
        <v>68400</v>
      </c>
      <c r="AC628" s="66">
        <f>IF(NOTA[[#This Row],[JUMLAH]]="","",NOTA[[#This Row],[JUMLAH]]-NOTA[[#This Row],[DISC]])</f>
        <v>2211600</v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628" s="66">
        <f>IF(OR(NOTA[[#This Row],[QTY]]="",NOTA[[#This Row],[HARGA SATUAN]]="",),"",NOTA[[#This Row],[QTY]]*NOTA[[#This Row],[HARGA SATUAN]])</f>
        <v>2280000</v>
      </c>
      <c r="AI628" s="60">
        <f ca="1">IF(NOTA[ID_H]="","",INDEX(NOTA[TANGGAL],MATCH(,INDIRECT(ADDRESS(ROW(NOTA[TANGGAL]),COLUMN(NOTA[TANGGAL]))&amp;":"&amp;ADDRESS(ROW(),COLUMN(NOTA[TANGGAL]))),-1)))</f>
        <v>45310</v>
      </c>
      <c r="AJ628" s="55" t="str">
        <f ca="1">IF(NOTA[[#This Row],[NAMA BARANG]]="","",INDEX(NOTA[SUPPLIER],MATCH(,INDIRECT(ADDRESS(ROW(NOTA[ID]),COLUMN(NOTA[ID]))&amp;":"&amp;ADDRESS(ROW(),COLUMN(NOTA[ID]))),-1)))</f>
        <v>DUTA BUANA</v>
      </c>
      <c r="AK628" s="55" t="str">
        <f ca="1">IF(NOTA[[#This Row],[ID_H]]="","",IF(NOTA[[#This Row],[FAKTUR]]="",INDIRECT(ADDRESS(ROW()-1,COLUMN())),NOTA[[#This Row],[FAKTUR]]))</f>
        <v>UNTANA</v>
      </c>
      <c r="AL628" s="56" t="str">
        <f ca="1">IF(NOTA[[#This Row],[ID]]="","",COUNTIF(NOTA[ID_H],NOTA[[#This Row],[ID_H]]))</f>
        <v/>
      </c>
      <c r="AM628" s="56">
        <f ca="1">IF(NOTA[[#This Row],[TGL.NOTA]]="",IF(NOTA[[#This Row],[SUPPLIER_H]]="","",AM627),MONTH(NOTA[[#This Row],[TGL.NOTA]]))</f>
        <v>1</v>
      </c>
      <c r="AN628" s="56" t="str">
        <f>LOWER(SUBSTITUTE(SUBSTITUTE(SUBSTITUTE(SUBSTITUTE(SUBSTITUTE(SUBSTITUTE(SUBSTITUTE(SUBSTITUTE(SUBSTITUTE(NOTA[NAMA BARANG]," ",),".",""),"-",""),"(",""),")",""),",",""),"/",""),"""",""),"+",""))</f>
        <v>penciltf19424pastel24wrpj</v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penciltf19424pastel24wrpj22800000.03</v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penciltf19424pastel24wrpj22800000.03</v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>
        <f>IF(NOTA[[#This Row],[CONCAT1]]="","",MATCH(NOTA[[#This Row],[CONCAT1]],[3]!db[NB NOTA_C],0))</f>
        <v>2491</v>
      </c>
      <c r="AT628" s="56" t="b">
        <f>IF(NOTA[[#This Row],[QTY/ CTN]]="","",TRUE)</f>
        <v>1</v>
      </c>
      <c r="AU628" s="56" t="str">
        <f ca="1">IF(NOTA[[#This Row],[ID_H]]="","",IF(NOTA[[#This Row],[Column3]]=TRUE,NOTA[[#This Row],[QTY/ CTN]],INDEX([3]!db[QTY/ CTN],NOTA[[#This Row],[//DB]])))</f>
        <v>120 SET</v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penciltf19424pastel24wrpj120setuntana</v>
      </c>
      <c r="AW628" s="56" t="e">
        <f ca="1">IF(NOTA[[#This Row],[ID_H]]="","",MATCH(NOTA[[#This Row],[NB NOTA_C_QTY]],[4]!db[NB NOTA_C_QTY+F],0))</f>
        <v>#REF!</v>
      </c>
      <c r="AX628" s="68">
        <f ca="1">IF(NOTA[[#This Row],[NB NOTA_C_QTY]]="","",ROW()-2)</f>
        <v>626</v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>
        <f ca="1">IF(NOTA[[#This Row],[NAMA BARANG]]="","",INDEX(NOTA[ID],MATCH(,INDIRECT(ADDRESS(ROW(NOTA[ID]),COLUMN(NOTA[ID]))&amp;":"&amp;ADDRESS(ROW(),COLUMN(NOTA[ID]))),-1)))</f>
        <v>102</v>
      </c>
      <c r="E629" s="70"/>
      <c r="F629" s="71"/>
      <c r="G629" s="71"/>
      <c r="H629" s="72"/>
      <c r="I629" s="71"/>
      <c r="J629" s="73"/>
      <c r="K629" s="71">
        <v>1</v>
      </c>
      <c r="L629" s="37" t="s">
        <v>730</v>
      </c>
      <c r="M629" s="74">
        <v>2</v>
      </c>
      <c r="N629" s="75">
        <v>288</v>
      </c>
      <c r="O629" s="37" t="s">
        <v>116</v>
      </c>
      <c r="P629" s="76">
        <v>14000</v>
      </c>
      <c r="Q629" s="77"/>
      <c r="R629" s="48" t="s">
        <v>592</v>
      </c>
      <c r="S629" s="79">
        <v>0.03</v>
      </c>
      <c r="T629" s="80"/>
      <c r="U629" s="80"/>
      <c r="V629" s="81"/>
      <c r="W629" s="82"/>
      <c r="X629" s="66">
        <f>IF(NOTA[[#This Row],[HARGA/ CTN]]="",NOTA[[#This Row],[JUMLAH_H]],NOTA[[#This Row],[HARGA/ CTN]]*IF(NOTA[[#This Row],[C]]="",0,NOTA[[#This Row],[C]]))</f>
        <v>4032000</v>
      </c>
      <c r="Y629" s="66">
        <f>IF(NOTA[[#This Row],[JUMLAH]]="","",NOTA[[#This Row],[JUMLAH]]*NOTA[[#This Row],[DISC 1]])</f>
        <v>120960</v>
      </c>
      <c r="Z629" s="66">
        <f>IF(NOTA[[#This Row],[JUMLAH]]="","",(NOTA[[#This Row],[JUMLAH]]-NOTA[[#This Row],[DISC 1-]])*NOTA[[#This Row],[DISC 2]])</f>
        <v>0</v>
      </c>
      <c r="AA629" s="66">
        <f>IF(NOTA[[#This Row],[JUMLAH]]="","",(NOTA[[#This Row],[JUMLAH]]-NOTA[[#This Row],[DISC 1-]]-NOTA[[#This Row],[DISC 2-]])*NOTA[[#This Row],[DISC 3]])</f>
        <v>0</v>
      </c>
      <c r="AB629" s="66">
        <f>IF(NOTA[[#This Row],[JUMLAH]]="","",NOTA[[#This Row],[DISC 1-]]+NOTA[[#This Row],[DISC 2-]]+NOTA[[#This Row],[DISC 3-]])</f>
        <v>120960</v>
      </c>
      <c r="AC629" s="66">
        <f>IF(NOTA[[#This Row],[JUMLAH]]="","",NOTA[[#This Row],[JUMLAH]]-NOTA[[#This Row],[DISC]])</f>
        <v>3911040</v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629" s="66">
        <f>IF(OR(NOTA[[#This Row],[QTY]]="",NOTA[[#This Row],[HARGA SATUAN]]="",),"",NOTA[[#This Row],[QTY]]*NOTA[[#This Row],[HARGA SATUAN]])</f>
        <v>4032000</v>
      </c>
      <c r="AI629" s="60">
        <f ca="1">IF(NOTA[ID_H]="","",INDEX(NOTA[TANGGAL],MATCH(,INDIRECT(ADDRESS(ROW(NOTA[TANGGAL]),COLUMN(NOTA[TANGGAL]))&amp;":"&amp;ADDRESS(ROW(),COLUMN(NOTA[TANGGAL]))),-1)))</f>
        <v>45310</v>
      </c>
      <c r="AJ629" s="55" t="str">
        <f ca="1">IF(NOTA[[#This Row],[NAMA BARANG]]="","",INDEX(NOTA[SUPPLIER],MATCH(,INDIRECT(ADDRESS(ROW(NOTA[ID]),COLUMN(NOTA[ID]))&amp;":"&amp;ADDRESS(ROW(),COLUMN(NOTA[ID]))),-1)))</f>
        <v>DUTA BUANA</v>
      </c>
      <c r="AK629" s="55" t="str">
        <f ca="1">IF(NOTA[[#This Row],[ID_H]]="","",IF(NOTA[[#This Row],[FAKTUR]]="",INDIRECT(ADDRESS(ROW()-1,COLUMN())),NOTA[[#This Row],[FAKTUR]]))</f>
        <v>UNTANA</v>
      </c>
      <c r="AL629" s="56" t="str">
        <f ca="1">IF(NOTA[[#This Row],[ID]]="","",COUNTIF(NOTA[ID_H],NOTA[[#This Row],[ID_H]]))</f>
        <v/>
      </c>
      <c r="AM629" s="56">
        <f ca="1">IF(NOTA[[#This Row],[TGL.NOTA]]="",IF(NOTA[[#This Row],[SUPPLIER_H]]="","",AM628),MONTH(NOTA[[#This Row],[TGL.NOTA]]))</f>
        <v>1</v>
      </c>
      <c r="AN629" s="56" t="str">
        <f>LOWER(SUBSTITUTE(SUBSTITUTE(SUBSTITUTE(SUBSTITUTE(SUBSTITUTE(SUBSTITUTE(SUBSTITUTE(SUBSTITUTE(SUBSTITUTE(NOTA[NAMA BARANG]," ",),".",""),"-",""),"(",""),")",""),",",""),"/",""),"""",""),"+",""))</f>
        <v>acrylicmarkertf1m30112</v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acrylicmarkertf1m3011220160000.03</v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acrylicmarkertf1m3011220160000.03</v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e">
        <f>IF(NOTA[[#This Row],[CONCAT1]]="","",MATCH(NOTA[[#This Row],[CONCAT1]],[3]!db[NB NOTA_C],0))</f>
        <v>#N/A</v>
      </c>
      <c r="AT629" s="56" t="b">
        <f>IF(NOTA[[#This Row],[QTY/ CTN]]="","",TRUE)</f>
        <v>1</v>
      </c>
      <c r="AU629" s="56" t="str">
        <f ca="1">IF(NOTA[[#This Row],[ID_H]]="","",IF(NOTA[[#This Row],[Column3]]=TRUE,NOTA[[#This Row],[QTY/ CTN]],INDEX([3]!db[QTY/ CTN],NOTA[[#This Row],[//DB]])))</f>
        <v>144 SET</v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acrylicmarkertf1m30112144setuntana</v>
      </c>
      <c r="AW629" s="56" t="e">
        <f ca="1">IF(NOTA[[#This Row],[ID_H]]="","",MATCH(NOTA[[#This Row],[NB NOTA_C_QTY]],[4]!db[NB NOTA_C_QTY+F],0))</f>
        <v>#REF!</v>
      </c>
      <c r="AX629" s="68">
        <f ca="1">IF(NOTA[[#This Row],[NB NOTA_C_QTY]]="","",ROW()-2)</f>
        <v>627</v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>
        <f ca="1">IF(NOTA[[#This Row],[NAMA BARANG]]="","",INDEX(NOTA[ID],MATCH(,INDIRECT(ADDRESS(ROW(NOTA[ID]),COLUMN(NOTA[ID]))&amp;":"&amp;ADDRESS(ROW(),COLUMN(NOTA[ID]))),-1)))</f>
        <v>102</v>
      </c>
      <c r="E630" s="70"/>
      <c r="F630" s="37"/>
      <c r="G630" s="37"/>
      <c r="H630" s="47"/>
      <c r="I630" s="71"/>
      <c r="J630" s="73"/>
      <c r="K630" s="71">
        <v>1</v>
      </c>
      <c r="L630" s="37" t="s">
        <v>731</v>
      </c>
      <c r="M630" s="74">
        <v>2</v>
      </c>
      <c r="N630" s="75">
        <v>288</v>
      </c>
      <c r="O630" s="37" t="s">
        <v>116</v>
      </c>
      <c r="P630" s="76">
        <v>13500</v>
      </c>
      <c r="Q630" s="77"/>
      <c r="R630" s="48" t="s">
        <v>592</v>
      </c>
      <c r="S630" s="79">
        <v>0.03</v>
      </c>
      <c r="T630" s="80"/>
      <c r="U630" s="80"/>
      <c r="V630" s="81"/>
      <c r="W630" s="82"/>
      <c r="X630" s="66">
        <f>IF(NOTA[[#This Row],[HARGA/ CTN]]="",NOTA[[#This Row],[JUMLAH_H]],NOTA[[#This Row],[HARGA/ CTN]]*IF(NOTA[[#This Row],[C]]="",0,NOTA[[#This Row],[C]]))</f>
        <v>3888000</v>
      </c>
      <c r="Y630" s="66">
        <f>IF(NOTA[[#This Row],[JUMLAH]]="","",NOTA[[#This Row],[JUMLAH]]*NOTA[[#This Row],[DISC 1]])</f>
        <v>116640</v>
      </c>
      <c r="Z630" s="66">
        <f>IF(NOTA[[#This Row],[JUMLAH]]="","",(NOTA[[#This Row],[JUMLAH]]-NOTA[[#This Row],[DISC 1-]])*NOTA[[#This Row],[DISC 2]])</f>
        <v>0</v>
      </c>
      <c r="AA630" s="66">
        <f>IF(NOTA[[#This Row],[JUMLAH]]="","",(NOTA[[#This Row],[JUMLAH]]-NOTA[[#This Row],[DISC 1-]]-NOTA[[#This Row],[DISC 2-]])*NOTA[[#This Row],[DISC 3]])</f>
        <v>0</v>
      </c>
      <c r="AB630" s="66">
        <f>IF(NOTA[[#This Row],[JUMLAH]]="","",NOTA[[#This Row],[DISC 1-]]+NOTA[[#This Row],[DISC 2-]]+NOTA[[#This Row],[DISC 3-]])</f>
        <v>116640</v>
      </c>
      <c r="AC630" s="66">
        <f>IF(NOTA[[#This Row],[JUMLAH]]="","",NOTA[[#This Row],[JUMLAH]]-NOTA[[#This Row],[DISC]])</f>
        <v>3771360</v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30" s="66">
        <f>IF(OR(NOTA[[#This Row],[QTY]]="",NOTA[[#This Row],[HARGA SATUAN]]="",),"",NOTA[[#This Row],[QTY]]*NOTA[[#This Row],[HARGA SATUAN]])</f>
        <v>3888000</v>
      </c>
      <c r="AI630" s="60">
        <f ca="1">IF(NOTA[ID_H]="","",INDEX(NOTA[TANGGAL],MATCH(,INDIRECT(ADDRESS(ROW(NOTA[TANGGAL]),COLUMN(NOTA[TANGGAL]))&amp;":"&amp;ADDRESS(ROW(),COLUMN(NOTA[TANGGAL]))),-1)))</f>
        <v>45310</v>
      </c>
      <c r="AJ630" s="55" t="str">
        <f ca="1">IF(NOTA[[#This Row],[NAMA BARANG]]="","",INDEX(NOTA[SUPPLIER],MATCH(,INDIRECT(ADDRESS(ROW(NOTA[ID]),COLUMN(NOTA[ID]))&amp;":"&amp;ADDRESS(ROW(),COLUMN(NOTA[ID]))),-1)))</f>
        <v>DUTA BUANA</v>
      </c>
      <c r="AK630" s="55" t="str">
        <f ca="1">IF(NOTA[[#This Row],[ID_H]]="","",IF(NOTA[[#This Row],[FAKTUR]]="",INDIRECT(ADDRESS(ROW()-1,COLUMN())),NOTA[[#This Row],[FAKTUR]]))</f>
        <v>UNTANA</v>
      </c>
      <c r="AL630" s="56" t="str">
        <f ca="1">IF(NOTA[[#This Row],[ID]]="","",COUNTIF(NOTA[ID_H],NOTA[[#This Row],[ID_H]]))</f>
        <v/>
      </c>
      <c r="AM630" s="56">
        <f ca="1">IF(NOTA[[#This Row],[TGL.NOTA]]="",IF(NOTA[[#This Row],[SUPPLIER_H]]="","",AM629),MONTH(NOTA[[#This Row],[TGL.NOTA]]))</f>
        <v>1</v>
      </c>
      <c r="AN630" s="56" t="str">
        <f>LOWER(SUBSTITUTE(SUBSTITUTE(SUBSTITUTE(SUBSTITUTE(SUBSTITUTE(SUBSTITUTE(SUBSTITUTE(SUBSTITUTE(SUBSTITUTE(NOTA[NAMA BARANG]," ",),".",""),"-",""),"(",""),")",""),",",""),"/",""),"""",""),"+",""))</f>
        <v>brushmarkerpentf1060</v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brushmarkerpentf106019440000.03</v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brushmarkerpentf106019440000.03</v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e">
        <f>IF(NOTA[[#This Row],[CONCAT1]]="","",MATCH(NOTA[[#This Row],[CONCAT1]],[3]!db[NB NOTA_C],0))</f>
        <v>#N/A</v>
      </c>
      <c r="AT630" s="56" t="b">
        <f>IF(NOTA[[#This Row],[QTY/ CTN]]="","",TRUE)</f>
        <v>1</v>
      </c>
      <c r="AU630" s="56" t="str">
        <f ca="1">IF(NOTA[[#This Row],[ID_H]]="","",IF(NOTA[[#This Row],[Column3]]=TRUE,NOTA[[#This Row],[QTY/ CTN]],INDEX([3]!db[QTY/ CTN],NOTA[[#This Row],[//DB]])))</f>
        <v>144 SET</v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brushmarkerpentf1060144setuntana</v>
      </c>
      <c r="AW630" s="56" t="e">
        <f ca="1">IF(NOTA[[#This Row],[ID_H]]="","",MATCH(NOTA[[#This Row],[NB NOTA_C_QTY]],[4]!db[NB NOTA_C_QTY+F],0))</f>
        <v>#REF!</v>
      </c>
      <c r="AX630" s="68">
        <f ca="1">IF(NOTA[[#This Row],[NB NOTA_C_QTY]]="","",ROW()-2)</f>
        <v>628</v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>
        <f ca="1">IF(NOTA[[#This Row],[NAMA BARANG]]="","",INDEX(NOTA[ID],MATCH(,INDIRECT(ADDRESS(ROW(NOTA[ID]),COLUMN(NOTA[ID]))&amp;":"&amp;ADDRESS(ROW(),COLUMN(NOTA[ID]))),-1)))</f>
        <v>102</v>
      </c>
      <c r="E631" s="70"/>
      <c r="F631" s="71"/>
      <c r="G631" s="71"/>
      <c r="H631" s="72"/>
      <c r="I631" s="71"/>
      <c r="J631" s="73"/>
      <c r="K631" s="71">
        <v>10</v>
      </c>
      <c r="L631" s="37" t="s">
        <v>732</v>
      </c>
      <c r="M631" s="74">
        <v>10</v>
      </c>
      <c r="N631" s="75">
        <v>2400</v>
      </c>
      <c r="O631" s="37" t="s">
        <v>116</v>
      </c>
      <c r="P631" s="76">
        <v>5700</v>
      </c>
      <c r="Q631" s="77"/>
      <c r="R631" s="48" t="s">
        <v>590</v>
      </c>
      <c r="S631" s="79">
        <v>0.03</v>
      </c>
      <c r="T631" s="80"/>
      <c r="U631" s="80"/>
      <c r="V631" s="81"/>
      <c r="W631" s="82"/>
      <c r="X631" s="66">
        <f>IF(NOTA[[#This Row],[HARGA/ CTN]]="",NOTA[[#This Row],[JUMLAH_H]],NOTA[[#This Row],[HARGA/ CTN]]*IF(NOTA[[#This Row],[C]]="",0,NOTA[[#This Row],[C]]))</f>
        <v>13680000</v>
      </c>
      <c r="Y631" s="66">
        <f>IF(NOTA[[#This Row],[JUMLAH]]="","",NOTA[[#This Row],[JUMLAH]]*NOTA[[#This Row],[DISC 1]])</f>
        <v>410400</v>
      </c>
      <c r="Z631" s="66">
        <f>IF(NOTA[[#This Row],[JUMLAH]]="","",(NOTA[[#This Row],[JUMLAH]]-NOTA[[#This Row],[DISC 1-]])*NOTA[[#This Row],[DISC 2]])</f>
        <v>0</v>
      </c>
      <c r="AA631" s="66">
        <f>IF(NOTA[[#This Row],[JUMLAH]]="","",(NOTA[[#This Row],[JUMLAH]]-NOTA[[#This Row],[DISC 1-]]-NOTA[[#This Row],[DISC 2-]])*NOTA[[#This Row],[DISC 3]])</f>
        <v>0</v>
      </c>
      <c r="AB631" s="66">
        <f>IF(NOTA[[#This Row],[JUMLAH]]="","",NOTA[[#This Row],[DISC 1-]]+NOTA[[#This Row],[DISC 2-]]+NOTA[[#This Row],[DISC 3-]])</f>
        <v>410400</v>
      </c>
      <c r="AC631" s="66">
        <f>IF(NOTA[[#This Row],[JUMLAH]]="","",NOTA[[#This Row],[JUMLAH]]-NOTA[[#This Row],[DISC]])</f>
        <v>13269600</v>
      </c>
      <c r="AD631" s="66"/>
      <c r="AE63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1061820</v>
      </c>
      <c r="AF63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34332180</v>
      </c>
      <c r="AG631" s="5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631" s="66">
        <f>IF(OR(NOTA[[#This Row],[QTY]]="",NOTA[[#This Row],[HARGA SATUAN]]="",),"",NOTA[[#This Row],[QTY]]*NOTA[[#This Row],[HARGA SATUAN]])</f>
        <v>13680000</v>
      </c>
      <c r="AI631" s="60">
        <f ca="1">IF(NOTA[ID_H]="","",INDEX(NOTA[TANGGAL],MATCH(,INDIRECT(ADDRESS(ROW(NOTA[TANGGAL]),COLUMN(NOTA[TANGGAL]))&amp;":"&amp;ADDRESS(ROW(),COLUMN(NOTA[TANGGAL]))),-1)))</f>
        <v>45310</v>
      </c>
      <c r="AJ631" s="55" t="str">
        <f ca="1">IF(NOTA[[#This Row],[NAMA BARANG]]="","",INDEX(NOTA[SUPPLIER],MATCH(,INDIRECT(ADDRESS(ROW(NOTA[ID]),COLUMN(NOTA[ID]))&amp;":"&amp;ADDRESS(ROW(),COLUMN(NOTA[ID]))),-1)))</f>
        <v>DUTA BUANA</v>
      </c>
      <c r="AK631" s="55" t="str">
        <f ca="1">IF(NOTA[[#This Row],[ID_H]]="","",IF(NOTA[[#This Row],[FAKTUR]]="",INDIRECT(ADDRESS(ROW()-1,COLUMN())),NOTA[[#This Row],[FAKTUR]]))</f>
        <v>UNTANA</v>
      </c>
      <c r="AL631" s="56" t="str">
        <f ca="1">IF(NOTA[[#This Row],[ID]]="","",COUNTIF(NOTA[ID_H],NOTA[[#This Row],[ID_H]]))</f>
        <v/>
      </c>
      <c r="AM631" s="56">
        <f ca="1">IF(NOTA[[#This Row],[TGL.NOTA]]="",IF(NOTA[[#This Row],[SUPPLIER_H]]="","",AM630),MONTH(NOTA[[#This Row],[TGL.NOTA]]))</f>
        <v>1</v>
      </c>
      <c r="AN631" s="56" t="str">
        <f>LOWER(SUBSTITUTE(SUBSTITUTE(SUBSTITUTE(SUBSTITUTE(SUBSTITUTE(SUBSTITUTE(SUBSTITUTE(SUBSTITUTE(SUBSTITUTE(NOTA[NAMA BARANG]," ",),".",""),"-",""),"(",""),")",""),",",""),"/",""),"""",""),"+",""))</f>
        <v>kuastrifeloarttf2023</v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kuastrifeloarttf202313680000.03</v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kuastrifeloarttf202313680000.03</v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>
        <f>IF(NOTA[[#This Row],[CONCAT1]]="","",MATCH(NOTA[[#This Row],[CONCAT1]],[3]!db[NB NOTA_C],0))</f>
        <v>1846</v>
      </c>
      <c r="AT631" s="56" t="b">
        <f>IF(NOTA[[#This Row],[QTY/ CTN]]="","",TRUE)</f>
        <v>1</v>
      </c>
      <c r="AU631" s="56" t="str">
        <f ca="1">IF(NOTA[[#This Row],[ID_H]]="","",IF(NOTA[[#This Row],[Column3]]=TRUE,NOTA[[#This Row],[QTY/ CTN]],INDEX([3]!db[QTY/ CTN],NOTA[[#This Row],[//DB]])))</f>
        <v>240 SET</v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kuastrifeloarttf2023240setuntana</v>
      </c>
      <c r="AW631" s="56" t="e">
        <f ca="1">IF(NOTA[[#This Row],[ID_H]]="","",MATCH(NOTA[[#This Row],[NB NOTA_C_QTY]],[4]!db[NB NOTA_C_QTY+F],0))</f>
        <v>#REF!</v>
      </c>
      <c r="AX631" s="68">
        <f ca="1">IF(NOTA[[#This Row],[NB NOTA_C_QTY]]="","",ROW()-2)</f>
        <v>629</v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70"/>
      <c r="F632" s="37"/>
      <c r="G632" s="37"/>
      <c r="H632" s="47"/>
      <c r="I632" s="71"/>
      <c r="J632" s="73"/>
      <c r="K632" s="71"/>
      <c r="L632" s="37"/>
      <c r="M632" s="74"/>
      <c r="N632" s="75"/>
      <c r="O632" s="37"/>
      <c r="P632" s="76"/>
      <c r="Q632" s="77"/>
      <c r="R632" s="48"/>
      <c r="S632" s="79"/>
      <c r="T632" s="80"/>
      <c r="U632" s="80"/>
      <c r="V632" s="81"/>
      <c r="W632" s="82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63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ATA_2201_222-11</v>
      </c>
      <c r="C633" s="56" t="e">
        <f ca="1">IF(NOTA[[#This Row],[ID_P]]="","",MATCH(NOTA[[#This Row],[ID_P]],[1]!B_MSK[N_ID],0))</f>
        <v>#REF!</v>
      </c>
      <c r="D633" s="56">
        <f ca="1">IF(NOTA[[#This Row],[NAMA BARANG]]="","",INDEX(NOTA[ID],MATCH(,INDIRECT(ADDRESS(ROW(NOTA[ID]),COLUMN(NOTA[ID]))&amp;":"&amp;ADDRESS(ROW(),COLUMN(NOTA[ID]))),-1)))</f>
        <v>103</v>
      </c>
      <c r="E633" s="70">
        <v>45313</v>
      </c>
      <c r="F633" s="37" t="s">
        <v>24</v>
      </c>
      <c r="G633" s="37" t="s">
        <v>23</v>
      </c>
      <c r="H633" s="47" t="s">
        <v>736</v>
      </c>
      <c r="I633" s="73"/>
      <c r="J633" s="73">
        <v>45310</v>
      </c>
      <c r="K633" s="71">
        <v>0</v>
      </c>
      <c r="L633" s="37" t="s">
        <v>737</v>
      </c>
      <c r="M633" s="74">
        <v>1</v>
      </c>
      <c r="N633" s="75">
        <v>1000</v>
      </c>
      <c r="O633" s="37" t="s">
        <v>117</v>
      </c>
      <c r="P633" s="76">
        <v>2050</v>
      </c>
      <c r="Q633" s="77"/>
      <c r="R633" s="48"/>
      <c r="S633" s="79">
        <v>0.125</v>
      </c>
      <c r="T633" s="80">
        <v>0.05</v>
      </c>
      <c r="U633" s="80"/>
      <c r="V633" s="81"/>
      <c r="W633" s="82"/>
      <c r="X633" s="66">
        <f>IF(NOTA[[#This Row],[HARGA/ CTN]]="",NOTA[[#This Row],[JUMLAH_H]],NOTA[[#This Row],[HARGA/ CTN]]*IF(NOTA[[#This Row],[C]]="",0,NOTA[[#This Row],[C]]))</f>
        <v>2050000</v>
      </c>
      <c r="Y633" s="66">
        <f>IF(NOTA[[#This Row],[JUMLAH]]="","",NOTA[[#This Row],[JUMLAH]]*NOTA[[#This Row],[DISC 1]])</f>
        <v>256250</v>
      </c>
      <c r="Z633" s="66">
        <f>IF(NOTA[[#This Row],[JUMLAH]]="","",(NOTA[[#This Row],[JUMLAH]]-NOTA[[#This Row],[DISC 1-]])*NOTA[[#This Row],[DISC 2]])</f>
        <v>89687.5</v>
      </c>
      <c r="AA633" s="66">
        <f>IF(NOTA[[#This Row],[JUMLAH]]="","",(NOTA[[#This Row],[JUMLAH]]-NOTA[[#This Row],[DISC 1-]]-NOTA[[#This Row],[DISC 2-]])*NOTA[[#This Row],[DISC 3]])</f>
        <v>0</v>
      </c>
      <c r="AB633" s="66">
        <f>IF(NOTA[[#This Row],[JUMLAH]]="","",NOTA[[#This Row],[DISC 1-]]+NOTA[[#This Row],[DISC 2-]]+NOTA[[#This Row],[DISC 3-]])</f>
        <v>345937.5</v>
      </c>
      <c r="AC633" s="66">
        <f>IF(NOTA[[#This Row],[JUMLAH]]="","",NOTA[[#This Row],[JUMLAH]]-NOTA[[#This Row],[DISC]])</f>
        <v>1704062.5</v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633" s="66">
        <f>IF(OR(NOTA[[#This Row],[QTY]]="",NOTA[[#This Row],[HARGA SATUAN]]="",),"",NOTA[[#This Row],[QTY]]*NOTA[[#This Row],[HARGA SATUAN]])</f>
        <v>2050000</v>
      </c>
      <c r="AI633" s="60">
        <f ca="1">IF(NOTA[ID_H]="","",INDEX(NOTA[TANGGAL],MATCH(,INDIRECT(ADDRESS(ROW(NOTA[TANGGAL]),COLUMN(NOTA[TANGGAL]))&amp;":"&amp;ADDRESS(ROW(),COLUMN(NOTA[TANGGAL]))),-1)))</f>
        <v>45313</v>
      </c>
      <c r="AJ633" s="55" t="str">
        <f ca="1">IF(NOTA[[#This Row],[NAMA BARANG]]="","",INDEX(NOTA[SUPPLIER],MATCH(,INDIRECT(ADDRESS(ROW(NOTA[ID]),COLUMN(NOTA[ID]))&amp;":"&amp;ADDRESS(ROW(),COLUMN(NOTA[ID]))),-1)))</f>
        <v>ATALI MAKMUR</v>
      </c>
      <c r="AK633" s="55" t="str">
        <f ca="1">IF(NOTA[[#This Row],[ID_H]]="","",IF(NOTA[[#This Row],[FAKTUR]]="",INDIRECT(ADDRESS(ROW()-1,COLUMN())),NOTA[[#This Row],[FAKTUR]]))</f>
        <v>ARTO MORO</v>
      </c>
      <c r="AL633" s="56">
        <f ca="1">IF(NOTA[[#This Row],[ID]]="","",COUNTIF(NOTA[ID_H],NOTA[[#This Row],[ID_H]]))</f>
        <v>11</v>
      </c>
      <c r="AM633" s="56">
        <f>IF(NOTA[[#This Row],[TGL.NOTA]]="",IF(NOTA[[#This Row],[SUPPLIER_H]]="","",AM632),MONTH(NOTA[[#This Row],[TGL.NOTA]]))</f>
        <v>1</v>
      </c>
      <c r="AN633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MOROSA24010122245310labellb2rl1barisjk</v>
      </c>
      <c r="AR633" s="56" t="e">
        <f>IF(NOTA[[#This Row],[CONCAT4]]="","",_xlfn.IFNA(MATCH(NOTA[[#This Row],[CONCAT4]],[2]!RAW[CONCAT_H],0),FALSE))</f>
        <v>#REF!</v>
      </c>
      <c r="AS633" s="56">
        <f>IF(NOTA[[#This Row],[CONCAT1]]="","",MATCH(NOTA[[#This Row],[CONCAT1]],[3]!db[NB NOTA_C],0))</f>
        <v>1854</v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>100 PAK (10 ROL)</v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633" s="56" t="e">
        <f ca="1">IF(NOTA[[#This Row],[ID_H]]="","",MATCH(NOTA[[#This Row],[NB NOTA_C_QTY]],[4]!db[NB NOTA_C_QTY+F],0))</f>
        <v>#REF!</v>
      </c>
      <c r="AX633" s="68">
        <f ca="1">IF(NOTA[[#This Row],[NB NOTA_C_QTY]]="","",ROW()-2)</f>
        <v>631</v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>
        <f ca="1">IF(NOTA[[#This Row],[NAMA BARANG]]="","",INDEX(NOTA[ID],MATCH(,INDIRECT(ADDRESS(ROW(NOTA[ID]),COLUMN(NOTA[ID]))&amp;":"&amp;ADDRESS(ROW(),COLUMN(NOTA[ID]))),-1)))</f>
        <v>103</v>
      </c>
      <c r="E634" s="70"/>
      <c r="F634" s="71"/>
      <c r="G634" s="71"/>
      <c r="H634" s="72"/>
      <c r="I634" s="71"/>
      <c r="J634" s="73"/>
      <c r="K634" s="71">
        <v>0</v>
      </c>
      <c r="L634" s="37" t="s">
        <v>738</v>
      </c>
      <c r="M634" s="74">
        <v>1</v>
      </c>
      <c r="N634" s="75">
        <v>24</v>
      </c>
      <c r="O634" s="37" t="s">
        <v>115</v>
      </c>
      <c r="P634" s="76">
        <v>19000</v>
      </c>
      <c r="Q634" s="77"/>
      <c r="R634" s="78"/>
      <c r="S634" s="79">
        <v>0.125</v>
      </c>
      <c r="T634" s="80">
        <v>0.05</v>
      </c>
      <c r="U634" s="80"/>
      <c r="V634" s="81"/>
      <c r="W634" s="82"/>
      <c r="X634" s="66">
        <f>IF(NOTA[[#This Row],[HARGA/ CTN]]="",NOTA[[#This Row],[JUMLAH_H]],NOTA[[#This Row],[HARGA/ CTN]]*IF(NOTA[[#This Row],[C]]="",0,NOTA[[#This Row],[C]]))</f>
        <v>456000</v>
      </c>
      <c r="Y634" s="66">
        <f>IF(NOTA[[#This Row],[JUMLAH]]="","",NOTA[[#This Row],[JUMLAH]]*NOTA[[#This Row],[DISC 1]])</f>
        <v>57000</v>
      </c>
      <c r="Z634" s="66">
        <f>IF(NOTA[[#This Row],[JUMLAH]]="","",(NOTA[[#This Row],[JUMLAH]]-NOTA[[#This Row],[DISC 1-]])*NOTA[[#This Row],[DISC 2]])</f>
        <v>19950</v>
      </c>
      <c r="AA634" s="66">
        <f>IF(NOTA[[#This Row],[JUMLAH]]="","",(NOTA[[#This Row],[JUMLAH]]-NOTA[[#This Row],[DISC 1-]]-NOTA[[#This Row],[DISC 2-]])*NOTA[[#This Row],[DISC 3]])</f>
        <v>0</v>
      </c>
      <c r="AB634" s="66">
        <f>IF(NOTA[[#This Row],[JUMLAH]]="","",NOTA[[#This Row],[DISC 1-]]+NOTA[[#This Row],[DISC 2-]]+NOTA[[#This Row],[DISC 3-]])</f>
        <v>76950</v>
      </c>
      <c r="AC634" s="66">
        <f>IF(NOTA[[#This Row],[JUMLAH]]="","",NOTA[[#This Row],[JUMLAH]]-NOTA[[#This Row],[DISC]])</f>
        <v>379050</v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634" s="66">
        <f>IF(OR(NOTA[[#This Row],[QTY]]="",NOTA[[#This Row],[HARGA SATUAN]]="",),"",NOTA[[#This Row],[QTY]]*NOTA[[#This Row],[HARGA SATUAN]])</f>
        <v>456000</v>
      </c>
      <c r="AI634" s="60">
        <f ca="1">IF(NOTA[ID_H]="","",INDEX(NOTA[TANGGAL],MATCH(,INDIRECT(ADDRESS(ROW(NOTA[TANGGAL]),COLUMN(NOTA[TANGGAL]))&amp;":"&amp;ADDRESS(ROW(),COLUMN(NOTA[TANGGAL]))),-1)))</f>
        <v>45313</v>
      </c>
      <c r="AJ634" s="55" t="str">
        <f ca="1">IF(NOTA[[#This Row],[NAMA BARANG]]="","",INDEX(NOTA[SUPPLIER],MATCH(,INDIRECT(ADDRESS(ROW(NOTA[ID]),COLUMN(NOTA[ID]))&amp;":"&amp;ADDRESS(ROW(),COLUMN(NOTA[ID]))),-1)))</f>
        <v>ATALI MAKMUR</v>
      </c>
      <c r="AK634" s="55" t="str">
        <f ca="1">IF(NOTA[[#This Row],[ID_H]]="","",IF(NOTA[[#This Row],[FAKTUR]]="",INDIRECT(ADDRESS(ROW()-1,COLUMN())),NOTA[[#This Row],[FAKTUR]]))</f>
        <v>ARTO MORO</v>
      </c>
      <c r="AL634" s="56" t="str">
        <f ca="1">IF(NOTA[[#This Row],[ID]]="","",COUNTIF(NOTA[ID_H],NOTA[[#This Row],[ID_H]]))</f>
        <v/>
      </c>
      <c r="AM634" s="56">
        <f ca="1">IF(NOTA[[#This Row],[TGL.NOTA]]="",IF(NOTA[[#This Row],[SUPPLIER_H]]="","",AM633),MONTH(NOTA[[#This Row],[TGL.NOTA]]))</f>
        <v>1</v>
      </c>
      <c r="AN634" s="56" t="str">
        <f>LOWER(SUBSTITUTE(SUBSTITUTE(SUBSTITUTE(SUBSTITUTE(SUBSTITUTE(SUBSTITUTE(SUBSTITUTE(SUBSTITUTE(SUBSTITUTE(NOTA[NAMA BARANG]," ",),".",""),"-",""),"(",""),")",""),",",""),"/",""),"""",""),"+",""))</f>
        <v>tapecuttertd109jk</v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tapecuttertd109jk4560000.1250.05</v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tapecuttertd109jk4560000.1250.05</v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e">
        <f>IF(NOTA[[#This Row],[CONCAT1]]="","",MATCH(NOTA[[#This Row],[CONCAT1]],[3]!db[NB NOTA_C],0))</f>
        <v>#N/A</v>
      </c>
      <c r="AT634" s="56" t="str">
        <f>IF(NOTA[[#This Row],[QTY/ CTN]]="","",TRUE)</f>
        <v/>
      </c>
      <c r="AU634" s="56" t="e">
        <f ca="1">IF(NOTA[[#This Row],[ID_H]]="","",IF(NOTA[[#This Row],[Column3]]=TRUE,NOTA[[#This Row],[QTY/ CTN]],INDEX([3]!db[QTY/ CTN],NOTA[[#This Row],[//DB]])))</f>
        <v>#N/A</v>
      </c>
      <c r="AV634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34" s="56" t="e">
        <f ca="1">IF(NOTA[[#This Row],[ID_H]]="","",MATCH(NOTA[[#This Row],[NB NOTA_C_QTY]],[4]!db[NB NOTA_C_QTY+F],0))</f>
        <v>#N/A</v>
      </c>
      <c r="AX634" s="68" t="e">
        <f ca="1">IF(NOTA[[#This Row],[NB NOTA_C_QTY]]="","",ROW()-2)</f>
        <v>#N/A</v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>
        <f ca="1">IF(NOTA[[#This Row],[NAMA BARANG]]="","",INDEX(NOTA[ID],MATCH(,INDIRECT(ADDRESS(ROW(NOTA[ID]),COLUMN(NOTA[ID]))&amp;":"&amp;ADDRESS(ROW(),COLUMN(NOTA[ID]))),-1)))</f>
        <v>103</v>
      </c>
      <c r="E635" s="70"/>
      <c r="F635" s="37"/>
      <c r="G635" s="37"/>
      <c r="H635" s="47"/>
      <c r="I635" s="71"/>
      <c r="J635" s="73"/>
      <c r="K635" s="71">
        <v>0</v>
      </c>
      <c r="L635" s="37" t="s">
        <v>739</v>
      </c>
      <c r="M635" s="74">
        <v>1</v>
      </c>
      <c r="N635" s="75">
        <v>720</v>
      </c>
      <c r="O635" s="37" t="s">
        <v>115</v>
      </c>
      <c r="P635" s="76">
        <v>4300</v>
      </c>
      <c r="Q635" s="77"/>
      <c r="R635" s="48"/>
      <c r="S635" s="79">
        <v>0.125</v>
      </c>
      <c r="T635" s="80">
        <v>0.05</v>
      </c>
      <c r="U635" s="80"/>
      <c r="V635" s="81"/>
      <c r="W635" s="82"/>
      <c r="X635" s="66">
        <f>IF(NOTA[[#This Row],[HARGA/ CTN]]="",NOTA[[#This Row],[JUMLAH_H]],NOTA[[#This Row],[HARGA/ CTN]]*IF(NOTA[[#This Row],[C]]="",0,NOTA[[#This Row],[C]]))</f>
        <v>3096000</v>
      </c>
      <c r="Y635" s="66">
        <f>IF(NOTA[[#This Row],[JUMLAH]]="","",NOTA[[#This Row],[JUMLAH]]*NOTA[[#This Row],[DISC 1]])</f>
        <v>387000</v>
      </c>
      <c r="Z635" s="66">
        <f>IF(NOTA[[#This Row],[JUMLAH]]="","",(NOTA[[#This Row],[JUMLAH]]-NOTA[[#This Row],[DISC 1-]])*NOTA[[#This Row],[DISC 2]])</f>
        <v>135450</v>
      </c>
      <c r="AA635" s="66">
        <f>IF(NOTA[[#This Row],[JUMLAH]]="","",(NOTA[[#This Row],[JUMLAH]]-NOTA[[#This Row],[DISC 1-]]-NOTA[[#This Row],[DISC 2-]])*NOTA[[#This Row],[DISC 3]])</f>
        <v>0</v>
      </c>
      <c r="AB635" s="66">
        <f>IF(NOTA[[#This Row],[JUMLAH]]="","",NOTA[[#This Row],[DISC 1-]]+NOTA[[#This Row],[DISC 2-]]+NOTA[[#This Row],[DISC 3-]])</f>
        <v>522450</v>
      </c>
      <c r="AC635" s="66">
        <f>IF(NOTA[[#This Row],[JUMLAH]]="","",NOTA[[#This Row],[JUMLAH]]-NOTA[[#This Row],[DISC]])</f>
        <v>2573550</v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635" s="66">
        <f>IF(OR(NOTA[[#This Row],[QTY]]="",NOTA[[#This Row],[HARGA SATUAN]]="",),"",NOTA[[#This Row],[QTY]]*NOTA[[#This Row],[HARGA SATUAN]])</f>
        <v>3096000</v>
      </c>
      <c r="AI635" s="60">
        <f ca="1">IF(NOTA[ID_H]="","",INDEX(NOTA[TANGGAL],MATCH(,INDIRECT(ADDRESS(ROW(NOTA[TANGGAL]),COLUMN(NOTA[TANGGAL]))&amp;":"&amp;ADDRESS(ROW(),COLUMN(NOTA[TANGGAL]))),-1)))</f>
        <v>45313</v>
      </c>
      <c r="AJ635" s="55" t="str">
        <f ca="1">IF(NOTA[[#This Row],[NAMA BARANG]]="","",INDEX(NOTA[SUPPLIER],MATCH(,INDIRECT(ADDRESS(ROW(NOTA[ID]),COLUMN(NOTA[ID]))&amp;":"&amp;ADDRESS(ROW(),COLUMN(NOTA[ID]))),-1)))</f>
        <v>ATALI MAKMUR</v>
      </c>
      <c r="AK635" s="55" t="str">
        <f ca="1">IF(NOTA[[#This Row],[ID_H]]="","",IF(NOTA[[#This Row],[FAKTUR]]="",INDIRECT(ADDRESS(ROW()-1,COLUMN())),NOTA[[#This Row],[FAKTUR]]))</f>
        <v>ARTO MORO</v>
      </c>
      <c r="AL635" s="56" t="str">
        <f ca="1">IF(NOTA[[#This Row],[ID]]="","",COUNTIF(NOTA[ID_H],NOTA[[#This Row],[ID_H]]))</f>
        <v/>
      </c>
      <c r="AM635" s="56">
        <f ca="1">IF(NOTA[[#This Row],[TGL.NOTA]]="",IF(NOTA[[#This Row],[SUPPLIER_H]]="","",AM634),MONTH(NOTA[[#This Row],[TGL.NOTA]]))</f>
        <v>1</v>
      </c>
      <c r="AN635" s="56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>
        <f>IF(NOTA[[#This Row],[CONCAT1]]="","",MATCH(NOTA[[#This Row],[CONCAT1]],[3]!db[NB NOTA_C],0))</f>
        <v>725</v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>60 LSN</v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635" s="56" t="e">
        <f ca="1">IF(NOTA[[#This Row],[ID_H]]="","",MATCH(NOTA[[#This Row],[NB NOTA_C_QTY]],[4]!db[NB NOTA_C_QTY+F],0))</f>
        <v>#REF!</v>
      </c>
      <c r="AX635" s="68">
        <f ca="1">IF(NOTA[[#This Row],[NB NOTA_C_QTY]]="","",ROW()-2)</f>
        <v>633</v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>
        <f ca="1">IF(NOTA[[#This Row],[NAMA BARANG]]="","",INDEX(NOTA[ID],MATCH(,INDIRECT(ADDRESS(ROW(NOTA[ID]),COLUMN(NOTA[ID]))&amp;":"&amp;ADDRESS(ROW(),COLUMN(NOTA[ID]))),-1)))</f>
        <v>103</v>
      </c>
      <c r="E636" s="70"/>
      <c r="F636" s="71"/>
      <c r="G636" s="71"/>
      <c r="H636" s="72"/>
      <c r="I636" s="71"/>
      <c r="J636" s="73"/>
      <c r="K636" s="71">
        <v>0</v>
      </c>
      <c r="L636" s="37" t="s">
        <v>740</v>
      </c>
      <c r="M636" s="74">
        <v>1</v>
      </c>
      <c r="N636" s="75">
        <v>720</v>
      </c>
      <c r="O636" s="37" t="s">
        <v>115</v>
      </c>
      <c r="P636" s="76">
        <v>3700</v>
      </c>
      <c r="Q636" s="77"/>
      <c r="R636" s="48"/>
      <c r="S636" s="79">
        <v>0.125</v>
      </c>
      <c r="T636" s="80">
        <v>0.05</v>
      </c>
      <c r="U636" s="80"/>
      <c r="V636" s="81"/>
      <c r="W636" s="82"/>
      <c r="X636" s="66">
        <f>IF(NOTA[[#This Row],[HARGA/ CTN]]="",NOTA[[#This Row],[JUMLAH_H]],NOTA[[#This Row],[HARGA/ CTN]]*IF(NOTA[[#This Row],[C]]="",0,NOTA[[#This Row],[C]]))</f>
        <v>2664000</v>
      </c>
      <c r="Y636" s="66">
        <f>IF(NOTA[[#This Row],[JUMLAH]]="","",NOTA[[#This Row],[JUMLAH]]*NOTA[[#This Row],[DISC 1]])</f>
        <v>333000</v>
      </c>
      <c r="Z636" s="66">
        <f>IF(NOTA[[#This Row],[JUMLAH]]="","",(NOTA[[#This Row],[JUMLAH]]-NOTA[[#This Row],[DISC 1-]])*NOTA[[#This Row],[DISC 2]])</f>
        <v>116550</v>
      </c>
      <c r="AA636" s="66">
        <f>IF(NOTA[[#This Row],[JUMLAH]]="","",(NOTA[[#This Row],[JUMLAH]]-NOTA[[#This Row],[DISC 1-]]-NOTA[[#This Row],[DISC 2-]])*NOTA[[#This Row],[DISC 3]])</f>
        <v>0</v>
      </c>
      <c r="AB636" s="66">
        <f>IF(NOTA[[#This Row],[JUMLAH]]="","",NOTA[[#This Row],[DISC 1-]]+NOTA[[#This Row],[DISC 2-]]+NOTA[[#This Row],[DISC 3-]])</f>
        <v>449550</v>
      </c>
      <c r="AC636" s="66">
        <f>IF(NOTA[[#This Row],[JUMLAH]]="","",NOTA[[#This Row],[JUMLAH]]-NOTA[[#This Row],[DISC]])</f>
        <v>2214450</v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H636" s="66">
        <f>IF(OR(NOTA[[#This Row],[QTY]]="",NOTA[[#This Row],[HARGA SATUAN]]="",),"",NOTA[[#This Row],[QTY]]*NOTA[[#This Row],[HARGA SATUAN]])</f>
        <v>2664000</v>
      </c>
      <c r="AI636" s="60">
        <f ca="1">IF(NOTA[ID_H]="","",INDEX(NOTA[TANGGAL],MATCH(,INDIRECT(ADDRESS(ROW(NOTA[TANGGAL]),COLUMN(NOTA[TANGGAL]))&amp;":"&amp;ADDRESS(ROW(),COLUMN(NOTA[TANGGAL]))),-1)))</f>
        <v>45313</v>
      </c>
      <c r="AJ636" s="55" t="str">
        <f ca="1">IF(NOTA[[#This Row],[NAMA BARANG]]="","",INDEX(NOTA[SUPPLIER],MATCH(,INDIRECT(ADDRESS(ROW(NOTA[ID]),COLUMN(NOTA[ID]))&amp;":"&amp;ADDRESS(ROW(),COLUMN(NOTA[ID]))),-1)))</f>
        <v>ATALI MAKMUR</v>
      </c>
      <c r="AK636" s="55" t="str">
        <f ca="1">IF(NOTA[[#This Row],[ID_H]]="","",IF(NOTA[[#This Row],[FAKTUR]]="",INDIRECT(ADDRESS(ROW()-1,COLUMN())),NOTA[[#This Row],[FAKTUR]]))</f>
        <v>ARTO MORO</v>
      </c>
      <c r="AL636" s="56" t="str">
        <f ca="1">IF(NOTA[[#This Row],[ID]]="","",COUNTIF(NOTA[ID_H],NOTA[[#This Row],[ID_H]]))</f>
        <v/>
      </c>
      <c r="AM636" s="56">
        <f ca="1">IF(NOTA[[#This Row],[TGL.NOTA]]="",IF(NOTA[[#This Row],[SUPPLIER_H]]="","",AM635),MONTH(NOTA[[#This Row],[TGL.NOTA]]))</f>
        <v>1</v>
      </c>
      <c r="AN636" s="56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highlighterhl1yellowjk26640000.1250.05</v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highlighterhl1yellowjk26640000.1250.05</v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>
        <f>IF(NOTA[[#This Row],[CONCAT1]]="","",MATCH(NOTA[[#This Row],[CONCAT1]],[3]!db[NB NOTA_C],0))</f>
        <v>1395</v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>72 BOX (10 PCS)</v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636" s="56" t="e">
        <f ca="1">IF(NOTA[[#This Row],[ID_H]]="","",MATCH(NOTA[[#This Row],[NB NOTA_C_QTY]],[4]!db[NB NOTA_C_QTY+F],0))</f>
        <v>#REF!</v>
      </c>
      <c r="AX636" s="68">
        <f ca="1">IF(NOTA[[#This Row],[NB NOTA_C_QTY]]="","",ROW()-2)</f>
        <v>634</v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>
        <f ca="1">IF(NOTA[[#This Row],[NAMA BARANG]]="","",INDEX(NOTA[ID],MATCH(,INDIRECT(ADDRESS(ROW(NOTA[ID]),COLUMN(NOTA[ID]))&amp;":"&amp;ADDRESS(ROW(),COLUMN(NOTA[ID]))),-1)))</f>
        <v>103</v>
      </c>
      <c r="E637" s="70"/>
      <c r="F637" s="71"/>
      <c r="G637" s="71"/>
      <c r="H637" s="72"/>
      <c r="I637" s="71"/>
      <c r="J637" s="73"/>
      <c r="K637" s="71">
        <v>0</v>
      </c>
      <c r="L637" s="37" t="s">
        <v>741</v>
      </c>
      <c r="M637" s="74">
        <v>1</v>
      </c>
      <c r="N637" s="75">
        <v>240</v>
      </c>
      <c r="O637" s="37" t="s">
        <v>116</v>
      </c>
      <c r="P637" s="76">
        <v>8800</v>
      </c>
      <c r="Q637" s="77"/>
      <c r="R637" s="48"/>
      <c r="S637" s="79">
        <v>0.125</v>
      </c>
      <c r="T637" s="80">
        <v>0.05</v>
      </c>
      <c r="U637" s="80"/>
      <c r="V637" s="81"/>
      <c r="W637" s="82"/>
      <c r="X637" s="66">
        <f>IF(NOTA[[#This Row],[HARGA/ CTN]]="",NOTA[[#This Row],[JUMLAH_H]],NOTA[[#This Row],[HARGA/ CTN]]*IF(NOTA[[#This Row],[C]]="",0,NOTA[[#This Row],[C]]))</f>
        <v>2112000</v>
      </c>
      <c r="Y637" s="66">
        <f>IF(NOTA[[#This Row],[JUMLAH]]="","",NOTA[[#This Row],[JUMLAH]]*NOTA[[#This Row],[DISC 1]])</f>
        <v>264000</v>
      </c>
      <c r="Z637" s="66">
        <f>IF(NOTA[[#This Row],[JUMLAH]]="","",(NOTA[[#This Row],[JUMLAH]]-NOTA[[#This Row],[DISC 1-]])*NOTA[[#This Row],[DISC 2]])</f>
        <v>92400</v>
      </c>
      <c r="AA637" s="66">
        <f>IF(NOTA[[#This Row],[JUMLAH]]="","",(NOTA[[#This Row],[JUMLAH]]-NOTA[[#This Row],[DISC 1-]]-NOTA[[#This Row],[DISC 2-]])*NOTA[[#This Row],[DISC 3]])</f>
        <v>0</v>
      </c>
      <c r="AB637" s="66">
        <f>IF(NOTA[[#This Row],[JUMLAH]]="","",NOTA[[#This Row],[DISC 1-]]+NOTA[[#This Row],[DISC 2-]]+NOTA[[#This Row],[DISC 3-]])</f>
        <v>356400</v>
      </c>
      <c r="AC637" s="66">
        <f>IF(NOTA[[#This Row],[JUMLAH]]="","",NOTA[[#This Row],[JUMLAH]]-NOTA[[#This Row],[DISC]])</f>
        <v>1755600</v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637" s="66">
        <f>IF(OR(NOTA[[#This Row],[QTY]]="",NOTA[[#This Row],[HARGA SATUAN]]="",),"",NOTA[[#This Row],[QTY]]*NOTA[[#This Row],[HARGA SATUAN]])</f>
        <v>2112000</v>
      </c>
      <c r="AI637" s="60">
        <f ca="1">IF(NOTA[ID_H]="","",INDEX(NOTA[TANGGAL],MATCH(,INDIRECT(ADDRESS(ROW(NOTA[TANGGAL]),COLUMN(NOTA[TANGGAL]))&amp;":"&amp;ADDRESS(ROW(),COLUMN(NOTA[TANGGAL]))),-1)))</f>
        <v>45313</v>
      </c>
      <c r="AJ637" s="55" t="str">
        <f ca="1">IF(NOTA[[#This Row],[NAMA BARANG]]="","",INDEX(NOTA[SUPPLIER],MATCH(,INDIRECT(ADDRESS(ROW(NOTA[ID]),COLUMN(NOTA[ID]))&amp;":"&amp;ADDRESS(ROW(),COLUMN(NOTA[ID]))),-1)))</f>
        <v>ATALI MAKMUR</v>
      </c>
      <c r="AK637" s="55" t="str">
        <f ca="1">IF(NOTA[[#This Row],[ID_H]]="","",IF(NOTA[[#This Row],[FAKTUR]]="",INDIRECT(ADDRESS(ROW()-1,COLUMN())),NOTA[[#This Row],[FAKTUR]]))</f>
        <v>ARTO MORO</v>
      </c>
      <c r="AL637" s="56" t="str">
        <f ca="1">IF(NOTA[[#This Row],[ID]]="","",COUNTIF(NOTA[ID_H],NOTA[[#This Row],[ID_H]]))</f>
        <v/>
      </c>
      <c r="AM637" s="56">
        <f ca="1">IF(NOTA[[#This Row],[TGL.NOTA]]="",IF(NOTA[[#This Row],[SUPPLIER_H]]="","",AM636),MONTH(NOTA[[#This Row],[TGL.NOTA]]))</f>
        <v>1</v>
      </c>
      <c r="AN637" s="56" t="str">
        <f>LOWER(SUBSTITUTE(SUBSTITUTE(SUBSTITUTE(SUBSTITUTE(SUBSTITUTE(SUBSTITUTE(SUBSTITUTE(SUBSTITUTE(SUBSTITUTE(NOTA[NAMA BARANG]," ",),".",""),"-",""),"(",""),")",""),",",""),"/",""),"""",""),"+",""))</f>
        <v>brushbr1jk</v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>
        <f>IF(NOTA[[#This Row],[CONCAT1]]="","",MATCH(NOTA[[#This Row],[CONCAT1]],[3]!db[NB NOTA_C],0))</f>
        <v>472</v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>10 BOX (24 SET)</v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637" s="56" t="e">
        <f ca="1">IF(NOTA[[#This Row],[ID_H]]="","",MATCH(NOTA[[#This Row],[NB NOTA_C_QTY]],[4]!db[NB NOTA_C_QTY+F],0))</f>
        <v>#REF!</v>
      </c>
      <c r="AX637" s="68">
        <f ca="1">IF(NOTA[[#This Row],[NB NOTA_C_QTY]]="","",ROW()-2)</f>
        <v>635</v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>
        <f ca="1">IF(NOTA[[#This Row],[NAMA BARANG]]="","",INDEX(NOTA[ID],MATCH(,INDIRECT(ADDRESS(ROW(NOTA[ID]),COLUMN(NOTA[ID]))&amp;":"&amp;ADDRESS(ROW(),COLUMN(NOTA[ID]))),-1)))</f>
        <v>103</v>
      </c>
      <c r="E638" s="70"/>
      <c r="F638" s="71"/>
      <c r="G638" s="71"/>
      <c r="H638" s="72"/>
      <c r="I638" s="71"/>
      <c r="J638" s="73"/>
      <c r="K638" s="71">
        <v>0</v>
      </c>
      <c r="L638" s="37" t="s">
        <v>742</v>
      </c>
      <c r="M638" s="74">
        <v>1</v>
      </c>
      <c r="N638" s="75">
        <v>240</v>
      </c>
      <c r="O638" s="37" t="s">
        <v>116</v>
      </c>
      <c r="P638" s="76">
        <v>10600</v>
      </c>
      <c r="Q638" s="77"/>
      <c r="R638" s="78"/>
      <c r="S638" s="79">
        <v>0.125</v>
      </c>
      <c r="T638" s="80">
        <v>0.05</v>
      </c>
      <c r="U638" s="80"/>
      <c r="V638" s="81"/>
      <c r="W638" s="82"/>
      <c r="X638" s="66">
        <f>IF(NOTA[[#This Row],[HARGA/ CTN]]="",NOTA[[#This Row],[JUMLAH_H]],NOTA[[#This Row],[HARGA/ CTN]]*IF(NOTA[[#This Row],[C]]="",0,NOTA[[#This Row],[C]]))</f>
        <v>2544000</v>
      </c>
      <c r="Y638" s="66">
        <f>IF(NOTA[[#This Row],[JUMLAH]]="","",NOTA[[#This Row],[JUMLAH]]*NOTA[[#This Row],[DISC 1]])</f>
        <v>318000</v>
      </c>
      <c r="Z638" s="66">
        <f>IF(NOTA[[#This Row],[JUMLAH]]="","",(NOTA[[#This Row],[JUMLAH]]-NOTA[[#This Row],[DISC 1-]])*NOTA[[#This Row],[DISC 2]])</f>
        <v>111300</v>
      </c>
      <c r="AA638" s="66">
        <f>IF(NOTA[[#This Row],[JUMLAH]]="","",(NOTA[[#This Row],[JUMLAH]]-NOTA[[#This Row],[DISC 1-]]-NOTA[[#This Row],[DISC 2-]])*NOTA[[#This Row],[DISC 3]])</f>
        <v>0</v>
      </c>
      <c r="AB638" s="66">
        <f>IF(NOTA[[#This Row],[JUMLAH]]="","",NOTA[[#This Row],[DISC 1-]]+NOTA[[#This Row],[DISC 2-]]+NOTA[[#This Row],[DISC 3-]])</f>
        <v>429300</v>
      </c>
      <c r="AC638" s="66">
        <f>IF(NOTA[[#This Row],[JUMLAH]]="","",NOTA[[#This Row],[JUMLAH]]-NOTA[[#This Row],[DISC]])</f>
        <v>2114700</v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638" s="66">
        <f>IF(OR(NOTA[[#This Row],[QTY]]="",NOTA[[#This Row],[HARGA SATUAN]]="",),"",NOTA[[#This Row],[QTY]]*NOTA[[#This Row],[HARGA SATUAN]])</f>
        <v>2544000</v>
      </c>
      <c r="AI638" s="60">
        <f ca="1">IF(NOTA[ID_H]="","",INDEX(NOTA[TANGGAL],MATCH(,INDIRECT(ADDRESS(ROW(NOTA[TANGGAL]),COLUMN(NOTA[TANGGAL]))&amp;":"&amp;ADDRESS(ROW(),COLUMN(NOTA[TANGGAL]))),-1)))</f>
        <v>45313</v>
      </c>
      <c r="AJ638" s="55" t="str">
        <f ca="1">IF(NOTA[[#This Row],[NAMA BARANG]]="","",INDEX(NOTA[SUPPLIER],MATCH(,INDIRECT(ADDRESS(ROW(NOTA[ID]),COLUMN(NOTA[ID]))&amp;":"&amp;ADDRESS(ROW(),COLUMN(NOTA[ID]))),-1)))</f>
        <v>ATALI MAKMUR</v>
      </c>
      <c r="AK638" s="55" t="str">
        <f ca="1">IF(NOTA[[#This Row],[ID_H]]="","",IF(NOTA[[#This Row],[FAKTUR]]="",INDIRECT(ADDRESS(ROW()-1,COLUMN())),NOTA[[#This Row],[FAKTUR]]))</f>
        <v>ARTO MORO</v>
      </c>
      <c r="AL638" s="56" t="str">
        <f ca="1">IF(NOTA[[#This Row],[ID]]="","",COUNTIF(NOTA[ID_H],NOTA[[#This Row],[ID_H]]))</f>
        <v/>
      </c>
      <c r="AM638" s="56">
        <f ca="1">IF(NOTA[[#This Row],[TGL.NOTA]]="",IF(NOTA[[#This Row],[SUPPLIER_H]]="","",AM637),MONTH(NOTA[[#This Row],[TGL.NOTA]]))</f>
        <v>1</v>
      </c>
      <c r="AN638" s="56" t="str">
        <f>LOWER(SUBSTITUTE(SUBSTITUTE(SUBSTITUTE(SUBSTITUTE(SUBSTITUTE(SUBSTITUTE(SUBSTITUTE(SUBSTITUTE(SUBSTITUTE(NOTA[NAMA BARANG]," ",),".",""),"-",""),"(",""),")",""),",",""),"/",""),"""",""),"+",""))</f>
        <v>brushbr5jk</v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>
        <f>IF(NOTA[[#This Row],[CONCAT1]]="","",MATCH(NOTA[[#This Row],[CONCAT1]],[3]!db[NB NOTA_C],0))</f>
        <v>475</v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>10 BOX (24 SET)</v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brushbr5jk10box24setartomoro</v>
      </c>
      <c r="AW638" s="56" t="e">
        <f ca="1">IF(NOTA[[#This Row],[ID_H]]="","",MATCH(NOTA[[#This Row],[NB NOTA_C_QTY]],[4]!db[NB NOTA_C_QTY+F],0))</f>
        <v>#REF!</v>
      </c>
      <c r="AX638" s="68">
        <f ca="1">IF(NOTA[[#This Row],[NB NOTA_C_QTY]]="","",ROW()-2)</f>
        <v>636</v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>
        <f ca="1">IF(NOTA[[#This Row],[NAMA BARANG]]="","",INDEX(NOTA[ID],MATCH(,INDIRECT(ADDRESS(ROW(NOTA[ID]),COLUMN(NOTA[ID]))&amp;":"&amp;ADDRESS(ROW(),COLUMN(NOTA[ID]))),-1)))</f>
        <v>103</v>
      </c>
      <c r="E639" s="70"/>
      <c r="F639" s="37"/>
      <c r="G639" s="37"/>
      <c r="H639" s="47"/>
      <c r="I639" s="71"/>
      <c r="J639" s="73"/>
      <c r="K639" s="71">
        <v>0</v>
      </c>
      <c r="L639" s="37" t="s">
        <v>743</v>
      </c>
      <c r="M639" s="74">
        <v>1</v>
      </c>
      <c r="N639" s="75">
        <v>50</v>
      </c>
      <c r="O639" s="37" t="s">
        <v>118</v>
      </c>
      <c r="P639" s="76">
        <v>28300</v>
      </c>
      <c r="Q639" s="77"/>
      <c r="R639" s="78"/>
      <c r="S639" s="79">
        <v>0.125</v>
      </c>
      <c r="T639" s="80">
        <v>0.05</v>
      </c>
      <c r="U639" s="80"/>
      <c r="V639" s="81"/>
      <c r="W639" s="45"/>
      <c r="X639" s="66">
        <f>IF(NOTA[[#This Row],[HARGA/ CTN]]="",NOTA[[#This Row],[JUMLAH_H]],NOTA[[#This Row],[HARGA/ CTN]]*IF(NOTA[[#This Row],[C]]="",0,NOTA[[#This Row],[C]]))</f>
        <v>1415000</v>
      </c>
      <c r="Y639" s="66">
        <f>IF(NOTA[[#This Row],[JUMLAH]]="","",NOTA[[#This Row],[JUMLAH]]*NOTA[[#This Row],[DISC 1]])</f>
        <v>176875</v>
      </c>
      <c r="Z639" s="66">
        <f>IF(NOTA[[#This Row],[JUMLAH]]="","",(NOTA[[#This Row],[JUMLAH]]-NOTA[[#This Row],[DISC 1-]])*NOTA[[#This Row],[DISC 2]])</f>
        <v>61906.25</v>
      </c>
      <c r="AA639" s="66">
        <f>IF(NOTA[[#This Row],[JUMLAH]]="","",(NOTA[[#This Row],[JUMLAH]]-NOTA[[#This Row],[DISC 1-]]-NOTA[[#This Row],[DISC 2-]])*NOTA[[#This Row],[DISC 3]])</f>
        <v>0</v>
      </c>
      <c r="AB639" s="66">
        <f>IF(NOTA[[#This Row],[JUMLAH]]="","",NOTA[[#This Row],[DISC 1-]]+NOTA[[#This Row],[DISC 2-]]+NOTA[[#This Row],[DISC 3-]])</f>
        <v>238781.25</v>
      </c>
      <c r="AC639" s="66">
        <f>IF(NOTA[[#This Row],[JUMLAH]]="","",NOTA[[#This Row],[JUMLAH]]-NOTA[[#This Row],[DISC]])</f>
        <v>1176218.75</v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39" s="66">
        <f>IF(OR(NOTA[[#This Row],[QTY]]="",NOTA[[#This Row],[HARGA SATUAN]]="",),"",NOTA[[#This Row],[QTY]]*NOTA[[#This Row],[HARGA SATUAN]])</f>
        <v>1415000</v>
      </c>
      <c r="AI639" s="60">
        <f ca="1">IF(NOTA[ID_H]="","",INDEX(NOTA[TANGGAL],MATCH(,INDIRECT(ADDRESS(ROW(NOTA[TANGGAL]),COLUMN(NOTA[TANGGAL]))&amp;":"&amp;ADDRESS(ROW(),COLUMN(NOTA[TANGGAL]))),-1)))</f>
        <v>45313</v>
      </c>
      <c r="AJ639" s="55" t="str">
        <f ca="1">IF(NOTA[[#This Row],[NAMA BARANG]]="","",INDEX(NOTA[SUPPLIER],MATCH(,INDIRECT(ADDRESS(ROW(NOTA[ID]),COLUMN(NOTA[ID]))&amp;":"&amp;ADDRESS(ROW(),COLUMN(NOTA[ID]))),-1)))</f>
        <v>ATALI MAKMUR</v>
      </c>
      <c r="AK639" s="55" t="str">
        <f ca="1">IF(NOTA[[#This Row],[ID_H]]="","",IF(NOTA[[#This Row],[FAKTUR]]="",INDIRECT(ADDRESS(ROW()-1,COLUMN())),NOTA[[#This Row],[FAKTUR]]))</f>
        <v>ARTO MORO</v>
      </c>
      <c r="AL639" s="56" t="str">
        <f ca="1">IF(NOTA[[#This Row],[ID]]="","",COUNTIF(NOTA[ID_H],NOTA[[#This Row],[ID_H]]))</f>
        <v/>
      </c>
      <c r="AM639" s="56">
        <f ca="1">IF(NOTA[[#This Row],[TGL.NOTA]]="",IF(NOTA[[#This Row],[SUPPLIER_H]]="","",AM638),MONTH(NOTA[[#This Row],[TGL.NOTA]]))</f>
        <v>1</v>
      </c>
      <c r="AN639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>
        <f>IF(NOTA[[#This Row],[CONCAT1]]="","",MATCH(NOTA[[#This Row],[CONCAT1]],[3]!db[NB NOTA_C],0))</f>
        <v>956</v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>50 BOX (40 PCS)</v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639" s="56" t="e">
        <f ca="1">IF(NOTA[[#This Row],[ID_H]]="","",MATCH(NOTA[[#This Row],[NB NOTA_C_QTY]],[4]!db[NB NOTA_C_QTY+F],0))</f>
        <v>#REF!</v>
      </c>
      <c r="AX639" s="68">
        <f ca="1">IF(NOTA[[#This Row],[NB NOTA_C_QTY]]="","",ROW()-2)</f>
        <v>637</v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>
        <f ca="1">IF(NOTA[[#This Row],[NAMA BARANG]]="","",INDEX(NOTA[ID],MATCH(,INDIRECT(ADDRESS(ROW(NOTA[ID]),COLUMN(NOTA[ID]))&amp;":"&amp;ADDRESS(ROW(),COLUMN(NOTA[ID]))),-1)))</f>
        <v>103</v>
      </c>
      <c r="E640" s="70"/>
      <c r="F640" s="71"/>
      <c r="G640" s="71"/>
      <c r="H640" s="72"/>
      <c r="I640" s="71"/>
      <c r="J640" s="73"/>
      <c r="K640" s="71">
        <v>0</v>
      </c>
      <c r="L640" s="37" t="s">
        <v>139</v>
      </c>
      <c r="M640" s="74">
        <v>1</v>
      </c>
      <c r="N640" s="75">
        <v>50</v>
      </c>
      <c r="O640" s="37" t="s">
        <v>118</v>
      </c>
      <c r="P640" s="76">
        <v>34100</v>
      </c>
      <c r="Q640" s="77"/>
      <c r="R640" s="78"/>
      <c r="S640" s="79">
        <v>0.125</v>
      </c>
      <c r="T640" s="80">
        <v>0.05</v>
      </c>
      <c r="U640" s="80"/>
      <c r="V640" s="81"/>
      <c r="W640" s="82"/>
      <c r="X640" s="66">
        <f>IF(NOTA[[#This Row],[HARGA/ CTN]]="",NOTA[[#This Row],[JUMLAH_H]],NOTA[[#This Row],[HARGA/ CTN]]*IF(NOTA[[#This Row],[C]]="",0,NOTA[[#This Row],[C]]))</f>
        <v>1705000</v>
      </c>
      <c r="Y640" s="66">
        <f>IF(NOTA[[#This Row],[JUMLAH]]="","",NOTA[[#This Row],[JUMLAH]]*NOTA[[#This Row],[DISC 1]])</f>
        <v>213125</v>
      </c>
      <c r="Z640" s="66">
        <f>IF(NOTA[[#This Row],[JUMLAH]]="","",(NOTA[[#This Row],[JUMLAH]]-NOTA[[#This Row],[DISC 1-]])*NOTA[[#This Row],[DISC 2]])</f>
        <v>74593.75</v>
      </c>
      <c r="AA640" s="66">
        <f>IF(NOTA[[#This Row],[JUMLAH]]="","",(NOTA[[#This Row],[JUMLAH]]-NOTA[[#This Row],[DISC 1-]]-NOTA[[#This Row],[DISC 2-]])*NOTA[[#This Row],[DISC 3]])</f>
        <v>0</v>
      </c>
      <c r="AB640" s="66">
        <f>IF(NOTA[[#This Row],[JUMLAH]]="","",NOTA[[#This Row],[DISC 1-]]+NOTA[[#This Row],[DISC 2-]]+NOTA[[#This Row],[DISC 3-]])</f>
        <v>287718.75</v>
      </c>
      <c r="AC640" s="66">
        <f>IF(NOTA[[#This Row],[JUMLAH]]="","",NOTA[[#This Row],[JUMLAH]]-NOTA[[#This Row],[DISC]])</f>
        <v>1417281.25</v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40" s="66">
        <f>IF(OR(NOTA[[#This Row],[QTY]]="",NOTA[[#This Row],[HARGA SATUAN]]="",),"",NOTA[[#This Row],[QTY]]*NOTA[[#This Row],[HARGA SATUAN]])</f>
        <v>1705000</v>
      </c>
      <c r="AI640" s="60">
        <f ca="1">IF(NOTA[ID_H]="","",INDEX(NOTA[TANGGAL],MATCH(,INDIRECT(ADDRESS(ROW(NOTA[TANGGAL]),COLUMN(NOTA[TANGGAL]))&amp;":"&amp;ADDRESS(ROW(),COLUMN(NOTA[TANGGAL]))),-1)))</f>
        <v>45313</v>
      </c>
      <c r="AJ640" s="55" t="str">
        <f ca="1">IF(NOTA[[#This Row],[NAMA BARANG]]="","",INDEX(NOTA[SUPPLIER],MATCH(,INDIRECT(ADDRESS(ROW(NOTA[ID]),COLUMN(NOTA[ID]))&amp;":"&amp;ADDRESS(ROW(),COLUMN(NOTA[ID]))),-1)))</f>
        <v>ATALI MAKMUR</v>
      </c>
      <c r="AK640" s="55" t="str">
        <f ca="1">IF(NOTA[[#This Row],[ID_H]]="","",IF(NOTA[[#This Row],[FAKTUR]]="",INDIRECT(ADDRESS(ROW()-1,COLUMN())),NOTA[[#This Row],[FAKTUR]]))</f>
        <v>ARTO MORO</v>
      </c>
      <c r="AL640" s="56" t="str">
        <f ca="1">IF(NOTA[[#This Row],[ID]]="","",COUNTIF(NOTA[ID_H],NOTA[[#This Row],[ID_H]]))</f>
        <v/>
      </c>
      <c r="AM640" s="56">
        <f ca="1">IF(NOTA[[#This Row],[TGL.NOTA]]="",IF(NOTA[[#This Row],[SUPPLIER_H]]="","",AM639),MONTH(NOTA[[#This Row],[TGL.NOTA]]))</f>
        <v>1</v>
      </c>
      <c r="AN640" s="56" t="str">
        <f>LOWER(SUBSTITUTE(SUBSTITUTE(SUBSTITUTE(SUBSTITUTE(SUBSTITUTE(SUBSTITUTE(SUBSTITUTE(SUBSTITUTE(SUBSTITUTE(NOTA[NAMA BARANG]," ",),".",""),"-",""),"(",""),")",""),",",""),"/",""),"""",""),"+",""))</f>
        <v>eraser526b20jk</v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>
        <f>IF(NOTA[[#This Row],[CONCAT1]]="","",MATCH(NOTA[[#This Row],[CONCAT1]],[3]!db[NB NOTA_C],0))</f>
        <v>953</v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>50 BOX (20 PCS)</v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640" s="56" t="e">
        <f ca="1">IF(NOTA[[#This Row],[ID_H]]="","",MATCH(NOTA[[#This Row],[NB NOTA_C_QTY]],[4]!db[NB NOTA_C_QTY+F],0))</f>
        <v>#REF!</v>
      </c>
      <c r="AX640" s="68">
        <f ca="1">IF(NOTA[[#This Row],[NB NOTA_C_QTY]]="","",ROW()-2)</f>
        <v>638</v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>
        <f ca="1">IF(NOTA[[#This Row],[NAMA BARANG]]="","",INDEX(NOTA[ID],MATCH(,INDIRECT(ADDRESS(ROW(NOTA[ID]),COLUMN(NOTA[ID]))&amp;":"&amp;ADDRESS(ROW(),COLUMN(NOTA[ID]))),-1)))</f>
        <v>103</v>
      </c>
      <c r="E641" s="70"/>
      <c r="F641" s="37"/>
      <c r="G641" s="37"/>
      <c r="H641" s="47"/>
      <c r="I641" s="71"/>
      <c r="J641" s="73"/>
      <c r="K641" s="71">
        <v>0</v>
      </c>
      <c r="L641" s="37" t="s">
        <v>685</v>
      </c>
      <c r="M641" s="74">
        <v>2</v>
      </c>
      <c r="N641" s="75">
        <v>48</v>
      </c>
      <c r="O641" s="37" t="s">
        <v>116</v>
      </c>
      <c r="P641" s="76">
        <v>66900</v>
      </c>
      <c r="Q641" s="77"/>
      <c r="R641" s="78"/>
      <c r="S641" s="79">
        <v>0.125</v>
      </c>
      <c r="T641" s="80">
        <v>0.05</v>
      </c>
      <c r="U641" s="80"/>
      <c r="V641" s="81"/>
      <c r="W641" s="82"/>
      <c r="X641" s="66">
        <f>IF(NOTA[[#This Row],[HARGA/ CTN]]="",NOTA[[#This Row],[JUMLAH_H]],NOTA[[#This Row],[HARGA/ CTN]]*IF(NOTA[[#This Row],[C]]="",0,NOTA[[#This Row],[C]]))</f>
        <v>3211200</v>
      </c>
      <c r="Y641" s="66">
        <f>IF(NOTA[[#This Row],[JUMLAH]]="","",NOTA[[#This Row],[JUMLAH]]*NOTA[[#This Row],[DISC 1]])</f>
        <v>401400</v>
      </c>
      <c r="Z641" s="66">
        <f>IF(NOTA[[#This Row],[JUMLAH]]="","",(NOTA[[#This Row],[JUMLAH]]-NOTA[[#This Row],[DISC 1-]])*NOTA[[#This Row],[DISC 2]])</f>
        <v>140490</v>
      </c>
      <c r="AA641" s="66">
        <f>IF(NOTA[[#This Row],[JUMLAH]]="","",(NOTA[[#This Row],[JUMLAH]]-NOTA[[#This Row],[DISC 1-]]-NOTA[[#This Row],[DISC 2-]])*NOTA[[#This Row],[DISC 3]])</f>
        <v>0</v>
      </c>
      <c r="AB641" s="66">
        <f>IF(NOTA[[#This Row],[JUMLAH]]="","",NOTA[[#This Row],[DISC 1-]]+NOTA[[#This Row],[DISC 2-]]+NOTA[[#This Row],[DISC 3-]])</f>
        <v>541890</v>
      </c>
      <c r="AC641" s="66">
        <f>IF(NOTA[[#This Row],[JUMLAH]]="","",NOTA[[#This Row],[JUMLAH]]-NOTA[[#This Row],[DISC]])</f>
        <v>2669310</v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641" s="66">
        <f>IF(OR(NOTA[[#This Row],[QTY]]="",NOTA[[#This Row],[HARGA SATUAN]]="",),"",NOTA[[#This Row],[QTY]]*NOTA[[#This Row],[HARGA SATUAN]])</f>
        <v>3211200</v>
      </c>
      <c r="AI641" s="60">
        <f ca="1">IF(NOTA[ID_H]="","",INDEX(NOTA[TANGGAL],MATCH(,INDIRECT(ADDRESS(ROW(NOTA[TANGGAL]),COLUMN(NOTA[TANGGAL]))&amp;":"&amp;ADDRESS(ROW(),COLUMN(NOTA[TANGGAL]))),-1)))</f>
        <v>45313</v>
      </c>
      <c r="AJ641" s="55" t="str">
        <f ca="1">IF(NOTA[[#This Row],[NAMA BARANG]]="","",INDEX(NOTA[SUPPLIER],MATCH(,INDIRECT(ADDRESS(ROW(NOTA[ID]),COLUMN(NOTA[ID]))&amp;":"&amp;ADDRESS(ROW(),COLUMN(NOTA[ID]))),-1)))</f>
        <v>ATALI MAKMUR</v>
      </c>
      <c r="AK641" s="55" t="str">
        <f ca="1">IF(NOTA[[#This Row],[ID_H]]="","",IF(NOTA[[#This Row],[FAKTUR]]="",INDIRECT(ADDRESS(ROW()-1,COLUMN())),NOTA[[#This Row],[FAKTUR]]))</f>
        <v>ARTO MORO</v>
      </c>
      <c r="AL641" s="56" t="str">
        <f ca="1">IF(NOTA[[#This Row],[ID]]="","",COUNTIF(NOTA[ID_H],NOTA[[#This Row],[ID_H]]))</f>
        <v/>
      </c>
      <c r="AM641" s="56">
        <f ca="1">IF(NOTA[[#This Row],[TGL.NOTA]]="",IF(NOTA[[#This Row],[SUPPLIER_H]]="","",AM640),MONTH(NOTA[[#This Row],[TGL.NOTA]]))</f>
        <v>1</v>
      </c>
      <c r="AN641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>
        <f>IF(NOTA[[#This Row],[CONCAT1]]="","",MATCH(NOTA[[#This Row],[CONCAT1]],[3]!db[NB NOTA_C],0))</f>
        <v>2179</v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>4 BOX (6 SET)</v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641" s="56" t="e">
        <f ca="1">IF(NOTA[[#This Row],[ID_H]]="","",MATCH(NOTA[[#This Row],[NB NOTA_C_QTY]],[4]!db[NB NOTA_C_QTY+F],0))</f>
        <v>#REF!</v>
      </c>
      <c r="AX641" s="68">
        <f ca="1">IF(NOTA[[#This Row],[NB NOTA_C_QTY]]="","",ROW()-2)</f>
        <v>639</v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>
        <f ca="1">IF(NOTA[[#This Row],[NAMA BARANG]]="","",INDEX(NOTA[ID],MATCH(,INDIRECT(ADDRESS(ROW(NOTA[ID]),COLUMN(NOTA[ID]))&amp;":"&amp;ADDRESS(ROW(),COLUMN(NOTA[ID]))),-1)))</f>
        <v>103</v>
      </c>
      <c r="E642" s="70"/>
      <c r="F642" s="71"/>
      <c r="G642" s="71"/>
      <c r="H642" s="72"/>
      <c r="I642" s="71"/>
      <c r="J642" s="73"/>
      <c r="K642" s="71">
        <v>0</v>
      </c>
      <c r="L642" s="37" t="s">
        <v>744</v>
      </c>
      <c r="M642" s="74">
        <v>2</v>
      </c>
      <c r="N642" s="75">
        <v>48</v>
      </c>
      <c r="O642" s="37" t="s">
        <v>116</v>
      </c>
      <c r="P642" s="76">
        <v>96000</v>
      </c>
      <c r="Q642" s="77"/>
      <c r="R642" s="78"/>
      <c r="S642" s="79">
        <v>0.125</v>
      </c>
      <c r="T642" s="80">
        <v>0.05</v>
      </c>
      <c r="U642" s="80"/>
      <c r="V642" s="81"/>
      <c r="W642" s="82"/>
      <c r="X642" s="66">
        <f>IF(NOTA[[#This Row],[HARGA/ CTN]]="",NOTA[[#This Row],[JUMLAH_H]],NOTA[[#This Row],[HARGA/ CTN]]*IF(NOTA[[#This Row],[C]]="",0,NOTA[[#This Row],[C]]))</f>
        <v>4608000</v>
      </c>
      <c r="Y642" s="66">
        <f>IF(NOTA[[#This Row],[JUMLAH]]="","",NOTA[[#This Row],[JUMLAH]]*NOTA[[#This Row],[DISC 1]])</f>
        <v>576000</v>
      </c>
      <c r="Z642" s="66">
        <f>IF(NOTA[[#This Row],[JUMLAH]]="","",(NOTA[[#This Row],[JUMLAH]]-NOTA[[#This Row],[DISC 1-]])*NOTA[[#This Row],[DISC 2]])</f>
        <v>201600</v>
      </c>
      <c r="AA642" s="66">
        <f>IF(NOTA[[#This Row],[JUMLAH]]="","",(NOTA[[#This Row],[JUMLAH]]-NOTA[[#This Row],[DISC 1-]]-NOTA[[#This Row],[DISC 2-]])*NOTA[[#This Row],[DISC 3]])</f>
        <v>0</v>
      </c>
      <c r="AB642" s="66">
        <f>IF(NOTA[[#This Row],[JUMLAH]]="","",NOTA[[#This Row],[DISC 1-]]+NOTA[[#This Row],[DISC 2-]]+NOTA[[#This Row],[DISC 3-]])</f>
        <v>777600</v>
      </c>
      <c r="AC642" s="66">
        <f>IF(NOTA[[#This Row],[JUMLAH]]="","",NOTA[[#This Row],[JUMLAH]]-NOTA[[#This Row],[DISC]])</f>
        <v>3830400</v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642" s="66">
        <f>IF(OR(NOTA[[#This Row],[QTY]]="",NOTA[[#This Row],[HARGA SATUAN]]="",),"",NOTA[[#This Row],[QTY]]*NOTA[[#This Row],[HARGA SATUAN]])</f>
        <v>4608000</v>
      </c>
      <c r="AI642" s="60">
        <f ca="1">IF(NOTA[ID_H]="","",INDEX(NOTA[TANGGAL],MATCH(,INDIRECT(ADDRESS(ROW(NOTA[TANGGAL]),COLUMN(NOTA[TANGGAL]))&amp;":"&amp;ADDRESS(ROW(),COLUMN(NOTA[TANGGAL]))),-1)))</f>
        <v>45313</v>
      </c>
      <c r="AJ642" s="55" t="str">
        <f ca="1">IF(NOTA[[#This Row],[NAMA BARANG]]="","",INDEX(NOTA[SUPPLIER],MATCH(,INDIRECT(ADDRESS(ROW(NOTA[ID]),COLUMN(NOTA[ID]))&amp;":"&amp;ADDRESS(ROW(),COLUMN(NOTA[ID]))),-1)))</f>
        <v>ATALI MAKMUR</v>
      </c>
      <c r="AK642" s="55" t="str">
        <f ca="1">IF(NOTA[[#This Row],[ID_H]]="","",IF(NOTA[[#This Row],[FAKTUR]]="",INDIRECT(ADDRESS(ROW()-1,COLUMN())),NOTA[[#This Row],[FAKTUR]]))</f>
        <v>ARTO MORO</v>
      </c>
      <c r="AL642" s="56" t="str">
        <f ca="1">IF(NOTA[[#This Row],[ID]]="","",COUNTIF(NOTA[ID_H],NOTA[[#This Row],[ID_H]]))</f>
        <v/>
      </c>
      <c r="AM642" s="56">
        <f ca="1">IF(NOTA[[#This Row],[TGL.NOTA]]="",IF(NOTA[[#This Row],[SUPPLIER_H]]="","",AM641),MONTH(NOTA[[#This Row],[TGL.NOTA]]))</f>
        <v>1</v>
      </c>
      <c r="AN642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>
        <f>IF(NOTA[[#This Row],[CONCAT1]]="","",MATCH(NOTA[[#This Row],[CONCAT1]],[3]!db[NB NOTA_C],0))</f>
        <v>2180</v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>4 BOX (6 SET)</v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642" s="56" t="e">
        <f ca="1">IF(NOTA[[#This Row],[ID_H]]="","",MATCH(NOTA[[#This Row],[NB NOTA_C_QTY]],[4]!db[NB NOTA_C_QTY+F],0))</f>
        <v>#REF!</v>
      </c>
      <c r="AX642" s="68">
        <f ca="1">IF(NOTA[[#This Row],[NB NOTA_C_QTY]]="","",ROW()-2)</f>
        <v>640</v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>
        <f ca="1">IF(NOTA[[#This Row],[NAMA BARANG]]="","",INDEX(NOTA[ID],MATCH(,INDIRECT(ADDRESS(ROW(NOTA[ID]),COLUMN(NOTA[ID]))&amp;":"&amp;ADDRESS(ROW(),COLUMN(NOTA[ID]))),-1)))</f>
        <v>103</v>
      </c>
      <c r="E643" s="70"/>
      <c r="F643" s="71"/>
      <c r="G643" s="71"/>
      <c r="H643" s="72"/>
      <c r="I643" s="71"/>
      <c r="J643" s="73"/>
      <c r="K643" s="71"/>
      <c r="L643" s="37" t="s">
        <v>119</v>
      </c>
      <c r="M643" s="74"/>
      <c r="N643" s="75">
        <v>96</v>
      </c>
      <c r="O643" s="37" t="s">
        <v>115</v>
      </c>
      <c r="P643" s="76">
        <v>2300</v>
      </c>
      <c r="Q643" s="77"/>
      <c r="R643" s="78"/>
      <c r="S643" s="79">
        <v>0.125</v>
      </c>
      <c r="T643" s="80">
        <v>0.05</v>
      </c>
      <c r="U643" s="80"/>
      <c r="V643" s="81">
        <v>183540</v>
      </c>
      <c r="W643" s="82"/>
      <c r="X643" s="66">
        <f>IF(NOTA[[#This Row],[HARGA/ CTN]]="",NOTA[[#This Row],[JUMLAH_H]],NOTA[[#This Row],[HARGA/ CTN]]*IF(NOTA[[#This Row],[C]]="",0,NOTA[[#This Row],[C]]))</f>
        <v>220800</v>
      </c>
      <c r="Y643" s="66">
        <f>IF(NOTA[[#This Row],[JUMLAH]]="","",NOTA[[#This Row],[JUMLAH]]*NOTA[[#This Row],[DISC 1]])</f>
        <v>27600</v>
      </c>
      <c r="Z643" s="66">
        <f>IF(NOTA[[#This Row],[JUMLAH]]="","",(NOTA[[#This Row],[JUMLAH]]-NOTA[[#This Row],[DISC 1-]])*NOTA[[#This Row],[DISC 2]])</f>
        <v>9660</v>
      </c>
      <c r="AA643" s="66">
        <f>IF(NOTA[[#This Row],[JUMLAH]]="","",(NOTA[[#This Row],[JUMLAH]]-NOTA[[#This Row],[DISC 1-]]-NOTA[[#This Row],[DISC 2-]])*NOTA[[#This Row],[DISC 3]])</f>
        <v>0</v>
      </c>
      <c r="AB643" s="66">
        <f>IF(NOTA[[#This Row],[JUMLAH]]="","",NOTA[[#This Row],[DISC 1-]]+NOTA[[#This Row],[DISC 2-]]+NOTA[[#This Row],[DISC 3-]])</f>
        <v>37260</v>
      </c>
      <c r="AC643" s="66">
        <f>IF(NOTA[[#This Row],[JUMLAH]]="","",NOTA[[#This Row],[JUMLAH]]-NOTA[[#This Row],[DISC]])</f>
        <v>183540</v>
      </c>
      <c r="AD643" s="66"/>
      <c r="AE6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4247377.5</v>
      </c>
      <c r="AF6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19834622.5</v>
      </c>
      <c r="AG643" s="55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643" s="66">
        <f>IF(OR(NOTA[[#This Row],[QTY]]="",NOTA[[#This Row],[HARGA SATUAN]]="",),"",NOTA[[#This Row],[QTY]]*NOTA[[#This Row],[HARGA SATUAN]])</f>
        <v>220800</v>
      </c>
      <c r="AI643" s="60">
        <f ca="1">IF(NOTA[ID_H]="","",INDEX(NOTA[TANGGAL],MATCH(,INDIRECT(ADDRESS(ROW(NOTA[TANGGAL]),COLUMN(NOTA[TANGGAL]))&amp;":"&amp;ADDRESS(ROW(),COLUMN(NOTA[TANGGAL]))),-1)))</f>
        <v>45313</v>
      </c>
      <c r="AJ643" s="55" t="str">
        <f ca="1">IF(NOTA[[#This Row],[NAMA BARANG]]="","",INDEX(NOTA[SUPPLIER],MATCH(,INDIRECT(ADDRESS(ROW(NOTA[ID]),COLUMN(NOTA[ID]))&amp;":"&amp;ADDRESS(ROW(),COLUMN(NOTA[ID]))),-1)))</f>
        <v>ATALI MAKMUR</v>
      </c>
      <c r="AK643" s="55" t="str">
        <f ca="1">IF(NOTA[[#This Row],[ID_H]]="","",IF(NOTA[[#This Row],[FAKTUR]]="",INDIRECT(ADDRESS(ROW()-1,COLUMN())),NOTA[[#This Row],[FAKTUR]]))</f>
        <v>ARTO MORO</v>
      </c>
      <c r="AL643" s="56" t="str">
        <f ca="1">IF(NOTA[[#This Row],[ID]]="","",COUNTIF(NOTA[ID_H],NOTA[[#This Row],[ID_H]]))</f>
        <v/>
      </c>
      <c r="AM643" s="56">
        <f ca="1">IF(NOTA[[#This Row],[TGL.NOTA]]="",IF(NOTA[[#This Row],[SUPPLIER_H]]="","",AM642),MONTH(NOTA[[#This Row],[TGL.NOTA]]))</f>
        <v>1</v>
      </c>
      <c r="AN643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>
        <f>IF(NOTA[[#This Row],[CONCAT1]]="","",MATCH(NOTA[[#This Row],[CONCAT1]],[3]!db[NB NOTA_C],0))</f>
        <v>3070</v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>48 LSN</v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643" s="56" t="e">
        <f ca="1">IF(NOTA[[#This Row],[ID_H]]="","",MATCH(NOTA[[#This Row],[NB NOTA_C_QTY]],[4]!db[NB NOTA_C_QTY+F],0))</f>
        <v>#REF!</v>
      </c>
      <c r="AX643" s="68">
        <f ca="1">IF(NOTA[[#This Row],[NB NOTA_C_QTY]]="","",ROW()-2)</f>
        <v>641</v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70"/>
      <c r="F644" s="71"/>
      <c r="G644" s="71"/>
      <c r="H644" s="72"/>
      <c r="I644" s="71"/>
      <c r="J644" s="73"/>
      <c r="K644" s="71"/>
      <c r="L644" s="37"/>
      <c r="M644" s="74"/>
      <c r="N644" s="75"/>
      <c r="O644" s="71"/>
      <c r="P644" s="76"/>
      <c r="Q644" s="77"/>
      <c r="R644" s="78"/>
      <c r="S644" s="79"/>
      <c r="T644" s="80"/>
      <c r="U644" s="80"/>
      <c r="V644" s="81"/>
      <c r="W644" s="82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64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ATA_2201_271-4</v>
      </c>
      <c r="C645" s="56" t="e">
        <f ca="1">IF(NOTA[[#This Row],[ID_P]]="","",MATCH(NOTA[[#This Row],[ID_P]],[1]!B_MSK[N_ID],0))</f>
        <v>#REF!</v>
      </c>
      <c r="D645" s="56">
        <f ca="1">IF(NOTA[[#This Row],[NAMA BARANG]]="","",INDEX(NOTA[ID],MATCH(,INDIRECT(ADDRESS(ROW(NOTA[ID]),COLUMN(NOTA[ID]))&amp;":"&amp;ADDRESS(ROW(),COLUMN(NOTA[ID]))),-1)))</f>
        <v>104</v>
      </c>
      <c r="E645" s="70">
        <v>45313</v>
      </c>
      <c r="F645" s="37" t="s">
        <v>24</v>
      </c>
      <c r="G645" s="37" t="s">
        <v>23</v>
      </c>
      <c r="H645" s="47" t="s">
        <v>745</v>
      </c>
      <c r="I645" s="71"/>
      <c r="J645" s="73">
        <v>45310</v>
      </c>
      <c r="K645" s="71">
        <v>0</v>
      </c>
      <c r="L645" s="37" t="s">
        <v>746</v>
      </c>
      <c r="M645" s="74">
        <v>1</v>
      </c>
      <c r="N645" s="75">
        <v>200</v>
      </c>
      <c r="O645" s="37" t="s">
        <v>118</v>
      </c>
      <c r="P645" s="76">
        <v>4400</v>
      </c>
      <c r="Q645" s="77"/>
      <c r="R645" s="78"/>
      <c r="S645" s="79">
        <v>0.125</v>
      </c>
      <c r="T645" s="80">
        <v>0.05</v>
      </c>
      <c r="U645" s="80"/>
      <c r="V645" s="81"/>
      <c r="W645" s="82"/>
      <c r="X645" s="66">
        <f>IF(NOTA[[#This Row],[HARGA/ CTN]]="",NOTA[[#This Row],[JUMLAH_H]],NOTA[[#This Row],[HARGA/ CTN]]*IF(NOTA[[#This Row],[C]]="",0,NOTA[[#This Row],[C]]))</f>
        <v>880000</v>
      </c>
      <c r="Y645" s="66">
        <f>IF(NOTA[[#This Row],[JUMLAH]]="","",NOTA[[#This Row],[JUMLAH]]*NOTA[[#This Row],[DISC 1]])</f>
        <v>110000</v>
      </c>
      <c r="Z645" s="66">
        <f>IF(NOTA[[#This Row],[JUMLAH]]="","",(NOTA[[#This Row],[JUMLAH]]-NOTA[[#This Row],[DISC 1-]])*NOTA[[#This Row],[DISC 2]])</f>
        <v>38500</v>
      </c>
      <c r="AA645" s="66">
        <f>IF(NOTA[[#This Row],[JUMLAH]]="","",(NOTA[[#This Row],[JUMLAH]]-NOTA[[#This Row],[DISC 1-]]-NOTA[[#This Row],[DISC 2-]])*NOTA[[#This Row],[DISC 3]])</f>
        <v>0</v>
      </c>
      <c r="AB645" s="66">
        <f>IF(NOTA[[#This Row],[JUMLAH]]="","",NOTA[[#This Row],[DISC 1-]]+NOTA[[#This Row],[DISC 2-]]+NOTA[[#This Row],[DISC 3-]])</f>
        <v>148500</v>
      </c>
      <c r="AC645" s="66">
        <f>IF(NOTA[[#This Row],[JUMLAH]]="","",NOTA[[#This Row],[JUMLAH]]-NOTA[[#This Row],[DISC]])</f>
        <v>731500</v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H645" s="66">
        <f>IF(OR(NOTA[[#This Row],[QTY]]="",NOTA[[#This Row],[HARGA SATUAN]]="",),"",NOTA[[#This Row],[QTY]]*NOTA[[#This Row],[HARGA SATUAN]])</f>
        <v>880000</v>
      </c>
      <c r="AI645" s="60">
        <f ca="1">IF(NOTA[ID_H]="","",INDEX(NOTA[TANGGAL],MATCH(,INDIRECT(ADDRESS(ROW(NOTA[TANGGAL]),COLUMN(NOTA[TANGGAL]))&amp;":"&amp;ADDRESS(ROW(),COLUMN(NOTA[TANGGAL]))),-1)))</f>
        <v>45313</v>
      </c>
      <c r="AJ645" s="55" t="str">
        <f ca="1">IF(NOTA[[#This Row],[NAMA BARANG]]="","",INDEX(NOTA[SUPPLIER],MATCH(,INDIRECT(ADDRESS(ROW(NOTA[ID]),COLUMN(NOTA[ID]))&amp;":"&amp;ADDRESS(ROW(),COLUMN(NOTA[ID]))),-1)))</f>
        <v>ATALI MAKMUR</v>
      </c>
      <c r="AK645" s="55" t="str">
        <f ca="1">IF(NOTA[[#This Row],[ID_H]]="","",IF(NOTA[[#This Row],[FAKTUR]]="",INDIRECT(ADDRESS(ROW()-1,COLUMN())),NOTA[[#This Row],[FAKTUR]]))</f>
        <v>ARTO MORO</v>
      </c>
      <c r="AL645" s="56">
        <f ca="1">IF(NOTA[[#This Row],[ID]]="","",COUNTIF(NOTA[ID_H],NOTA[[#This Row],[ID_H]]))</f>
        <v>4</v>
      </c>
      <c r="AM645" s="56">
        <f>IF(NOTA[[#This Row],[TGL.NOTA]]="",IF(NOTA[[#This Row],[SUPPLIER_H]]="","",AM644),MONTH(NOTA[[#This Row],[TGL.NOTA]]))</f>
        <v>1</v>
      </c>
      <c r="AN645" s="56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MOROSA24010127145310paperclipjumbono5jk</v>
      </c>
      <c r="AR645" s="56" t="e">
        <f>IF(NOTA[[#This Row],[CONCAT4]]="","",_xlfn.IFNA(MATCH(NOTA[[#This Row],[CONCAT4]],[2]!RAW[CONCAT_H],0),FALSE))</f>
        <v>#REF!</v>
      </c>
      <c r="AS645" s="56">
        <f>IF(NOTA[[#This Row],[CONCAT1]]="","",MATCH(NOTA[[#This Row],[CONCAT1]],[3]!db[NB NOTA_C],0))</f>
        <v>2288</v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>200 BOX</v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W645" s="56" t="e">
        <f ca="1">IF(NOTA[[#This Row],[ID_H]]="","",MATCH(NOTA[[#This Row],[NB NOTA_C_QTY]],[4]!db[NB NOTA_C_QTY+F],0))</f>
        <v>#REF!</v>
      </c>
      <c r="AX645" s="68">
        <f ca="1">IF(NOTA[[#This Row],[NB NOTA_C_QTY]]="","",ROW()-2)</f>
        <v>643</v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>
        <f ca="1">IF(NOTA[[#This Row],[NAMA BARANG]]="","",INDEX(NOTA[ID],MATCH(,INDIRECT(ADDRESS(ROW(NOTA[ID]),COLUMN(NOTA[ID]))&amp;":"&amp;ADDRESS(ROW(),COLUMN(NOTA[ID]))),-1)))</f>
        <v>104</v>
      </c>
      <c r="E646" s="70"/>
      <c r="F646" s="71"/>
      <c r="G646" s="71"/>
      <c r="H646" s="72"/>
      <c r="I646" s="71"/>
      <c r="J646" s="73"/>
      <c r="K646" s="71">
        <v>1</v>
      </c>
      <c r="L646" s="37" t="s">
        <v>342</v>
      </c>
      <c r="M646" s="74">
        <v>2</v>
      </c>
      <c r="N646" s="75">
        <v>60</v>
      </c>
      <c r="O646" s="37" t="s">
        <v>120</v>
      </c>
      <c r="P646" s="76">
        <v>48600</v>
      </c>
      <c r="Q646" s="77"/>
      <c r="R646" s="78"/>
      <c r="S646" s="79">
        <v>0.125</v>
      </c>
      <c r="T646" s="80">
        <v>0.05</v>
      </c>
      <c r="U646" s="80"/>
      <c r="V646" s="81"/>
      <c r="W646" s="82"/>
      <c r="X646" s="66">
        <f>IF(NOTA[[#This Row],[HARGA/ CTN]]="",NOTA[[#This Row],[JUMLAH_H]],NOTA[[#This Row],[HARGA/ CTN]]*IF(NOTA[[#This Row],[C]]="",0,NOTA[[#This Row],[C]]))</f>
        <v>2916000</v>
      </c>
      <c r="Y646" s="66">
        <f>IF(NOTA[[#This Row],[JUMLAH]]="","",NOTA[[#This Row],[JUMLAH]]*NOTA[[#This Row],[DISC 1]])</f>
        <v>364500</v>
      </c>
      <c r="Z646" s="66">
        <f>IF(NOTA[[#This Row],[JUMLAH]]="","",(NOTA[[#This Row],[JUMLAH]]-NOTA[[#This Row],[DISC 1-]])*NOTA[[#This Row],[DISC 2]])</f>
        <v>127575</v>
      </c>
      <c r="AA646" s="66">
        <f>IF(NOTA[[#This Row],[JUMLAH]]="","",(NOTA[[#This Row],[JUMLAH]]-NOTA[[#This Row],[DISC 1-]]-NOTA[[#This Row],[DISC 2-]])*NOTA[[#This Row],[DISC 3]])</f>
        <v>0</v>
      </c>
      <c r="AB646" s="66">
        <f>IF(NOTA[[#This Row],[JUMLAH]]="","",NOTA[[#This Row],[DISC 1-]]+NOTA[[#This Row],[DISC 2-]]+NOTA[[#This Row],[DISC 3-]])</f>
        <v>492075</v>
      </c>
      <c r="AC646" s="66">
        <f>IF(NOTA[[#This Row],[JUMLAH]]="","",NOTA[[#This Row],[JUMLAH]]-NOTA[[#This Row],[DISC]])</f>
        <v>2423925</v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H646" s="66">
        <f>IF(OR(NOTA[[#This Row],[QTY]]="",NOTA[[#This Row],[HARGA SATUAN]]="",),"",NOTA[[#This Row],[QTY]]*NOTA[[#This Row],[HARGA SATUAN]])</f>
        <v>2916000</v>
      </c>
      <c r="AI646" s="60">
        <f ca="1">IF(NOTA[ID_H]="","",INDEX(NOTA[TANGGAL],MATCH(,INDIRECT(ADDRESS(ROW(NOTA[TANGGAL]),COLUMN(NOTA[TANGGAL]))&amp;":"&amp;ADDRESS(ROW(),COLUMN(NOTA[TANGGAL]))),-1)))</f>
        <v>45313</v>
      </c>
      <c r="AJ646" s="55" t="str">
        <f ca="1">IF(NOTA[[#This Row],[NAMA BARANG]]="","",INDEX(NOTA[SUPPLIER],MATCH(,INDIRECT(ADDRESS(ROW(NOTA[ID]),COLUMN(NOTA[ID]))&amp;":"&amp;ADDRESS(ROW(),COLUMN(NOTA[ID]))),-1)))</f>
        <v>ATALI MAKMUR</v>
      </c>
      <c r="AK646" s="55" t="str">
        <f ca="1">IF(NOTA[[#This Row],[ID_H]]="","",IF(NOTA[[#This Row],[FAKTUR]]="",INDIRECT(ADDRESS(ROW()-1,COLUMN())),NOTA[[#This Row],[FAKTUR]]))</f>
        <v>ARTO MORO</v>
      </c>
      <c r="AL646" s="56" t="str">
        <f ca="1">IF(NOTA[[#This Row],[ID]]="","",COUNTIF(NOTA[ID_H],NOTA[[#This Row],[ID_H]]))</f>
        <v/>
      </c>
      <c r="AM646" s="56">
        <f ca="1">IF(NOTA[[#This Row],[TGL.NOTA]]="",IF(NOTA[[#This Row],[SUPPLIER_H]]="","",AM645),MONTH(NOTA[[#This Row],[TGL.NOTA]]))</f>
        <v>1</v>
      </c>
      <c r="AN646" s="56" t="str">
        <f>LOWER(SUBSTITUTE(SUBSTITUTE(SUBSTITUTE(SUBSTITUTE(SUBSTITUTE(SUBSTITUTE(SUBSTITUTE(SUBSTITUTE(SUBSTITUTE(NOTA[NAMA BARANG]," ",),".",""),"-",""),"(",""),")",""),",",""),"/",""),"""",""),"+",""))</f>
        <v>binderclip111jk</v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>
        <f>IF(NOTA[[#This Row],[CONCAT1]]="","",MATCH(NOTA[[#This Row],[CONCAT1]],[3]!db[NB NOTA_C],0))</f>
        <v>295</v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>30 GRS</v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binderclip111jk30grsartomoro</v>
      </c>
      <c r="AW646" s="56" t="e">
        <f ca="1">IF(NOTA[[#This Row],[ID_H]]="","",MATCH(NOTA[[#This Row],[NB NOTA_C_QTY]],[4]!db[NB NOTA_C_QTY+F],0))</f>
        <v>#REF!</v>
      </c>
      <c r="AX646" s="68">
        <f ca="1">IF(NOTA[[#This Row],[NB NOTA_C_QTY]]="","",ROW()-2)</f>
        <v>644</v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>
        <f ca="1">IF(NOTA[[#This Row],[NAMA BARANG]]="","",INDEX(NOTA[ID],MATCH(,INDIRECT(ADDRESS(ROW(NOTA[ID]),COLUMN(NOTA[ID]))&amp;":"&amp;ADDRESS(ROW(),COLUMN(NOTA[ID]))),-1)))</f>
        <v>104</v>
      </c>
      <c r="E647" s="70"/>
      <c r="F647" s="71"/>
      <c r="G647" s="71"/>
      <c r="H647" s="72"/>
      <c r="I647" s="71"/>
      <c r="J647" s="73"/>
      <c r="K647" s="71"/>
      <c r="L647" s="37" t="s">
        <v>344</v>
      </c>
      <c r="M647" s="74">
        <v>2</v>
      </c>
      <c r="N647" s="75">
        <v>240</v>
      </c>
      <c r="O647" s="37" t="s">
        <v>111</v>
      </c>
      <c r="P647" s="76">
        <v>9650</v>
      </c>
      <c r="Q647" s="77"/>
      <c r="R647" s="78"/>
      <c r="S647" s="79">
        <v>0.125</v>
      </c>
      <c r="T647" s="80">
        <v>0.05</v>
      </c>
      <c r="U647" s="80"/>
      <c r="V647" s="81"/>
      <c r="W647" s="82"/>
      <c r="X647" s="66">
        <f>IF(NOTA[[#This Row],[HARGA/ CTN]]="",NOTA[[#This Row],[JUMLAH_H]],NOTA[[#This Row],[HARGA/ CTN]]*IF(NOTA[[#This Row],[C]]="",0,NOTA[[#This Row],[C]]))</f>
        <v>2316000</v>
      </c>
      <c r="Y647" s="66">
        <f>IF(NOTA[[#This Row],[JUMLAH]]="","",NOTA[[#This Row],[JUMLAH]]*NOTA[[#This Row],[DISC 1]])</f>
        <v>289500</v>
      </c>
      <c r="Z647" s="66">
        <f>IF(NOTA[[#This Row],[JUMLAH]]="","",(NOTA[[#This Row],[JUMLAH]]-NOTA[[#This Row],[DISC 1-]])*NOTA[[#This Row],[DISC 2]])</f>
        <v>101325</v>
      </c>
      <c r="AA647" s="66">
        <f>IF(NOTA[[#This Row],[JUMLAH]]="","",(NOTA[[#This Row],[JUMLAH]]-NOTA[[#This Row],[DISC 1-]]-NOTA[[#This Row],[DISC 2-]])*NOTA[[#This Row],[DISC 3]])</f>
        <v>0</v>
      </c>
      <c r="AB647" s="66">
        <f>IF(NOTA[[#This Row],[JUMLAH]]="","",NOTA[[#This Row],[DISC 1-]]+NOTA[[#This Row],[DISC 2-]]+NOTA[[#This Row],[DISC 3-]])</f>
        <v>390825</v>
      </c>
      <c r="AC647" s="66">
        <f>IF(NOTA[[#This Row],[JUMLAH]]="","",NOTA[[#This Row],[JUMLAH]]-NOTA[[#This Row],[DISC]])</f>
        <v>1925175</v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647" s="66">
        <f>IF(OR(NOTA[[#This Row],[QTY]]="",NOTA[[#This Row],[HARGA SATUAN]]="",),"",NOTA[[#This Row],[QTY]]*NOTA[[#This Row],[HARGA SATUAN]])</f>
        <v>2316000</v>
      </c>
      <c r="AI647" s="60">
        <f ca="1">IF(NOTA[ID_H]="","",INDEX(NOTA[TANGGAL],MATCH(,INDIRECT(ADDRESS(ROW(NOTA[TANGGAL]),COLUMN(NOTA[TANGGAL]))&amp;":"&amp;ADDRESS(ROW(),COLUMN(NOTA[TANGGAL]))),-1)))</f>
        <v>45313</v>
      </c>
      <c r="AJ647" s="55" t="str">
        <f ca="1">IF(NOTA[[#This Row],[NAMA BARANG]]="","",INDEX(NOTA[SUPPLIER],MATCH(,INDIRECT(ADDRESS(ROW(NOTA[ID]),COLUMN(NOTA[ID]))&amp;":"&amp;ADDRESS(ROW(),COLUMN(NOTA[ID]))),-1)))</f>
        <v>ATALI MAKMUR</v>
      </c>
      <c r="AK647" s="55" t="str">
        <f ca="1">IF(NOTA[[#This Row],[ID_H]]="","",IF(NOTA[[#This Row],[FAKTUR]]="",INDIRECT(ADDRESS(ROW()-1,COLUMN())),NOTA[[#This Row],[FAKTUR]]))</f>
        <v>ARTO MORO</v>
      </c>
      <c r="AL647" s="56" t="str">
        <f ca="1">IF(NOTA[[#This Row],[ID]]="","",COUNTIF(NOTA[ID_H],NOTA[[#This Row],[ID_H]]))</f>
        <v/>
      </c>
      <c r="AM647" s="56">
        <f ca="1">IF(NOTA[[#This Row],[TGL.NOTA]]="",IF(NOTA[[#This Row],[SUPPLIER_H]]="","",AM646),MONTH(NOTA[[#This Row],[TGL.NOTA]]))</f>
        <v>1</v>
      </c>
      <c r="AN647" s="56" t="str">
        <f>LOWER(SUBSTITUTE(SUBSTITUTE(SUBSTITUTE(SUBSTITUTE(SUBSTITUTE(SUBSTITUTE(SUBSTITUTE(SUBSTITUTE(SUBSTITUTE(NOTA[NAMA BARANG]," ",),".",""),"-",""),"(",""),")",""),",",""),"/",""),"""",""),"+",""))</f>
        <v>binderclip200jk</v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>
        <f>IF(NOTA[[#This Row],[CONCAT1]]="","",MATCH(NOTA[[#This Row],[CONCAT1]],[3]!db[NB NOTA_C],0))</f>
        <v>298</v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>10 GRS</v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647" s="56" t="e">
        <f ca="1">IF(NOTA[[#This Row],[ID_H]]="","",MATCH(NOTA[[#This Row],[NB NOTA_C_QTY]],[4]!db[NB NOTA_C_QTY+F],0))</f>
        <v>#REF!</v>
      </c>
      <c r="AX647" s="68">
        <f ca="1">IF(NOTA[[#This Row],[NB NOTA_C_QTY]]="","",ROW()-2)</f>
        <v>645</v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>
        <f ca="1">IF(NOTA[[#This Row],[NAMA BARANG]]="","",INDEX(NOTA[ID],MATCH(,INDIRECT(ADDRESS(ROW(NOTA[ID]),COLUMN(NOTA[ID]))&amp;":"&amp;ADDRESS(ROW(),COLUMN(NOTA[ID]))),-1)))</f>
        <v>104</v>
      </c>
      <c r="E648" s="70"/>
      <c r="F648" s="71"/>
      <c r="G648" s="71"/>
      <c r="H648" s="72"/>
      <c r="I648" s="71"/>
      <c r="J648" s="73"/>
      <c r="K648" s="71"/>
      <c r="L648" s="37" t="s">
        <v>346</v>
      </c>
      <c r="M648" s="74"/>
      <c r="N648" s="75">
        <v>24</v>
      </c>
      <c r="O648" s="37" t="s">
        <v>111</v>
      </c>
      <c r="P648" s="76">
        <v>13200</v>
      </c>
      <c r="Q648" s="77"/>
      <c r="R648" s="78"/>
      <c r="S648" s="79">
        <v>0.125</v>
      </c>
      <c r="T648" s="80">
        <v>0.05</v>
      </c>
      <c r="U648" s="80"/>
      <c r="V648" s="81">
        <v>263340</v>
      </c>
      <c r="W648" s="82"/>
      <c r="X648" s="66">
        <f>IF(NOTA[[#This Row],[HARGA/ CTN]]="",NOTA[[#This Row],[JUMLAH_H]],NOTA[[#This Row],[HARGA/ CTN]]*IF(NOTA[[#This Row],[C]]="",0,NOTA[[#This Row],[C]]))</f>
        <v>316800</v>
      </c>
      <c r="Y648" s="66">
        <f>IF(NOTA[[#This Row],[JUMLAH]]="","",NOTA[[#This Row],[JUMLAH]]*NOTA[[#This Row],[DISC 1]])</f>
        <v>39600</v>
      </c>
      <c r="Z648" s="66">
        <f>IF(NOTA[[#This Row],[JUMLAH]]="","",(NOTA[[#This Row],[JUMLAH]]-NOTA[[#This Row],[DISC 1-]])*NOTA[[#This Row],[DISC 2]])</f>
        <v>13860</v>
      </c>
      <c r="AA648" s="66">
        <f>IF(NOTA[[#This Row],[JUMLAH]]="","",(NOTA[[#This Row],[JUMLAH]]-NOTA[[#This Row],[DISC 1-]]-NOTA[[#This Row],[DISC 2-]])*NOTA[[#This Row],[DISC 3]])</f>
        <v>0</v>
      </c>
      <c r="AB648" s="66">
        <f>IF(NOTA[[#This Row],[JUMLAH]]="","",NOTA[[#This Row],[DISC 1-]]+NOTA[[#This Row],[DISC 2-]]+NOTA[[#This Row],[DISC 3-]])</f>
        <v>53460</v>
      </c>
      <c r="AC648" s="66">
        <f>IF(NOTA[[#This Row],[JUMLAH]]="","",NOTA[[#This Row],[JUMLAH]]-NOTA[[#This Row],[DISC]])</f>
        <v>263340</v>
      </c>
      <c r="AD648" s="66"/>
      <c r="AE64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1348200</v>
      </c>
      <c r="AF64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5080600</v>
      </c>
      <c r="AG648" s="55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648" s="66">
        <f>IF(OR(NOTA[[#This Row],[QTY]]="",NOTA[[#This Row],[HARGA SATUAN]]="",),"",NOTA[[#This Row],[QTY]]*NOTA[[#This Row],[HARGA SATUAN]])</f>
        <v>316800</v>
      </c>
      <c r="AI648" s="60">
        <f ca="1">IF(NOTA[ID_H]="","",INDEX(NOTA[TANGGAL],MATCH(,INDIRECT(ADDRESS(ROW(NOTA[TANGGAL]),COLUMN(NOTA[TANGGAL]))&amp;":"&amp;ADDRESS(ROW(),COLUMN(NOTA[TANGGAL]))),-1)))</f>
        <v>45313</v>
      </c>
      <c r="AJ648" s="55" t="str">
        <f ca="1">IF(NOTA[[#This Row],[NAMA BARANG]]="","",INDEX(NOTA[SUPPLIER],MATCH(,INDIRECT(ADDRESS(ROW(NOTA[ID]),COLUMN(NOTA[ID]))&amp;":"&amp;ADDRESS(ROW(),COLUMN(NOTA[ID]))),-1)))</f>
        <v>ATALI MAKMUR</v>
      </c>
      <c r="AK648" s="55" t="str">
        <f ca="1">IF(NOTA[[#This Row],[ID_H]]="","",IF(NOTA[[#This Row],[FAKTUR]]="",INDIRECT(ADDRESS(ROW()-1,COLUMN())),NOTA[[#This Row],[FAKTUR]]))</f>
        <v>ARTO MORO</v>
      </c>
      <c r="AL648" s="56" t="str">
        <f ca="1">IF(NOTA[[#This Row],[ID]]="","",COUNTIF(NOTA[ID_H],NOTA[[#This Row],[ID_H]]))</f>
        <v/>
      </c>
      <c r="AM648" s="56">
        <f ca="1">IF(NOTA[[#This Row],[TGL.NOTA]]="",IF(NOTA[[#This Row],[SUPPLIER_H]]="","",AM647),MONTH(NOTA[[#This Row],[TGL.NOTA]]))</f>
        <v>1</v>
      </c>
      <c r="AN648" s="5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>
        <f>IF(NOTA[[#This Row],[CONCAT1]]="","",MATCH(NOTA[[#This Row],[CONCAT1]],[3]!db[NB NOTA_C],0))</f>
        <v>131</v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>144 LSN</v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648" s="56" t="e">
        <f ca="1">IF(NOTA[[#This Row],[ID_H]]="","",MATCH(NOTA[[#This Row],[NB NOTA_C_QTY]],[4]!db[NB NOTA_C_QTY+F],0))</f>
        <v>#REF!</v>
      </c>
      <c r="AX648" s="68">
        <f ca="1">IF(NOTA[[#This Row],[NB NOTA_C_QTY]]="","",ROW()-2)</f>
        <v>646</v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70"/>
      <c r="F649" s="71"/>
      <c r="G649" s="71"/>
      <c r="H649" s="72"/>
      <c r="I649" s="71"/>
      <c r="J649" s="73"/>
      <c r="K649" s="71"/>
      <c r="L649" s="37"/>
      <c r="M649" s="74"/>
      <c r="N649" s="75"/>
      <c r="O649" s="71"/>
      <c r="P649" s="76"/>
      <c r="Q649" s="77"/>
      <c r="R649" s="78"/>
      <c r="S649" s="79"/>
      <c r="T649" s="80"/>
      <c r="U649" s="80"/>
      <c r="V649" s="81"/>
      <c r="W649" s="82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65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ATA_2201_157-1</v>
      </c>
      <c r="C650" s="56" t="e">
        <f ca="1">IF(NOTA[[#This Row],[ID_P]]="","",MATCH(NOTA[[#This Row],[ID_P]],[1]!B_MSK[N_ID],0))</f>
        <v>#REF!</v>
      </c>
      <c r="D650" s="56">
        <f ca="1">IF(NOTA[[#This Row],[NAMA BARANG]]="","",INDEX(NOTA[ID],MATCH(,INDIRECT(ADDRESS(ROW(NOTA[ID]),COLUMN(NOTA[ID]))&amp;":"&amp;ADDRESS(ROW(),COLUMN(NOTA[ID]))),-1)))</f>
        <v>105</v>
      </c>
      <c r="E650" s="70">
        <v>45313</v>
      </c>
      <c r="F650" s="37" t="s">
        <v>24</v>
      </c>
      <c r="G650" s="37" t="s">
        <v>23</v>
      </c>
      <c r="H650" s="47" t="s">
        <v>747</v>
      </c>
      <c r="I650" s="71"/>
      <c r="J650" s="73">
        <v>45309</v>
      </c>
      <c r="K650" s="71">
        <v>0</v>
      </c>
      <c r="L650" s="37" t="s">
        <v>748</v>
      </c>
      <c r="M650" s="74">
        <v>1</v>
      </c>
      <c r="N650" s="75">
        <v>20</v>
      </c>
      <c r="O650" s="37" t="s">
        <v>115</v>
      </c>
      <c r="P650" s="76">
        <v>94500</v>
      </c>
      <c r="Q650" s="77"/>
      <c r="R650" s="78"/>
      <c r="S650" s="79">
        <v>0.125</v>
      </c>
      <c r="T650" s="80">
        <v>0.05</v>
      </c>
      <c r="U650" s="80"/>
      <c r="V650" s="81"/>
      <c r="W650" s="82"/>
      <c r="X650" s="66">
        <f>IF(NOTA[[#This Row],[HARGA/ CTN]]="",NOTA[[#This Row],[JUMLAH_H]],NOTA[[#This Row],[HARGA/ CTN]]*IF(NOTA[[#This Row],[C]]="",0,NOTA[[#This Row],[C]]))</f>
        <v>1890000</v>
      </c>
      <c r="Y650" s="66">
        <f>IF(NOTA[[#This Row],[JUMLAH]]="","",NOTA[[#This Row],[JUMLAH]]*NOTA[[#This Row],[DISC 1]])</f>
        <v>236250</v>
      </c>
      <c r="Z650" s="66">
        <f>IF(NOTA[[#This Row],[JUMLAH]]="","",(NOTA[[#This Row],[JUMLAH]]-NOTA[[#This Row],[DISC 1-]])*NOTA[[#This Row],[DISC 2]])</f>
        <v>82687.5</v>
      </c>
      <c r="AA650" s="66">
        <f>IF(NOTA[[#This Row],[JUMLAH]]="","",(NOTA[[#This Row],[JUMLAH]]-NOTA[[#This Row],[DISC 1-]]-NOTA[[#This Row],[DISC 2-]])*NOTA[[#This Row],[DISC 3]])</f>
        <v>0</v>
      </c>
      <c r="AB650" s="66">
        <f>IF(NOTA[[#This Row],[JUMLAH]]="","",NOTA[[#This Row],[DISC 1-]]+NOTA[[#This Row],[DISC 2-]]+NOTA[[#This Row],[DISC 3-]])</f>
        <v>318937.5</v>
      </c>
      <c r="AC650" s="66">
        <f>IF(NOTA[[#This Row],[JUMLAH]]="","",NOTA[[#This Row],[JUMLAH]]-NOTA[[#This Row],[DISC]])</f>
        <v>1571062.5</v>
      </c>
      <c r="AD650" s="66"/>
      <c r="AE65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318937.5</v>
      </c>
      <c r="AF65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1571062.5</v>
      </c>
      <c r="AG650" s="5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H650" s="66">
        <f>IF(OR(NOTA[[#This Row],[QTY]]="",NOTA[[#This Row],[HARGA SATUAN]]="",),"",NOTA[[#This Row],[QTY]]*NOTA[[#This Row],[HARGA SATUAN]])</f>
        <v>1890000</v>
      </c>
      <c r="AI650" s="60">
        <f ca="1">IF(NOTA[ID_H]="","",INDEX(NOTA[TANGGAL],MATCH(,INDIRECT(ADDRESS(ROW(NOTA[TANGGAL]),COLUMN(NOTA[TANGGAL]))&amp;":"&amp;ADDRESS(ROW(),COLUMN(NOTA[TANGGAL]))),-1)))</f>
        <v>45313</v>
      </c>
      <c r="AJ650" s="55" t="str">
        <f ca="1">IF(NOTA[[#This Row],[NAMA BARANG]]="","",INDEX(NOTA[SUPPLIER],MATCH(,INDIRECT(ADDRESS(ROW(NOTA[ID]),COLUMN(NOTA[ID]))&amp;":"&amp;ADDRESS(ROW(),COLUMN(NOTA[ID]))),-1)))</f>
        <v>ATALI MAKMUR</v>
      </c>
      <c r="AK650" s="55" t="str">
        <f ca="1">IF(NOTA[[#This Row],[ID_H]]="","",IF(NOTA[[#This Row],[FAKTUR]]="",INDIRECT(ADDRESS(ROW()-1,COLUMN())),NOTA[[#This Row],[FAKTUR]]))</f>
        <v>ARTO MORO</v>
      </c>
      <c r="AL650" s="56">
        <f ca="1">IF(NOTA[[#This Row],[ID]]="","",COUNTIF(NOTA[ID_H],NOTA[[#This Row],[ID_H]]))</f>
        <v>1</v>
      </c>
      <c r="AM650" s="56">
        <f>IF(NOTA[[#This Row],[TGL.NOTA]]="",IF(NOTA[[#This Row],[SUPPLIER_H]]="","",AM649),MONTH(NOTA[[#This Row],[TGL.NOTA]]))</f>
        <v>1</v>
      </c>
      <c r="AN650" s="56" t="str">
        <f>LOWER(SUBSTITUTE(SUBSTITUTE(SUBSTITUTE(SUBSTITUTE(SUBSTITUTE(SUBSTITUTE(SUBSTITUTE(SUBSTITUTE(SUBSTITUTE(NOTA[NAMA BARANG]," ",),".",""),"-",""),"(",""),")",""),",",""),"/",""),"""",""),"+",""))</f>
        <v>labellermx6600n10d2linejk</v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labellermx6600n10d2linejk18900000.1250.05</v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labellermx6600n10d2linejk18900000.1250.05</v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MOROSA24010115745309labellermx6600n10d2linejk</v>
      </c>
      <c r="AR650" s="56" t="e">
        <f>IF(NOTA[[#This Row],[CONCAT4]]="","",_xlfn.IFNA(MATCH(NOTA[[#This Row],[CONCAT4]],[2]!RAW[CONCAT_H],0),FALSE))</f>
        <v>#REF!</v>
      </c>
      <c r="AS650" s="56">
        <f>IF(NOTA[[#This Row],[CONCAT1]]="","",MATCH(NOTA[[#This Row],[CONCAT1]],[3]!db[NB NOTA_C],0))</f>
        <v>1861</v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>20 PCS</v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labellermx6600n10d2linejk20pcsartomoro</v>
      </c>
      <c r="AW650" s="56" t="e">
        <f ca="1">IF(NOTA[[#This Row],[ID_H]]="","",MATCH(NOTA[[#This Row],[NB NOTA_C_QTY]],[4]!db[NB NOTA_C_QTY+F],0))</f>
        <v>#REF!</v>
      </c>
      <c r="AX650" s="68">
        <f ca="1">IF(NOTA[[#This Row],[NB NOTA_C_QTY]]="","",ROW()-2)</f>
        <v>648</v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70"/>
      <c r="F651" s="37"/>
      <c r="G651" s="37"/>
      <c r="H651" s="47"/>
      <c r="I651" s="71"/>
      <c r="J651" s="73"/>
      <c r="K651" s="71"/>
      <c r="L651" s="37"/>
      <c r="M651" s="74"/>
      <c r="N651" s="75"/>
      <c r="O651" s="71"/>
      <c r="P651" s="76"/>
      <c r="Q651" s="77"/>
      <c r="R651" s="78"/>
      <c r="S651" s="79"/>
      <c r="T651" s="80"/>
      <c r="U651" s="80"/>
      <c r="V651" s="81"/>
      <c r="W651" s="82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65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ATA_2201_081-4</v>
      </c>
      <c r="C652" s="56" t="e">
        <f ca="1">IF(NOTA[[#This Row],[ID_P]]="","",MATCH(NOTA[[#This Row],[ID_P]],[1]!B_MSK[N_ID],0))</f>
        <v>#REF!</v>
      </c>
      <c r="D652" s="56">
        <f ca="1">IF(NOTA[[#This Row],[NAMA BARANG]]="","",INDEX(NOTA[ID],MATCH(,INDIRECT(ADDRESS(ROW(NOTA[ID]),COLUMN(NOTA[ID]))&amp;":"&amp;ADDRESS(ROW(),COLUMN(NOTA[ID]))),-1)))</f>
        <v>106</v>
      </c>
      <c r="E652" s="70">
        <v>45313</v>
      </c>
      <c r="F652" s="37" t="s">
        <v>24</v>
      </c>
      <c r="G652" s="37" t="s">
        <v>23</v>
      </c>
      <c r="H652" s="47" t="s">
        <v>749</v>
      </c>
      <c r="I652" s="71"/>
      <c r="J652" s="73">
        <v>45308</v>
      </c>
      <c r="K652" s="71"/>
      <c r="L652" s="37" t="s">
        <v>744</v>
      </c>
      <c r="M652" s="74">
        <v>2</v>
      </c>
      <c r="N652" s="75">
        <v>48</v>
      </c>
      <c r="O652" s="37" t="s">
        <v>116</v>
      </c>
      <c r="P652" s="76">
        <v>96000</v>
      </c>
      <c r="Q652" s="77"/>
      <c r="R652" s="78"/>
      <c r="S652" s="79">
        <v>0.125</v>
      </c>
      <c r="T652" s="80">
        <v>0.05</v>
      </c>
      <c r="U652" s="80"/>
      <c r="V652" s="81"/>
      <c r="W652" s="82"/>
      <c r="X652" s="66">
        <f>IF(NOTA[[#This Row],[HARGA/ CTN]]="",NOTA[[#This Row],[JUMLAH_H]],NOTA[[#This Row],[HARGA/ CTN]]*IF(NOTA[[#This Row],[C]]="",0,NOTA[[#This Row],[C]]))</f>
        <v>4608000</v>
      </c>
      <c r="Y652" s="66">
        <f>IF(NOTA[[#This Row],[JUMLAH]]="","",NOTA[[#This Row],[JUMLAH]]*NOTA[[#This Row],[DISC 1]])</f>
        <v>576000</v>
      </c>
      <c r="Z652" s="66">
        <f>IF(NOTA[[#This Row],[JUMLAH]]="","",(NOTA[[#This Row],[JUMLAH]]-NOTA[[#This Row],[DISC 1-]])*NOTA[[#This Row],[DISC 2]])</f>
        <v>201600</v>
      </c>
      <c r="AA652" s="66">
        <f>IF(NOTA[[#This Row],[JUMLAH]]="","",(NOTA[[#This Row],[JUMLAH]]-NOTA[[#This Row],[DISC 1-]]-NOTA[[#This Row],[DISC 2-]])*NOTA[[#This Row],[DISC 3]])</f>
        <v>0</v>
      </c>
      <c r="AB652" s="66">
        <f>IF(NOTA[[#This Row],[JUMLAH]]="","",NOTA[[#This Row],[DISC 1-]]+NOTA[[#This Row],[DISC 2-]]+NOTA[[#This Row],[DISC 3-]])</f>
        <v>777600</v>
      </c>
      <c r="AC652" s="66">
        <f>IF(NOTA[[#This Row],[JUMLAH]]="","",NOTA[[#This Row],[JUMLAH]]-NOTA[[#This Row],[DISC]])</f>
        <v>3830400</v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652" s="66">
        <f>IF(OR(NOTA[[#This Row],[QTY]]="",NOTA[[#This Row],[HARGA SATUAN]]="",),"",NOTA[[#This Row],[QTY]]*NOTA[[#This Row],[HARGA SATUAN]])</f>
        <v>4608000</v>
      </c>
      <c r="AI652" s="60">
        <f ca="1">IF(NOTA[ID_H]="","",INDEX(NOTA[TANGGAL],MATCH(,INDIRECT(ADDRESS(ROW(NOTA[TANGGAL]),COLUMN(NOTA[TANGGAL]))&amp;":"&amp;ADDRESS(ROW(),COLUMN(NOTA[TANGGAL]))),-1)))</f>
        <v>45313</v>
      </c>
      <c r="AJ652" s="55" t="str">
        <f ca="1">IF(NOTA[[#This Row],[NAMA BARANG]]="","",INDEX(NOTA[SUPPLIER],MATCH(,INDIRECT(ADDRESS(ROW(NOTA[ID]),COLUMN(NOTA[ID]))&amp;":"&amp;ADDRESS(ROW(),COLUMN(NOTA[ID]))),-1)))</f>
        <v>ATALI MAKMUR</v>
      </c>
      <c r="AK652" s="55" t="str">
        <f ca="1">IF(NOTA[[#This Row],[ID_H]]="","",IF(NOTA[[#This Row],[FAKTUR]]="",INDIRECT(ADDRESS(ROW()-1,COLUMN())),NOTA[[#This Row],[FAKTUR]]))</f>
        <v>ARTO MORO</v>
      </c>
      <c r="AL652" s="56">
        <f ca="1">IF(NOTA[[#This Row],[ID]]="","",COUNTIF(NOTA[ID_H],NOTA[[#This Row],[ID_H]]))</f>
        <v>4</v>
      </c>
      <c r="AM652" s="56">
        <f>IF(NOTA[[#This Row],[TGL.NOTA]]="",IF(NOTA[[#This Row],[SUPPLIER_H]]="","",AM651),MONTH(NOTA[[#This Row],[TGL.NOTA]]))</f>
        <v>1</v>
      </c>
      <c r="AN652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MOROSA24010108145308oilpastelop72sppcaseseaworldjk</v>
      </c>
      <c r="AR652" s="56" t="e">
        <f>IF(NOTA[[#This Row],[CONCAT4]]="","",_xlfn.IFNA(MATCH(NOTA[[#This Row],[CONCAT4]],[2]!RAW[CONCAT_H],0),FALSE))</f>
        <v>#REF!</v>
      </c>
      <c r="AS652" s="56">
        <f>IF(NOTA[[#This Row],[CONCAT1]]="","",MATCH(NOTA[[#This Row],[CONCAT1]],[3]!db[NB NOTA_C],0))</f>
        <v>2180</v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>4 BOX (6 SET)</v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652" s="56" t="e">
        <f ca="1">IF(NOTA[[#This Row],[ID_H]]="","",MATCH(NOTA[[#This Row],[NB NOTA_C_QTY]],[4]!db[NB NOTA_C_QTY+F],0))</f>
        <v>#REF!</v>
      </c>
      <c r="AX652" s="68">
        <f ca="1">IF(NOTA[[#This Row],[NB NOTA_C_QTY]]="","",ROW()-2)</f>
        <v>650</v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>
        <f ca="1">IF(NOTA[[#This Row],[NAMA BARANG]]="","",INDEX(NOTA[ID],MATCH(,INDIRECT(ADDRESS(ROW(NOTA[ID]),COLUMN(NOTA[ID]))&amp;":"&amp;ADDRESS(ROW(),COLUMN(NOTA[ID]))),-1)))</f>
        <v>106</v>
      </c>
      <c r="E653" s="70"/>
      <c r="F653" s="71"/>
      <c r="G653" s="71"/>
      <c r="H653" s="72"/>
      <c r="I653" s="71"/>
      <c r="J653" s="73"/>
      <c r="K653" s="71"/>
      <c r="L653" s="37" t="s">
        <v>685</v>
      </c>
      <c r="M653" s="74">
        <v>2</v>
      </c>
      <c r="N653" s="75">
        <v>48</v>
      </c>
      <c r="O653" s="37" t="s">
        <v>116</v>
      </c>
      <c r="P653" s="76">
        <v>66900</v>
      </c>
      <c r="Q653" s="77"/>
      <c r="R653" s="78"/>
      <c r="S653" s="79">
        <v>0.125</v>
      </c>
      <c r="T653" s="80">
        <v>0.05</v>
      </c>
      <c r="U653" s="80"/>
      <c r="V653" s="81"/>
      <c r="W653" s="82"/>
      <c r="X653" s="66">
        <f>IF(NOTA[[#This Row],[HARGA/ CTN]]="",NOTA[[#This Row],[JUMLAH_H]],NOTA[[#This Row],[HARGA/ CTN]]*IF(NOTA[[#This Row],[C]]="",0,NOTA[[#This Row],[C]]))</f>
        <v>3211200</v>
      </c>
      <c r="Y653" s="66">
        <f>IF(NOTA[[#This Row],[JUMLAH]]="","",NOTA[[#This Row],[JUMLAH]]*NOTA[[#This Row],[DISC 1]])</f>
        <v>401400</v>
      </c>
      <c r="Z653" s="66">
        <f>IF(NOTA[[#This Row],[JUMLAH]]="","",(NOTA[[#This Row],[JUMLAH]]-NOTA[[#This Row],[DISC 1-]])*NOTA[[#This Row],[DISC 2]])</f>
        <v>140490</v>
      </c>
      <c r="AA653" s="66">
        <f>IF(NOTA[[#This Row],[JUMLAH]]="","",(NOTA[[#This Row],[JUMLAH]]-NOTA[[#This Row],[DISC 1-]]-NOTA[[#This Row],[DISC 2-]])*NOTA[[#This Row],[DISC 3]])</f>
        <v>0</v>
      </c>
      <c r="AB653" s="66">
        <f>IF(NOTA[[#This Row],[JUMLAH]]="","",NOTA[[#This Row],[DISC 1-]]+NOTA[[#This Row],[DISC 2-]]+NOTA[[#This Row],[DISC 3-]])</f>
        <v>541890</v>
      </c>
      <c r="AC653" s="66">
        <f>IF(NOTA[[#This Row],[JUMLAH]]="","",NOTA[[#This Row],[JUMLAH]]-NOTA[[#This Row],[DISC]])</f>
        <v>2669310</v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653" s="66">
        <f>IF(OR(NOTA[[#This Row],[QTY]]="",NOTA[[#This Row],[HARGA SATUAN]]="",),"",NOTA[[#This Row],[QTY]]*NOTA[[#This Row],[HARGA SATUAN]])</f>
        <v>3211200</v>
      </c>
      <c r="AI653" s="60">
        <f ca="1">IF(NOTA[ID_H]="","",INDEX(NOTA[TANGGAL],MATCH(,INDIRECT(ADDRESS(ROW(NOTA[TANGGAL]),COLUMN(NOTA[TANGGAL]))&amp;":"&amp;ADDRESS(ROW(),COLUMN(NOTA[TANGGAL]))),-1)))</f>
        <v>45313</v>
      </c>
      <c r="AJ653" s="55" t="str">
        <f ca="1">IF(NOTA[[#This Row],[NAMA BARANG]]="","",INDEX(NOTA[SUPPLIER],MATCH(,INDIRECT(ADDRESS(ROW(NOTA[ID]),COLUMN(NOTA[ID]))&amp;":"&amp;ADDRESS(ROW(),COLUMN(NOTA[ID]))),-1)))</f>
        <v>ATALI MAKMUR</v>
      </c>
      <c r="AK653" s="55" t="str">
        <f ca="1">IF(NOTA[[#This Row],[ID_H]]="","",IF(NOTA[[#This Row],[FAKTUR]]="",INDIRECT(ADDRESS(ROW()-1,COLUMN())),NOTA[[#This Row],[FAKTUR]]))</f>
        <v>ARTO MORO</v>
      </c>
      <c r="AL653" s="56" t="str">
        <f ca="1">IF(NOTA[[#This Row],[ID]]="","",COUNTIF(NOTA[ID_H],NOTA[[#This Row],[ID_H]]))</f>
        <v/>
      </c>
      <c r="AM653" s="56">
        <f ca="1">IF(NOTA[[#This Row],[TGL.NOTA]]="",IF(NOTA[[#This Row],[SUPPLIER_H]]="","",AM652),MONTH(NOTA[[#This Row],[TGL.NOTA]]))</f>
        <v>1</v>
      </c>
      <c r="AN653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>
        <f>IF(NOTA[[#This Row],[CONCAT1]]="","",MATCH(NOTA[[#This Row],[CONCAT1]],[3]!db[NB NOTA_C],0))</f>
        <v>2179</v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>4 BOX (6 SET)</v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653" s="56" t="e">
        <f ca="1">IF(NOTA[[#This Row],[ID_H]]="","",MATCH(NOTA[[#This Row],[NB NOTA_C_QTY]],[4]!db[NB NOTA_C_QTY+F],0))</f>
        <v>#REF!</v>
      </c>
      <c r="AX653" s="68">
        <f ca="1">IF(NOTA[[#This Row],[NB NOTA_C_QTY]]="","",ROW()-2)</f>
        <v>651</v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>
        <f ca="1">IF(NOTA[[#This Row],[NAMA BARANG]]="","",INDEX(NOTA[ID],MATCH(,INDIRECT(ADDRESS(ROW(NOTA[ID]),COLUMN(NOTA[ID]))&amp;":"&amp;ADDRESS(ROW(),COLUMN(NOTA[ID]))),-1)))</f>
        <v>106</v>
      </c>
      <c r="E654" s="70"/>
      <c r="F654" s="71"/>
      <c r="G654" s="71"/>
      <c r="H654" s="72"/>
      <c r="I654" s="71"/>
      <c r="J654" s="73"/>
      <c r="K654" s="71"/>
      <c r="L654" s="37" t="s">
        <v>119</v>
      </c>
      <c r="M654" s="74"/>
      <c r="N654" s="75">
        <v>72</v>
      </c>
      <c r="O654" s="37" t="s">
        <v>115</v>
      </c>
      <c r="P654" s="76">
        <v>2300</v>
      </c>
      <c r="Q654" s="77"/>
      <c r="R654" s="78"/>
      <c r="S654" s="79">
        <v>0.125</v>
      </c>
      <c r="T654" s="80">
        <v>0.05</v>
      </c>
      <c r="U654" s="80"/>
      <c r="V654" s="81"/>
      <c r="W654" s="82"/>
      <c r="X654" s="66">
        <f>IF(NOTA[[#This Row],[HARGA/ CTN]]="",NOTA[[#This Row],[JUMLAH_H]],NOTA[[#This Row],[HARGA/ CTN]]*IF(NOTA[[#This Row],[C]]="",0,NOTA[[#This Row],[C]]))</f>
        <v>165600</v>
      </c>
      <c r="Y654" s="66">
        <f>IF(NOTA[[#This Row],[JUMLAH]]="","",NOTA[[#This Row],[JUMLAH]]*NOTA[[#This Row],[DISC 1]])</f>
        <v>20700</v>
      </c>
      <c r="Z654" s="66">
        <f>IF(NOTA[[#This Row],[JUMLAH]]="","",(NOTA[[#This Row],[JUMLAH]]-NOTA[[#This Row],[DISC 1-]])*NOTA[[#This Row],[DISC 2]])</f>
        <v>7245</v>
      </c>
      <c r="AA654" s="66">
        <f>IF(NOTA[[#This Row],[JUMLAH]]="","",(NOTA[[#This Row],[JUMLAH]]-NOTA[[#This Row],[DISC 1-]]-NOTA[[#This Row],[DISC 2-]])*NOTA[[#This Row],[DISC 3]])</f>
        <v>0</v>
      </c>
      <c r="AB654" s="66">
        <f>IF(NOTA[[#This Row],[JUMLAH]]="","",NOTA[[#This Row],[DISC 1-]]+NOTA[[#This Row],[DISC 2-]]+NOTA[[#This Row],[DISC 3-]])</f>
        <v>27945</v>
      </c>
      <c r="AC654" s="66">
        <f>IF(NOTA[[#This Row],[JUMLAH]]="","",NOTA[[#This Row],[JUMLAH]]-NOTA[[#This Row],[DISC]])</f>
        <v>137655</v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H654" s="66">
        <f>IF(OR(NOTA[[#This Row],[QTY]]="",NOTA[[#This Row],[HARGA SATUAN]]="",),"",NOTA[[#This Row],[QTY]]*NOTA[[#This Row],[HARGA SATUAN]])</f>
        <v>165600</v>
      </c>
      <c r="AI654" s="60">
        <f ca="1">IF(NOTA[ID_H]="","",INDEX(NOTA[TANGGAL],MATCH(,INDIRECT(ADDRESS(ROW(NOTA[TANGGAL]),COLUMN(NOTA[TANGGAL]))&amp;":"&amp;ADDRESS(ROW(),COLUMN(NOTA[TANGGAL]))),-1)))</f>
        <v>45313</v>
      </c>
      <c r="AJ654" s="55" t="str">
        <f ca="1">IF(NOTA[[#This Row],[NAMA BARANG]]="","",INDEX(NOTA[SUPPLIER],MATCH(,INDIRECT(ADDRESS(ROW(NOTA[ID]),COLUMN(NOTA[ID]))&amp;":"&amp;ADDRESS(ROW(),COLUMN(NOTA[ID]))),-1)))</f>
        <v>ATALI MAKMUR</v>
      </c>
      <c r="AK654" s="55" t="str">
        <f ca="1">IF(NOTA[[#This Row],[ID_H]]="","",IF(NOTA[[#This Row],[FAKTUR]]="",INDIRECT(ADDRESS(ROW()-1,COLUMN())),NOTA[[#This Row],[FAKTUR]]))</f>
        <v>ARTO MORO</v>
      </c>
      <c r="AL654" s="56" t="str">
        <f ca="1">IF(NOTA[[#This Row],[ID]]="","",COUNTIF(NOTA[ID_H],NOTA[[#This Row],[ID_H]]))</f>
        <v/>
      </c>
      <c r="AM654" s="56">
        <f ca="1">IF(NOTA[[#This Row],[TGL.NOTA]]="",IF(NOTA[[#This Row],[SUPPLIER_H]]="","",AM653),MONTH(NOTA[[#This Row],[TGL.NOTA]]))</f>
        <v>1</v>
      </c>
      <c r="AN654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whiteboardmarkerwm65blackjkbonus1656000.1250.05</v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>
        <f>IF(NOTA[[#This Row],[CONCAT1]]="","",MATCH(NOTA[[#This Row],[CONCAT1]],[3]!db[NB NOTA_C],0))</f>
        <v>3070</v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>48 LSN</v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654" s="56" t="e">
        <f ca="1">IF(NOTA[[#This Row],[ID_H]]="","",MATCH(NOTA[[#This Row],[NB NOTA_C_QTY]],[4]!db[NB NOTA_C_QTY+F],0))</f>
        <v>#REF!</v>
      </c>
      <c r="AX654" s="68">
        <f ca="1">IF(NOTA[[#This Row],[NB NOTA_C_QTY]]="","",ROW()-2)</f>
        <v>652</v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>
        <f ca="1">IF(NOTA[[#This Row],[NAMA BARANG]]="","",INDEX(NOTA[ID],MATCH(,INDIRECT(ADDRESS(ROW(NOTA[ID]),COLUMN(NOTA[ID]))&amp;":"&amp;ADDRESS(ROW(),COLUMN(NOTA[ID]))),-1)))</f>
        <v>106</v>
      </c>
      <c r="E655" s="70"/>
      <c r="F655" s="71"/>
      <c r="G655" s="71"/>
      <c r="H655" s="72"/>
      <c r="I655" s="71"/>
      <c r="J655" s="73"/>
      <c r="K655" s="71"/>
      <c r="L655" s="37" t="s">
        <v>750</v>
      </c>
      <c r="M655" s="74"/>
      <c r="N655" s="75">
        <v>24</v>
      </c>
      <c r="O655" s="37" t="s">
        <v>115</v>
      </c>
      <c r="P655" s="76">
        <v>2300</v>
      </c>
      <c r="Q655" s="77"/>
      <c r="R655" s="78"/>
      <c r="S655" s="79">
        <v>0.125</v>
      </c>
      <c r="T655" s="80">
        <v>0.05</v>
      </c>
      <c r="U655" s="80"/>
      <c r="V655" s="81">
        <v>183540</v>
      </c>
      <c r="W655" s="82"/>
      <c r="X655" s="66">
        <f>IF(NOTA[[#This Row],[HARGA/ CTN]]="",NOTA[[#This Row],[JUMLAH_H]],NOTA[[#This Row],[HARGA/ CTN]]*IF(NOTA[[#This Row],[C]]="",0,NOTA[[#This Row],[C]]))</f>
        <v>55200</v>
      </c>
      <c r="Y655" s="66">
        <f>IF(NOTA[[#This Row],[JUMLAH]]="","",NOTA[[#This Row],[JUMLAH]]*NOTA[[#This Row],[DISC 1]])</f>
        <v>6900</v>
      </c>
      <c r="Z655" s="66">
        <f>IF(NOTA[[#This Row],[JUMLAH]]="","",(NOTA[[#This Row],[JUMLAH]]-NOTA[[#This Row],[DISC 1-]])*NOTA[[#This Row],[DISC 2]])</f>
        <v>2415</v>
      </c>
      <c r="AA655" s="66">
        <f>IF(NOTA[[#This Row],[JUMLAH]]="","",(NOTA[[#This Row],[JUMLAH]]-NOTA[[#This Row],[DISC 1-]]-NOTA[[#This Row],[DISC 2-]])*NOTA[[#This Row],[DISC 3]])</f>
        <v>0</v>
      </c>
      <c r="AB655" s="66">
        <f>IF(NOTA[[#This Row],[JUMLAH]]="","",NOTA[[#This Row],[DISC 1-]]+NOTA[[#This Row],[DISC 2-]]+NOTA[[#This Row],[DISC 3-]])</f>
        <v>9315</v>
      </c>
      <c r="AC655" s="66">
        <f>IF(NOTA[[#This Row],[JUMLAH]]="","",NOTA[[#This Row],[JUMLAH]]-NOTA[[#This Row],[DISC]])</f>
        <v>45885</v>
      </c>
      <c r="AD655" s="66"/>
      <c r="AE6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1540290</v>
      </c>
      <c r="AF6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6499710</v>
      </c>
      <c r="AG655" s="55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H655" s="66">
        <f>IF(OR(NOTA[[#This Row],[QTY]]="",NOTA[[#This Row],[HARGA SATUAN]]="",),"",NOTA[[#This Row],[QTY]]*NOTA[[#This Row],[HARGA SATUAN]])</f>
        <v>55200</v>
      </c>
      <c r="AI655" s="60">
        <f ca="1">IF(NOTA[ID_H]="","",INDEX(NOTA[TANGGAL],MATCH(,INDIRECT(ADDRESS(ROW(NOTA[TANGGAL]),COLUMN(NOTA[TANGGAL]))&amp;":"&amp;ADDRESS(ROW(),COLUMN(NOTA[TANGGAL]))),-1)))</f>
        <v>45313</v>
      </c>
      <c r="AJ655" s="55" t="str">
        <f ca="1">IF(NOTA[[#This Row],[NAMA BARANG]]="","",INDEX(NOTA[SUPPLIER],MATCH(,INDIRECT(ADDRESS(ROW(NOTA[ID]),COLUMN(NOTA[ID]))&amp;":"&amp;ADDRESS(ROW(),COLUMN(NOTA[ID]))),-1)))</f>
        <v>ATALI MAKMUR</v>
      </c>
      <c r="AK655" s="55" t="str">
        <f ca="1">IF(NOTA[[#This Row],[ID_H]]="","",IF(NOTA[[#This Row],[FAKTUR]]="",INDIRECT(ADDRESS(ROW()-1,COLUMN())),NOTA[[#This Row],[FAKTUR]]))</f>
        <v>ARTO MORO</v>
      </c>
      <c r="AL655" s="56" t="str">
        <f ca="1">IF(NOTA[[#This Row],[ID]]="","",COUNTIF(NOTA[ID_H],NOTA[[#This Row],[ID_H]]))</f>
        <v/>
      </c>
      <c r="AM655" s="56">
        <f ca="1">IF(NOTA[[#This Row],[TGL.NOTA]]="",IF(NOTA[[#This Row],[SUPPLIER_H]]="","",AM654),MONTH(NOTA[[#This Row],[TGL.NOTA]]))</f>
        <v>1</v>
      </c>
      <c r="AN655" s="56" t="str">
        <f>LOWER(SUBSTITUTE(SUBSTITUTE(SUBSTITUTE(SUBSTITUTE(SUBSTITUTE(SUBSTITUTE(SUBSTITUTE(SUBSTITUTE(SUBSTITUTE(NOTA[NAMA BARANG]," ",),".",""),"-",""),"(",""),")",""),",",""),"/",""),"""",""),"+",""))</f>
        <v>whiteboardmarkerwm65redjkbonus</v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whiteboardmarkerwm65redjkbonus552000.1250.05</v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whiteboardmarkerwm65redjkbonus23000.1250.05</v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>
        <f>IF(NOTA[[#This Row],[CONCAT1]]="","",MATCH(NOTA[[#This Row],[CONCAT1]],[3]!db[NB NOTA_C],0))</f>
        <v>3072</v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>48 LSN</v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whiteboardmarkerwm65redjkbonus48lsnartomoro</v>
      </c>
      <c r="AW655" s="56" t="e">
        <f ca="1">IF(NOTA[[#This Row],[ID_H]]="","",MATCH(NOTA[[#This Row],[NB NOTA_C_QTY]],[4]!db[NB NOTA_C_QTY+F],0))</f>
        <v>#REF!</v>
      </c>
      <c r="AX655" s="68">
        <f ca="1">IF(NOTA[[#This Row],[NB NOTA_C_QTY]]="","",ROW()-2)</f>
        <v>653</v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70"/>
      <c r="F656" s="37"/>
      <c r="G656" s="37"/>
      <c r="H656" s="47"/>
      <c r="I656" s="71"/>
      <c r="J656" s="73"/>
      <c r="K656" s="71"/>
      <c r="L656" s="37"/>
      <c r="M656" s="74"/>
      <c r="N656" s="75"/>
      <c r="O656" s="37"/>
      <c r="P656" s="76"/>
      <c r="Q656" s="77"/>
      <c r="R656" s="78"/>
      <c r="S656" s="79"/>
      <c r="T656" s="80"/>
      <c r="U656" s="80"/>
      <c r="V656" s="81"/>
      <c r="W656" s="82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65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DUN_2201_-24-1</v>
      </c>
      <c r="C657" s="56" t="e">
        <f ca="1">IF(NOTA[[#This Row],[ID_P]]="","",MATCH(NOTA[[#This Row],[ID_P]],[1]!B_MSK[N_ID],0))</f>
        <v>#REF!</v>
      </c>
      <c r="D657" s="56">
        <f ca="1">IF(NOTA[[#This Row],[NAMA BARANG]]="","",INDEX(NOTA[ID],MATCH(,INDIRECT(ADDRESS(ROW(NOTA[ID]),COLUMN(NOTA[ID]))&amp;":"&amp;ADDRESS(ROW(),COLUMN(NOTA[ID]))),-1)))</f>
        <v>107</v>
      </c>
      <c r="E657" s="70">
        <v>45313</v>
      </c>
      <c r="F657" s="37" t="s">
        <v>751</v>
      </c>
      <c r="G657" s="37" t="s">
        <v>23</v>
      </c>
      <c r="H657" s="47" t="s">
        <v>752</v>
      </c>
      <c r="I657" s="71"/>
      <c r="J657" s="73">
        <v>45309</v>
      </c>
      <c r="K657" s="71">
        <v>0</v>
      </c>
      <c r="L657" s="37" t="s">
        <v>753</v>
      </c>
      <c r="M657" s="74">
        <v>1</v>
      </c>
      <c r="N657" s="75">
        <v>96</v>
      </c>
      <c r="O657" s="37" t="s">
        <v>115</v>
      </c>
      <c r="P657" s="76">
        <v>21000</v>
      </c>
      <c r="Q657" s="77"/>
      <c r="R657" s="48" t="s">
        <v>449</v>
      </c>
      <c r="S657" s="79">
        <v>2.5000000000000001E-2</v>
      </c>
      <c r="T657" s="80"/>
      <c r="U657" s="80"/>
      <c r="V657" s="81">
        <f>53108.5*1.11</f>
        <v>58950.435000000005</v>
      </c>
      <c r="W657" s="82"/>
      <c r="X657" s="66">
        <f>IF(NOTA[[#This Row],[HARGA/ CTN]]="",NOTA[[#This Row],[JUMLAH_H]],NOTA[[#This Row],[HARGA/ CTN]]*IF(NOTA[[#This Row],[C]]="",0,NOTA[[#This Row],[C]]))</f>
        <v>2016000</v>
      </c>
      <c r="Y657" s="66">
        <f>IF(NOTA[[#This Row],[JUMLAH]]="","",NOTA[[#This Row],[JUMLAH]]*NOTA[[#This Row],[DISC 1]])</f>
        <v>50400</v>
      </c>
      <c r="Z657" s="66">
        <f>IF(NOTA[[#This Row],[JUMLAH]]="","",(NOTA[[#This Row],[JUMLAH]]-NOTA[[#This Row],[DISC 1-]])*NOTA[[#This Row],[DISC 2]])</f>
        <v>0</v>
      </c>
      <c r="AA657" s="66">
        <f>IF(NOTA[[#This Row],[JUMLAH]]="","",(NOTA[[#This Row],[JUMLAH]]-NOTA[[#This Row],[DISC 1-]]-NOTA[[#This Row],[DISC 2-]])*NOTA[[#This Row],[DISC 3]])</f>
        <v>0</v>
      </c>
      <c r="AB657" s="66">
        <f>IF(NOTA[[#This Row],[JUMLAH]]="","",NOTA[[#This Row],[DISC 1-]]+NOTA[[#This Row],[DISC 2-]]+NOTA[[#This Row],[DISC 3-]])</f>
        <v>50400</v>
      </c>
      <c r="AC657" s="66">
        <f>IF(NOTA[[#This Row],[JUMLAH]]="","",NOTA[[#This Row],[JUMLAH]]-NOTA[[#This Row],[DISC]])</f>
        <v>1965600</v>
      </c>
      <c r="AD657" s="66"/>
      <c r="AE65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109350.435</v>
      </c>
      <c r="AF65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1906649.5649999999</v>
      </c>
      <c r="AG657" s="5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657" s="66">
        <f>IF(OR(NOTA[[#This Row],[QTY]]="",NOTA[[#This Row],[HARGA SATUAN]]="",),"",NOTA[[#This Row],[QTY]]*NOTA[[#This Row],[HARGA SATUAN]])</f>
        <v>2016000</v>
      </c>
      <c r="AI657" s="60">
        <f ca="1">IF(NOTA[ID_H]="","",INDEX(NOTA[TANGGAL],MATCH(,INDIRECT(ADDRESS(ROW(NOTA[TANGGAL]),COLUMN(NOTA[TANGGAL]))&amp;":"&amp;ADDRESS(ROW(),COLUMN(NOTA[TANGGAL]))),-1)))</f>
        <v>45313</v>
      </c>
      <c r="AJ657" s="55" t="str">
        <f ca="1">IF(NOTA[[#This Row],[NAMA BARANG]]="","",INDEX(NOTA[SUPPLIER],MATCH(,INDIRECT(ADDRESS(ROW(NOTA[ID]),COLUMN(NOTA[ID]))&amp;":"&amp;ADDRESS(ROW(),COLUMN(NOTA[ID]))),-1)))</f>
        <v>DUNIA FENSI KREASINDO</v>
      </c>
      <c r="AK657" s="55" t="str">
        <f ca="1">IF(NOTA[[#This Row],[ID_H]]="","",IF(NOTA[[#This Row],[FAKTUR]]="",INDIRECT(ADDRESS(ROW()-1,COLUMN())),NOTA[[#This Row],[FAKTUR]]))</f>
        <v>ARTO MORO</v>
      </c>
      <c r="AL657" s="56">
        <f ca="1">IF(NOTA[[#This Row],[ID]]="","",COUNTIF(NOTA[ID_H],NOTA[[#This Row],[ID_H]]))</f>
        <v>1</v>
      </c>
      <c r="AM657" s="56">
        <f>IF(NOTA[[#This Row],[TGL.NOTA]]="",IF(NOTA[[#This Row],[SUPPLIER_H]]="","",AM656),MONTH(NOTA[[#This Row],[TGL.NOTA]]))</f>
        <v>1</v>
      </c>
      <c r="AN657" s="56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bindernotefphy001a56020160000.025</v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bindernotefphy001a56020160000.025</v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>DUNIA FENSI KREASINDOARTO MOROPHM/004/01-2445309bindernotefphy001a560</v>
      </c>
      <c r="AR657" s="56" t="e">
        <f>IF(NOTA[[#This Row],[CONCAT4]]="","",_xlfn.IFNA(MATCH(NOTA[[#This Row],[CONCAT4]],[2]!RAW[CONCAT_H],0),FALSE))</f>
        <v>#REF!</v>
      </c>
      <c r="AS657" s="56">
        <f>IF(NOTA[[#This Row],[CONCAT1]]="","",MATCH(NOTA[[#This Row],[CONCAT1]],[3]!db[NB NOTA_C],0))</f>
        <v>342</v>
      </c>
      <c r="AT657" s="56" t="b">
        <f>IF(NOTA[[#This Row],[QTY/ CTN]]="","",TRUE)</f>
        <v>1</v>
      </c>
      <c r="AU657" s="56" t="str">
        <f ca="1">IF(NOTA[[#This Row],[ID_H]]="","",IF(NOTA[[#This Row],[Column3]]=TRUE,NOTA[[#This Row],[QTY/ CTN]],INDEX([3]!db[QTY/ CTN],NOTA[[#This Row],[//DB]])))</f>
        <v>96 PCS</v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bindernotefphy001a56096pcsartomoro</v>
      </c>
      <c r="AW657" s="56" t="e">
        <f ca="1">IF(NOTA[[#This Row],[ID_H]]="","",MATCH(NOTA[[#This Row],[NB NOTA_C_QTY]],[4]!db[NB NOTA_C_QTY+F],0))</f>
        <v>#REF!</v>
      </c>
      <c r="AX657" s="68">
        <f ca="1">IF(NOTA[[#This Row],[NB NOTA_C_QTY]]="","",ROW()-2)</f>
        <v>655</v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70"/>
      <c r="F658" s="71"/>
      <c r="G658" s="71"/>
      <c r="H658" s="72"/>
      <c r="I658" s="71"/>
      <c r="J658" s="73"/>
      <c r="K658" s="71"/>
      <c r="L658" s="37"/>
      <c r="M658" s="74"/>
      <c r="N658" s="75"/>
      <c r="O658" s="37"/>
      <c r="P658" s="76"/>
      <c r="Q658" s="77"/>
      <c r="R658" s="78"/>
      <c r="S658" s="79"/>
      <c r="T658" s="80"/>
      <c r="U658" s="80"/>
      <c r="V658" s="81"/>
      <c r="W658" s="82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65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KEN_2201_189-2</v>
      </c>
      <c r="C659" s="56" t="e">
        <f ca="1">IF(NOTA[[#This Row],[ID_P]]="","",MATCH(NOTA[[#This Row],[ID_P]],[1]!B_MSK[N_ID],0))</f>
        <v>#REF!</v>
      </c>
      <c r="D659" s="56">
        <f ca="1">IF(NOTA[[#This Row],[NAMA BARANG]]="","",INDEX(NOTA[ID],MATCH(,INDIRECT(ADDRESS(ROW(NOTA[ID]),COLUMN(NOTA[ID]))&amp;":"&amp;ADDRESS(ROW(),COLUMN(NOTA[ID]))),-1)))</f>
        <v>108</v>
      </c>
      <c r="E659" s="70">
        <v>45313</v>
      </c>
      <c r="F659" s="37" t="s">
        <v>22</v>
      </c>
      <c r="G659" s="37" t="s">
        <v>23</v>
      </c>
      <c r="H659" s="47" t="s">
        <v>754</v>
      </c>
      <c r="I659" s="71"/>
      <c r="J659" s="73">
        <v>45309</v>
      </c>
      <c r="K659" s="71">
        <v>0</v>
      </c>
      <c r="L659" s="37" t="s">
        <v>362</v>
      </c>
      <c r="M659" s="74">
        <v>1</v>
      </c>
      <c r="N659" s="75"/>
      <c r="O659" s="37"/>
      <c r="P659" s="76"/>
      <c r="Q659" s="77">
        <v>860000</v>
      </c>
      <c r="R659" s="78"/>
      <c r="S659" s="79">
        <v>0.17</v>
      </c>
      <c r="T659" s="80"/>
      <c r="U659" s="80"/>
      <c r="V659" s="81"/>
      <c r="W659" s="82"/>
      <c r="X659" s="66">
        <f>IF(NOTA[[#This Row],[HARGA/ CTN]]="",NOTA[[#This Row],[JUMLAH_H]],NOTA[[#This Row],[HARGA/ CTN]]*IF(NOTA[[#This Row],[C]]="",0,NOTA[[#This Row],[C]]))</f>
        <v>860000</v>
      </c>
      <c r="Y659" s="66">
        <f>IF(NOTA[[#This Row],[JUMLAH]]="","",NOTA[[#This Row],[JUMLAH]]*NOTA[[#This Row],[DISC 1]])</f>
        <v>146200</v>
      </c>
      <c r="Z659" s="66">
        <f>IF(NOTA[[#This Row],[JUMLAH]]="","",(NOTA[[#This Row],[JUMLAH]]-NOTA[[#This Row],[DISC 1-]])*NOTA[[#This Row],[DISC 2]])</f>
        <v>0</v>
      </c>
      <c r="AA659" s="66">
        <f>IF(NOTA[[#This Row],[JUMLAH]]="","",(NOTA[[#This Row],[JUMLAH]]-NOTA[[#This Row],[DISC 1-]]-NOTA[[#This Row],[DISC 2-]])*NOTA[[#This Row],[DISC 3]])</f>
        <v>0</v>
      </c>
      <c r="AB659" s="66">
        <f>IF(NOTA[[#This Row],[JUMLAH]]="","",NOTA[[#This Row],[DISC 1-]]+NOTA[[#This Row],[DISC 2-]]+NOTA[[#This Row],[DISC 3-]])</f>
        <v>146200</v>
      </c>
      <c r="AC659" s="66">
        <f>IF(NOTA[[#This Row],[JUMLAH]]="","",NOTA[[#This Row],[JUMLAH]]-NOTA[[#This Row],[DISC]])</f>
        <v>713800</v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59" s="66" t="str">
        <f>IF(OR(NOTA[[#This Row],[QTY]]="",NOTA[[#This Row],[HARGA SATUAN]]="",),"",NOTA[[#This Row],[QTY]]*NOTA[[#This Row],[HARGA SATUAN]])</f>
        <v/>
      </c>
      <c r="AI659" s="60">
        <f ca="1">IF(NOTA[ID_H]="","",INDEX(NOTA[TANGGAL],MATCH(,INDIRECT(ADDRESS(ROW(NOTA[TANGGAL]),COLUMN(NOTA[TANGGAL]))&amp;":"&amp;ADDRESS(ROW(),COLUMN(NOTA[TANGGAL]))),-1)))</f>
        <v>45313</v>
      </c>
      <c r="AJ659" s="55" t="str">
        <f ca="1">IF(NOTA[[#This Row],[NAMA BARANG]]="","",INDEX(NOTA[SUPPLIER],MATCH(,INDIRECT(ADDRESS(ROW(NOTA[ID]),COLUMN(NOTA[ID]))&amp;":"&amp;ADDRESS(ROW(),COLUMN(NOTA[ID]))),-1)))</f>
        <v>KENKO SINAR INDONESIA</v>
      </c>
      <c r="AK659" s="55" t="str">
        <f ca="1">IF(NOTA[[#This Row],[ID_H]]="","",IF(NOTA[[#This Row],[FAKTUR]]="",INDIRECT(ADDRESS(ROW()-1,COLUMN())),NOTA[[#This Row],[FAKTUR]]))</f>
        <v>ARTO MORO</v>
      </c>
      <c r="AL659" s="56">
        <f ca="1">IF(NOTA[[#This Row],[ID]]="","",COUNTIF(NOTA[ID_H],NOTA[[#This Row],[ID_H]]))</f>
        <v>2</v>
      </c>
      <c r="AM659" s="56">
        <f>IF(NOTA[[#This Row],[TGL.NOTA]]="",IF(NOTA[[#This Row],[SUPPLIER_H]]="","",AM658),MONTH(NOTA[[#This Row],[TGL.NOTA]]))</f>
        <v>1</v>
      </c>
      <c r="AN659" s="56" t="str">
        <f>LOWER(SUBSTITUTE(SUBSTITUTE(SUBSTITUTE(SUBSTITUTE(SUBSTITUTE(SUBSTITUTE(SUBSTITUTE(SUBSTITUTE(SUBSTITUTE(NOTA[NAMA BARANG]," ",),".",""),"-",""),"(",""),")",""),",",""),"/",""),"""",""),"+",""))</f>
        <v>kenkojumboclipno5</v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MORO2401118945309kenkojumboclipno5</v>
      </c>
      <c r="AR659" s="56" t="e">
        <f>IF(NOTA[[#This Row],[CONCAT4]]="","",_xlfn.IFNA(MATCH(NOTA[[#This Row],[CONCAT4]],[2]!RAW[CONCAT_H],0),FALSE))</f>
        <v>#REF!</v>
      </c>
      <c r="AS659" s="56">
        <f>IF(NOTA[[#This Row],[CONCAT1]]="","",MATCH(NOTA[[#This Row],[CONCAT1]],[3]!db[NB NOTA_C],0))</f>
        <v>1686</v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>200 BOX</v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659" s="56" t="e">
        <f ca="1">IF(NOTA[[#This Row],[ID_H]]="","",MATCH(NOTA[[#This Row],[NB NOTA_C_QTY]],[4]!db[NB NOTA_C_QTY+F],0))</f>
        <v>#REF!</v>
      </c>
      <c r="AX659" s="68">
        <f ca="1">IF(NOTA[[#This Row],[NB NOTA_C_QTY]]="","",ROW()-2)</f>
        <v>657</v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>
        <f ca="1">IF(NOTA[[#This Row],[NAMA BARANG]]="","",INDEX(NOTA[ID],MATCH(,INDIRECT(ADDRESS(ROW(NOTA[ID]),COLUMN(NOTA[ID]))&amp;":"&amp;ADDRESS(ROW(),COLUMN(NOTA[ID]))),-1)))</f>
        <v>108</v>
      </c>
      <c r="E660" s="70"/>
      <c r="F660" s="71"/>
      <c r="G660" s="71"/>
      <c r="H660" s="72"/>
      <c r="I660" s="71"/>
      <c r="J660" s="73"/>
      <c r="K660" s="71">
        <v>0</v>
      </c>
      <c r="L660" s="37" t="s">
        <v>755</v>
      </c>
      <c r="M660" s="74">
        <v>1</v>
      </c>
      <c r="N660" s="75"/>
      <c r="O660" s="37"/>
      <c r="P660" s="76"/>
      <c r="Q660" s="77">
        <v>5616000</v>
      </c>
      <c r="R660" s="78"/>
      <c r="S660" s="79">
        <v>0.17</v>
      </c>
      <c r="T660" s="80"/>
      <c r="U660" s="80"/>
      <c r="V660" s="81"/>
      <c r="W660" s="82"/>
      <c r="X660" s="66">
        <f>IF(NOTA[[#This Row],[HARGA/ CTN]]="",NOTA[[#This Row],[JUMLAH_H]],NOTA[[#This Row],[HARGA/ CTN]]*IF(NOTA[[#This Row],[C]]="",0,NOTA[[#This Row],[C]]))</f>
        <v>5616000</v>
      </c>
      <c r="Y660" s="66">
        <f>IF(NOTA[[#This Row],[JUMLAH]]="","",NOTA[[#This Row],[JUMLAH]]*NOTA[[#This Row],[DISC 1]])</f>
        <v>954720.00000000012</v>
      </c>
      <c r="Z660" s="66">
        <f>IF(NOTA[[#This Row],[JUMLAH]]="","",(NOTA[[#This Row],[JUMLAH]]-NOTA[[#This Row],[DISC 1-]])*NOTA[[#This Row],[DISC 2]])</f>
        <v>0</v>
      </c>
      <c r="AA660" s="66">
        <f>IF(NOTA[[#This Row],[JUMLAH]]="","",(NOTA[[#This Row],[JUMLAH]]-NOTA[[#This Row],[DISC 1-]]-NOTA[[#This Row],[DISC 2-]])*NOTA[[#This Row],[DISC 3]])</f>
        <v>0</v>
      </c>
      <c r="AB660" s="66">
        <f>IF(NOTA[[#This Row],[JUMLAH]]="","",NOTA[[#This Row],[DISC 1-]]+NOTA[[#This Row],[DISC 2-]]+NOTA[[#This Row],[DISC 3-]])</f>
        <v>954720.00000000012</v>
      </c>
      <c r="AC660" s="66">
        <f>IF(NOTA[[#This Row],[JUMLAH]]="","",NOTA[[#This Row],[JUMLAH]]-NOTA[[#This Row],[DISC]])</f>
        <v>4661280</v>
      </c>
      <c r="AD660" s="66"/>
      <c r="AE66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1100920</v>
      </c>
      <c r="AF66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5375080</v>
      </c>
      <c r="AG660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60" s="66" t="str">
        <f>IF(OR(NOTA[[#This Row],[QTY]]="",NOTA[[#This Row],[HARGA SATUAN]]="",),"",NOTA[[#This Row],[QTY]]*NOTA[[#This Row],[HARGA SATUAN]])</f>
        <v/>
      </c>
      <c r="AI660" s="60">
        <f ca="1">IF(NOTA[ID_H]="","",INDEX(NOTA[TANGGAL],MATCH(,INDIRECT(ADDRESS(ROW(NOTA[TANGGAL]),COLUMN(NOTA[TANGGAL]))&amp;":"&amp;ADDRESS(ROW(),COLUMN(NOTA[TANGGAL]))),-1)))</f>
        <v>45313</v>
      </c>
      <c r="AJ660" s="55" t="str">
        <f ca="1">IF(NOTA[[#This Row],[NAMA BARANG]]="","",INDEX(NOTA[SUPPLIER],MATCH(,INDIRECT(ADDRESS(ROW(NOTA[ID]),COLUMN(NOTA[ID]))&amp;":"&amp;ADDRESS(ROW(),COLUMN(NOTA[ID]))),-1)))</f>
        <v>KENKO SINAR INDONESIA</v>
      </c>
      <c r="AK660" s="55" t="str">
        <f ca="1">IF(NOTA[[#This Row],[ID_H]]="","",IF(NOTA[[#This Row],[FAKTUR]]="",INDIRECT(ADDRESS(ROW()-1,COLUMN())),NOTA[[#This Row],[FAKTUR]]))</f>
        <v>ARTO MORO</v>
      </c>
      <c r="AL660" s="56" t="str">
        <f ca="1">IF(NOTA[[#This Row],[ID]]="","",COUNTIF(NOTA[ID_H],NOTA[[#This Row],[ID_H]]))</f>
        <v/>
      </c>
      <c r="AM660" s="56">
        <f ca="1">IF(NOTA[[#This Row],[TGL.NOTA]]="",IF(NOTA[[#This Row],[SUPPLIER_H]]="","",AM659),MONTH(NOTA[[#This Row],[TGL.NOTA]]))</f>
        <v>1</v>
      </c>
      <c r="AN660" s="56" t="str">
        <f>LOWER(SUBSTITUTE(SUBSTITUTE(SUBSTITUTE(SUBSTITUTE(SUBSTITUTE(SUBSTITUTE(SUBSTITUTE(SUBSTITUTE(SUBSTITUTE(NOTA[NAMA BARANG]," ",),".",""),"-",""),"(",""),")",""),",",""),"/",""),"""",""),"+",""))</f>
        <v>kenkogelpenks97signpenblack</v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kenkogelpenks97signpenblack56160000.17</v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kenkogelpenks97signpenblack56160000.17</v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>
        <f>IF(NOTA[[#This Row],[CONCAT1]]="","",MATCH(NOTA[[#This Row],[CONCAT1]],[3]!db[NB NOTA_C],0))</f>
        <v>1646</v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>144 LSN</v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kenkogelpenks97signpenblack144lsnartomoro</v>
      </c>
      <c r="AW660" s="56" t="e">
        <f ca="1">IF(NOTA[[#This Row],[ID_H]]="","",MATCH(NOTA[[#This Row],[NB NOTA_C_QTY]],[4]!db[NB NOTA_C_QTY+F],0))</f>
        <v>#REF!</v>
      </c>
      <c r="AX660" s="68">
        <f ca="1">IF(NOTA[[#This Row],[NB NOTA_C_QTY]]="","",ROW()-2)</f>
        <v>658</v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70"/>
      <c r="F661" s="71"/>
      <c r="G661" s="71"/>
      <c r="H661" s="72"/>
      <c r="I661" s="71"/>
      <c r="J661" s="73"/>
      <c r="K661" s="71"/>
      <c r="L661" s="37"/>
      <c r="M661" s="74"/>
      <c r="N661" s="75"/>
      <c r="O661" s="37"/>
      <c r="P661" s="76"/>
      <c r="Q661" s="77"/>
      <c r="R661" s="78"/>
      <c r="S661" s="79"/>
      <c r="T661" s="80"/>
      <c r="U661" s="80"/>
      <c r="V661" s="81"/>
      <c r="W661" s="45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66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KEN_2201_278-10</v>
      </c>
      <c r="C662" s="56" t="e">
        <f ca="1">IF(NOTA[[#This Row],[ID_P]]="","",MATCH(NOTA[[#This Row],[ID_P]],[1]!B_MSK[N_ID],0))</f>
        <v>#REF!</v>
      </c>
      <c r="D662" s="56">
        <f ca="1">IF(NOTA[[#This Row],[NAMA BARANG]]="","",INDEX(NOTA[ID],MATCH(,INDIRECT(ADDRESS(ROW(NOTA[ID]),COLUMN(NOTA[ID]))&amp;":"&amp;ADDRESS(ROW(),COLUMN(NOTA[ID]))),-1)))</f>
        <v>109</v>
      </c>
      <c r="E662" s="70">
        <v>45313</v>
      </c>
      <c r="F662" s="37" t="s">
        <v>22</v>
      </c>
      <c r="G662" s="37" t="s">
        <v>23</v>
      </c>
      <c r="H662" s="47" t="s">
        <v>756</v>
      </c>
      <c r="I662" s="71"/>
      <c r="J662" s="73">
        <v>45310</v>
      </c>
      <c r="K662" s="71">
        <v>0</v>
      </c>
      <c r="L662" s="37" t="s">
        <v>757</v>
      </c>
      <c r="M662" s="74">
        <v>1</v>
      </c>
      <c r="N662" s="75"/>
      <c r="O662" s="71"/>
      <c r="P662" s="76"/>
      <c r="Q662" s="77">
        <v>1069200</v>
      </c>
      <c r="R662" s="78"/>
      <c r="S662" s="79">
        <v>0.17</v>
      </c>
      <c r="T662" s="80"/>
      <c r="U662" s="80"/>
      <c r="V662" s="81"/>
      <c r="W662" s="82"/>
      <c r="X662" s="66">
        <f>IF(NOTA[[#This Row],[HARGA/ CTN]]="",NOTA[[#This Row],[JUMLAH_H]],NOTA[[#This Row],[HARGA/ CTN]]*IF(NOTA[[#This Row],[C]]="",0,NOTA[[#This Row],[C]]))</f>
        <v>1069200</v>
      </c>
      <c r="Y662" s="66">
        <f>IF(NOTA[[#This Row],[JUMLAH]]="","",NOTA[[#This Row],[JUMLAH]]*NOTA[[#This Row],[DISC 1]])</f>
        <v>181764</v>
      </c>
      <c r="Z662" s="66">
        <f>IF(NOTA[[#This Row],[JUMLAH]]="","",(NOTA[[#This Row],[JUMLAH]]-NOTA[[#This Row],[DISC 1-]])*NOTA[[#This Row],[DISC 2]])</f>
        <v>0</v>
      </c>
      <c r="AA662" s="66">
        <f>IF(NOTA[[#This Row],[JUMLAH]]="","",(NOTA[[#This Row],[JUMLAH]]-NOTA[[#This Row],[DISC 1-]]-NOTA[[#This Row],[DISC 2-]])*NOTA[[#This Row],[DISC 3]])</f>
        <v>0</v>
      </c>
      <c r="AB662" s="66">
        <f>IF(NOTA[[#This Row],[JUMLAH]]="","",NOTA[[#This Row],[DISC 1-]]+NOTA[[#This Row],[DISC 2-]]+NOTA[[#This Row],[DISC 3-]])</f>
        <v>181764</v>
      </c>
      <c r="AC662" s="66">
        <f>IF(NOTA[[#This Row],[JUMLAH]]="","",NOTA[[#This Row],[JUMLAH]]-NOTA[[#This Row],[DISC]])</f>
        <v>887436</v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662" s="66" t="str">
        <f>IF(OR(NOTA[[#This Row],[QTY]]="",NOTA[[#This Row],[HARGA SATUAN]]="",),"",NOTA[[#This Row],[QTY]]*NOTA[[#This Row],[HARGA SATUAN]])</f>
        <v/>
      </c>
      <c r="AI662" s="60">
        <f ca="1">IF(NOTA[ID_H]="","",INDEX(NOTA[TANGGAL],MATCH(,INDIRECT(ADDRESS(ROW(NOTA[TANGGAL]),COLUMN(NOTA[TANGGAL]))&amp;":"&amp;ADDRESS(ROW(),COLUMN(NOTA[TANGGAL]))),-1)))</f>
        <v>45313</v>
      </c>
      <c r="AJ662" s="55" t="str">
        <f ca="1">IF(NOTA[[#This Row],[NAMA BARANG]]="","",INDEX(NOTA[SUPPLIER],MATCH(,INDIRECT(ADDRESS(ROW(NOTA[ID]),COLUMN(NOTA[ID]))&amp;":"&amp;ADDRESS(ROW(),COLUMN(NOTA[ID]))),-1)))</f>
        <v>KENKO SINAR INDONESIA</v>
      </c>
      <c r="AK662" s="55" t="str">
        <f ca="1">IF(NOTA[[#This Row],[ID_H]]="","",IF(NOTA[[#This Row],[FAKTUR]]="",INDIRECT(ADDRESS(ROW()-1,COLUMN())),NOTA[[#This Row],[FAKTUR]]))</f>
        <v>ARTO MORO</v>
      </c>
      <c r="AL662" s="56">
        <f ca="1">IF(NOTA[[#This Row],[ID]]="","",COUNTIF(NOTA[ID_H],NOTA[[#This Row],[ID_H]]))</f>
        <v>10</v>
      </c>
      <c r="AM662" s="56">
        <f>IF(NOTA[[#This Row],[TGL.NOTA]]="",IF(NOTA[[#This Row],[SUPPLIER_H]]="","",AM661),MONTH(NOTA[[#This Row],[TGL.NOTA]]))</f>
        <v>1</v>
      </c>
      <c r="AN662" s="56" t="str">
        <f>LOWER(SUBSTITUTE(SUBSTITUTE(SUBSTITUTE(SUBSTITUTE(SUBSTITUTE(SUBSTITUTE(SUBSTITUTE(SUBSTITUTE(SUBSTITUTE(NOTA[NAMA BARANG]," ",),".",""),"-",""),"(",""),")",""),",",""),"/",""),"""",""),"+",""))</f>
        <v>kenkostamppadno0</v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MORO2401127845310kenkostamppadno0</v>
      </c>
      <c r="AR662" s="56" t="e">
        <f>IF(NOTA[[#This Row],[CONCAT4]]="","",_xlfn.IFNA(MATCH(NOTA[[#This Row],[CONCAT4]],[2]!RAW[CONCAT_H],0),FALSE))</f>
        <v>#REF!</v>
      </c>
      <c r="AS662" s="56">
        <f>IF(NOTA[[#This Row],[CONCAT1]]="","",MATCH(NOTA[[#This Row],[CONCAT1]],[3]!db[NB NOTA_C],0))</f>
        <v>1774</v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>18 LSN</v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662" s="56" t="e">
        <f ca="1">IF(NOTA[[#This Row],[ID_H]]="","",MATCH(NOTA[[#This Row],[NB NOTA_C_QTY]],[4]!db[NB NOTA_C_QTY+F],0))</f>
        <v>#REF!</v>
      </c>
      <c r="AX662" s="68">
        <f ca="1">IF(NOTA[[#This Row],[NB NOTA_C_QTY]]="","",ROW()-2)</f>
        <v>660</v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>
        <f ca="1">IF(NOTA[[#This Row],[NAMA BARANG]]="","",INDEX(NOTA[ID],MATCH(,INDIRECT(ADDRESS(ROW(NOTA[ID]),COLUMN(NOTA[ID]))&amp;":"&amp;ADDRESS(ROW(),COLUMN(NOTA[ID]))),-1)))</f>
        <v>109</v>
      </c>
      <c r="E663" s="70"/>
      <c r="F663" s="37"/>
      <c r="G663" s="37"/>
      <c r="H663" s="47"/>
      <c r="I663" s="71"/>
      <c r="J663" s="73"/>
      <c r="K663" s="71">
        <v>0</v>
      </c>
      <c r="L663" s="37" t="s">
        <v>518</v>
      </c>
      <c r="M663" s="74">
        <v>1</v>
      </c>
      <c r="N663" s="75"/>
      <c r="O663" s="37"/>
      <c r="P663" s="76"/>
      <c r="Q663" s="77">
        <v>850000</v>
      </c>
      <c r="R663" s="78"/>
      <c r="S663" s="79">
        <v>0.17</v>
      </c>
      <c r="T663" s="80"/>
      <c r="U663" s="80"/>
      <c r="V663" s="81"/>
      <c r="W663" s="82"/>
      <c r="X663" s="66">
        <f>IF(NOTA[[#This Row],[HARGA/ CTN]]="",NOTA[[#This Row],[JUMLAH_H]],NOTA[[#This Row],[HARGA/ CTN]]*IF(NOTA[[#This Row],[C]]="",0,NOTA[[#This Row],[C]]))</f>
        <v>850000</v>
      </c>
      <c r="Y663" s="66">
        <f>IF(NOTA[[#This Row],[JUMLAH]]="","",NOTA[[#This Row],[JUMLAH]]*NOTA[[#This Row],[DISC 1]])</f>
        <v>144500</v>
      </c>
      <c r="Z663" s="66">
        <f>IF(NOTA[[#This Row],[JUMLAH]]="","",(NOTA[[#This Row],[JUMLAH]]-NOTA[[#This Row],[DISC 1-]])*NOTA[[#This Row],[DISC 2]])</f>
        <v>0</v>
      </c>
      <c r="AA663" s="66">
        <f>IF(NOTA[[#This Row],[JUMLAH]]="","",(NOTA[[#This Row],[JUMLAH]]-NOTA[[#This Row],[DISC 1-]]-NOTA[[#This Row],[DISC 2-]])*NOTA[[#This Row],[DISC 3]])</f>
        <v>0</v>
      </c>
      <c r="AB663" s="66">
        <f>IF(NOTA[[#This Row],[JUMLAH]]="","",NOTA[[#This Row],[DISC 1-]]+NOTA[[#This Row],[DISC 2-]]+NOTA[[#This Row],[DISC 3-]])</f>
        <v>144500</v>
      </c>
      <c r="AC663" s="66">
        <f>IF(NOTA[[#This Row],[JUMLAH]]="","",NOTA[[#This Row],[JUMLAH]]-NOTA[[#This Row],[DISC]])</f>
        <v>705500</v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663" s="66" t="str">
        <f>IF(OR(NOTA[[#This Row],[QTY]]="",NOTA[[#This Row],[HARGA SATUAN]]="",),"",NOTA[[#This Row],[QTY]]*NOTA[[#This Row],[HARGA SATUAN]])</f>
        <v/>
      </c>
      <c r="AI663" s="60">
        <f ca="1">IF(NOTA[ID_H]="","",INDEX(NOTA[TANGGAL],MATCH(,INDIRECT(ADDRESS(ROW(NOTA[TANGGAL]),COLUMN(NOTA[TANGGAL]))&amp;":"&amp;ADDRESS(ROW(),COLUMN(NOTA[TANGGAL]))),-1)))</f>
        <v>45313</v>
      </c>
      <c r="AJ663" s="55" t="str">
        <f ca="1">IF(NOTA[[#This Row],[NAMA BARANG]]="","",INDEX(NOTA[SUPPLIER],MATCH(,INDIRECT(ADDRESS(ROW(NOTA[ID]),COLUMN(NOTA[ID]))&amp;":"&amp;ADDRESS(ROW(),COLUMN(NOTA[ID]))),-1)))</f>
        <v>KENKO SINAR INDONESIA</v>
      </c>
      <c r="AK663" s="55" t="str">
        <f ca="1">IF(NOTA[[#This Row],[ID_H]]="","",IF(NOTA[[#This Row],[FAKTUR]]="",INDIRECT(ADDRESS(ROW()-1,COLUMN())),NOTA[[#This Row],[FAKTUR]]))</f>
        <v>ARTO MORO</v>
      </c>
      <c r="AL663" s="56" t="str">
        <f ca="1">IF(NOTA[[#This Row],[ID]]="","",COUNTIF(NOTA[ID_H],NOTA[[#This Row],[ID_H]]))</f>
        <v/>
      </c>
      <c r="AM663" s="56">
        <f ca="1">IF(NOTA[[#This Row],[TGL.NOTA]]="",IF(NOTA[[#This Row],[SUPPLIER_H]]="","",AM662),MONTH(NOTA[[#This Row],[TGL.NOTA]]))</f>
        <v>1</v>
      </c>
      <c r="AN663" s="5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>
        <f>IF(NOTA[[#This Row],[CONCAT1]]="","",MATCH(NOTA[[#This Row],[CONCAT1]],[3]!db[NB NOTA_C],0))</f>
        <v>1802</v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>500 BOX</v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663" s="56" t="e">
        <f ca="1">IF(NOTA[[#This Row],[ID_H]]="","",MATCH(NOTA[[#This Row],[NB NOTA_C_QTY]],[4]!db[NB NOTA_C_QTY+F],0))</f>
        <v>#REF!</v>
      </c>
      <c r="AX663" s="68">
        <f ca="1">IF(NOTA[[#This Row],[NB NOTA_C_QTY]]="","",ROW()-2)</f>
        <v>661</v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>
        <f ca="1">IF(NOTA[[#This Row],[NAMA BARANG]]="","",INDEX(NOTA[ID],MATCH(,INDIRECT(ADDRESS(ROW(NOTA[ID]),COLUMN(NOTA[ID]))&amp;":"&amp;ADDRESS(ROW(),COLUMN(NOTA[ID]))),-1)))</f>
        <v>109</v>
      </c>
      <c r="E664" s="57"/>
      <c r="F664" s="58"/>
      <c r="G664" s="58"/>
      <c r="H664" s="59"/>
      <c r="I664" s="58"/>
      <c r="J664" s="60"/>
      <c r="K664" s="58">
        <v>0</v>
      </c>
      <c r="L664" s="37" t="s">
        <v>146</v>
      </c>
      <c r="M664" s="61">
        <v>1</v>
      </c>
      <c r="N664" s="56"/>
      <c r="O664" s="58"/>
      <c r="P664" s="55"/>
      <c r="Q664" s="62">
        <v>800000</v>
      </c>
      <c r="R664" s="63"/>
      <c r="S664" s="64">
        <v>0.17</v>
      </c>
      <c r="T664" s="65"/>
      <c r="U664" s="65"/>
      <c r="V664" s="66"/>
      <c r="W664" s="67"/>
      <c r="X664" s="66">
        <f>IF(NOTA[[#This Row],[HARGA/ CTN]]="",NOTA[[#This Row],[JUMLAH_H]],NOTA[[#This Row],[HARGA/ CTN]]*IF(NOTA[[#This Row],[C]]="",0,NOTA[[#This Row],[C]]))</f>
        <v>800000</v>
      </c>
      <c r="Y664" s="66">
        <f>IF(NOTA[[#This Row],[JUMLAH]]="","",NOTA[[#This Row],[JUMLAH]]*NOTA[[#This Row],[DISC 1]])</f>
        <v>136000</v>
      </c>
      <c r="Z664" s="66">
        <f>IF(NOTA[[#This Row],[JUMLAH]]="","",(NOTA[[#This Row],[JUMLAH]]-NOTA[[#This Row],[DISC 1-]])*NOTA[[#This Row],[DISC 2]])</f>
        <v>0</v>
      </c>
      <c r="AA664" s="66">
        <f>IF(NOTA[[#This Row],[JUMLAH]]="","",(NOTA[[#This Row],[JUMLAH]]-NOTA[[#This Row],[DISC 1-]]-NOTA[[#This Row],[DISC 2-]])*NOTA[[#This Row],[DISC 3]])</f>
        <v>0</v>
      </c>
      <c r="AB664" s="66">
        <f>IF(NOTA[[#This Row],[JUMLAH]]="","",NOTA[[#This Row],[DISC 1-]]+NOTA[[#This Row],[DISC 2-]]+NOTA[[#This Row],[DISC 3-]])</f>
        <v>136000</v>
      </c>
      <c r="AC664" s="66">
        <f>IF(NOTA[[#This Row],[JUMLAH]]="","",NOTA[[#This Row],[JUMLAH]]-NOTA[[#This Row],[DISC]])</f>
        <v>664000</v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664" s="66" t="str">
        <f>IF(OR(NOTA[[#This Row],[QTY]]="",NOTA[[#This Row],[HARGA SATUAN]]="",),"",NOTA[[#This Row],[QTY]]*NOTA[[#This Row],[HARGA SATUAN]])</f>
        <v/>
      </c>
      <c r="AI664" s="60">
        <f ca="1">IF(NOTA[ID_H]="","",INDEX(NOTA[TANGGAL],MATCH(,INDIRECT(ADDRESS(ROW(NOTA[TANGGAL]),COLUMN(NOTA[TANGGAL]))&amp;":"&amp;ADDRESS(ROW(),COLUMN(NOTA[TANGGAL]))),-1)))</f>
        <v>45313</v>
      </c>
      <c r="AJ664" s="55" t="str">
        <f ca="1">IF(NOTA[[#This Row],[NAMA BARANG]]="","",INDEX(NOTA[SUPPLIER],MATCH(,INDIRECT(ADDRESS(ROW(NOTA[ID]),COLUMN(NOTA[ID]))&amp;":"&amp;ADDRESS(ROW(),COLUMN(NOTA[ID]))),-1)))</f>
        <v>KENKO SINAR INDONESIA</v>
      </c>
      <c r="AK664" s="55" t="str">
        <f ca="1">IF(NOTA[[#This Row],[ID_H]]="","",IF(NOTA[[#This Row],[FAKTUR]]="",INDIRECT(ADDRESS(ROW()-1,COLUMN())),NOTA[[#This Row],[FAKTUR]]))</f>
        <v>ARTO MORO</v>
      </c>
      <c r="AL664" s="56" t="str">
        <f ca="1">IF(NOTA[[#This Row],[ID]]="","",COUNTIF(NOTA[ID_H],NOTA[[#This Row],[ID_H]]))</f>
        <v/>
      </c>
      <c r="AM664" s="56">
        <f ca="1">IF(NOTA[[#This Row],[TGL.NOTA]]="",IF(NOTA[[#This Row],[SUPPLIER_H]]="","",AM663),MONTH(NOTA[[#This Row],[TGL.NOTA]]))</f>
        <v>1</v>
      </c>
      <c r="AN664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>
        <f>IF(NOTA[[#This Row],[CONCAT1]]="","",MATCH(NOTA[[#This Row],[CONCAT1]],[3]!db[NB NOTA_C],0))</f>
        <v>1801</v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>500 BOX</v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664" s="56" t="e">
        <f ca="1">IF(NOTA[[#This Row],[ID_H]]="","",MATCH(NOTA[[#This Row],[NB NOTA_C_QTY]],[4]!db[NB NOTA_C_QTY+F],0))</f>
        <v>#REF!</v>
      </c>
      <c r="AX664" s="68">
        <f ca="1">IF(NOTA[[#This Row],[NB NOTA_C_QTY]]="","",ROW()-2)</f>
        <v>662</v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>
        <f ca="1">IF(NOTA[[#This Row],[NAMA BARANG]]="","",INDEX(NOTA[ID],MATCH(,INDIRECT(ADDRESS(ROW(NOTA[ID]),COLUMN(NOTA[ID]))&amp;":"&amp;ADDRESS(ROW(),COLUMN(NOTA[ID]))),-1)))</f>
        <v>109</v>
      </c>
      <c r="E665" s="57"/>
      <c r="F665" s="37"/>
      <c r="G665" s="37"/>
      <c r="H665" s="47"/>
      <c r="I665" s="58"/>
      <c r="J665" s="60"/>
      <c r="K665" s="58">
        <v>0</v>
      </c>
      <c r="L665" s="37" t="s">
        <v>362</v>
      </c>
      <c r="M665" s="61">
        <v>1</v>
      </c>
      <c r="N665" s="56"/>
      <c r="O665" s="37"/>
      <c r="P665" s="55"/>
      <c r="Q665" s="62">
        <v>860000</v>
      </c>
      <c r="R665" s="63"/>
      <c r="S665" s="64">
        <v>0.17</v>
      </c>
      <c r="T665" s="65"/>
      <c r="U665" s="65"/>
      <c r="V665" s="66"/>
      <c r="W665" s="67"/>
      <c r="X665" s="66">
        <f>IF(NOTA[[#This Row],[HARGA/ CTN]]="",NOTA[[#This Row],[JUMLAH_H]],NOTA[[#This Row],[HARGA/ CTN]]*IF(NOTA[[#This Row],[C]]="",0,NOTA[[#This Row],[C]]))</f>
        <v>860000</v>
      </c>
      <c r="Y665" s="66">
        <f>IF(NOTA[[#This Row],[JUMLAH]]="","",NOTA[[#This Row],[JUMLAH]]*NOTA[[#This Row],[DISC 1]])</f>
        <v>146200</v>
      </c>
      <c r="Z665" s="66">
        <f>IF(NOTA[[#This Row],[JUMLAH]]="","",(NOTA[[#This Row],[JUMLAH]]-NOTA[[#This Row],[DISC 1-]])*NOTA[[#This Row],[DISC 2]])</f>
        <v>0</v>
      </c>
      <c r="AA665" s="66">
        <f>IF(NOTA[[#This Row],[JUMLAH]]="","",(NOTA[[#This Row],[JUMLAH]]-NOTA[[#This Row],[DISC 1-]]-NOTA[[#This Row],[DISC 2-]])*NOTA[[#This Row],[DISC 3]])</f>
        <v>0</v>
      </c>
      <c r="AB665" s="66">
        <f>IF(NOTA[[#This Row],[JUMLAH]]="","",NOTA[[#This Row],[DISC 1-]]+NOTA[[#This Row],[DISC 2-]]+NOTA[[#This Row],[DISC 3-]])</f>
        <v>146200</v>
      </c>
      <c r="AC665" s="66">
        <f>IF(NOTA[[#This Row],[JUMLAH]]="","",NOTA[[#This Row],[JUMLAH]]-NOTA[[#This Row],[DISC]])</f>
        <v>713800</v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65" s="66" t="str">
        <f>IF(OR(NOTA[[#This Row],[QTY]]="",NOTA[[#This Row],[HARGA SATUAN]]="",),"",NOTA[[#This Row],[QTY]]*NOTA[[#This Row],[HARGA SATUAN]])</f>
        <v/>
      </c>
      <c r="AI665" s="60">
        <f ca="1">IF(NOTA[ID_H]="","",INDEX(NOTA[TANGGAL],MATCH(,INDIRECT(ADDRESS(ROW(NOTA[TANGGAL]),COLUMN(NOTA[TANGGAL]))&amp;":"&amp;ADDRESS(ROW(),COLUMN(NOTA[TANGGAL]))),-1)))</f>
        <v>45313</v>
      </c>
      <c r="AJ665" s="55" t="str">
        <f ca="1">IF(NOTA[[#This Row],[NAMA BARANG]]="","",INDEX(NOTA[SUPPLIER],MATCH(,INDIRECT(ADDRESS(ROW(NOTA[ID]),COLUMN(NOTA[ID]))&amp;":"&amp;ADDRESS(ROW(),COLUMN(NOTA[ID]))),-1)))</f>
        <v>KENKO SINAR INDONESIA</v>
      </c>
      <c r="AK665" s="55" t="str">
        <f ca="1">IF(NOTA[[#This Row],[ID_H]]="","",IF(NOTA[[#This Row],[FAKTUR]]="",INDIRECT(ADDRESS(ROW()-1,COLUMN())),NOTA[[#This Row],[FAKTUR]]))</f>
        <v>ARTO MORO</v>
      </c>
      <c r="AL665" s="56" t="str">
        <f ca="1">IF(NOTA[[#This Row],[ID]]="","",COUNTIF(NOTA[ID_H],NOTA[[#This Row],[ID_H]]))</f>
        <v/>
      </c>
      <c r="AM665" s="56">
        <f ca="1">IF(NOTA[[#This Row],[TGL.NOTA]]="",IF(NOTA[[#This Row],[SUPPLIER_H]]="","",AM664),MONTH(NOTA[[#This Row],[TGL.NOTA]]))</f>
        <v>1</v>
      </c>
      <c r="AN665" s="56" t="str">
        <f>LOWER(SUBSTITUTE(SUBSTITUTE(SUBSTITUTE(SUBSTITUTE(SUBSTITUTE(SUBSTITUTE(SUBSTITUTE(SUBSTITUTE(SUBSTITUTE(NOTA[NAMA BARANG]," ",),".",""),"-",""),"(",""),")",""),",",""),"/",""),"""",""),"+",""))</f>
        <v>kenkojumboclipno5</v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>
        <f>IF(NOTA[[#This Row],[CONCAT1]]="","",MATCH(NOTA[[#This Row],[CONCAT1]],[3]!db[NB NOTA_C],0))</f>
        <v>1686</v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>200 BOX</v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665" s="56" t="e">
        <f ca="1">IF(NOTA[[#This Row],[ID_H]]="","",MATCH(NOTA[[#This Row],[NB NOTA_C_QTY]],[4]!db[NB NOTA_C_QTY+F],0))</f>
        <v>#REF!</v>
      </c>
      <c r="AX665" s="68">
        <f ca="1">IF(NOTA[[#This Row],[NB NOTA_C_QTY]]="","",ROW()-2)</f>
        <v>663</v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>
        <f ca="1">IF(NOTA[[#This Row],[NAMA BARANG]]="","",INDEX(NOTA[ID],MATCH(,INDIRECT(ADDRESS(ROW(NOTA[ID]),COLUMN(NOTA[ID]))&amp;":"&amp;ADDRESS(ROW(),COLUMN(NOTA[ID]))),-1)))</f>
        <v>109</v>
      </c>
      <c r="E666" s="57"/>
      <c r="F666" s="58"/>
      <c r="G666" s="58"/>
      <c r="H666" s="59"/>
      <c r="I666" s="58"/>
      <c r="J666" s="60"/>
      <c r="K666" s="58">
        <v>0</v>
      </c>
      <c r="L666" s="37" t="s">
        <v>523</v>
      </c>
      <c r="M666" s="61">
        <v>2</v>
      </c>
      <c r="N666" s="56"/>
      <c r="O666" s="37"/>
      <c r="P666" s="55"/>
      <c r="Q666" s="62">
        <v>3758400</v>
      </c>
      <c r="R666" s="63"/>
      <c r="S666" s="64">
        <v>0.17</v>
      </c>
      <c r="T666" s="44"/>
      <c r="U666" s="65"/>
      <c r="V666" s="66"/>
      <c r="W666" s="67"/>
      <c r="X666" s="66">
        <f>IF(NOTA[[#This Row],[HARGA/ CTN]]="",NOTA[[#This Row],[JUMLAH_H]],NOTA[[#This Row],[HARGA/ CTN]]*IF(NOTA[[#This Row],[C]]="",0,NOTA[[#This Row],[C]]))</f>
        <v>7516800</v>
      </c>
      <c r="Y666" s="66">
        <f>IF(NOTA[[#This Row],[JUMLAH]]="","",NOTA[[#This Row],[JUMLAH]]*NOTA[[#This Row],[DISC 1]])</f>
        <v>1277856</v>
      </c>
      <c r="Z666" s="66">
        <f>IF(NOTA[[#This Row],[JUMLAH]]="","",(NOTA[[#This Row],[JUMLAH]]-NOTA[[#This Row],[DISC 1-]])*NOTA[[#This Row],[DISC 2]])</f>
        <v>0</v>
      </c>
      <c r="AA666" s="66">
        <f>IF(NOTA[[#This Row],[JUMLAH]]="","",(NOTA[[#This Row],[JUMLAH]]-NOTA[[#This Row],[DISC 1-]]-NOTA[[#This Row],[DISC 2-]])*NOTA[[#This Row],[DISC 3]])</f>
        <v>0</v>
      </c>
      <c r="AB666" s="66">
        <f>IF(NOTA[[#This Row],[JUMLAH]]="","",NOTA[[#This Row],[DISC 1-]]+NOTA[[#This Row],[DISC 2-]]+NOTA[[#This Row],[DISC 3-]])</f>
        <v>1277856</v>
      </c>
      <c r="AC666" s="66">
        <f>IF(NOTA[[#This Row],[JUMLAH]]="","",NOTA[[#This Row],[JUMLAH]]-NOTA[[#This Row],[DISC]])</f>
        <v>6238944</v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66" s="66" t="str">
        <f>IF(OR(NOTA[[#This Row],[QTY]]="",NOTA[[#This Row],[HARGA SATUAN]]="",),"",NOTA[[#This Row],[QTY]]*NOTA[[#This Row],[HARGA SATUAN]])</f>
        <v/>
      </c>
      <c r="AI666" s="60">
        <f ca="1">IF(NOTA[ID_H]="","",INDEX(NOTA[TANGGAL],MATCH(,INDIRECT(ADDRESS(ROW(NOTA[TANGGAL]),COLUMN(NOTA[TANGGAL]))&amp;":"&amp;ADDRESS(ROW(),COLUMN(NOTA[TANGGAL]))),-1)))</f>
        <v>45313</v>
      </c>
      <c r="AJ666" s="55" t="str">
        <f ca="1">IF(NOTA[[#This Row],[NAMA BARANG]]="","",INDEX(NOTA[SUPPLIER],MATCH(,INDIRECT(ADDRESS(ROW(NOTA[ID]),COLUMN(NOTA[ID]))&amp;":"&amp;ADDRESS(ROW(),COLUMN(NOTA[ID]))),-1)))</f>
        <v>KENKO SINAR INDONESIA</v>
      </c>
      <c r="AK666" s="55" t="str">
        <f ca="1">IF(NOTA[[#This Row],[ID_H]]="","",IF(NOTA[[#This Row],[FAKTUR]]="",INDIRECT(ADDRESS(ROW()-1,COLUMN())),NOTA[[#This Row],[FAKTUR]]))</f>
        <v>ARTO MORO</v>
      </c>
      <c r="AL666" s="56" t="str">
        <f ca="1">IF(NOTA[[#This Row],[ID]]="","",COUNTIF(NOTA[ID_H],NOTA[[#This Row],[ID_H]]))</f>
        <v/>
      </c>
      <c r="AM666" s="56">
        <f ca="1">IF(NOTA[[#This Row],[TGL.NOTA]]="",IF(NOTA[[#This Row],[SUPPLIER_H]]="","",AM665),MONTH(NOTA[[#This Row],[TGL.NOTA]]))</f>
        <v>1</v>
      </c>
      <c r="AN666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>
        <f>IF(NOTA[[#This Row],[CONCAT1]]="","",MATCH(NOTA[[#This Row],[CONCAT1]],[3]!db[NB NOTA_C],0))</f>
        <v>1615</v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>144 LSN</v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666" s="56" t="e">
        <f ca="1">IF(NOTA[[#This Row],[ID_H]]="","",MATCH(NOTA[[#This Row],[NB NOTA_C_QTY]],[4]!db[NB NOTA_C_QTY+F],0))</f>
        <v>#REF!</v>
      </c>
      <c r="AX666" s="68">
        <f ca="1">IF(NOTA[[#This Row],[NB NOTA_C_QTY]]="","",ROW()-2)</f>
        <v>664</v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>
        <f ca="1">IF(NOTA[[#This Row],[NAMA BARANG]]="","",INDEX(NOTA[ID],MATCH(,INDIRECT(ADDRESS(ROW(NOTA[ID]),COLUMN(NOTA[ID]))&amp;":"&amp;ADDRESS(ROW(),COLUMN(NOTA[ID]))),-1)))</f>
        <v>109</v>
      </c>
      <c r="E667" s="57"/>
      <c r="F667" s="58"/>
      <c r="G667" s="58"/>
      <c r="H667" s="59"/>
      <c r="I667" s="58"/>
      <c r="J667" s="60"/>
      <c r="K667" s="58">
        <v>0</v>
      </c>
      <c r="L667" s="37" t="s">
        <v>758</v>
      </c>
      <c r="M667" s="61">
        <v>1</v>
      </c>
      <c r="N667" s="56"/>
      <c r="O667" s="37"/>
      <c r="P667" s="55"/>
      <c r="Q667" s="62">
        <v>1954800</v>
      </c>
      <c r="R667" s="63"/>
      <c r="S667" s="64">
        <v>0.17</v>
      </c>
      <c r="T667" s="65"/>
      <c r="U667" s="65"/>
      <c r="V667" s="66"/>
      <c r="W667" s="67"/>
      <c r="X667" s="66">
        <f>IF(NOTA[[#This Row],[HARGA/ CTN]]="",NOTA[[#This Row],[JUMLAH_H]],NOTA[[#This Row],[HARGA/ CTN]]*IF(NOTA[[#This Row],[C]]="",0,NOTA[[#This Row],[C]]))</f>
        <v>1954800</v>
      </c>
      <c r="Y667" s="66">
        <f>IF(NOTA[[#This Row],[JUMLAH]]="","",NOTA[[#This Row],[JUMLAH]]*NOTA[[#This Row],[DISC 1]])</f>
        <v>332316</v>
      </c>
      <c r="Z667" s="66">
        <f>IF(NOTA[[#This Row],[JUMLAH]]="","",(NOTA[[#This Row],[JUMLAH]]-NOTA[[#This Row],[DISC 1-]])*NOTA[[#This Row],[DISC 2]])</f>
        <v>0</v>
      </c>
      <c r="AA667" s="66">
        <f>IF(NOTA[[#This Row],[JUMLAH]]="","",(NOTA[[#This Row],[JUMLAH]]-NOTA[[#This Row],[DISC 1-]]-NOTA[[#This Row],[DISC 2-]])*NOTA[[#This Row],[DISC 3]])</f>
        <v>0</v>
      </c>
      <c r="AB667" s="66">
        <f>IF(NOTA[[#This Row],[JUMLAH]]="","",NOTA[[#This Row],[DISC 1-]]+NOTA[[#This Row],[DISC 2-]]+NOTA[[#This Row],[DISC 3-]])</f>
        <v>332316</v>
      </c>
      <c r="AC667" s="66">
        <f>IF(NOTA[[#This Row],[JUMLAH]]="","",NOTA[[#This Row],[JUMLAH]]-NOTA[[#This Row],[DISC]])</f>
        <v>1622484</v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667" s="66" t="str">
        <f>IF(OR(NOTA[[#This Row],[QTY]]="",NOTA[[#This Row],[HARGA SATUAN]]="",),"",NOTA[[#This Row],[QTY]]*NOTA[[#This Row],[HARGA SATUAN]])</f>
        <v/>
      </c>
      <c r="AI667" s="60">
        <f ca="1">IF(NOTA[ID_H]="","",INDEX(NOTA[TANGGAL],MATCH(,INDIRECT(ADDRESS(ROW(NOTA[TANGGAL]),COLUMN(NOTA[TANGGAL]))&amp;":"&amp;ADDRESS(ROW(),COLUMN(NOTA[TANGGAL]))),-1)))</f>
        <v>45313</v>
      </c>
      <c r="AJ667" s="55" t="str">
        <f ca="1">IF(NOTA[[#This Row],[NAMA BARANG]]="","",INDEX(NOTA[SUPPLIER],MATCH(,INDIRECT(ADDRESS(ROW(NOTA[ID]),COLUMN(NOTA[ID]))&amp;":"&amp;ADDRESS(ROW(),COLUMN(NOTA[ID]))),-1)))</f>
        <v>KENKO SINAR INDONESIA</v>
      </c>
      <c r="AK667" s="55" t="str">
        <f ca="1">IF(NOTA[[#This Row],[ID_H]]="","",IF(NOTA[[#This Row],[FAKTUR]]="",INDIRECT(ADDRESS(ROW()-1,COLUMN())),NOTA[[#This Row],[FAKTUR]]))</f>
        <v>ARTO MORO</v>
      </c>
      <c r="AL667" s="56" t="str">
        <f ca="1">IF(NOTA[[#This Row],[ID]]="","",COUNTIF(NOTA[ID_H],NOTA[[#This Row],[ID_H]]))</f>
        <v/>
      </c>
      <c r="AM667" s="56">
        <f ca="1">IF(NOTA[[#This Row],[TGL.NOTA]]="",IF(NOTA[[#This Row],[SUPPLIER_H]]="","",AM666),MONTH(NOTA[[#This Row],[TGL.NOTA]]))</f>
        <v>1</v>
      </c>
      <c r="AN667" s="56" t="str">
        <f>LOWER(SUBSTITUTE(SUBSTITUTE(SUBSTITUTE(SUBSTITUTE(SUBSTITUTE(SUBSTITUTE(SUBSTITUTE(SUBSTITUTE(SUBSTITUTE(NOTA[NAMA BARANG]," ",),".",""),"-",""),"(",""),")",""),",",""),"/",""),"""",""),"+",""))</f>
        <v>kenkocorrectionfluidgp01</v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kenkocorrectionfluidgp0119548000.17</v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kenkocorrectionfluidgp0119548000.17</v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>
        <f>IF(NOTA[[#This Row],[CONCAT1]]="","",MATCH(NOTA[[#This Row],[CONCAT1]],[3]!db[NB NOTA_C],0))</f>
        <v>1556</v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>36 LSN</v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kenkocorrectionfluidgp0136lsnartomoro</v>
      </c>
      <c r="AW667" s="56" t="e">
        <f ca="1">IF(NOTA[[#This Row],[ID_H]]="","",MATCH(NOTA[[#This Row],[NB NOTA_C_QTY]],[4]!db[NB NOTA_C_QTY+F],0))</f>
        <v>#REF!</v>
      </c>
      <c r="AX667" s="68">
        <f ca="1">IF(NOTA[[#This Row],[NB NOTA_C_QTY]]="","",ROW()-2)</f>
        <v>665</v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>
        <f ca="1">IF(NOTA[[#This Row],[NAMA BARANG]]="","",INDEX(NOTA[ID],MATCH(,INDIRECT(ADDRESS(ROW(NOTA[ID]),COLUMN(NOTA[ID]))&amp;":"&amp;ADDRESS(ROW(),COLUMN(NOTA[ID]))),-1)))</f>
        <v>109</v>
      </c>
      <c r="E668" s="57"/>
      <c r="F668" s="58"/>
      <c r="G668" s="58"/>
      <c r="H668" s="59"/>
      <c r="I668" s="58"/>
      <c r="J668" s="60"/>
      <c r="K668" s="58">
        <v>0</v>
      </c>
      <c r="L668" s="37" t="s">
        <v>132</v>
      </c>
      <c r="M668" s="61">
        <v>1</v>
      </c>
      <c r="N668" s="56"/>
      <c r="O668" s="37"/>
      <c r="P668" s="55"/>
      <c r="Q668" s="62">
        <v>2008800</v>
      </c>
      <c r="R668" s="63"/>
      <c r="S668" s="64">
        <v>0.17</v>
      </c>
      <c r="T668" s="65"/>
      <c r="U668" s="65"/>
      <c r="V668" s="66"/>
      <c r="W668" s="67"/>
      <c r="X668" s="66">
        <f>IF(NOTA[[#This Row],[HARGA/ CTN]]="",NOTA[[#This Row],[JUMLAH_H]],NOTA[[#This Row],[HARGA/ CTN]]*IF(NOTA[[#This Row],[C]]="",0,NOTA[[#This Row],[C]]))</f>
        <v>2008800</v>
      </c>
      <c r="Y668" s="66">
        <f>IF(NOTA[[#This Row],[JUMLAH]]="","",NOTA[[#This Row],[JUMLAH]]*NOTA[[#This Row],[DISC 1]])</f>
        <v>341496</v>
      </c>
      <c r="Z668" s="66">
        <f>IF(NOTA[[#This Row],[JUMLAH]]="","",(NOTA[[#This Row],[JUMLAH]]-NOTA[[#This Row],[DISC 1-]])*NOTA[[#This Row],[DISC 2]])</f>
        <v>0</v>
      </c>
      <c r="AA668" s="66">
        <f>IF(NOTA[[#This Row],[JUMLAH]]="","",(NOTA[[#This Row],[JUMLAH]]-NOTA[[#This Row],[DISC 1-]]-NOTA[[#This Row],[DISC 2-]])*NOTA[[#This Row],[DISC 3]])</f>
        <v>0</v>
      </c>
      <c r="AB668" s="66">
        <f>IF(NOTA[[#This Row],[JUMLAH]]="","",NOTA[[#This Row],[DISC 1-]]+NOTA[[#This Row],[DISC 2-]]+NOTA[[#This Row],[DISC 3-]])</f>
        <v>341496</v>
      </c>
      <c r="AC668" s="66">
        <f>IF(NOTA[[#This Row],[JUMLAH]]="","",NOTA[[#This Row],[JUMLAH]]-NOTA[[#This Row],[DISC]])</f>
        <v>1667304</v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668" s="66" t="str">
        <f>IF(OR(NOTA[[#This Row],[QTY]]="",NOTA[[#This Row],[HARGA SATUAN]]="",),"",NOTA[[#This Row],[QTY]]*NOTA[[#This Row],[HARGA SATUAN]])</f>
        <v/>
      </c>
      <c r="AI668" s="60">
        <f ca="1">IF(NOTA[ID_H]="","",INDEX(NOTA[TANGGAL],MATCH(,INDIRECT(ADDRESS(ROW(NOTA[TANGGAL]),COLUMN(NOTA[TANGGAL]))&amp;":"&amp;ADDRESS(ROW(),COLUMN(NOTA[TANGGAL]))),-1)))</f>
        <v>45313</v>
      </c>
      <c r="AJ668" s="55" t="str">
        <f ca="1">IF(NOTA[[#This Row],[NAMA BARANG]]="","",INDEX(NOTA[SUPPLIER],MATCH(,INDIRECT(ADDRESS(ROW(NOTA[ID]),COLUMN(NOTA[ID]))&amp;":"&amp;ADDRESS(ROW(),COLUMN(NOTA[ID]))),-1)))</f>
        <v>KENKO SINAR INDONESIA</v>
      </c>
      <c r="AK668" s="55" t="str">
        <f ca="1">IF(NOTA[[#This Row],[ID_H]]="","",IF(NOTA[[#This Row],[FAKTUR]]="",INDIRECT(ADDRESS(ROW()-1,COLUMN())),NOTA[[#This Row],[FAKTUR]]))</f>
        <v>ARTO MORO</v>
      </c>
      <c r="AL668" s="56" t="str">
        <f ca="1">IF(NOTA[[#This Row],[ID]]="","",COUNTIF(NOTA[ID_H],NOTA[[#This Row],[ID_H]]))</f>
        <v/>
      </c>
      <c r="AM668" s="56">
        <f ca="1">IF(NOTA[[#This Row],[TGL.NOTA]]="",IF(NOTA[[#This Row],[SUPPLIER_H]]="","",AM667),MONTH(NOTA[[#This Row],[TGL.NOTA]]))</f>
        <v>1</v>
      </c>
      <c r="AN668" s="5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>
        <f>IF(NOTA[[#This Row],[CONCAT1]]="","",MATCH(NOTA[[#This Row],[CONCAT1]],[3]!db[NB NOTA_C],0))</f>
        <v>1559</v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>36 LSN</v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668" s="56" t="e">
        <f ca="1">IF(NOTA[[#This Row],[ID_H]]="","",MATCH(NOTA[[#This Row],[NB NOTA_C_QTY]],[4]!db[NB NOTA_C_QTY+F],0))</f>
        <v>#REF!</v>
      </c>
      <c r="AX668" s="68">
        <f ca="1">IF(NOTA[[#This Row],[NB NOTA_C_QTY]]="","",ROW()-2)</f>
        <v>666</v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>
        <f ca="1">IF(NOTA[[#This Row],[NAMA BARANG]]="","",INDEX(NOTA[ID],MATCH(,INDIRECT(ADDRESS(ROW(NOTA[ID]),COLUMN(NOTA[ID]))&amp;":"&amp;ADDRESS(ROW(),COLUMN(NOTA[ID]))),-1)))</f>
        <v>109</v>
      </c>
      <c r="E669" s="57"/>
      <c r="F669" s="58"/>
      <c r="G669" s="58"/>
      <c r="H669" s="59"/>
      <c r="I669" s="58"/>
      <c r="J669" s="60"/>
      <c r="K669" s="58">
        <v>0</v>
      </c>
      <c r="L669" s="37" t="s">
        <v>145</v>
      </c>
      <c r="M669" s="61">
        <v>1</v>
      </c>
      <c r="N669" s="56"/>
      <c r="O669" s="37"/>
      <c r="P669" s="55"/>
      <c r="Q669" s="62">
        <v>1695600</v>
      </c>
      <c r="R669" s="63"/>
      <c r="S669" s="64">
        <v>0.17</v>
      </c>
      <c r="T669" s="65"/>
      <c r="U669" s="65"/>
      <c r="V669" s="66"/>
      <c r="W669" s="67"/>
      <c r="X669" s="66">
        <f>IF(NOTA[[#This Row],[HARGA/ CTN]]="",NOTA[[#This Row],[JUMLAH_H]],NOTA[[#This Row],[HARGA/ CTN]]*IF(NOTA[[#This Row],[C]]="",0,NOTA[[#This Row],[C]]))</f>
        <v>1695600</v>
      </c>
      <c r="Y669" s="66">
        <f>IF(NOTA[[#This Row],[JUMLAH]]="","",NOTA[[#This Row],[JUMLAH]]*NOTA[[#This Row],[DISC 1]])</f>
        <v>288252</v>
      </c>
      <c r="Z669" s="66">
        <f>IF(NOTA[[#This Row],[JUMLAH]]="","",(NOTA[[#This Row],[JUMLAH]]-NOTA[[#This Row],[DISC 1-]])*NOTA[[#This Row],[DISC 2]])</f>
        <v>0</v>
      </c>
      <c r="AA669" s="66">
        <f>IF(NOTA[[#This Row],[JUMLAH]]="","",(NOTA[[#This Row],[JUMLAH]]-NOTA[[#This Row],[DISC 1-]]-NOTA[[#This Row],[DISC 2-]])*NOTA[[#This Row],[DISC 3]])</f>
        <v>0</v>
      </c>
      <c r="AB669" s="66">
        <f>IF(NOTA[[#This Row],[JUMLAH]]="","",NOTA[[#This Row],[DISC 1-]]+NOTA[[#This Row],[DISC 2-]]+NOTA[[#This Row],[DISC 3-]])</f>
        <v>288252</v>
      </c>
      <c r="AC669" s="66">
        <f>IF(NOTA[[#This Row],[JUMLAH]]="","",NOTA[[#This Row],[JUMLAH]]-NOTA[[#This Row],[DISC]])</f>
        <v>1407348</v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669" s="66" t="str">
        <f>IF(OR(NOTA[[#This Row],[QTY]]="",NOTA[[#This Row],[HARGA SATUAN]]="",),"",NOTA[[#This Row],[QTY]]*NOTA[[#This Row],[HARGA SATUAN]])</f>
        <v/>
      </c>
      <c r="AI669" s="60">
        <f ca="1">IF(NOTA[ID_H]="","",INDEX(NOTA[TANGGAL],MATCH(,INDIRECT(ADDRESS(ROW(NOTA[TANGGAL]),COLUMN(NOTA[TANGGAL]))&amp;":"&amp;ADDRESS(ROW(),COLUMN(NOTA[TANGGAL]))),-1)))</f>
        <v>45313</v>
      </c>
      <c r="AJ669" s="55" t="str">
        <f ca="1">IF(NOTA[[#This Row],[NAMA BARANG]]="","",INDEX(NOTA[SUPPLIER],MATCH(,INDIRECT(ADDRESS(ROW(NOTA[ID]),COLUMN(NOTA[ID]))&amp;":"&amp;ADDRESS(ROW(),COLUMN(NOTA[ID]))),-1)))</f>
        <v>KENKO SINAR INDONESIA</v>
      </c>
      <c r="AK669" s="55" t="str">
        <f ca="1">IF(NOTA[[#This Row],[ID_H]]="","",IF(NOTA[[#This Row],[FAKTUR]]="",INDIRECT(ADDRESS(ROW()-1,COLUMN())),NOTA[[#This Row],[FAKTUR]]))</f>
        <v>ARTO MORO</v>
      </c>
      <c r="AL669" s="56" t="str">
        <f ca="1">IF(NOTA[[#This Row],[ID]]="","",COUNTIF(NOTA[ID_H],NOTA[[#This Row],[ID_H]]))</f>
        <v/>
      </c>
      <c r="AM669" s="56">
        <f ca="1">IF(NOTA[[#This Row],[TGL.NOTA]]="",IF(NOTA[[#This Row],[SUPPLIER_H]]="","",AM668),MONTH(NOTA[[#This Row],[TGL.NOTA]]))</f>
        <v>1</v>
      </c>
      <c r="AN669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>
        <f>IF(NOTA[[#This Row],[CONCAT1]]="","",MATCH(NOTA[[#This Row],[CONCAT1]],[3]!db[NB NOTA_C],0))</f>
        <v>1560</v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>36 LSN</v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669" s="56" t="e">
        <f ca="1">IF(NOTA[[#This Row],[ID_H]]="","",MATCH(NOTA[[#This Row],[NB NOTA_C_QTY]],[4]!db[NB NOTA_C_QTY+F],0))</f>
        <v>#REF!</v>
      </c>
      <c r="AX669" s="68">
        <f ca="1">IF(NOTA[[#This Row],[NB NOTA_C_QTY]]="","",ROW()-2)</f>
        <v>667</v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>
        <f ca="1">IF(NOTA[[#This Row],[NAMA BARANG]]="","",INDEX(NOTA[ID],MATCH(,INDIRECT(ADDRESS(ROW(NOTA[ID]),COLUMN(NOTA[ID]))&amp;":"&amp;ADDRESS(ROW(),COLUMN(NOTA[ID]))),-1)))</f>
        <v>109</v>
      </c>
      <c r="E670" s="57"/>
      <c r="F670" s="58"/>
      <c r="G670" s="58"/>
      <c r="H670" s="59"/>
      <c r="I670" s="58"/>
      <c r="J670" s="60"/>
      <c r="K670" s="58">
        <v>0</v>
      </c>
      <c r="L670" s="37" t="s">
        <v>681</v>
      </c>
      <c r="M670" s="61">
        <v>1</v>
      </c>
      <c r="N670" s="56"/>
      <c r="O670" s="58"/>
      <c r="P670" s="55"/>
      <c r="Q670" s="62">
        <v>2170800</v>
      </c>
      <c r="R670" s="63"/>
      <c r="S670" s="64">
        <v>0.17</v>
      </c>
      <c r="T670" s="65"/>
      <c r="U670" s="65"/>
      <c r="V670" s="66"/>
      <c r="W670" s="67"/>
      <c r="X670" s="66">
        <f>IF(NOTA[[#This Row],[HARGA/ CTN]]="",NOTA[[#This Row],[JUMLAH_H]],NOTA[[#This Row],[HARGA/ CTN]]*IF(NOTA[[#This Row],[C]]="",0,NOTA[[#This Row],[C]]))</f>
        <v>2170800</v>
      </c>
      <c r="Y670" s="66">
        <f>IF(NOTA[[#This Row],[JUMLAH]]="","",NOTA[[#This Row],[JUMLAH]]*NOTA[[#This Row],[DISC 1]])</f>
        <v>369036</v>
      </c>
      <c r="Z670" s="66">
        <f>IF(NOTA[[#This Row],[JUMLAH]]="","",(NOTA[[#This Row],[JUMLAH]]-NOTA[[#This Row],[DISC 1-]])*NOTA[[#This Row],[DISC 2]])</f>
        <v>0</v>
      </c>
      <c r="AA670" s="66">
        <f>IF(NOTA[[#This Row],[JUMLAH]]="","",(NOTA[[#This Row],[JUMLAH]]-NOTA[[#This Row],[DISC 1-]]-NOTA[[#This Row],[DISC 2-]])*NOTA[[#This Row],[DISC 3]])</f>
        <v>0</v>
      </c>
      <c r="AB670" s="66">
        <f>IF(NOTA[[#This Row],[JUMLAH]]="","",NOTA[[#This Row],[DISC 1-]]+NOTA[[#This Row],[DISC 2-]]+NOTA[[#This Row],[DISC 3-]])</f>
        <v>369036</v>
      </c>
      <c r="AC670" s="66">
        <f>IF(NOTA[[#This Row],[JUMLAH]]="","",NOTA[[#This Row],[JUMLAH]]-NOTA[[#This Row],[DISC]])</f>
        <v>1801764</v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670" s="66" t="str">
        <f>IF(OR(NOTA[[#This Row],[QTY]]="",NOTA[[#This Row],[HARGA SATUAN]]="",),"",NOTA[[#This Row],[QTY]]*NOTA[[#This Row],[HARGA SATUAN]])</f>
        <v/>
      </c>
      <c r="AI670" s="60">
        <f ca="1">IF(NOTA[ID_H]="","",INDEX(NOTA[TANGGAL],MATCH(,INDIRECT(ADDRESS(ROW(NOTA[TANGGAL]),COLUMN(NOTA[TANGGAL]))&amp;":"&amp;ADDRESS(ROW(),COLUMN(NOTA[TANGGAL]))),-1)))</f>
        <v>45313</v>
      </c>
      <c r="AJ670" s="55" t="str">
        <f ca="1">IF(NOTA[[#This Row],[NAMA BARANG]]="","",INDEX(NOTA[SUPPLIER],MATCH(,INDIRECT(ADDRESS(ROW(NOTA[ID]),COLUMN(NOTA[ID]))&amp;":"&amp;ADDRESS(ROW(),COLUMN(NOTA[ID]))),-1)))</f>
        <v>KENKO SINAR INDONESIA</v>
      </c>
      <c r="AK670" s="55" t="str">
        <f ca="1">IF(NOTA[[#This Row],[ID_H]]="","",IF(NOTA[[#This Row],[FAKTUR]]="",INDIRECT(ADDRESS(ROW()-1,COLUMN())),NOTA[[#This Row],[FAKTUR]]))</f>
        <v>ARTO MORO</v>
      </c>
      <c r="AL670" s="56" t="str">
        <f ca="1">IF(NOTA[[#This Row],[ID]]="","",COUNTIF(NOTA[ID_H],NOTA[[#This Row],[ID_H]]))</f>
        <v/>
      </c>
      <c r="AM670" s="56">
        <f ca="1">IF(NOTA[[#This Row],[TGL.NOTA]]="",IF(NOTA[[#This Row],[SUPPLIER_H]]="","",AM669),MONTH(NOTA[[#This Row],[TGL.NOTA]]))</f>
        <v>1</v>
      </c>
      <c r="AN670" s="56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>
        <f>IF(NOTA[[#This Row],[CONCAT1]]="","",MATCH(NOTA[[#This Row],[CONCAT1]],[3]!db[NB NOTA_C],0))</f>
        <v>1563</v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>36 LSN</v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W670" s="56" t="e">
        <f ca="1">IF(NOTA[[#This Row],[ID_H]]="","",MATCH(NOTA[[#This Row],[NB NOTA_C_QTY]],[4]!db[NB NOTA_C_QTY+F],0))</f>
        <v>#REF!</v>
      </c>
      <c r="AX670" s="68">
        <f ca="1">IF(NOTA[[#This Row],[NB NOTA_C_QTY]]="","",ROW()-2)</f>
        <v>668</v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>
        <f ca="1">IF(NOTA[[#This Row],[NAMA BARANG]]="","",INDEX(NOTA[ID],MATCH(,INDIRECT(ADDRESS(ROW(NOTA[ID]),COLUMN(NOTA[ID]))&amp;":"&amp;ADDRESS(ROW(),COLUMN(NOTA[ID]))),-1)))</f>
        <v>109</v>
      </c>
      <c r="E671" s="57"/>
      <c r="F671" s="37"/>
      <c r="G671" s="37"/>
      <c r="H671" s="47"/>
      <c r="I671" s="58"/>
      <c r="J671" s="60"/>
      <c r="K671" s="58"/>
      <c r="L671" s="37" t="s">
        <v>131</v>
      </c>
      <c r="M671" s="61">
        <v>1</v>
      </c>
      <c r="N671" s="56"/>
      <c r="O671" s="37"/>
      <c r="P671" s="55"/>
      <c r="Q671" s="62">
        <v>3110400</v>
      </c>
      <c r="R671" s="63"/>
      <c r="S671" s="64">
        <v>0.17</v>
      </c>
      <c r="T671" s="65"/>
      <c r="U671" s="65"/>
      <c r="V671" s="66"/>
      <c r="W671" s="67"/>
      <c r="X671" s="66">
        <f>IF(NOTA[[#This Row],[HARGA/ CTN]]="",NOTA[[#This Row],[JUMLAH_H]],NOTA[[#This Row],[HARGA/ CTN]]*IF(NOTA[[#This Row],[C]]="",0,NOTA[[#This Row],[C]]))</f>
        <v>3110400</v>
      </c>
      <c r="Y671" s="66">
        <f>IF(NOTA[[#This Row],[JUMLAH]]="","",NOTA[[#This Row],[JUMLAH]]*NOTA[[#This Row],[DISC 1]])</f>
        <v>528768</v>
      </c>
      <c r="Z671" s="66">
        <f>IF(NOTA[[#This Row],[JUMLAH]]="","",(NOTA[[#This Row],[JUMLAH]]-NOTA[[#This Row],[DISC 1-]])*NOTA[[#This Row],[DISC 2]])</f>
        <v>0</v>
      </c>
      <c r="AA671" s="66">
        <f>IF(NOTA[[#This Row],[JUMLAH]]="","",(NOTA[[#This Row],[JUMLAH]]-NOTA[[#This Row],[DISC 1-]]-NOTA[[#This Row],[DISC 2-]])*NOTA[[#This Row],[DISC 3]])</f>
        <v>0</v>
      </c>
      <c r="AB671" s="66">
        <f>IF(NOTA[[#This Row],[JUMLAH]]="","",NOTA[[#This Row],[DISC 1-]]+NOTA[[#This Row],[DISC 2-]]+NOTA[[#This Row],[DISC 3-]])</f>
        <v>528768</v>
      </c>
      <c r="AC671" s="66">
        <f>IF(NOTA[[#This Row],[JUMLAH]]="","",NOTA[[#This Row],[JUMLAH]]-NOTA[[#This Row],[DISC]])</f>
        <v>2581632</v>
      </c>
      <c r="AD671" s="66"/>
      <c r="AE67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3746188</v>
      </c>
      <c r="AF67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18290212</v>
      </c>
      <c r="AG671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671" s="66" t="str">
        <f>IF(OR(NOTA[[#This Row],[QTY]]="",NOTA[[#This Row],[HARGA SATUAN]]="",),"",NOTA[[#This Row],[QTY]]*NOTA[[#This Row],[HARGA SATUAN]])</f>
        <v/>
      </c>
      <c r="AI671" s="60">
        <f ca="1">IF(NOTA[ID_H]="","",INDEX(NOTA[TANGGAL],MATCH(,INDIRECT(ADDRESS(ROW(NOTA[TANGGAL]),COLUMN(NOTA[TANGGAL]))&amp;":"&amp;ADDRESS(ROW(),COLUMN(NOTA[TANGGAL]))),-1)))</f>
        <v>45313</v>
      </c>
      <c r="AJ671" s="55" t="str">
        <f ca="1">IF(NOTA[[#This Row],[NAMA BARANG]]="","",INDEX(NOTA[SUPPLIER],MATCH(,INDIRECT(ADDRESS(ROW(NOTA[ID]),COLUMN(NOTA[ID]))&amp;":"&amp;ADDRESS(ROW(),COLUMN(NOTA[ID]))),-1)))</f>
        <v>KENKO SINAR INDONESIA</v>
      </c>
      <c r="AK671" s="55" t="str">
        <f ca="1">IF(NOTA[[#This Row],[ID_H]]="","",IF(NOTA[[#This Row],[FAKTUR]]="",INDIRECT(ADDRESS(ROW()-1,COLUMN())),NOTA[[#This Row],[FAKTUR]]))</f>
        <v>ARTO MORO</v>
      </c>
      <c r="AL671" s="56" t="str">
        <f ca="1">IF(NOTA[[#This Row],[ID]]="","",COUNTIF(NOTA[ID_H],NOTA[[#This Row],[ID_H]]))</f>
        <v/>
      </c>
      <c r="AM671" s="56">
        <f ca="1">IF(NOTA[[#This Row],[TGL.NOTA]]="",IF(NOTA[[#This Row],[SUPPLIER_H]]="","",AM670),MONTH(NOTA[[#This Row],[TGL.NOTA]]))</f>
        <v>1</v>
      </c>
      <c r="AN671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>
        <f>IF(NOTA[[#This Row],[CONCAT1]]="","",MATCH(NOTA[[#This Row],[CONCAT1]],[3]!db[NB NOTA_C],0))</f>
        <v>1644</v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>144 LSN</v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671" s="56" t="e">
        <f ca="1">IF(NOTA[[#This Row],[ID_H]]="","",MATCH(NOTA[[#This Row],[NB NOTA_C_QTY]],[4]!db[NB NOTA_C_QTY+F],0))</f>
        <v>#REF!</v>
      </c>
      <c r="AX671" s="68">
        <f ca="1">IF(NOTA[[#This Row],[NB NOTA_C_QTY]]="","",ROW()-2)</f>
        <v>669</v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67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KEN_2201_279-2</v>
      </c>
      <c r="C673" s="56" t="e">
        <f ca="1">IF(NOTA[[#This Row],[ID_P]]="","",MATCH(NOTA[[#This Row],[ID_P]],[1]!B_MSK[N_ID],0))</f>
        <v>#REF!</v>
      </c>
      <c r="D673" s="56">
        <f ca="1">IF(NOTA[[#This Row],[NAMA BARANG]]="","",INDEX(NOTA[ID],MATCH(,INDIRECT(ADDRESS(ROW(NOTA[ID]),COLUMN(NOTA[ID]))&amp;":"&amp;ADDRESS(ROW(),COLUMN(NOTA[ID]))),-1)))</f>
        <v>110</v>
      </c>
      <c r="E673" s="57">
        <v>45313</v>
      </c>
      <c r="F673" s="37" t="s">
        <v>22</v>
      </c>
      <c r="G673" s="37" t="s">
        <v>23</v>
      </c>
      <c r="H673" s="47" t="s">
        <v>759</v>
      </c>
      <c r="I673" s="58"/>
      <c r="J673" s="60">
        <v>45310</v>
      </c>
      <c r="K673" s="58">
        <v>0</v>
      </c>
      <c r="L673" s="37" t="s">
        <v>350</v>
      </c>
      <c r="M673" s="61">
        <v>1</v>
      </c>
      <c r="N673" s="56"/>
      <c r="O673" s="58"/>
      <c r="P673" s="55"/>
      <c r="Q673" s="62">
        <v>2952000</v>
      </c>
      <c r="R673" s="63"/>
      <c r="S673" s="64">
        <v>0.17</v>
      </c>
      <c r="T673" s="65"/>
      <c r="U673" s="65"/>
      <c r="V673" s="66"/>
      <c r="W673" s="67"/>
      <c r="X673" s="66">
        <f>IF(NOTA[[#This Row],[HARGA/ CTN]]="",NOTA[[#This Row],[JUMLAH_H]],NOTA[[#This Row],[HARGA/ CTN]]*IF(NOTA[[#This Row],[C]]="",0,NOTA[[#This Row],[C]]))</f>
        <v>2952000</v>
      </c>
      <c r="Y673" s="66">
        <f>IF(NOTA[[#This Row],[JUMLAH]]="","",NOTA[[#This Row],[JUMLAH]]*NOTA[[#This Row],[DISC 1]])</f>
        <v>501840.00000000006</v>
      </c>
      <c r="Z673" s="66">
        <f>IF(NOTA[[#This Row],[JUMLAH]]="","",(NOTA[[#This Row],[JUMLAH]]-NOTA[[#This Row],[DISC 1-]])*NOTA[[#This Row],[DISC 2]])</f>
        <v>0</v>
      </c>
      <c r="AA673" s="66">
        <f>IF(NOTA[[#This Row],[JUMLAH]]="","",(NOTA[[#This Row],[JUMLAH]]-NOTA[[#This Row],[DISC 1-]]-NOTA[[#This Row],[DISC 2-]])*NOTA[[#This Row],[DISC 3]])</f>
        <v>0</v>
      </c>
      <c r="AB673" s="66">
        <f>IF(NOTA[[#This Row],[JUMLAH]]="","",NOTA[[#This Row],[DISC 1-]]+NOTA[[#This Row],[DISC 2-]]+NOTA[[#This Row],[DISC 3-]])</f>
        <v>501840.00000000006</v>
      </c>
      <c r="AC673" s="66">
        <f>IF(NOTA[[#This Row],[JUMLAH]]="","",NOTA[[#This Row],[JUMLAH]]-NOTA[[#This Row],[DISC]])</f>
        <v>2450160</v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73" s="66" t="str">
        <f>IF(OR(NOTA[[#This Row],[QTY]]="",NOTA[[#This Row],[HARGA SATUAN]]="",),"",NOTA[[#This Row],[QTY]]*NOTA[[#This Row],[HARGA SATUAN]])</f>
        <v/>
      </c>
      <c r="AI673" s="60">
        <f ca="1">IF(NOTA[ID_H]="","",INDEX(NOTA[TANGGAL],MATCH(,INDIRECT(ADDRESS(ROW(NOTA[TANGGAL]),COLUMN(NOTA[TANGGAL]))&amp;":"&amp;ADDRESS(ROW(),COLUMN(NOTA[TANGGAL]))),-1)))</f>
        <v>45313</v>
      </c>
      <c r="AJ673" s="55" t="str">
        <f ca="1">IF(NOTA[[#This Row],[NAMA BARANG]]="","",INDEX(NOTA[SUPPLIER],MATCH(,INDIRECT(ADDRESS(ROW(NOTA[ID]),COLUMN(NOTA[ID]))&amp;":"&amp;ADDRESS(ROW(),COLUMN(NOTA[ID]))),-1)))</f>
        <v>KENKO SINAR INDONESIA</v>
      </c>
      <c r="AK673" s="55" t="str">
        <f ca="1">IF(NOTA[[#This Row],[ID_H]]="","",IF(NOTA[[#This Row],[FAKTUR]]="",INDIRECT(ADDRESS(ROW()-1,COLUMN())),NOTA[[#This Row],[FAKTUR]]))</f>
        <v>ARTO MORO</v>
      </c>
      <c r="AL673" s="56">
        <f ca="1">IF(NOTA[[#This Row],[ID]]="","",COUNTIF(NOTA[ID_H],NOTA[[#This Row],[ID_H]]))</f>
        <v>2</v>
      </c>
      <c r="AM673" s="56">
        <f>IF(NOTA[[#This Row],[TGL.NOTA]]="",IF(NOTA[[#This Row],[SUPPLIER_H]]="","",AM672),MONTH(NOTA[[#This Row],[TGL.NOTA]]))</f>
        <v>1</v>
      </c>
      <c r="AN673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MORO2401127945310kenkocutterl50018mmblade</v>
      </c>
      <c r="AR673" s="56" t="e">
        <f>IF(NOTA[[#This Row],[CONCAT4]]="","",_xlfn.IFNA(MATCH(NOTA[[#This Row],[CONCAT4]],[2]!RAW[CONCAT_H],0),FALSE))</f>
        <v>#REF!</v>
      </c>
      <c r="AS673" s="56">
        <f>IF(NOTA[[#This Row],[CONCAT1]]="","",MATCH(NOTA[[#This Row],[CONCAT1]],[3]!db[NB NOTA_C],0))</f>
        <v>1600</v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>20 LSN</v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673" s="56" t="e">
        <f ca="1">IF(NOTA[[#This Row],[ID_H]]="","",MATCH(NOTA[[#This Row],[NB NOTA_C_QTY]],[4]!db[NB NOTA_C_QTY+F],0))</f>
        <v>#REF!</v>
      </c>
      <c r="AX673" s="68">
        <f ca="1">IF(NOTA[[#This Row],[NB NOTA_C_QTY]]="","",ROW()-2)</f>
        <v>671</v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>
        <f ca="1">IF(NOTA[[#This Row],[NAMA BARANG]]="","",INDEX(NOTA[ID],MATCH(,INDIRECT(ADDRESS(ROW(NOTA[ID]),COLUMN(NOTA[ID]))&amp;":"&amp;ADDRESS(ROW(),COLUMN(NOTA[ID]))),-1)))</f>
        <v>110</v>
      </c>
      <c r="E674" s="57"/>
      <c r="F674" s="58"/>
      <c r="G674" s="58"/>
      <c r="H674" s="59"/>
      <c r="I674" s="58"/>
      <c r="J674" s="60"/>
      <c r="K674" s="58"/>
      <c r="L674" s="37" t="s">
        <v>760</v>
      </c>
      <c r="M674" s="61">
        <v>1</v>
      </c>
      <c r="N674" s="56"/>
      <c r="O674" s="58"/>
      <c r="P674" s="55"/>
      <c r="Q674" s="62">
        <v>1944000</v>
      </c>
      <c r="R674" s="63"/>
      <c r="S674" s="64">
        <v>0.17</v>
      </c>
      <c r="T674" s="65"/>
      <c r="U674" s="65"/>
      <c r="V674" s="66"/>
      <c r="W674" s="67"/>
      <c r="X674" s="66">
        <f>IF(NOTA[[#This Row],[HARGA/ CTN]]="",NOTA[[#This Row],[JUMLAH_H]],NOTA[[#This Row],[HARGA/ CTN]]*IF(NOTA[[#This Row],[C]]="",0,NOTA[[#This Row],[C]]))</f>
        <v>1944000</v>
      </c>
      <c r="Y674" s="66">
        <f>IF(NOTA[[#This Row],[JUMLAH]]="","",NOTA[[#This Row],[JUMLAH]]*NOTA[[#This Row],[DISC 1]])</f>
        <v>330480</v>
      </c>
      <c r="Z674" s="66">
        <f>IF(NOTA[[#This Row],[JUMLAH]]="","",(NOTA[[#This Row],[JUMLAH]]-NOTA[[#This Row],[DISC 1-]])*NOTA[[#This Row],[DISC 2]])</f>
        <v>0</v>
      </c>
      <c r="AA674" s="66">
        <f>IF(NOTA[[#This Row],[JUMLAH]]="","",(NOTA[[#This Row],[JUMLAH]]-NOTA[[#This Row],[DISC 1-]]-NOTA[[#This Row],[DISC 2-]])*NOTA[[#This Row],[DISC 3]])</f>
        <v>0</v>
      </c>
      <c r="AB674" s="66">
        <f>IF(NOTA[[#This Row],[JUMLAH]]="","",NOTA[[#This Row],[DISC 1-]]+NOTA[[#This Row],[DISC 2-]]+NOTA[[#This Row],[DISC 3-]])</f>
        <v>330480</v>
      </c>
      <c r="AC674" s="66">
        <f>IF(NOTA[[#This Row],[JUMLAH]]="","",NOTA[[#This Row],[JUMLAH]]-NOTA[[#This Row],[DISC]])</f>
        <v>1613520</v>
      </c>
      <c r="AD674" s="66"/>
      <c r="AE6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832320</v>
      </c>
      <c r="AF6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4063680</v>
      </c>
      <c r="AG674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74" s="66" t="str">
        <f>IF(OR(NOTA[[#This Row],[QTY]]="",NOTA[[#This Row],[HARGA SATUAN]]="",),"",NOTA[[#This Row],[QTY]]*NOTA[[#This Row],[HARGA SATUAN]])</f>
        <v/>
      </c>
      <c r="AI674" s="60">
        <f ca="1">IF(NOTA[ID_H]="","",INDEX(NOTA[TANGGAL],MATCH(,INDIRECT(ADDRESS(ROW(NOTA[TANGGAL]),COLUMN(NOTA[TANGGAL]))&amp;":"&amp;ADDRESS(ROW(),COLUMN(NOTA[TANGGAL]))),-1)))</f>
        <v>45313</v>
      </c>
      <c r="AJ674" s="55" t="str">
        <f ca="1">IF(NOTA[[#This Row],[NAMA BARANG]]="","",INDEX(NOTA[SUPPLIER],MATCH(,INDIRECT(ADDRESS(ROW(NOTA[ID]),COLUMN(NOTA[ID]))&amp;":"&amp;ADDRESS(ROW(),COLUMN(NOTA[ID]))),-1)))</f>
        <v>KENKO SINAR INDONESIA</v>
      </c>
      <c r="AK674" s="55" t="str">
        <f ca="1">IF(NOTA[[#This Row],[ID_H]]="","",IF(NOTA[[#This Row],[FAKTUR]]="",INDIRECT(ADDRESS(ROW()-1,COLUMN())),NOTA[[#This Row],[FAKTUR]]))</f>
        <v>ARTO MORO</v>
      </c>
      <c r="AL674" s="56" t="str">
        <f ca="1">IF(NOTA[[#This Row],[ID]]="","",COUNTIF(NOTA[ID_H],NOTA[[#This Row],[ID_H]]))</f>
        <v/>
      </c>
      <c r="AM674" s="56">
        <f ca="1">IF(NOTA[[#This Row],[TGL.NOTA]]="",IF(NOTA[[#This Row],[SUPPLIER_H]]="","",AM673),MONTH(NOTA[[#This Row],[TGL.NOTA]]))</f>
        <v>1</v>
      </c>
      <c r="AN674" s="5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>
        <f>IF(NOTA[[#This Row],[CONCAT1]]="","",MATCH(NOTA[[#This Row],[CONCAT1]],[3]!db[NB NOTA_C],0))</f>
        <v>2973</v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>6 LSN</v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674" s="56" t="e">
        <f ca="1">IF(NOTA[[#This Row],[ID_H]]="","",MATCH(NOTA[[#This Row],[NB NOTA_C_QTY]],[4]!db[NB NOTA_C_QTY+F],0))</f>
        <v>#REF!</v>
      </c>
      <c r="AX674" s="68">
        <f ca="1">IF(NOTA[[#This Row],[NB NOTA_C_QTY]]="","",ROW()-2)</f>
        <v>672</v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6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KEN_2201_365-9</v>
      </c>
      <c r="C676" s="56" t="e">
        <f ca="1">IF(NOTA[[#This Row],[ID_P]]="","",MATCH(NOTA[[#This Row],[ID_P]],[1]!B_MSK[N_ID],0))</f>
        <v>#REF!</v>
      </c>
      <c r="D676" s="56">
        <f ca="1">IF(NOTA[[#This Row],[NAMA BARANG]]="","",INDEX(NOTA[ID],MATCH(,INDIRECT(ADDRESS(ROW(NOTA[ID]),COLUMN(NOTA[ID]))&amp;":"&amp;ADDRESS(ROW(),COLUMN(NOTA[ID]))),-1)))</f>
        <v>111</v>
      </c>
      <c r="E676" s="57">
        <v>45313</v>
      </c>
      <c r="F676" s="37" t="s">
        <v>22</v>
      </c>
      <c r="G676" s="37" t="s">
        <v>23</v>
      </c>
      <c r="H676" s="47" t="s">
        <v>761</v>
      </c>
      <c r="I676" s="58"/>
      <c r="J676" s="60">
        <v>45311</v>
      </c>
      <c r="K676" s="58">
        <v>0</v>
      </c>
      <c r="L676" s="37" t="s">
        <v>223</v>
      </c>
      <c r="M676" s="61">
        <v>1</v>
      </c>
      <c r="N676" s="56"/>
      <c r="O676" s="58"/>
      <c r="P676" s="55"/>
      <c r="Q676" s="62">
        <v>1440000</v>
      </c>
      <c r="R676" s="63"/>
      <c r="S676" s="64">
        <v>0.17</v>
      </c>
      <c r="T676" s="65"/>
      <c r="U676" s="65"/>
      <c r="V676" s="66"/>
      <c r="W676" s="67"/>
      <c r="X676" s="66">
        <f>IF(NOTA[[#This Row],[HARGA/ CTN]]="",NOTA[[#This Row],[JUMLAH_H]],NOTA[[#This Row],[HARGA/ CTN]]*IF(NOTA[[#This Row],[C]]="",0,NOTA[[#This Row],[C]]))</f>
        <v>1440000</v>
      </c>
      <c r="Y676" s="66">
        <f>IF(NOTA[[#This Row],[JUMLAH]]="","",NOTA[[#This Row],[JUMLAH]]*NOTA[[#This Row],[DISC 1]])</f>
        <v>244800.00000000003</v>
      </c>
      <c r="Z676" s="66">
        <f>IF(NOTA[[#This Row],[JUMLAH]]="","",(NOTA[[#This Row],[JUMLAH]]-NOTA[[#This Row],[DISC 1-]])*NOTA[[#This Row],[DISC 2]])</f>
        <v>0</v>
      </c>
      <c r="AA676" s="66">
        <f>IF(NOTA[[#This Row],[JUMLAH]]="","",(NOTA[[#This Row],[JUMLAH]]-NOTA[[#This Row],[DISC 1-]]-NOTA[[#This Row],[DISC 2-]])*NOTA[[#This Row],[DISC 3]])</f>
        <v>0</v>
      </c>
      <c r="AB676" s="66">
        <f>IF(NOTA[[#This Row],[JUMLAH]]="","",NOTA[[#This Row],[DISC 1-]]+NOTA[[#This Row],[DISC 2-]]+NOTA[[#This Row],[DISC 3-]])</f>
        <v>244800.00000000003</v>
      </c>
      <c r="AC676" s="66">
        <f>IF(NOTA[[#This Row],[JUMLAH]]="","",NOTA[[#This Row],[JUMLAH]]-NOTA[[#This Row],[DISC]])</f>
        <v>1195200</v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76" s="66" t="str">
        <f>IF(OR(NOTA[[#This Row],[QTY]]="",NOTA[[#This Row],[HARGA SATUAN]]="",),"",NOTA[[#This Row],[QTY]]*NOTA[[#This Row],[HARGA SATUAN]])</f>
        <v/>
      </c>
      <c r="AI676" s="60">
        <f ca="1">IF(NOTA[ID_H]="","",INDEX(NOTA[TANGGAL],MATCH(,INDIRECT(ADDRESS(ROW(NOTA[TANGGAL]),COLUMN(NOTA[TANGGAL]))&amp;":"&amp;ADDRESS(ROW(),COLUMN(NOTA[TANGGAL]))),-1)))</f>
        <v>45313</v>
      </c>
      <c r="AJ676" s="55" t="str">
        <f ca="1">IF(NOTA[[#This Row],[NAMA BARANG]]="","",INDEX(NOTA[SUPPLIER],MATCH(,INDIRECT(ADDRESS(ROW(NOTA[ID]),COLUMN(NOTA[ID]))&amp;":"&amp;ADDRESS(ROW(),COLUMN(NOTA[ID]))),-1)))</f>
        <v>KENKO SINAR INDONESIA</v>
      </c>
      <c r="AK676" s="55" t="str">
        <f ca="1">IF(NOTA[[#This Row],[ID_H]]="","",IF(NOTA[[#This Row],[FAKTUR]]="",INDIRECT(ADDRESS(ROW()-1,COLUMN())),NOTA[[#This Row],[FAKTUR]]))</f>
        <v>ARTO MORO</v>
      </c>
      <c r="AL676" s="56">
        <f ca="1">IF(NOTA[[#This Row],[ID]]="","",COUNTIF(NOTA[ID_H],NOTA[[#This Row],[ID_H]]))</f>
        <v>9</v>
      </c>
      <c r="AM676" s="56">
        <f>IF(NOTA[[#This Row],[TGL.NOTA]]="",IF(NOTA[[#This Row],[SUPPLIER_H]]="","",AM675),MONTH(NOTA[[#This Row],[TGL.NOTA]]))</f>
        <v>1</v>
      </c>
      <c r="AN676" s="56" t="str">
        <f>LOWER(SUBSTITUTE(SUBSTITUTE(SUBSTITUTE(SUBSTITUTE(SUBSTITUTE(SUBSTITUTE(SUBSTITUTE(SUBSTITUTE(SUBSTITUTE(NOTA[NAMA BARANG]," ",),".",""),"-",""),"(",""),")",""),",",""),"/",""),"""",""),"+",""))</f>
        <v>kenkopunchno30xl</v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MORO2401136545311kenkopunchno30xl</v>
      </c>
      <c r="AR676" s="56" t="e">
        <f>IF(NOTA[[#This Row],[CONCAT4]]="","",_xlfn.IFNA(MATCH(NOTA[[#This Row],[CONCAT4]],[2]!RAW[CONCAT_H],0),FALSE))</f>
        <v>#REF!</v>
      </c>
      <c r="AS676" s="56">
        <f>IF(NOTA[[#This Row],[CONCAT1]]="","",MATCH(NOTA[[#This Row],[CONCAT1]],[3]!db[NB NOTA_C],0))</f>
        <v>1747</v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>4 BOX (24 PCS)</v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676" s="56" t="e">
        <f ca="1">IF(NOTA[[#This Row],[ID_H]]="","",MATCH(NOTA[[#This Row],[NB NOTA_C_QTY]],[4]!db[NB NOTA_C_QTY+F],0))</f>
        <v>#REF!</v>
      </c>
      <c r="AX676" s="68">
        <f ca="1">IF(NOTA[[#This Row],[NB NOTA_C_QTY]]="","",ROW()-2)</f>
        <v>674</v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>
        <f ca="1">IF(NOTA[[#This Row],[NAMA BARANG]]="","",INDEX(NOTA[ID],MATCH(,INDIRECT(ADDRESS(ROW(NOTA[ID]),COLUMN(NOTA[ID]))&amp;":"&amp;ADDRESS(ROW(),COLUMN(NOTA[ID]))),-1)))</f>
        <v>111</v>
      </c>
      <c r="E677" s="57"/>
      <c r="F677" s="58"/>
      <c r="G677" s="58"/>
      <c r="H677" s="59"/>
      <c r="I677" s="58"/>
      <c r="J677" s="60"/>
      <c r="K677" s="58">
        <v>0</v>
      </c>
      <c r="L677" s="37" t="s">
        <v>145</v>
      </c>
      <c r="M677" s="61">
        <v>2</v>
      </c>
      <c r="N677" s="56"/>
      <c r="O677" s="58"/>
      <c r="P677" s="55"/>
      <c r="Q677" s="62">
        <v>1695600</v>
      </c>
      <c r="R677" s="63"/>
      <c r="S677" s="64">
        <v>0.17</v>
      </c>
      <c r="T677" s="65"/>
      <c r="U677" s="65"/>
      <c r="V677" s="66"/>
      <c r="W677" s="67"/>
      <c r="X677" s="66">
        <f>IF(NOTA[[#This Row],[HARGA/ CTN]]="",NOTA[[#This Row],[JUMLAH_H]],NOTA[[#This Row],[HARGA/ CTN]]*IF(NOTA[[#This Row],[C]]="",0,NOTA[[#This Row],[C]]))</f>
        <v>3391200</v>
      </c>
      <c r="Y677" s="66">
        <f>IF(NOTA[[#This Row],[JUMLAH]]="","",NOTA[[#This Row],[JUMLAH]]*NOTA[[#This Row],[DISC 1]])</f>
        <v>576504</v>
      </c>
      <c r="Z677" s="66">
        <f>IF(NOTA[[#This Row],[JUMLAH]]="","",(NOTA[[#This Row],[JUMLAH]]-NOTA[[#This Row],[DISC 1-]])*NOTA[[#This Row],[DISC 2]])</f>
        <v>0</v>
      </c>
      <c r="AA677" s="66">
        <f>IF(NOTA[[#This Row],[JUMLAH]]="","",(NOTA[[#This Row],[JUMLAH]]-NOTA[[#This Row],[DISC 1-]]-NOTA[[#This Row],[DISC 2-]])*NOTA[[#This Row],[DISC 3]])</f>
        <v>0</v>
      </c>
      <c r="AB677" s="66">
        <f>IF(NOTA[[#This Row],[JUMLAH]]="","",NOTA[[#This Row],[DISC 1-]]+NOTA[[#This Row],[DISC 2-]]+NOTA[[#This Row],[DISC 3-]])</f>
        <v>576504</v>
      </c>
      <c r="AC677" s="66">
        <f>IF(NOTA[[#This Row],[JUMLAH]]="","",NOTA[[#This Row],[JUMLAH]]-NOTA[[#This Row],[DISC]])</f>
        <v>2814696</v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677" s="66" t="str">
        <f>IF(OR(NOTA[[#This Row],[QTY]]="",NOTA[[#This Row],[HARGA SATUAN]]="",),"",NOTA[[#This Row],[QTY]]*NOTA[[#This Row],[HARGA SATUAN]])</f>
        <v/>
      </c>
      <c r="AI677" s="60">
        <f ca="1">IF(NOTA[ID_H]="","",INDEX(NOTA[TANGGAL],MATCH(,INDIRECT(ADDRESS(ROW(NOTA[TANGGAL]),COLUMN(NOTA[TANGGAL]))&amp;":"&amp;ADDRESS(ROW(),COLUMN(NOTA[TANGGAL]))),-1)))</f>
        <v>45313</v>
      </c>
      <c r="AJ677" s="55" t="str">
        <f ca="1">IF(NOTA[[#This Row],[NAMA BARANG]]="","",INDEX(NOTA[SUPPLIER],MATCH(,INDIRECT(ADDRESS(ROW(NOTA[ID]),COLUMN(NOTA[ID]))&amp;":"&amp;ADDRESS(ROW(),COLUMN(NOTA[ID]))),-1)))</f>
        <v>KENKO SINAR INDONESIA</v>
      </c>
      <c r="AK677" s="55" t="str">
        <f ca="1">IF(NOTA[[#This Row],[ID_H]]="","",IF(NOTA[[#This Row],[FAKTUR]]="",INDIRECT(ADDRESS(ROW()-1,COLUMN())),NOTA[[#This Row],[FAKTUR]]))</f>
        <v>ARTO MORO</v>
      </c>
      <c r="AL677" s="56" t="str">
        <f ca="1">IF(NOTA[[#This Row],[ID]]="","",COUNTIF(NOTA[ID_H],NOTA[[#This Row],[ID_H]]))</f>
        <v/>
      </c>
      <c r="AM677" s="56">
        <f ca="1">IF(NOTA[[#This Row],[TGL.NOTA]]="",IF(NOTA[[#This Row],[SUPPLIER_H]]="","",AM676),MONTH(NOTA[[#This Row],[TGL.NOTA]]))</f>
        <v>1</v>
      </c>
      <c r="AN677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>
        <f>IF(NOTA[[#This Row],[CONCAT1]]="","",MATCH(NOTA[[#This Row],[CONCAT1]],[3]!db[NB NOTA_C],0))</f>
        <v>1560</v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>36 LSN</v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677" s="56" t="e">
        <f ca="1">IF(NOTA[[#This Row],[ID_H]]="","",MATCH(NOTA[[#This Row],[NB NOTA_C_QTY]],[4]!db[NB NOTA_C_QTY+F],0))</f>
        <v>#REF!</v>
      </c>
      <c r="AX677" s="68">
        <f ca="1">IF(NOTA[[#This Row],[NB NOTA_C_QTY]]="","",ROW()-2)</f>
        <v>675</v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>
        <f ca="1">IF(NOTA[[#This Row],[NAMA BARANG]]="","",INDEX(NOTA[ID],MATCH(,INDIRECT(ADDRESS(ROW(NOTA[ID]),COLUMN(NOTA[ID]))&amp;":"&amp;ADDRESS(ROW(),COLUMN(NOTA[ID]))),-1)))</f>
        <v>111</v>
      </c>
      <c r="E678" s="57"/>
      <c r="F678" s="58"/>
      <c r="G678" s="58"/>
      <c r="H678" s="59"/>
      <c r="I678" s="58"/>
      <c r="J678" s="60"/>
      <c r="K678" s="58">
        <v>0</v>
      </c>
      <c r="L678" s="37" t="s">
        <v>523</v>
      </c>
      <c r="M678" s="61">
        <v>1</v>
      </c>
      <c r="N678" s="56"/>
      <c r="O678" s="58"/>
      <c r="P678" s="55"/>
      <c r="Q678" s="62">
        <v>3758400</v>
      </c>
      <c r="R678" s="63"/>
      <c r="S678" s="64">
        <v>0.17</v>
      </c>
      <c r="T678" s="65"/>
      <c r="U678" s="65"/>
      <c r="V678" s="66"/>
      <c r="W678" s="67"/>
      <c r="X678" s="66">
        <f>IF(NOTA[[#This Row],[HARGA/ CTN]]="",NOTA[[#This Row],[JUMLAH_H]],NOTA[[#This Row],[HARGA/ CTN]]*IF(NOTA[[#This Row],[C]]="",0,NOTA[[#This Row],[C]]))</f>
        <v>3758400</v>
      </c>
      <c r="Y678" s="66">
        <f>IF(NOTA[[#This Row],[JUMLAH]]="","",NOTA[[#This Row],[JUMLAH]]*NOTA[[#This Row],[DISC 1]])</f>
        <v>638928</v>
      </c>
      <c r="Z678" s="66">
        <f>IF(NOTA[[#This Row],[JUMLAH]]="","",(NOTA[[#This Row],[JUMLAH]]-NOTA[[#This Row],[DISC 1-]])*NOTA[[#This Row],[DISC 2]])</f>
        <v>0</v>
      </c>
      <c r="AA678" s="66">
        <f>IF(NOTA[[#This Row],[JUMLAH]]="","",(NOTA[[#This Row],[JUMLAH]]-NOTA[[#This Row],[DISC 1-]]-NOTA[[#This Row],[DISC 2-]])*NOTA[[#This Row],[DISC 3]])</f>
        <v>0</v>
      </c>
      <c r="AB678" s="66">
        <f>IF(NOTA[[#This Row],[JUMLAH]]="","",NOTA[[#This Row],[DISC 1-]]+NOTA[[#This Row],[DISC 2-]]+NOTA[[#This Row],[DISC 3-]])</f>
        <v>638928</v>
      </c>
      <c r="AC678" s="66">
        <f>IF(NOTA[[#This Row],[JUMLAH]]="","",NOTA[[#This Row],[JUMLAH]]-NOTA[[#This Row],[DISC]])</f>
        <v>3119472</v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78" s="66" t="str">
        <f>IF(OR(NOTA[[#This Row],[QTY]]="",NOTA[[#This Row],[HARGA SATUAN]]="",),"",NOTA[[#This Row],[QTY]]*NOTA[[#This Row],[HARGA SATUAN]])</f>
        <v/>
      </c>
      <c r="AI678" s="60">
        <f ca="1">IF(NOTA[ID_H]="","",INDEX(NOTA[TANGGAL],MATCH(,INDIRECT(ADDRESS(ROW(NOTA[TANGGAL]),COLUMN(NOTA[TANGGAL]))&amp;":"&amp;ADDRESS(ROW(),COLUMN(NOTA[TANGGAL]))),-1)))</f>
        <v>45313</v>
      </c>
      <c r="AJ678" s="55" t="str">
        <f ca="1">IF(NOTA[[#This Row],[NAMA BARANG]]="","",INDEX(NOTA[SUPPLIER],MATCH(,INDIRECT(ADDRESS(ROW(NOTA[ID]),COLUMN(NOTA[ID]))&amp;":"&amp;ADDRESS(ROW(),COLUMN(NOTA[ID]))),-1)))</f>
        <v>KENKO SINAR INDONESIA</v>
      </c>
      <c r="AK678" s="55" t="str">
        <f ca="1">IF(NOTA[[#This Row],[ID_H]]="","",IF(NOTA[[#This Row],[FAKTUR]]="",INDIRECT(ADDRESS(ROW()-1,COLUMN())),NOTA[[#This Row],[FAKTUR]]))</f>
        <v>ARTO MORO</v>
      </c>
      <c r="AL678" s="56" t="str">
        <f ca="1">IF(NOTA[[#This Row],[ID]]="","",COUNTIF(NOTA[ID_H],NOTA[[#This Row],[ID_H]]))</f>
        <v/>
      </c>
      <c r="AM678" s="56">
        <f ca="1">IF(NOTA[[#This Row],[TGL.NOTA]]="",IF(NOTA[[#This Row],[SUPPLIER_H]]="","",AM677),MONTH(NOTA[[#This Row],[TGL.NOTA]]))</f>
        <v>1</v>
      </c>
      <c r="AN678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>
        <f>IF(NOTA[[#This Row],[CONCAT1]]="","",MATCH(NOTA[[#This Row],[CONCAT1]],[3]!db[NB NOTA_C],0))</f>
        <v>1615</v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>144 LSN</v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678" s="56" t="e">
        <f ca="1">IF(NOTA[[#This Row],[ID_H]]="","",MATCH(NOTA[[#This Row],[NB NOTA_C_QTY]],[4]!db[NB NOTA_C_QTY+F],0))</f>
        <v>#REF!</v>
      </c>
      <c r="AX678" s="68">
        <f ca="1">IF(NOTA[[#This Row],[NB NOTA_C_QTY]]="","",ROW()-2)</f>
        <v>676</v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>
        <f ca="1">IF(NOTA[[#This Row],[NAMA BARANG]]="","",INDEX(NOTA[ID],MATCH(,INDIRECT(ADDRESS(ROW(NOTA[ID]),COLUMN(NOTA[ID]))&amp;":"&amp;ADDRESS(ROW(),COLUMN(NOTA[ID]))),-1)))</f>
        <v>111</v>
      </c>
      <c r="E679" s="57"/>
      <c r="F679" s="58"/>
      <c r="G679" s="58"/>
      <c r="H679" s="59"/>
      <c r="I679" s="58"/>
      <c r="J679" s="60"/>
      <c r="K679" s="58">
        <v>0</v>
      </c>
      <c r="L679" s="37" t="s">
        <v>760</v>
      </c>
      <c r="M679" s="61">
        <v>1</v>
      </c>
      <c r="N679" s="56"/>
      <c r="O679" s="58"/>
      <c r="P679" s="55"/>
      <c r="Q679" s="62">
        <v>1944000</v>
      </c>
      <c r="R679" s="63"/>
      <c r="S679" s="64">
        <v>0.17</v>
      </c>
      <c r="T679" s="65"/>
      <c r="U679" s="65"/>
      <c r="V679" s="66"/>
      <c r="W679" s="67"/>
      <c r="X679" s="66">
        <f>IF(NOTA[[#This Row],[HARGA/ CTN]]="",NOTA[[#This Row],[JUMLAH_H]],NOTA[[#This Row],[HARGA/ CTN]]*IF(NOTA[[#This Row],[C]]="",0,NOTA[[#This Row],[C]]))</f>
        <v>1944000</v>
      </c>
      <c r="Y679" s="66">
        <f>IF(NOTA[[#This Row],[JUMLAH]]="","",NOTA[[#This Row],[JUMLAH]]*NOTA[[#This Row],[DISC 1]])</f>
        <v>330480</v>
      </c>
      <c r="Z679" s="66">
        <f>IF(NOTA[[#This Row],[JUMLAH]]="","",(NOTA[[#This Row],[JUMLAH]]-NOTA[[#This Row],[DISC 1-]])*NOTA[[#This Row],[DISC 2]])</f>
        <v>0</v>
      </c>
      <c r="AA679" s="66">
        <f>IF(NOTA[[#This Row],[JUMLAH]]="","",(NOTA[[#This Row],[JUMLAH]]-NOTA[[#This Row],[DISC 1-]]-NOTA[[#This Row],[DISC 2-]])*NOTA[[#This Row],[DISC 3]])</f>
        <v>0</v>
      </c>
      <c r="AB679" s="66">
        <f>IF(NOTA[[#This Row],[JUMLAH]]="","",NOTA[[#This Row],[DISC 1-]]+NOTA[[#This Row],[DISC 2-]]+NOTA[[#This Row],[DISC 3-]])</f>
        <v>330480</v>
      </c>
      <c r="AC679" s="66">
        <f>IF(NOTA[[#This Row],[JUMLAH]]="","",NOTA[[#This Row],[JUMLAH]]-NOTA[[#This Row],[DISC]])</f>
        <v>1613520</v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79" s="66" t="str">
        <f>IF(OR(NOTA[[#This Row],[QTY]]="",NOTA[[#This Row],[HARGA SATUAN]]="",),"",NOTA[[#This Row],[QTY]]*NOTA[[#This Row],[HARGA SATUAN]])</f>
        <v/>
      </c>
      <c r="AI679" s="60">
        <f ca="1">IF(NOTA[ID_H]="","",INDEX(NOTA[TANGGAL],MATCH(,INDIRECT(ADDRESS(ROW(NOTA[TANGGAL]),COLUMN(NOTA[TANGGAL]))&amp;":"&amp;ADDRESS(ROW(),COLUMN(NOTA[TANGGAL]))),-1)))</f>
        <v>45313</v>
      </c>
      <c r="AJ679" s="55" t="str">
        <f ca="1">IF(NOTA[[#This Row],[NAMA BARANG]]="","",INDEX(NOTA[SUPPLIER],MATCH(,INDIRECT(ADDRESS(ROW(NOTA[ID]),COLUMN(NOTA[ID]))&amp;":"&amp;ADDRESS(ROW(),COLUMN(NOTA[ID]))),-1)))</f>
        <v>KENKO SINAR INDONESIA</v>
      </c>
      <c r="AK679" s="55" t="str">
        <f ca="1">IF(NOTA[[#This Row],[ID_H]]="","",IF(NOTA[[#This Row],[FAKTUR]]="",INDIRECT(ADDRESS(ROW()-1,COLUMN())),NOTA[[#This Row],[FAKTUR]]))</f>
        <v>ARTO MORO</v>
      </c>
      <c r="AL679" s="56" t="str">
        <f ca="1">IF(NOTA[[#This Row],[ID]]="","",COUNTIF(NOTA[ID_H],NOTA[[#This Row],[ID_H]]))</f>
        <v/>
      </c>
      <c r="AM679" s="56">
        <f ca="1">IF(NOTA[[#This Row],[TGL.NOTA]]="",IF(NOTA[[#This Row],[SUPPLIER_H]]="","",AM678),MONTH(NOTA[[#This Row],[TGL.NOTA]]))</f>
        <v>1</v>
      </c>
      <c r="AN679" s="5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>
        <f>IF(NOTA[[#This Row],[CONCAT1]]="","",MATCH(NOTA[[#This Row],[CONCAT1]],[3]!db[NB NOTA_C],0))</f>
        <v>2973</v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>6 LSN</v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679" s="56" t="e">
        <f ca="1">IF(NOTA[[#This Row],[ID_H]]="","",MATCH(NOTA[[#This Row],[NB NOTA_C_QTY]],[4]!db[NB NOTA_C_QTY+F],0))</f>
        <v>#REF!</v>
      </c>
      <c r="AX679" s="68">
        <f ca="1">IF(NOTA[[#This Row],[NB NOTA_C_QTY]]="","",ROW()-2)</f>
        <v>677</v>
      </c>
    </row>
    <row r="680" spans="1:50" s="38" customFormat="1" ht="18.75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>
        <f ca="1">IF(NOTA[[#This Row],[NAMA BARANG]]="","",INDEX(NOTA[ID],MATCH(,INDIRECT(ADDRESS(ROW(NOTA[ID]),COLUMN(NOTA[ID]))&amp;":"&amp;ADDRESS(ROW(),COLUMN(NOTA[ID]))),-1)))</f>
        <v>111</v>
      </c>
      <c r="E680" s="57"/>
      <c r="F680" s="58"/>
      <c r="G680" s="58"/>
      <c r="H680" s="59"/>
      <c r="I680" s="58"/>
      <c r="J680" s="60"/>
      <c r="K680" s="58">
        <v>0</v>
      </c>
      <c r="L680" s="37" t="s">
        <v>540</v>
      </c>
      <c r="M680" s="61">
        <v>1</v>
      </c>
      <c r="N680" s="56"/>
      <c r="O680" s="58"/>
      <c r="P680" s="55"/>
      <c r="Q680" s="62">
        <v>1710000</v>
      </c>
      <c r="R680" s="63"/>
      <c r="S680" s="64">
        <v>0.17</v>
      </c>
      <c r="T680" s="65"/>
      <c r="U680" s="65"/>
      <c r="V680" s="66"/>
      <c r="W680" s="67"/>
      <c r="X680" s="66">
        <f>IF(NOTA[[#This Row],[HARGA/ CTN]]="",NOTA[[#This Row],[JUMLAH_H]],NOTA[[#This Row],[HARGA/ CTN]]*IF(NOTA[[#This Row],[C]]="",0,NOTA[[#This Row],[C]]))</f>
        <v>1710000</v>
      </c>
      <c r="Y680" s="66">
        <f>IF(NOTA[[#This Row],[JUMLAH]]="","",NOTA[[#This Row],[JUMLAH]]*NOTA[[#This Row],[DISC 1]])</f>
        <v>290700</v>
      </c>
      <c r="Z680" s="66">
        <f>IF(NOTA[[#This Row],[JUMLAH]]="","",(NOTA[[#This Row],[JUMLAH]]-NOTA[[#This Row],[DISC 1-]])*NOTA[[#This Row],[DISC 2]])</f>
        <v>0</v>
      </c>
      <c r="AA680" s="66">
        <f>IF(NOTA[[#This Row],[JUMLAH]]="","",(NOTA[[#This Row],[JUMLAH]]-NOTA[[#This Row],[DISC 1-]]-NOTA[[#This Row],[DISC 2-]])*NOTA[[#This Row],[DISC 3]])</f>
        <v>0</v>
      </c>
      <c r="AB680" s="66">
        <f>IF(NOTA[[#This Row],[JUMLAH]]="","",NOTA[[#This Row],[DISC 1-]]+NOTA[[#This Row],[DISC 2-]]+NOTA[[#This Row],[DISC 3-]])</f>
        <v>290700</v>
      </c>
      <c r="AC680" s="66">
        <f>IF(NOTA[[#This Row],[JUMLAH]]="","",NOTA[[#This Row],[JUMLAH]]-NOTA[[#This Row],[DISC]])</f>
        <v>1419300</v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680" s="66" t="str">
        <f>IF(OR(NOTA[[#This Row],[QTY]]="",NOTA[[#This Row],[HARGA SATUAN]]="",),"",NOTA[[#This Row],[QTY]]*NOTA[[#This Row],[HARGA SATUAN]])</f>
        <v/>
      </c>
      <c r="AI680" s="60">
        <f ca="1">IF(NOTA[ID_H]="","",INDEX(NOTA[TANGGAL],MATCH(,INDIRECT(ADDRESS(ROW(NOTA[TANGGAL]),COLUMN(NOTA[TANGGAL]))&amp;":"&amp;ADDRESS(ROW(),COLUMN(NOTA[TANGGAL]))),-1)))</f>
        <v>45313</v>
      </c>
      <c r="AJ680" s="55" t="str">
        <f ca="1">IF(NOTA[[#This Row],[NAMA BARANG]]="","",INDEX(NOTA[SUPPLIER],MATCH(,INDIRECT(ADDRESS(ROW(NOTA[ID]),COLUMN(NOTA[ID]))&amp;":"&amp;ADDRESS(ROW(),COLUMN(NOTA[ID]))),-1)))</f>
        <v>KENKO SINAR INDONESIA</v>
      </c>
      <c r="AK680" s="55" t="str">
        <f ca="1">IF(NOTA[[#This Row],[ID_H]]="","",IF(NOTA[[#This Row],[FAKTUR]]="",INDIRECT(ADDRESS(ROW()-1,COLUMN())),NOTA[[#This Row],[FAKTUR]]))</f>
        <v>ARTO MORO</v>
      </c>
      <c r="AL680" s="56" t="str">
        <f ca="1">IF(NOTA[[#This Row],[ID]]="","",COUNTIF(NOTA[ID_H],NOTA[[#This Row],[ID_H]]))</f>
        <v/>
      </c>
      <c r="AM680" s="56">
        <f ca="1">IF(NOTA[[#This Row],[TGL.NOTA]]="",IF(NOTA[[#This Row],[SUPPLIER_H]]="","",AM679),MONTH(NOTA[[#This Row],[TGL.NOTA]]))</f>
        <v>1</v>
      </c>
      <c r="AN680" s="5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>
        <f>IF(NOTA[[#This Row],[CONCAT1]]="","",MATCH(NOTA[[#This Row],[CONCAT1]],[3]!db[NB NOTA_C],0))</f>
        <v>2976</v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>6 BOX (6 SET)</v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680" s="56" t="e">
        <f ca="1">IF(NOTA[[#This Row],[ID_H]]="","",MATCH(NOTA[[#This Row],[NB NOTA_C_QTY]],[4]!db[NB NOTA_C_QTY+F],0))</f>
        <v>#REF!</v>
      </c>
      <c r="AX680" s="68">
        <f ca="1">IF(NOTA[[#This Row],[NB NOTA_C_QTY]]="","",ROW()-2)</f>
        <v>678</v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>
        <f ca="1">IF(NOTA[[#This Row],[NAMA BARANG]]="","",INDEX(NOTA[ID],MATCH(,INDIRECT(ADDRESS(ROW(NOTA[ID]),COLUMN(NOTA[ID]))&amp;":"&amp;ADDRESS(ROW(),COLUMN(NOTA[ID]))),-1)))</f>
        <v>111</v>
      </c>
      <c r="E681" s="57"/>
      <c r="F681" s="58"/>
      <c r="G681" s="58"/>
      <c r="H681" s="59"/>
      <c r="I681" s="58"/>
      <c r="J681" s="60"/>
      <c r="K681" s="58">
        <v>0</v>
      </c>
      <c r="L681" s="37" t="s">
        <v>762</v>
      </c>
      <c r="M681" s="61">
        <v>1</v>
      </c>
      <c r="N681" s="56"/>
      <c r="O681" s="58"/>
      <c r="P681" s="55"/>
      <c r="Q681" s="62">
        <v>1590000</v>
      </c>
      <c r="R681" s="63"/>
      <c r="S681" s="64">
        <v>0.17</v>
      </c>
      <c r="T681" s="65"/>
      <c r="U681" s="65"/>
      <c r="V681" s="66"/>
      <c r="W681" s="67"/>
      <c r="X681" s="66">
        <f>IF(NOTA[[#This Row],[HARGA/ CTN]]="",NOTA[[#This Row],[JUMLAH_H]],NOTA[[#This Row],[HARGA/ CTN]]*IF(NOTA[[#This Row],[C]]="",0,NOTA[[#This Row],[C]]))</f>
        <v>1590000</v>
      </c>
      <c r="Y681" s="66">
        <f>IF(NOTA[[#This Row],[JUMLAH]]="","",NOTA[[#This Row],[JUMLAH]]*NOTA[[#This Row],[DISC 1]])</f>
        <v>270300</v>
      </c>
      <c r="Z681" s="66">
        <f>IF(NOTA[[#This Row],[JUMLAH]]="","",(NOTA[[#This Row],[JUMLAH]]-NOTA[[#This Row],[DISC 1-]])*NOTA[[#This Row],[DISC 2]])</f>
        <v>0</v>
      </c>
      <c r="AA681" s="66">
        <f>IF(NOTA[[#This Row],[JUMLAH]]="","",(NOTA[[#This Row],[JUMLAH]]-NOTA[[#This Row],[DISC 1-]]-NOTA[[#This Row],[DISC 2-]])*NOTA[[#This Row],[DISC 3]])</f>
        <v>0</v>
      </c>
      <c r="AB681" s="66">
        <f>IF(NOTA[[#This Row],[JUMLAH]]="","",NOTA[[#This Row],[DISC 1-]]+NOTA[[#This Row],[DISC 2-]]+NOTA[[#This Row],[DISC 3-]])</f>
        <v>270300</v>
      </c>
      <c r="AC681" s="66">
        <f>IF(NOTA[[#This Row],[JUMLAH]]="","",NOTA[[#This Row],[JUMLAH]]-NOTA[[#This Row],[DISC]])</f>
        <v>1319700</v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681" s="66" t="str">
        <f>IF(OR(NOTA[[#This Row],[QTY]]="",NOTA[[#This Row],[HARGA SATUAN]]="",),"",NOTA[[#This Row],[QTY]]*NOTA[[#This Row],[HARGA SATUAN]])</f>
        <v/>
      </c>
      <c r="AI681" s="60">
        <f ca="1">IF(NOTA[ID_H]="","",INDEX(NOTA[TANGGAL],MATCH(,INDIRECT(ADDRESS(ROW(NOTA[TANGGAL]),COLUMN(NOTA[TANGGAL]))&amp;":"&amp;ADDRESS(ROW(),COLUMN(NOTA[TANGGAL]))),-1)))</f>
        <v>45313</v>
      </c>
      <c r="AJ681" s="55" t="str">
        <f ca="1">IF(NOTA[[#This Row],[NAMA BARANG]]="","",INDEX(NOTA[SUPPLIER],MATCH(,INDIRECT(ADDRESS(ROW(NOTA[ID]),COLUMN(NOTA[ID]))&amp;":"&amp;ADDRESS(ROW(),COLUMN(NOTA[ID]))),-1)))</f>
        <v>KENKO SINAR INDONESIA</v>
      </c>
      <c r="AK681" s="55" t="str">
        <f ca="1">IF(NOTA[[#This Row],[ID_H]]="","",IF(NOTA[[#This Row],[FAKTUR]]="",INDIRECT(ADDRESS(ROW()-1,COLUMN())),NOTA[[#This Row],[FAKTUR]]))</f>
        <v>ARTO MORO</v>
      </c>
      <c r="AL681" s="56" t="str">
        <f ca="1">IF(NOTA[[#This Row],[ID]]="","",COUNTIF(NOTA[ID_H],NOTA[[#This Row],[ID_H]]))</f>
        <v/>
      </c>
      <c r="AM681" s="56">
        <f ca="1">IF(NOTA[[#This Row],[TGL.NOTA]]="",IF(NOTA[[#This Row],[SUPPLIER_H]]="","",AM680),MONTH(NOTA[[#This Row],[TGL.NOTA]]))</f>
        <v>1</v>
      </c>
      <c r="AN681" s="56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>
        <f>IF(NOTA[[#This Row],[CONCAT1]]="","",MATCH(NOTA[[#This Row],[CONCAT1]],[3]!db[NB NOTA_C],0))</f>
        <v>1498</v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>50 GRS</v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W681" s="56" t="e">
        <f ca="1">IF(NOTA[[#This Row],[ID_H]]="","",MATCH(NOTA[[#This Row],[NB NOTA_C_QTY]],[4]!db[NB NOTA_C_QTY+F],0))</f>
        <v>#REF!</v>
      </c>
      <c r="AX681" s="68">
        <f ca="1">IF(NOTA[[#This Row],[NB NOTA_C_QTY]]="","",ROW()-2)</f>
        <v>679</v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>
        <f ca="1">IF(NOTA[[#This Row],[NAMA BARANG]]="","",INDEX(NOTA[ID],MATCH(,INDIRECT(ADDRESS(ROW(NOTA[ID]),COLUMN(NOTA[ID]))&amp;":"&amp;ADDRESS(ROW(),COLUMN(NOTA[ID]))),-1)))</f>
        <v>111</v>
      </c>
      <c r="E682" s="57"/>
      <c r="F682" s="58"/>
      <c r="G682" s="58"/>
      <c r="H682" s="59"/>
      <c r="I682" s="58"/>
      <c r="J682" s="60"/>
      <c r="K682" s="58"/>
      <c r="L682" s="37" t="s">
        <v>528</v>
      </c>
      <c r="M682" s="61">
        <v>1</v>
      </c>
      <c r="N682" s="56"/>
      <c r="O682" s="58"/>
      <c r="P682" s="55"/>
      <c r="Q682" s="62">
        <v>1380000</v>
      </c>
      <c r="R682" s="63"/>
      <c r="S682" s="64">
        <v>0.17</v>
      </c>
      <c r="T682" s="65"/>
      <c r="U682" s="65"/>
      <c r="V682" s="66"/>
      <c r="W682" s="67"/>
      <c r="X682" s="66">
        <f>IF(NOTA[[#This Row],[HARGA/ CTN]]="",NOTA[[#This Row],[JUMLAH_H]],NOTA[[#This Row],[HARGA/ CTN]]*IF(NOTA[[#This Row],[C]]="",0,NOTA[[#This Row],[C]]))</f>
        <v>1380000</v>
      </c>
      <c r="Y682" s="66">
        <f>IF(NOTA[[#This Row],[JUMLAH]]="","",NOTA[[#This Row],[JUMLAH]]*NOTA[[#This Row],[DISC 1]])</f>
        <v>234600.00000000003</v>
      </c>
      <c r="Z682" s="66">
        <f>IF(NOTA[[#This Row],[JUMLAH]]="","",(NOTA[[#This Row],[JUMLAH]]-NOTA[[#This Row],[DISC 1-]])*NOTA[[#This Row],[DISC 2]])</f>
        <v>0</v>
      </c>
      <c r="AA682" s="66">
        <f>IF(NOTA[[#This Row],[JUMLAH]]="","",(NOTA[[#This Row],[JUMLAH]]-NOTA[[#This Row],[DISC 1-]]-NOTA[[#This Row],[DISC 2-]])*NOTA[[#This Row],[DISC 3]])</f>
        <v>0</v>
      </c>
      <c r="AB682" s="66">
        <f>IF(NOTA[[#This Row],[JUMLAH]]="","",NOTA[[#This Row],[DISC 1-]]+NOTA[[#This Row],[DISC 2-]]+NOTA[[#This Row],[DISC 3-]])</f>
        <v>234600.00000000003</v>
      </c>
      <c r="AC682" s="66">
        <f>IF(NOTA[[#This Row],[JUMLAH]]="","",NOTA[[#This Row],[JUMLAH]]-NOTA[[#This Row],[DISC]])</f>
        <v>1145400</v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682" s="66" t="str">
        <f>IF(OR(NOTA[[#This Row],[QTY]]="",NOTA[[#This Row],[HARGA SATUAN]]="",),"",NOTA[[#This Row],[QTY]]*NOTA[[#This Row],[HARGA SATUAN]])</f>
        <v/>
      </c>
      <c r="AI682" s="60">
        <f ca="1">IF(NOTA[ID_H]="","",INDEX(NOTA[TANGGAL],MATCH(,INDIRECT(ADDRESS(ROW(NOTA[TANGGAL]),COLUMN(NOTA[TANGGAL]))&amp;":"&amp;ADDRESS(ROW(),COLUMN(NOTA[TANGGAL]))),-1)))</f>
        <v>45313</v>
      </c>
      <c r="AJ682" s="55" t="str">
        <f ca="1">IF(NOTA[[#This Row],[NAMA BARANG]]="","",INDEX(NOTA[SUPPLIER],MATCH(,INDIRECT(ADDRESS(ROW(NOTA[ID]),COLUMN(NOTA[ID]))&amp;":"&amp;ADDRESS(ROW(),COLUMN(NOTA[ID]))),-1)))</f>
        <v>KENKO SINAR INDONESIA</v>
      </c>
      <c r="AK682" s="55" t="str">
        <f ca="1">IF(NOTA[[#This Row],[ID_H]]="","",IF(NOTA[[#This Row],[FAKTUR]]="",INDIRECT(ADDRESS(ROW()-1,COLUMN())),NOTA[[#This Row],[FAKTUR]]))</f>
        <v>ARTO MORO</v>
      </c>
      <c r="AL682" s="56" t="str">
        <f ca="1">IF(NOTA[[#This Row],[ID]]="","",COUNTIF(NOTA[ID_H],NOTA[[#This Row],[ID_H]]))</f>
        <v/>
      </c>
      <c r="AM682" s="56">
        <f ca="1">IF(NOTA[[#This Row],[TGL.NOTA]]="",IF(NOTA[[#This Row],[SUPPLIER_H]]="","",AM681),MONTH(NOTA[[#This Row],[TGL.NOTA]]))</f>
        <v>1</v>
      </c>
      <c r="AN682" s="5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>
        <f>IF(NOTA[[#This Row],[CONCAT1]]="","",MATCH(NOTA[[#This Row],[CONCAT1]],[3]!db[NB NOTA_C],0))</f>
        <v>1500</v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>20 GRS</v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682" s="56" t="e">
        <f ca="1">IF(NOTA[[#This Row],[ID_H]]="","",MATCH(NOTA[[#This Row],[NB NOTA_C_QTY]],[4]!db[NB NOTA_C_QTY+F],0))</f>
        <v>#REF!</v>
      </c>
      <c r="AX682" s="68">
        <f ca="1">IF(NOTA[[#This Row],[NB NOTA_C_QTY]]="","",ROW()-2)</f>
        <v>680</v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>
        <f ca="1">IF(NOTA[[#This Row],[NAMA BARANG]]="","",INDEX(NOTA[ID],MATCH(,INDIRECT(ADDRESS(ROW(NOTA[ID]),COLUMN(NOTA[ID]))&amp;":"&amp;ADDRESS(ROW(),COLUMN(NOTA[ID]))),-1)))</f>
        <v>111</v>
      </c>
      <c r="E683" s="57"/>
      <c r="F683" s="58"/>
      <c r="G683" s="58"/>
      <c r="H683" s="59"/>
      <c r="I683" s="58"/>
      <c r="J683" s="60"/>
      <c r="K683" s="58"/>
      <c r="L683" s="37" t="s">
        <v>678</v>
      </c>
      <c r="M683" s="61">
        <v>1</v>
      </c>
      <c r="N683" s="56"/>
      <c r="O683" s="58"/>
      <c r="P683" s="55"/>
      <c r="Q683" s="62">
        <v>900000</v>
      </c>
      <c r="R683" s="63"/>
      <c r="S683" s="64">
        <v>0.17</v>
      </c>
      <c r="T683" s="65"/>
      <c r="U683" s="65"/>
      <c r="V683" s="66"/>
      <c r="W683" s="67"/>
      <c r="X683" s="66">
        <f>IF(NOTA[[#This Row],[HARGA/ CTN]]="",NOTA[[#This Row],[JUMLAH_H]],NOTA[[#This Row],[HARGA/ CTN]]*IF(NOTA[[#This Row],[C]]="",0,NOTA[[#This Row],[C]]))</f>
        <v>900000</v>
      </c>
      <c r="Y683" s="66">
        <f>IF(NOTA[[#This Row],[JUMLAH]]="","",NOTA[[#This Row],[JUMLAH]]*NOTA[[#This Row],[DISC 1]])</f>
        <v>153000</v>
      </c>
      <c r="Z683" s="66">
        <f>IF(NOTA[[#This Row],[JUMLAH]]="","",(NOTA[[#This Row],[JUMLAH]]-NOTA[[#This Row],[DISC 1-]])*NOTA[[#This Row],[DISC 2]])</f>
        <v>0</v>
      </c>
      <c r="AA683" s="66">
        <f>IF(NOTA[[#This Row],[JUMLAH]]="","",(NOTA[[#This Row],[JUMLAH]]-NOTA[[#This Row],[DISC 1-]]-NOTA[[#This Row],[DISC 2-]])*NOTA[[#This Row],[DISC 3]])</f>
        <v>0</v>
      </c>
      <c r="AB683" s="66">
        <f>IF(NOTA[[#This Row],[JUMLAH]]="","",NOTA[[#This Row],[DISC 1-]]+NOTA[[#This Row],[DISC 2-]]+NOTA[[#This Row],[DISC 3-]])</f>
        <v>153000</v>
      </c>
      <c r="AC683" s="66">
        <f>IF(NOTA[[#This Row],[JUMLAH]]="","",NOTA[[#This Row],[JUMLAH]]-NOTA[[#This Row],[DISC]])</f>
        <v>747000</v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83" s="66" t="str">
        <f>IF(OR(NOTA[[#This Row],[QTY]]="",NOTA[[#This Row],[HARGA SATUAN]]="",),"",NOTA[[#This Row],[QTY]]*NOTA[[#This Row],[HARGA SATUAN]])</f>
        <v/>
      </c>
      <c r="AI683" s="60">
        <f ca="1">IF(NOTA[ID_H]="","",INDEX(NOTA[TANGGAL],MATCH(,INDIRECT(ADDRESS(ROW(NOTA[TANGGAL]),COLUMN(NOTA[TANGGAL]))&amp;":"&amp;ADDRESS(ROW(),COLUMN(NOTA[TANGGAL]))),-1)))</f>
        <v>45313</v>
      </c>
      <c r="AJ683" s="55" t="str">
        <f ca="1">IF(NOTA[[#This Row],[NAMA BARANG]]="","",INDEX(NOTA[SUPPLIER],MATCH(,INDIRECT(ADDRESS(ROW(NOTA[ID]),COLUMN(NOTA[ID]))&amp;":"&amp;ADDRESS(ROW(),COLUMN(NOTA[ID]))),-1)))</f>
        <v>KENKO SINAR INDONESIA</v>
      </c>
      <c r="AK683" s="55" t="str">
        <f ca="1">IF(NOTA[[#This Row],[ID_H]]="","",IF(NOTA[[#This Row],[FAKTUR]]="",INDIRECT(ADDRESS(ROW()-1,COLUMN())),NOTA[[#This Row],[FAKTUR]]))</f>
        <v>ARTO MORO</v>
      </c>
      <c r="AL683" s="56" t="str">
        <f ca="1">IF(NOTA[[#This Row],[ID]]="","",COUNTIF(NOTA[ID_H],NOTA[[#This Row],[ID_H]]))</f>
        <v/>
      </c>
      <c r="AM683" s="56">
        <f ca="1">IF(NOTA[[#This Row],[TGL.NOTA]]="",IF(NOTA[[#This Row],[SUPPLIER_H]]="","",AM682),MONTH(NOTA[[#This Row],[TGL.NOTA]]))</f>
        <v>1</v>
      </c>
      <c r="AN683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>
        <f>IF(NOTA[[#This Row],[CONCAT1]]="","",MATCH(NOTA[[#This Row],[CONCAT1]],[3]!db[NB NOTA_C],0))</f>
        <v>1502</v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>5 GRS</v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683" s="56" t="e">
        <f ca="1">IF(NOTA[[#This Row],[ID_H]]="","",MATCH(NOTA[[#This Row],[NB NOTA_C_QTY]],[4]!db[NB NOTA_C_QTY+F],0))</f>
        <v>#REF!</v>
      </c>
      <c r="AX683" s="68">
        <f ca="1">IF(NOTA[[#This Row],[NB NOTA_C_QTY]]="","",ROW()-2)</f>
        <v>681</v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>
        <f ca="1">IF(NOTA[[#This Row],[NAMA BARANG]]="","",INDEX(NOTA[ID],MATCH(,INDIRECT(ADDRESS(ROW(NOTA[ID]),COLUMN(NOTA[ID]))&amp;":"&amp;ADDRESS(ROW(),COLUMN(NOTA[ID]))),-1)))</f>
        <v>111</v>
      </c>
      <c r="E684" s="57"/>
      <c r="F684" s="58"/>
      <c r="G684" s="58"/>
      <c r="H684" s="59"/>
      <c r="I684" s="58"/>
      <c r="J684" s="60"/>
      <c r="K684" s="58"/>
      <c r="L684" s="37" t="s">
        <v>146</v>
      </c>
      <c r="M684" s="61">
        <v>1</v>
      </c>
      <c r="N684" s="56"/>
      <c r="O684" s="58"/>
      <c r="P684" s="55"/>
      <c r="Q684" s="62">
        <v>800000</v>
      </c>
      <c r="R684" s="63"/>
      <c r="S684" s="64">
        <v>0.17</v>
      </c>
      <c r="T684" s="65"/>
      <c r="U684" s="65"/>
      <c r="V684" s="66"/>
      <c r="W684" s="67"/>
      <c r="X684" s="66">
        <f>IF(NOTA[[#This Row],[HARGA/ CTN]]="",NOTA[[#This Row],[JUMLAH_H]],NOTA[[#This Row],[HARGA/ CTN]]*IF(NOTA[[#This Row],[C]]="",0,NOTA[[#This Row],[C]]))</f>
        <v>800000</v>
      </c>
      <c r="Y684" s="66">
        <f>IF(NOTA[[#This Row],[JUMLAH]]="","",NOTA[[#This Row],[JUMLAH]]*NOTA[[#This Row],[DISC 1]])</f>
        <v>136000</v>
      </c>
      <c r="Z684" s="66">
        <f>IF(NOTA[[#This Row],[JUMLAH]]="","",(NOTA[[#This Row],[JUMLAH]]-NOTA[[#This Row],[DISC 1-]])*NOTA[[#This Row],[DISC 2]])</f>
        <v>0</v>
      </c>
      <c r="AA684" s="66">
        <f>IF(NOTA[[#This Row],[JUMLAH]]="","",(NOTA[[#This Row],[JUMLAH]]-NOTA[[#This Row],[DISC 1-]]-NOTA[[#This Row],[DISC 2-]])*NOTA[[#This Row],[DISC 3]])</f>
        <v>0</v>
      </c>
      <c r="AB684" s="66">
        <f>IF(NOTA[[#This Row],[JUMLAH]]="","",NOTA[[#This Row],[DISC 1-]]+NOTA[[#This Row],[DISC 2-]]+NOTA[[#This Row],[DISC 3-]])</f>
        <v>136000</v>
      </c>
      <c r="AC684" s="66">
        <f>IF(NOTA[[#This Row],[JUMLAH]]="","",NOTA[[#This Row],[JUMLAH]]-NOTA[[#This Row],[DISC]])</f>
        <v>664000</v>
      </c>
      <c r="AD684" s="66"/>
      <c r="AE6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2875312</v>
      </c>
      <c r="AF6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14038288</v>
      </c>
      <c r="AG684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684" s="66" t="str">
        <f>IF(OR(NOTA[[#This Row],[QTY]]="",NOTA[[#This Row],[HARGA SATUAN]]="",),"",NOTA[[#This Row],[QTY]]*NOTA[[#This Row],[HARGA SATUAN]])</f>
        <v/>
      </c>
      <c r="AI684" s="60">
        <f ca="1">IF(NOTA[ID_H]="","",INDEX(NOTA[TANGGAL],MATCH(,INDIRECT(ADDRESS(ROW(NOTA[TANGGAL]),COLUMN(NOTA[TANGGAL]))&amp;":"&amp;ADDRESS(ROW(),COLUMN(NOTA[TANGGAL]))),-1)))</f>
        <v>45313</v>
      </c>
      <c r="AJ684" s="55" t="str">
        <f ca="1">IF(NOTA[[#This Row],[NAMA BARANG]]="","",INDEX(NOTA[SUPPLIER],MATCH(,INDIRECT(ADDRESS(ROW(NOTA[ID]),COLUMN(NOTA[ID]))&amp;":"&amp;ADDRESS(ROW(),COLUMN(NOTA[ID]))),-1)))</f>
        <v>KENKO SINAR INDONESIA</v>
      </c>
      <c r="AK684" s="55" t="str">
        <f ca="1">IF(NOTA[[#This Row],[ID_H]]="","",IF(NOTA[[#This Row],[FAKTUR]]="",INDIRECT(ADDRESS(ROW()-1,COLUMN())),NOTA[[#This Row],[FAKTUR]]))</f>
        <v>ARTO MORO</v>
      </c>
      <c r="AL684" s="56" t="str">
        <f ca="1">IF(NOTA[[#This Row],[ID]]="","",COUNTIF(NOTA[ID_H],NOTA[[#This Row],[ID_H]]))</f>
        <v/>
      </c>
      <c r="AM684" s="56">
        <f ca="1">IF(NOTA[[#This Row],[TGL.NOTA]]="",IF(NOTA[[#This Row],[SUPPLIER_H]]="","",AM683),MONTH(NOTA[[#This Row],[TGL.NOTA]]))</f>
        <v>1</v>
      </c>
      <c r="AN684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>
        <f>IF(NOTA[[#This Row],[CONCAT1]]="","",MATCH(NOTA[[#This Row],[CONCAT1]],[3]!db[NB NOTA_C],0))</f>
        <v>1801</v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>500 BOX</v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684" s="56" t="e">
        <f ca="1">IF(NOTA[[#This Row],[ID_H]]="","",MATCH(NOTA[[#This Row],[NB NOTA_C_QTY]],[4]!db[NB NOTA_C_QTY+F],0))</f>
        <v>#REF!</v>
      </c>
      <c r="AX684" s="68">
        <f ca="1">IF(NOTA[[#This Row],[NB NOTA_C_QTY]]="","",ROW()-2)</f>
        <v>682</v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68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KEN_2201_371-1</v>
      </c>
      <c r="C686" s="56" t="e">
        <f ca="1">IF(NOTA[[#This Row],[ID_P]]="","",MATCH(NOTA[[#This Row],[ID_P]],[1]!B_MSK[N_ID],0))</f>
        <v>#REF!</v>
      </c>
      <c r="D686" s="56">
        <f ca="1">IF(NOTA[[#This Row],[NAMA BARANG]]="","",INDEX(NOTA[ID],MATCH(,INDIRECT(ADDRESS(ROW(NOTA[ID]),COLUMN(NOTA[ID]))&amp;":"&amp;ADDRESS(ROW(),COLUMN(NOTA[ID]))),-1)))</f>
        <v>112</v>
      </c>
      <c r="E686" s="57">
        <v>45313</v>
      </c>
      <c r="F686" s="37" t="s">
        <v>22</v>
      </c>
      <c r="G686" s="37" t="s">
        <v>23</v>
      </c>
      <c r="H686" s="47" t="s">
        <v>763</v>
      </c>
      <c r="I686" s="58"/>
      <c r="J686" s="60">
        <v>45311</v>
      </c>
      <c r="K686" s="58">
        <v>0</v>
      </c>
      <c r="L686" s="37" t="s">
        <v>764</v>
      </c>
      <c r="M686" s="61">
        <v>1</v>
      </c>
      <c r="N686" s="56"/>
      <c r="O686" s="58"/>
      <c r="P686" s="55"/>
      <c r="Q686" s="62">
        <v>4608000</v>
      </c>
      <c r="R686" s="63"/>
      <c r="S686" s="64">
        <v>0.17</v>
      </c>
      <c r="T686" s="65"/>
      <c r="U686" s="65"/>
      <c r="V686" s="66"/>
      <c r="W686" s="67"/>
      <c r="X686" s="66">
        <f>IF(NOTA[[#This Row],[HARGA/ CTN]]="",NOTA[[#This Row],[JUMLAH_H]],NOTA[[#This Row],[HARGA/ CTN]]*IF(NOTA[[#This Row],[C]]="",0,NOTA[[#This Row],[C]]))</f>
        <v>4608000</v>
      </c>
      <c r="Y686" s="66">
        <f>IF(NOTA[[#This Row],[JUMLAH]]="","",NOTA[[#This Row],[JUMLAH]]*NOTA[[#This Row],[DISC 1]])</f>
        <v>783360</v>
      </c>
      <c r="Z686" s="66">
        <f>IF(NOTA[[#This Row],[JUMLAH]]="","",(NOTA[[#This Row],[JUMLAH]]-NOTA[[#This Row],[DISC 1-]])*NOTA[[#This Row],[DISC 2]])</f>
        <v>0</v>
      </c>
      <c r="AA686" s="66">
        <f>IF(NOTA[[#This Row],[JUMLAH]]="","",(NOTA[[#This Row],[JUMLAH]]-NOTA[[#This Row],[DISC 1-]]-NOTA[[#This Row],[DISC 2-]])*NOTA[[#This Row],[DISC 3]])</f>
        <v>0</v>
      </c>
      <c r="AB686" s="66">
        <f>IF(NOTA[[#This Row],[JUMLAH]]="","",NOTA[[#This Row],[DISC 1-]]+NOTA[[#This Row],[DISC 2-]]+NOTA[[#This Row],[DISC 3-]])</f>
        <v>783360</v>
      </c>
      <c r="AC686" s="66">
        <f>IF(NOTA[[#This Row],[JUMLAH]]="","",NOTA[[#This Row],[JUMLAH]]-NOTA[[#This Row],[DISC]])</f>
        <v>3824640</v>
      </c>
      <c r="AD686" s="66"/>
      <c r="AE68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783360</v>
      </c>
      <c r="AF68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3824640</v>
      </c>
      <c r="AG686" s="55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H686" s="66" t="str">
        <f>IF(OR(NOTA[[#This Row],[QTY]]="",NOTA[[#This Row],[HARGA SATUAN]]="",),"",NOTA[[#This Row],[QTY]]*NOTA[[#This Row],[HARGA SATUAN]])</f>
        <v/>
      </c>
      <c r="AI686" s="60">
        <f ca="1">IF(NOTA[ID_H]="","",INDEX(NOTA[TANGGAL],MATCH(,INDIRECT(ADDRESS(ROW(NOTA[TANGGAL]),COLUMN(NOTA[TANGGAL]))&amp;":"&amp;ADDRESS(ROW(),COLUMN(NOTA[TANGGAL]))),-1)))</f>
        <v>45313</v>
      </c>
      <c r="AJ686" s="55" t="str">
        <f ca="1">IF(NOTA[[#This Row],[NAMA BARANG]]="","",INDEX(NOTA[SUPPLIER],MATCH(,INDIRECT(ADDRESS(ROW(NOTA[ID]),COLUMN(NOTA[ID]))&amp;":"&amp;ADDRESS(ROW(),COLUMN(NOTA[ID]))),-1)))</f>
        <v>KENKO SINAR INDONESIA</v>
      </c>
      <c r="AK686" s="55" t="str">
        <f ca="1">IF(NOTA[[#This Row],[ID_H]]="","",IF(NOTA[[#This Row],[FAKTUR]]="",INDIRECT(ADDRESS(ROW()-1,COLUMN())),NOTA[[#This Row],[FAKTUR]]))</f>
        <v>ARTO MORO</v>
      </c>
      <c r="AL686" s="56">
        <f ca="1">IF(NOTA[[#This Row],[ID]]="","",COUNTIF(NOTA[ID_H],NOTA[[#This Row],[ID_H]]))</f>
        <v>1</v>
      </c>
      <c r="AM686" s="56">
        <f>IF(NOTA[[#This Row],[TGL.NOTA]]="",IF(NOTA[[#This Row],[SUPPLIER_H]]="","",AM685),MONTH(NOTA[[#This Row],[TGL.NOTA]]))</f>
        <v>1</v>
      </c>
      <c r="AN686" s="56" t="str">
        <f>LOWER(SUBSTITUTE(SUBSTITUTE(SUBSTITUTE(SUBSTITUTE(SUBSTITUTE(SUBSTITUTE(SUBSTITUTE(SUBSTITUTE(SUBSTITUTE(NOTA[NAMA BARANG]," ",),".",""),"-",""),"(",""),")",""),",",""),"/",""),"""",""),"+",""))</f>
        <v>kenkomechanicalpencilmp0705mm</v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kenkomechanicalpencilmp0705mm46080000.17</v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kenkomechanicalpencilmp0705mm46080000.17</v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MORO2401137145311kenkomechanicalpencilmp0705mm</v>
      </c>
      <c r="AR686" s="56" t="e">
        <f>IF(NOTA[[#This Row],[CONCAT4]]="","",_xlfn.IFNA(MATCH(NOTA[[#This Row],[CONCAT4]],[2]!RAW[CONCAT_H],0),FALSE))</f>
        <v>#REF!</v>
      </c>
      <c r="AS686" s="56">
        <f>IF(NOTA[[#This Row],[CONCAT1]]="","",MATCH(NOTA[[#This Row],[CONCAT1]],[3]!db[NB NOTA_C],0))</f>
        <v>1695</v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>144 LSN</v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kenkomechanicalpencilmp0705mm144lsnartomoro</v>
      </c>
      <c r="AW686" s="56" t="e">
        <f ca="1">IF(NOTA[[#This Row],[ID_H]]="","",MATCH(NOTA[[#This Row],[NB NOTA_C_QTY]],[4]!db[NB NOTA_C_QTY+F],0))</f>
        <v>#REF!</v>
      </c>
      <c r="AX686" s="68">
        <f ca="1">IF(NOTA[[#This Row],[NB NOTA_C_QTY]]="","",ROW()-2)</f>
        <v>684</v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68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KEN_2501_487-2</v>
      </c>
      <c r="C688" s="56" t="e">
        <f ca="1">IF(NOTA[[#This Row],[ID_P]]="","",MATCH(NOTA[[#This Row],[ID_P]],[1]!B_MSK[N_ID],0))</f>
        <v>#REF!</v>
      </c>
      <c r="D688" s="56">
        <f ca="1">IF(NOTA[[#This Row],[NAMA BARANG]]="","",INDEX(NOTA[ID],MATCH(,INDIRECT(ADDRESS(ROW(NOTA[ID]),COLUMN(NOTA[ID]))&amp;":"&amp;ADDRESS(ROW(),COLUMN(NOTA[ID]))),-1)))</f>
        <v>113</v>
      </c>
      <c r="E688" s="57">
        <v>45316</v>
      </c>
      <c r="F688" s="37" t="s">
        <v>22</v>
      </c>
      <c r="G688" s="37" t="s">
        <v>23</v>
      </c>
      <c r="H688" s="47" t="s">
        <v>765</v>
      </c>
      <c r="I688" s="58"/>
      <c r="J688" s="60">
        <v>45314</v>
      </c>
      <c r="K688" s="58">
        <v>0</v>
      </c>
      <c r="L688" s="37" t="s">
        <v>125</v>
      </c>
      <c r="M688" s="61">
        <v>2</v>
      </c>
      <c r="N688" s="56"/>
      <c r="O688" s="58"/>
      <c r="P688" s="55"/>
      <c r="Q688" s="62">
        <v>1954800</v>
      </c>
      <c r="R688" s="63"/>
      <c r="S688" s="64">
        <v>0.17</v>
      </c>
      <c r="T688" s="65"/>
      <c r="U688" s="65"/>
      <c r="V688" s="66"/>
      <c r="W688" s="67"/>
      <c r="X688" s="66">
        <f>IF(NOTA[[#This Row],[HARGA/ CTN]]="",NOTA[[#This Row],[JUMLAH_H]],NOTA[[#This Row],[HARGA/ CTN]]*IF(NOTA[[#This Row],[C]]="",0,NOTA[[#This Row],[C]]))</f>
        <v>3909600</v>
      </c>
      <c r="Y688" s="66">
        <f>IF(NOTA[[#This Row],[JUMLAH]]="","",NOTA[[#This Row],[JUMLAH]]*NOTA[[#This Row],[DISC 1]])</f>
        <v>664632</v>
      </c>
      <c r="Z688" s="66">
        <f>IF(NOTA[[#This Row],[JUMLAH]]="","",(NOTA[[#This Row],[JUMLAH]]-NOTA[[#This Row],[DISC 1-]])*NOTA[[#This Row],[DISC 2]])</f>
        <v>0</v>
      </c>
      <c r="AA688" s="66">
        <f>IF(NOTA[[#This Row],[JUMLAH]]="","",(NOTA[[#This Row],[JUMLAH]]-NOTA[[#This Row],[DISC 1-]]-NOTA[[#This Row],[DISC 2-]])*NOTA[[#This Row],[DISC 3]])</f>
        <v>0</v>
      </c>
      <c r="AB688" s="66">
        <f>IF(NOTA[[#This Row],[JUMLAH]]="","",NOTA[[#This Row],[DISC 1-]]+NOTA[[#This Row],[DISC 2-]]+NOTA[[#This Row],[DISC 3-]])</f>
        <v>664632</v>
      </c>
      <c r="AC688" s="66">
        <f>IF(NOTA[[#This Row],[JUMLAH]]="","",NOTA[[#This Row],[JUMLAH]]-NOTA[[#This Row],[DISC]])</f>
        <v>3244968</v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688" s="66" t="str">
        <f>IF(OR(NOTA[[#This Row],[QTY]]="",NOTA[[#This Row],[HARGA SATUAN]]="",),"",NOTA[[#This Row],[QTY]]*NOTA[[#This Row],[HARGA SATUAN]])</f>
        <v/>
      </c>
      <c r="AI688" s="60">
        <f ca="1">IF(NOTA[ID_H]="","",INDEX(NOTA[TANGGAL],MATCH(,INDIRECT(ADDRESS(ROW(NOTA[TANGGAL]),COLUMN(NOTA[TANGGAL]))&amp;":"&amp;ADDRESS(ROW(),COLUMN(NOTA[TANGGAL]))),-1)))</f>
        <v>45316</v>
      </c>
      <c r="AJ688" s="55" t="str">
        <f ca="1">IF(NOTA[[#This Row],[NAMA BARANG]]="","",INDEX(NOTA[SUPPLIER],MATCH(,INDIRECT(ADDRESS(ROW(NOTA[ID]),COLUMN(NOTA[ID]))&amp;":"&amp;ADDRESS(ROW(),COLUMN(NOTA[ID]))),-1)))</f>
        <v>KENKO SINAR INDONESIA</v>
      </c>
      <c r="AK688" s="55" t="str">
        <f ca="1">IF(NOTA[[#This Row],[ID_H]]="","",IF(NOTA[[#This Row],[FAKTUR]]="",INDIRECT(ADDRESS(ROW()-1,COLUMN())),NOTA[[#This Row],[FAKTUR]]))</f>
        <v>ARTO MORO</v>
      </c>
      <c r="AL688" s="56">
        <f ca="1">IF(NOTA[[#This Row],[ID]]="","",COUNTIF(NOTA[ID_H],NOTA[[#This Row],[ID_H]]))</f>
        <v>2</v>
      </c>
      <c r="AM688" s="56">
        <f>IF(NOTA[[#This Row],[TGL.NOTA]]="",IF(NOTA[[#This Row],[SUPPLIER_H]]="","",AM687),MONTH(NOTA[[#This Row],[TGL.NOTA]]))</f>
        <v>1</v>
      </c>
      <c r="AN688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MORO2401148745314kenkocorrectionfluidke01</v>
      </c>
      <c r="AR688" s="56" t="e">
        <f>IF(NOTA[[#This Row],[CONCAT4]]="","",_xlfn.IFNA(MATCH(NOTA[[#This Row],[CONCAT4]],[2]!RAW[CONCAT_H],0),FALSE))</f>
        <v>#REF!</v>
      </c>
      <c r="AS688" s="56">
        <f>IF(NOTA[[#This Row],[CONCAT1]]="","",MATCH(NOTA[[#This Row],[CONCAT1]],[3]!db[NB NOTA_C],0))</f>
        <v>1558</v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>36 LSN</v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688" s="56" t="e">
        <f ca="1">IF(NOTA[[#This Row],[ID_H]]="","",MATCH(NOTA[[#This Row],[NB NOTA_C_QTY]],[4]!db[NB NOTA_C_QTY+F],0))</f>
        <v>#REF!</v>
      </c>
      <c r="AX688" s="68">
        <f ca="1">IF(NOTA[[#This Row],[NB NOTA_C_QTY]]="","",ROW()-2)</f>
        <v>686</v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>
        <f ca="1">IF(NOTA[[#This Row],[NAMA BARANG]]="","",INDEX(NOTA[ID],MATCH(,INDIRECT(ADDRESS(ROW(NOTA[ID]),COLUMN(NOTA[ID]))&amp;":"&amp;ADDRESS(ROW(),COLUMN(NOTA[ID]))),-1)))</f>
        <v>113</v>
      </c>
      <c r="E689" s="57"/>
      <c r="F689" s="58"/>
      <c r="G689" s="58"/>
      <c r="H689" s="59"/>
      <c r="I689" s="58"/>
      <c r="J689" s="60"/>
      <c r="K689" s="58"/>
      <c r="L689" s="37" t="s">
        <v>350</v>
      </c>
      <c r="M689" s="61">
        <v>1</v>
      </c>
      <c r="N689" s="56"/>
      <c r="O689" s="58"/>
      <c r="P689" s="55"/>
      <c r="Q689" s="62">
        <v>2952000</v>
      </c>
      <c r="R689" s="63"/>
      <c r="S689" s="64">
        <v>0.17</v>
      </c>
      <c r="T689" s="65"/>
      <c r="U689" s="65"/>
      <c r="V689" s="66"/>
      <c r="W689" s="67"/>
      <c r="X689" s="66">
        <f>IF(NOTA[[#This Row],[HARGA/ CTN]]="",NOTA[[#This Row],[JUMLAH_H]],NOTA[[#This Row],[HARGA/ CTN]]*IF(NOTA[[#This Row],[C]]="",0,NOTA[[#This Row],[C]]))</f>
        <v>2952000</v>
      </c>
      <c r="Y689" s="66">
        <f>IF(NOTA[[#This Row],[JUMLAH]]="","",NOTA[[#This Row],[JUMLAH]]*NOTA[[#This Row],[DISC 1]])</f>
        <v>501840.00000000006</v>
      </c>
      <c r="Z689" s="66">
        <f>IF(NOTA[[#This Row],[JUMLAH]]="","",(NOTA[[#This Row],[JUMLAH]]-NOTA[[#This Row],[DISC 1-]])*NOTA[[#This Row],[DISC 2]])</f>
        <v>0</v>
      </c>
      <c r="AA689" s="66">
        <f>IF(NOTA[[#This Row],[JUMLAH]]="","",(NOTA[[#This Row],[JUMLAH]]-NOTA[[#This Row],[DISC 1-]]-NOTA[[#This Row],[DISC 2-]])*NOTA[[#This Row],[DISC 3]])</f>
        <v>0</v>
      </c>
      <c r="AB689" s="66">
        <f>IF(NOTA[[#This Row],[JUMLAH]]="","",NOTA[[#This Row],[DISC 1-]]+NOTA[[#This Row],[DISC 2-]]+NOTA[[#This Row],[DISC 3-]])</f>
        <v>501840.00000000006</v>
      </c>
      <c r="AC689" s="66">
        <f>IF(NOTA[[#This Row],[JUMLAH]]="","",NOTA[[#This Row],[JUMLAH]]-NOTA[[#This Row],[DISC]])</f>
        <v>2450160</v>
      </c>
      <c r="AD689" s="66"/>
      <c r="AE6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1166472</v>
      </c>
      <c r="AF6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5695128</v>
      </c>
      <c r="AG689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89" s="66" t="str">
        <f>IF(OR(NOTA[[#This Row],[QTY]]="",NOTA[[#This Row],[HARGA SATUAN]]="",),"",NOTA[[#This Row],[QTY]]*NOTA[[#This Row],[HARGA SATUAN]])</f>
        <v/>
      </c>
      <c r="AI689" s="60">
        <f ca="1">IF(NOTA[ID_H]="","",INDEX(NOTA[TANGGAL],MATCH(,INDIRECT(ADDRESS(ROW(NOTA[TANGGAL]),COLUMN(NOTA[TANGGAL]))&amp;":"&amp;ADDRESS(ROW(),COLUMN(NOTA[TANGGAL]))),-1)))</f>
        <v>45316</v>
      </c>
      <c r="AJ689" s="55" t="str">
        <f ca="1">IF(NOTA[[#This Row],[NAMA BARANG]]="","",INDEX(NOTA[SUPPLIER],MATCH(,INDIRECT(ADDRESS(ROW(NOTA[ID]),COLUMN(NOTA[ID]))&amp;":"&amp;ADDRESS(ROW(),COLUMN(NOTA[ID]))),-1)))</f>
        <v>KENKO SINAR INDONESIA</v>
      </c>
      <c r="AK689" s="55" t="str">
        <f ca="1">IF(NOTA[[#This Row],[ID_H]]="","",IF(NOTA[[#This Row],[FAKTUR]]="",INDIRECT(ADDRESS(ROW()-1,COLUMN())),NOTA[[#This Row],[FAKTUR]]))</f>
        <v>ARTO MORO</v>
      </c>
      <c r="AL689" s="56" t="str">
        <f ca="1">IF(NOTA[[#This Row],[ID]]="","",COUNTIF(NOTA[ID_H],NOTA[[#This Row],[ID_H]]))</f>
        <v/>
      </c>
      <c r="AM689" s="56">
        <f ca="1">IF(NOTA[[#This Row],[TGL.NOTA]]="",IF(NOTA[[#This Row],[SUPPLIER_H]]="","",AM688),MONTH(NOTA[[#This Row],[TGL.NOTA]]))</f>
        <v>1</v>
      </c>
      <c r="AN689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>
        <f>IF(NOTA[[#This Row],[CONCAT1]]="","",MATCH(NOTA[[#This Row],[CONCAT1]],[3]!db[NB NOTA_C],0))</f>
        <v>1600</v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>20 LSN</v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689" s="56" t="e">
        <f ca="1">IF(NOTA[[#This Row],[ID_H]]="","",MATCH(NOTA[[#This Row],[NB NOTA_C_QTY]],[4]!db[NB NOTA_C_QTY+F],0))</f>
        <v>#REF!</v>
      </c>
      <c r="AX689" s="68">
        <f ca="1">IF(NOTA[[#This Row],[NB NOTA_C_QTY]]="","",ROW()-2)</f>
        <v>687</v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69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GUN_2201_163-2</v>
      </c>
      <c r="C691" s="56" t="e">
        <f ca="1">IF(NOTA[[#This Row],[ID_P]]="","",MATCH(NOTA[[#This Row],[ID_P]],[1]!B_MSK[N_ID],0))</f>
        <v>#REF!</v>
      </c>
      <c r="D691" s="56">
        <f ca="1">IF(NOTA[[#This Row],[NAMA BARANG]]="","",INDEX(NOTA[ID],MATCH(,INDIRECT(ADDRESS(ROW(NOTA[ID]),COLUMN(NOTA[ID]))&amp;":"&amp;ADDRESS(ROW(),COLUMN(NOTA[ID]))),-1)))</f>
        <v>114</v>
      </c>
      <c r="E691" s="57">
        <v>45313</v>
      </c>
      <c r="F691" s="37" t="s">
        <v>693</v>
      </c>
      <c r="G691" s="37" t="s">
        <v>110</v>
      </c>
      <c r="H691" s="47" t="s">
        <v>766</v>
      </c>
      <c r="I691" s="58"/>
      <c r="J691" s="60">
        <v>45309</v>
      </c>
      <c r="K691" s="58"/>
      <c r="L691" s="37" t="s">
        <v>700</v>
      </c>
      <c r="M691" s="61">
        <v>1</v>
      </c>
      <c r="N691" s="56">
        <v>60</v>
      </c>
      <c r="O691" s="37" t="s">
        <v>111</v>
      </c>
      <c r="P691" s="55">
        <v>49200</v>
      </c>
      <c r="Q691" s="62"/>
      <c r="R691" s="63"/>
      <c r="S691" s="64">
        <v>0.05</v>
      </c>
      <c r="T691" s="65">
        <v>0.1</v>
      </c>
      <c r="U691" s="65"/>
      <c r="V691" s="66"/>
      <c r="W691" s="67"/>
      <c r="X691" s="66">
        <f>IF(NOTA[[#This Row],[HARGA/ CTN]]="",NOTA[[#This Row],[JUMLAH_H]],NOTA[[#This Row],[HARGA/ CTN]]*IF(NOTA[[#This Row],[C]]="",0,NOTA[[#This Row],[C]]))</f>
        <v>2952000</v>
      </c>
      <c r="Y691" s="66">
        <f>IF(NOTA[[#This Row],[JUMLAH]]="","",NOTA[[#This Row],[JUMLAH]]*NOTA[[#This Row],[DISC 1]])</f>
        <v>147600</v>
      </c>
      <c r="Z691" s="66">
        <f>IF(NOTA[[#This Row],[JUMLAH]]="","",(NOTA[[#This Row],[JUMLAH]]-NOTA[[#This Row],[DISC 1-]])*NOTA[[#This Row],[DISC 2]])</f>
        <v>280440</v>
      </c>
      <c r="AA691" s="66">
        <f>IF(NOTA[[#This Row],[JUMLAH]]="","",(NOTA[[#This Row],[JUMLAH]]-NOTA[[#This Row],[DISC 1-]]-NOTA[[#This Row],[DISC 2-]])*NOTA[[#This Row],[DISC 3]])</f>
        <v>0</v>
      </c>
      <c r="AB691" s="66">
        <f>IF(NOTA[[#This Row],[JUMLAH]]="","",NOTA[[#This Row],[DISC 1-]]+NOTA[[#This Row],[DISC 2-]]+NOTA[[#This Row],[DISC 3-]])</f>
        <v>428040</v>
      </c>
      <c r="AC691" s="66">
        <f>IF(NOTA[[#This Row],[JUMLAH]]="","",NOTA[[#This Row],[JUMLAH]]-NOTA[[#This Row],[DISC]])</f>
        <v>2523960</v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91" s="66">
        <f>IF(OR(NOTA[[#This Row],[QTY]]="",NOTA[[#This Row],[HARGA SATUAN]]="",),"",NOTA[[#This Row],[QTY]]*NOTA[[#This Row],[HARGA SATUAN]])</f>
        <v>2952000</v>
      </c>
      <c r="AI691" s="60">
        <f ca="1">IF(NOTA[ID_H]="","",INDEX(NOTA[TANGGAL],MATCH(,INDIRECT(ADDRESS(ROW(NOTA[TANGGAL]),COLUMN(NOTA[TANGGAL]))&amp;":"&amp;ADDRESS(ROW(),COLUMN(NOTA[TANGGAL]))),-1)))</f>
        <v>45313</v>
      </c>
      <c r="AJ691" s="55" t="str">
        <f ca="1">IF(NOTA[[#This Row],[NAMA BARANG]]="","",INDEX(NOTA[SUPPLIER],MATCH(,INDIRECT(ADDRESS(ROW(NOTA[ID]),COLUMN(NOTA[ID]))&amp;":"&amp;ADDRESS(ROW(),COLUMN(NOTA[ID]))),-1)))</f>
        <v>GUNINDO</v>
      </c>
      <c r="AK691" s="55" t="str">
        <f ca="1">IF(NOTA[[#This Row],[ID_H]]="","",IF(NOTA[[#This Row],[FAKTUR]]="",INDIRECT(ADDRESS(ROW()-1,COLUMN())),NOTA[[#This Row],[FAKTUR]]))</f>
        <v>UNTANA</v>
      </c>
      <c r="AL691" s="56">
        <f ca="1">IF(NOTA[[#This Row],[ID]]="","",COUNTIF(NOTA[ID_H],NOTA[[#This Row],[ID_H]]))</f>
        <v>2</v>
      </c>
      <c r="AM691" s="56">
        <f>IF(NOTA[[#This Row],[TGL.NOTA]]="",IF(NOTA[[#This Row],[SUPPLIER_H]]="","",AM690),MONTH(NOTA[[#This Row],[TGL.NOTA]]))</f>
        <v>1</v>
      </c>
      <c r="AN691" s="56" t="str">
        <f>LOWER(SUBSTITUTE(SUBSTITUTE(SUBSTITUTE(SUBSTITUTE(SUBSTITUTE(SUBSTITUTE(SUBSTITUTE(SUBSTITUTE(SUBSTITUTE(NOTA[NAMA BARANG]," ",),".",""),"-",""),"(",""),")",""),",",""),"/",""),"""",""),"+",""))</f>
        <v>ossgunindo</v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GUNINDOUNTANA240116345309ossgunindo</v>
      </c>
      <c r="AR691" s="56" t="e">
        <f>IF(NOTA[[#This Row],[CONCAT4]]="","",_xlfn.IFNA(MATCH(NOTA[[#This Row],[CONCAT4]],[2]!RAW[CONCAT_H],0),FALSE))</f>
        <v>#REF!</v>
      </c>
      <c r="AS691" s="56">
        <f>IF(NOTA[[#This Row],[CONCAT1]]="","",MATCH(NOTA[[#This Row],[CONCAT1]],[3]!db[NB NOTA_C],0))</f>
        <v>2198</v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>60 LSN</v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691" s="56" t="e">
        <f ca="1">IF(NOTA[[#This Row],[ID_H]]="","",MATCH(NOTA[[#This Row],[NB NOTA_C_QTY]],[4]!db[NB NOTA_C_QTY+F],0))</f>
        <v>#REF!</v>
      </c>
      <c r="AX691" s="68">
        <f ca="1">IF(NOTA[[#This Row],[NB NOTA_C_QTY]]="","",ROW()-2)</f>
        <v>689</v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>
        <f ca="1">IF(NOTA[[#This Row],[NAMA BARANG]]="","",INDEX(NOTA[ID],MATCH(,INDIRECT(ADDRESS(ROW(NOTA[ID]),COLUMN(NOTA[ID]))&amp;":"&amp;ADDRESS(ROW(),COLUMN(NOTA[ID]))),-1)))</f>
        <v>114</v>
      </c>
      <c r="E692" s="57"/>
      <c r="F692" s="58"/>
      <c r="G692" s="58"/>
      <c r="H692" s="59"/>
      <c r="I692" s="58"/>
      <c r="J692" s="60"/>
      <c r="K692" s="58">
        <v>0</v>
      </c>
      <c r="L692" s="37" t="s">
        <v>767</v>
      </c>
      <c r="M692" s="61">
        <v>1</v>
      </c>
      <c r="N692" s="56">
        <v>60</v>
      </c>
      <c r="O692" s="37" t="s">
        <v>111</v>
      </c>
      <c r="P692" s="55">
        <v>57000</v>
      </c>
      <c r="Q692" s="62"/>
      <c r="R692" s="63"/>
      <c r="S692" s="64">
        <v>0.05</v>
      </c>
      <c r="T692" s="65">
        <v>0.1</v>
      </c>
      <c r="U692" s="65"/>
      <c r="V692" s="66"/>
      <c r="W692" s="67"/>
      <c r="X692" s="66">
        <f>IF(NOTA[[#This Row],[HARGA/ CTN]]="",NOTA[[#This Row],[JUMLAH_H]],NOTA[[#This Row],[HARGA/ CTN]]*IF(NOTA[[#This Row],[C]]="",0,NOTA[[#This Row],[C]]))</f>
        <v>3420000</v>
      </c>
      <c r="Y692" s="66">
        <f>IF(NOTA[[#This Row],[JUMLAH]]="","",NOTA[[#This Row],[JUMLAH]]*NOTA[[#This Row],[DISC 1]])</f>
        <v>171000</v>
      </c>
      <c r="Z692" s="66">
        <f>IF(NOTA[[#This Row],[JUMLAH]]="","",(NOTA[[#This Row],[JUMLAH]]-NOTA[[#This Row],[DISC 1-]])*NOTA[[#This Row],[DISC 2]])</f>
        <v>324900</v>
      </c>
      <c r="AA692" s="66">
        <f>IF(NOTA[[#This Row],[JUMLAH]]="","",(NOTA[[#This Row],[JUMLAH]]-NOTA[[#This Row],[DISC 1-]]-NOTA[[#This Row],[DISC 2-]])*NOTA[[#This Row],[DISC 3]])</f>
        <v>0</v>
      </c>
      <c r="AB692" s="66">
        <f>IF(NOTA[[#This Row],[JUMLAH]]="","",NOTA[[#This Row],[DISC 1-]]+NOTA[[#This Row],[DISC 2-]]+NOTA[[#This Row],[DISC 3-]])</f>
        <v>495900</v>
      </c>
      <c r="AC692" s="66">
        <f>IF(NOTA[[#This Row],[JUMLAH]]="","",NOTA[[#This Row],[JUMLAH]]-NOTA[[#This Row],[DISC]])</f>
        <v>2924100</v>
      </c>
      <c r="AD692" s="66"/>
      <c r="AE6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923940</v>
      </c>
      <c r="AF6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5448060</v>
      </c>
      <c r="AG692" s="5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692" s="66">
        <f>IF(OR(NOTA[[#This Row],[QTY]]="",NOTA[[#This Row],[HARGA SATUAN]]="",),"",NOTA[[#This Row],[QTY]]*NOTA[[#This Row],[HARGA SATUAN]])</f>
        <v>3420000</v>
      </c>
      <c r="AI692" s="60">
        <f ca="1">IF(NOTA[ID_H]="","",INDEX(NOTA[TANGGAL],MATCH(,INDIRECT(ADDRESS(ROW(NOTA[TANGGAL]),COLUMN(NOTA[TANGGAL]))&amp;":"&amp;ADDRESS(ROW(),COLUMN(NOTA[TANGGAL]))),-1)))</f>
        <v>45313</v>
      </c>
      <c r="AJ692" s="55" t="str">
        <f ca="1">IF(NOTA[[#This Row],[NAMA BARANG]]="","",INDEX(NOTA[SUPPLIER],MATCH(,INDIRECT(ADDRESS(ROW(NOTA[ID]),COLUMN(NOTA[ID]))&amp;":"&amp;ADDRESS(ROW(),COLUMN(NOTA[ID]))),-1)))</f>
        <v>GUNINDO</v>
      </c>
      <c r="AK692" s="55" t="str">
        <f ca="1">IF(NOTA[[#This Row],[ID_H]]="","",IF(NOTA[[#This Row],[FAKTUR]]="",INDIRECT(ADDRESS(ROW()-1,COLUMN())),NOTA[[#This Row],[FAKTUR]]))</f>
        <v>UNTANA</v>
      </c>
      <c r="AL692" s="56" t="str">
        <f ca="1">IF(NOTA[[#This Row],[ID]]="","",COUNTIF(NOTA[ID_H],NOTA[[#This Row],[ID_H]]))</f>
        <v/>
      </c>
      <c r="AM692" s="56">
        <f ca="1">IF(NOTA[[#This Row],[TGL.NOTA]]="",IF(NOTA[[#This Row],[SUPPLIER_H]]="","",AM691),MONTH(NOTA[[#This Row],[TGL.NOTA]]))</f>
        <v>1</v>
      </c>
      <c r="AN692" s="56" t="str">
        <f>LOWER(SUBSTITUTE(SUBSTITUTE(SUBSTITUTE(SUBSTITUTE(SUBSTITUTE(SUBSTITUTE(SUBSTITUTE(SUBSTITUTE(SUBSTITUTE(NOTA[NAMA BARANG]," ",),".",""),"-",""),"(",""),")",""),",",""),"/",""),"""",""),"+",""))</f>
        <v>ommgunindo</v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>
        <f>IF(NOTA[[#This Row],[CONCAT1]]="","",MATCH(NOTA[[#This Row],[CONCAT1]],[3]!db[NB NOTA_C],0))</f>
        <v>2184</v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>60 LSN</v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ommgunindo60lsnuntana</v>
      </c>
      <c r="AW692" s="56" t="e">
        <f ca="1">IF(NOTA[[#This Row],[ID_H]]="","",MATCH(NOTA[[#This Row],[NB NOTA_C_QTY]],[4]!db[NB NOTA_C_QTY+F],0))</f>
        <v>#REF!</v>
      </c>
      <c r="AX692" s="68">
        <f ca="1">IF(NOTA[[#This Row],[NB NOTA_C_QTY]]="","",ROW()-2)</f>
        <v>690</v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69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LES_2201_748-1</v>
      </c>
      <c r="C694" s="56" t="e">
        <f ca="1">IF(NOTA[[#This Row],[ID_P]]="","",MATCH(NOTA[[#This Row],[ID_P]],[1]!B_MSK[N_ID],0))</f>
        <v>#REF!</v>
      </c>
      <c r="D694" s="56">
        <f ca="1">IF(NOTA[[#This Row],[NAMA BARANG]]="","",INDEX(NOTA[ID],MATCH(,INDIRECT(ADDRESS(ROW(NOTA[ID]),COLUMN(NOTA[ID]))&amp;":"&amp;ADDRESS(ROW(),COLUMN(NOTA[ID]))),-1)))</f>
        <v>115</v>
      </c>
      <c r="E694" s="57">
        <v>45313</v>
      </c>
      <c r="F694" s="37" t="s">
        <v>768</v>
      </c>
      <c r="G694" s="37" t="s">
        <v>110</v>
      </c>
      <c r="H694" s="47" t="s">
        <v>769</v>
      </c>
      <c r="I694" s="58"/>
      <c r="J694" s="60">
        <v>45310</v>
      </c>
      <c r="K694" s="58"/>
      <c r="L694" s="37" t="s">
        <v>771</v>
      </c>
      <c r="M694" s="61">
        <v>70</v>
      </c>
      <c r="N694" s="56">
        <v>840</v>
      </c>
      <c r="O694" s="37" t="s">
        <v>116</v>
      </c>
      <c r="P694" s="55">
        <v>75000</v>
      </c>
      <c r="Q694" s="62"/>
      <c r="R694" s="48" t="s">
        <v>770</v>
      </c>
      <c r="S694" s="49"/>
      <c r="T694" s="65"/>
      <c r="U694" s="65"/>
      <c r="V694" s="66"/>
      <c r="W694" s="67"/>
      <c r="X694" s="66">
        <f>IF(NOTA[[#This Row],[HARGA/ CTN]]="",NOTA[[#This Row],[JUMLAH_H]],NOTA[[#This Row],[HARGA/ CTN]]*IF(NOTA[[#This Row],[C]]="",0,NOTA[[#This Row],[C]]))</f>
        <v>63000000</v>
      </c>
      <c r="Y694" s="66">
        <f>IF(NOTA[[#This Row],[JUMLAH]]="","",NOTA[[#This Row],[JUMLAH]]*NOTA[[#This Row],[DISC 1]])</f>
        <v>0</v>
      </c>
      <c r="Z694" s="66">
        <f>IF(NOTA[[#This Row],[JUMLAH]]="","",(NOTA[[#This Row],[JUMLAH]]-NOTA[[#This Row],[DISC 1-]])*NOTA[[#This Row],[DISC 2]])</f>
        <v>0</v>
      </c>
      <c r="AA694" s="66">
        <f>IF(NOTA[[#This Row],[JUMLAH]]="","",(NOTA[[#This Row],[JUMLAH]]-NOTA[[#This Row],[DISC 1-]]-NOTA[[#This Row],[DISC 2-]])*NOTA[[#This Row],[DISC 3]])</f>
        <v>0</v>
      </c>
      <c r="AB694" s="66">
        <f>IF(NOTA[[#This Row],[JUMLAH]]="","",NOTA[[#This Row],[DISC 1-]]+NOTA[[#This Row],[DISC 2-]]+NOTA[[#This Row],[DISC 3-]])</f>
        <v>0</v>
      </c>
      <c r="AC694" s="66">
        <f>IF(NOTA[[#This Row],[JUMLAH]]="","",NOTA[[#This Row],[JUMLAH]]-NOTA[[#This Row],[DISC]])</f>
        <v>63000000</v>
      </c>
      <c r="AD694" s="66"/>
      <c r="AE6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63000000</v>
      </c>
      <c r="AG69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94" s="66">
        <f>IF(OR(NOTA[[#This Row],[QTY]]="",NOTA[[#This Row],[HARGA SATUAN]]="",),"",NOTA[[#This Row],[QTY]]*NOTA[[#This Row],[HARGA SATUAN]])</f>
        <v>63000000</v>
      </c>
      <c r="AI694" s="60">
        <f ca="1">IF(NOTA[ID_H]="","",INDEX(NOTA[TANGGAL],MATCH(,INDIRECT(ADDRESS(ROW(NOTA[TANGGAL]),COLUMN(NOTA[TANGGAL]))&amp;":"&amp;ADDRESS(ROW(),COLUMN(NOTA[TANGGAL]))),-1)))</f>
        <v>45313</v>
      </c>
      <c r="AJ694" s="55" t="str">
        <f ca="1">IF(NOTA[[#This Row],[NAMA BARANG]]="","",INDEX(NOTA[SUPPLIER],MATCH(,INDIRECT(ADDRESS(ROW(NOTA[ID]),COLUMN(NOTA[ID]))&amp;":"&amp;ADDRESS(ROW(),COLUMN(NOTA[ID]))),-1)))</f>
        <v>LESTARI</v>
      </c>
      <c r="AK694" s="55" t="str">
        <f ca="1">IF(NOTA[[#This Row],[ID_H]]="","",IF(NOTA[[#This Row],[FAKTUR]]="",INDIRECT(ADDRESS(ROW()-1,COLUMN())),NOTA[[#This Row],[FAKTUR]]))</f>
        <v>UNTANA</v>
      </c>
      <c r="AL694" s="56">
        <f ca="1">IF(NOTA[[#This Row],[ID]]="","",COUNTIF(NOTA[ID_H],NOTA[[#This Row],[ID_H]]))</f>
        <v>1</v>
      </c>
      <c r="AM694" s="56">
        <f>IF(NOTA[[#This Row],[TGL.NOTA]]="",IF(NOTA[[#This Row],[SUPPLIER_H]]="","",AM693),MONTH(NOTA[[#This Row],[TGL.NOTA]]))</f>
        <v>1</v>
      </c>
      <c r="AN694" s="56" t="str">
        <f>LOWER(SUBSTITUTE(SUBSTITUTE(SUBSTITUTE(SUBSTITUTE(SUBSTITUTE(SUBSTITUTE(SUBSTITUTE(SUBSTITUTE(SUBSTITUTE(NOTA[NAMA BARANG]," ",),".",""),"-",""),"(",""),")",""),",",""),"/",""),"""",""),"+",""))</f>
        <v>pianikabluelovelyk2799b</v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pianikabluelovelyk2799b900000</v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pianikabluelovelyk2799b900000</v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>LESTARIUNTANA45574845310pianikabluelovelyk2799b</v>
      </c>
      <c r="AR694" s="56" t="e">
        <f>IF(NOTA[[#This Row],[CONCAT4]]="","",_xlfn.IFNA(MATCH(NOTA[[#This Row],[CONCAT4]],[2]!RAW[CONCAT_H],0),FALSE))</f>
        <v>#REF!</v>
      </c>
      <c r="AS694" s="56">
        <f>IF(NOTA[[#This Row],[CONCAT1]]="","",MATCH(NOTA[[#This Row],[CONCAT1]],[3]!db[NB NOTA_C],0))</f>
        <v>2647</v>
      </c>
      <c r="AT694" s="56" t="b">
        <f>IF(NOTA[[#This Row],[QTY/ CTN]]="","",TRUE)</f>
        <v>1</v>
      </c>
      <c r="AU694" s="56" t="str">
        <f ca="1">IF(NOTA[[#This Row],[ID_H]]="","",IF(NOTA[[#This Row],[Column3]]=TRUE,NOTA[[#This Row],[QTY/ CTN]],INDEX([3]!db[QTY/ CTN],NOTA[[#This Row],[//DB]])))</f>
        <v>12 SET</v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pianikabluelovelyk2799b12setuntana</v>
      </c>
      <c r="AW694" s="56" t="e">
        <f ca="1">IF(NOTA[[#This Row],[ID_H]]="","",MATCH(NOTA[[#This Row],[NB NOTA_C_QTY]],[4]!db[NB NOTA_C_QTY+F],0))</f>
        <v>#REF!</v>
      </c>
      <c r="AX694" s="68">
        <f ca="1">IF(NOTA[[#This Row],[NB NOTA_C_QTY]]="","",ROW()-2)</f>
        <v>692</v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69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COM_2201_120-2</v>
      </c>
      <c r="C696" s="56" t="e">
        <f ca="1">IF(NOTA[[#This Row],[ID_P]]="","",MATCH(NOTA[[#This Row],[ID_P]],[1]!B_MSK[N_ID],0))</f>
        <v>#REF!</v>
      </c>
      <c r="D696" s="56">
        <f ca="1">IF(NOTA[[#This Row],[NAMA BARANG]]="","",INDEX(NOTA[ID],MATCH(,INDIRECT(ADDRESS(ROW(NOTA[ID]),COLUMN(NOTA[ID]))&amp;":"&amp;ADDRESS(ROW(),COLUMN(NOTA[ID]))),-1)))</f>
        <v>116</v>
      </c>
      <c r="E696" s="57">
        <v>45313</v>
      </c>
      <c r="F696" s="37" t="s">
        <v>114</v>
      </c>
      <c r="G696" s="37" t="s">
        <v>110</v>
      </c>
      <c r="H696" s="47" t="s">
        <v>772</v>
      </c>
      <c r="I696" s="58"/>
      <c r="J696" s="60">
        <v>45313</v>
      </c>
      <c r="K696" s="58">
        <v>0</v>
      </c>
      <c r="L696" s="37" t="s">
        <v>773</v>
      </c>
      <c r="M696" s="61"/>
      <c r="N696" s="56">
        <v>8</v>
      </c>
      <c r="O696" s="37" t="s">
        <v>111</v>
      </c>
      <c r="P696" s="55">
        <v>180000</v>
      </c>
      <c r="Q696" s="62"/>
      <c r="R696" s="48" t="s">
        <v>134</v>
      </c>
      <c r="S696" s="64"/>
      <c r="T696" s="65"/>
      <c r="U696" s="65"/>
      <c r="V696" s="66"/>
      <c r="W696" s="67"/>
      <c r="X696" s="66">
        <f>IF(NOTA[[#This Row],[HARGA/ CTN]]="",NOTA[[#This Row],[JUMLAH_H]],NOTA[[#This Row],[HARGA/ CTN]]*IF(NOTA[[#This Row],[C]]="",0,NOTA[[#This Row],[C]]))</f>
        <v>1440000</v>
      </c>
      <c r="Y696" s="66">
        <f>IF(NOTA[[#This Row],[JUMLAH]]="","",NOTA[[#This Row],[JUMLAH]]*NOTA[[#This Row],[DISC 1]])</f>
        <v>0</v>
      </c>
      <c r="Z696" s="66">
        <f>IF(NOTA[[#This Row],[JUMLAH]]="","",(NOTA[[#This Row],[JUMLAH]]-NOTA[[#This Row],[DISC 1-]])*NOTA[[#This Row],[DISC 2]])</f>
        <v>0</v>
      </c>
      <c r="AA696" s="66">
        <f>IF(NOTA[[#This Row],[JUMLAH]]="","",(NOTA[[#This Row],[JUMLAH]]-NOTA[[#This Row],[DISC 1-]]-NOTA[[#This Row],[DISC 2-]])*NOTA[[#This Row],[DISC 3]])</f>
        <v>0</v>
      </c>
      <c r="AB696" s="66">
        <f>IF(NOTA[[#This Row],[JUMLAH]]="","",NOTA[[#This Row],[DISC 1-]]+NOTA[[#This Row],[DISC 2-]]+NOTA[[#This Row],[DISC 3-]])</f>
        <v>0</v>
      </c>
      <c r="AC696" s="66">
        <f>IF(NOTA[[#This Row],[JUMLAH]]="","",NOTA[[#This Row],[JUMLAH]]-NOTA[[#This Row],[DISC]])</f>
        <v>1440000</v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96" s="66">
        <f>IF(OR(NOTA[[#This Row],[QTY]]="",NOTA[[#This Row],[HARGA SATUAN]]="",),"",NOTA[[#This Row],[QTY]]*NOTA[[#This Row],[HARGA SATUAN]])</f>
        <v>1440000</v>
      </c>
      <c r="AI696" s="60">
        <f ca="1">IF(NOTA[ID_H]="","",INDEX(NOTA[TANGGAL],MATCH(,INDIRECT(ADDRESS(ROW(NOTA[TANGGAL]),COLUMN(NOTA[TANGGAL]))&amp;":"&amp;ADDRESS(ROW(),COLUMN(NOTA[TANGGAL]))),-1)))</f>
        <v>45313</v>
      </c>
      <c r="AJ696" s="55" t="str">
        <f ca="1">IF(NOTA[[#This Row],[NAMA BARANG]]="","",INDEX(NOTA[SUPPLIER],MATCH(,INDIRECT(ADDRESS(ROW(NOTA[ID]),COLUMN(NOTA[ID]))&amp;":"&amp;ADDRESS(ROW(),COLUMN(NOTA[ID]))),-1)))</f>
        <v>COMBI</v>
      </c>
      <c r="AK696" s="55" t="str">
        <f ca="1">IF(NOTA[[#This Row],[ID_H]]="","",IF(NOTA[[#This Row],[FAKTUR]]="",INDIRECT(ADDRESS(ROW()-1,COLUMN())),NOTA[[#This Row],[FAKTUR]]))</f>
        <v>UNTANA</v>
      </c>
      <c r="AL696" s="56">
        <f ca="1">IF(NOTA[[#This Row],[ID]]="","",COUNTIF(NOTA[ID_H],NOTA[[#This Row],[ID_H]]))</f>
        <v>2</v>
      </c>
      <c r="AM696" s="56">
        <f>IF(NOTA[[#This Row],[TGL.NOTA]]="",IF(NOTA[[#This Row],[SUPPLIER_H]]="","",AM695),MONTH(NOTA[[#This Row],[TGL.NOTA]]))</f>
        <v>1</v>
      </c>
      <c r="AN696" s="56" t="str">
        <f>LOWER(SUBSTITUTE(SUBSTITUTE(SUBSTITUTE(SUBSTITUTE(SUBSTITUTE(SUBSTITUTE(SUBSTITUTE(SUBSTITUTE(SUBSTITUTE(NOTA[NAMA BARANG]," ",),".",""),"-",""),"(",""),")",""),",",""),"/",""),"""",""),"+",""))</f>
        <v>docritinfinity</v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COMBIUNTANA012045313docritinfinity</v>
      </c>
      <c r="AR696" s="56" t="e">
        <f>IF(NOTA[[#This Row],[CONCAT4]]="","",_xlfn.IFNA(MATCH(NOTA[[#This Row],[CONCAT4]],[2]!RAW[CONCAT_H],0),FALSE))</f>
        <v>#REF!</v>
      </c>
      <c r="AS696" s="56">
        <f>IF(NOTA[[#This Row],[CONCAT1]]="","",MATCH(NOTA[[#This Row],[CONCAT1]],[3]!db[NB NOTA_C],0))</f>
        <v>844</v>
      </c>
      <c r="AT696" s="56" t="b">
        <f>IF(NOTA[[#This Row],[QTY/ CTN]]="","",TRUE)</f>
        <v>1</v>
      </c>
      <c r="AU696" s="56" t="str">
        <f ca="1">IF(NOTA[[#This Row],[ID_H]]="","",IF(NOTA[[#This Row],[Column3]]=TRUE,NOTA[[#This Row],[QTY/ CTN]],INDEX([3]!db[QTY/ CTN],NOTA[[#This Row],[//DB]])))</f>
        <v>8 LSN</v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696" s="56" t="e">
        <f ca="1">IF(NOTA[[#This Row],[ID_H]]="","",MATCH(NOTA[[#This Row],[NB NOTA_C_QTY]],[4]!db[NB NOTA_C_QTY+F],0))</f>
        <v>#REF!</v>
      </c>
      <c r="AX696" s="68">
        <f ca="1">IF(NOTA[[#This Row],[NB NOTA_C_QTY]]="","",ROW()-2)</f>
        <v>694</v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>
        <f ca="1">IF(NOTA[[#This Row],[NAMA BARANG]]="","",INDEX(NOTA[ID],MATCH(,INDIRECT(ADDRESS(ROW(NOTA[ID]),COLUMN(NOTA[ID]))&amp;":"&amp;ADDRESS(ROW(),COLUMN(NOTA[ID]))),-1)))</f>
        <v>116</v>
      </c>
      <c r="E697" s="57"/>
      <c r="F697" s="58"/>
      <c r="G697" s="58"/>
      <c r="H697" s="59"/>
      <c r="I697" s="58"/>
      <c r="J697" s="60"/>
      <c r="K697" s="58">
        <v>0</v>
      </c>
      <c r="L697" s="37" t="s">
        <v>773</v>
      </c>
      <c r="M697" s="61"/>
      <c r="N697" s="56">
        <v>5</v>
      </c>
      <c r="O697" s="37" t="s">
        <v>111</v>
      </c>
      <c r="P697" s="55">
        <v>180000</v>
      </c>
      <c r="Q697" s="62"/>
      <c r="R697" s="48" t="s">
        <v>134</v>
      </c>
      <c r="S697" s="64"/>
      <c r="T697" s="65"/>
      <c r="U697" s="65"/>
      <c r="V697" s="66"/>
      <c r="W697" s="45" t="s">
        <v>774</v>
      </c>
      <c r="X697" s="66">
        <f>IF(NOTA[[#This Row],[HARGA/ CTN]]="",NOTA[[#This Row],[JUMLAH_H]],NOTA[[#This Row],[HARGA/ CTN]]*IF(NOTA[[#This Row],[C]]="",0,NOTA[[#This Row],[C]]))</f>
        <v>900000</v>
      </c>
      <c r="Y697" s="66">
        <f>IF(NOTA[[#This Row],[JUMLAH]]="","",NOTA[[#This Row],[JUMLAH]]*NOTA[[#This Row],[DISC 1]])</f>
        <v>0</v>
      </c>
      <c r="Z697" s="66">
        <f>IF(NOTA[[#This Row],[JUMLAH]]="","",(NOTA[[#This Row],[JUMLAH]]-NOTA[[#This Row],[DISC 1-]])*NOTA[[#This Row],[DISC 2]])</f>
        <v>0</v>
      </c>
      <c r="AA697" s="66">
        <f>IF(NOTA[[#This Row],[JUMLAH]]="","",(NOTA[[#This Row],[JUMLAH]]-NOTA[[#This Row],[DISC 1-]]-NOTA[[#This Row],[DISC 2-]])*NOTA[[#This Row],[DISC 3]])</f>
        <v>0</v>
      </c>
      <c r="AB697" s="66">
        <f>IF(NOTA[[#This Row],[JUMLAH]]="","",NOTA[[#This Row],[DISC 1-]]+NOTA[[#This Row],[DISC 2-]]+NOTA[[#This Row],[DISC 3-]])</f>
        <v>0</v>
      </c>
      <c r="AC697" s="66">
        <f>IF(NOTA[[#This Row],[JUMLAH]]="","",NOTA[[#This Row],[JUMLAH]]-NOTA[[#This Row],[DISC]])</f>
        <v>900000</v>
      </c>
      <c r="AD697" s="66"/>
      <c r="AE6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2340000</v>
      </c>
      <c r="AG697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97" s="66">
        <f>IF(OR(NOTA[[#This Row],[QTY]]="",NOTA[[#This Row],[HARGA SATUAN]]="",),"",NOTA[[#This Row],[QTY]]*NOTA[[#This Row],[HARGA SATUAN]])</f>
        <v>900000</v>
      </c>
      <c r="AI697" s="60">
        <f ca="1">IF(NOTA[ID_H]="","",INDEX(NOTA[TANGGAL],MATCH(,INDIRECT(ADDRESS(ROW(NOTA[TANGGAL]),COLUMN(NOTA[TANGGAL]))&amp;":"&amp;ADDRESS(ROW(),COLUMN(NOTA[TANGGAL]))),-1)))</f>
        <v>45313</v>
      </c>
      <c r="AJ697" s="55" t="str">
        <f ca="1">IF(NOTA[[#This Row],[NAMA BARANG]]="","",INDEX(NOTA[SUPPLIER],MATCH(,INDIRECT(ADDRESS(ROW(NOTA[ID]),COLUMN(NOTA[ID]))&amp;":"&amp;ADDRESS(ROW(),COLUMN(NOTA[ID]))),-1)))</f>
        <v>COMBI</v>
      </c>
      <c r="AK697" s="55" t="str">
        <f ca="1">IF(NOTA[[#This Row],[ID_H]]="","",IF(NOTA[[#This Row],[FAKTUR]]="",INDIRECT(ADDRESS(ROW()-1,COLUMN())),NOTA[[#This Row],[FAKTUR]]))</f>
        <v>UNTANA</v>
      </c>
      <c r="AL697" s="56" t="str">
        <f ca="1">IF(NOTA[[#This Row],[ID]]="","",COUNTIF(NOTA[ID_H],NOTA[[#This Row],[ID_H]]))</f>
        <v/>
      </c>
      <c r="AM697" s="56">
        <f ca="1">IF(NOTA[[#This Row],[TGL.NOTA]]="",IF(NOTA[[#This Row],[SUPPLIER_H]]="","",AM696),MONTH(NOTA[[#This Row],[TGL.NOTA]]))</f>
        <v>1</v>
      </c>
      <c r="AN697" s="56" t="str">
        <f>LOWER(SUBSTITUTE(SUBSTITUTE(SUBSTITUTE(SUBSTITUTE(SUBSTITUTE(SUBSTITUTE(SUBSTITUTE(SUBSTITUTE(SUBSTITUTE(NOTA[NAMA BARANG]," ",),".",""),"-",""),"(",""),")",""),",",""),"/",""),"""",""),"+",""))</f>
        <v>docritinfinity</v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docritinfinity900000</v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>
        <f>IF(NOTA[[#This Row],[CONCAT1]]="","",MATCH(NOTA[[#This Row],[CONCAT1]],[3]!db[NB NOTA_C],0))</f>
        <v>844</v>
      </c>
      <c r="AT697" s="56" t="b">
        <f>IF(NOTA[[#This Row],[QTY/ CTN]]="","",TRUE)</f>
        <v>1</v>
      </c>
      <c r="AU697" s="56" t="str">
        <f ca="1">IF(NOTA[[#This Row],[ID_H]]="","",IF(NOTA[[#This Row],[Column3]]=TRUE,NOTA[[#This Row],[QTY/ CTN]],INDEX([3]!db[QTY/ CTN],NOTA[[#This Row],[//DB]])))</f>
        <v>8 LSN</v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697" s="56" t="e">
        <f ca="1">IF(NOTA[[#This Row],[ID_H]]="","",MATCH(NOTA[[#This Row],[NB NOTA_C_QTY]],[4]!db[NB NOTA_C_QTY+F],0))</f>
        <v>#REF!</v>
      </c>
      <c r="AX697" s="68">
        <f ca="1">IF(NOTA[[#This Row],[NB NOTA_C_QTY]]="","",ROW()-2)</f>
        <v>695</v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69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DUT_2201_24C-4</v>
      </c>
      <c r="C699" s="56" t="e">
        <f ca="1">IF(NOTA[[#This Row],[ID_P]]="","",MATCH(NOTA[[#This Row],[ID_P]],[1]!B_MSK[N_ID],0))</f>
        <v>#REF!</v>
      </c>
      <c r="D699" s="56">
        <f ca="1">IF(NOTA[[#This Row],[NAMA BARANG]]="","",INDEX(NOTA[ID],MATCH(,INDIRECT(ADDRESS(ROW(NOTA[ID]),COLUMN(NOTA[ID]))&amp;":"&amp;ADDRESS(ROW(),COLUMN(NOTA[ID]))),-1)))</f>
        <v>117</v>
      </c>
      <c r="E699" s="57">
        <v>45313</v>
      </c>
      <c r="F699" s="37" t="s">
        <v>775</v>
      </c>
      <c r="G699" s="37" t="s">
        <v>110</v>
      </c>
      <c r="H699" s="47" t="s">
        <v>776</v>
      </c>
      <c r="I699" s="58"/>
      <c r="J699" s="60">
        <v>41659</v>
      </c>
      <c r="K699" s="58">
        <v>2</v>
      </c>
      <c r="L699" s="37" t="s">
        <v>777</v>
      </c>
      <c r="M699" s="61">
        <v>4</v>
      </c>
      <c r="N699" s="56">
        <v>384</v>
      </c>
      <c r="O699" s="37" t="s">
        <v>115</v>
      </c>
      <c r="P699" s="55">
        <v>20475</v>
      </c>
      <c r="Q699" s="62"/>
      <c r="R699" s="48" t="s">
        <v>449</v>
      </c>
      <c r="S699" s="64">
        <v>0.03</v>
      </c>
      <c r="T699" s="65"/>
      <c r="U699" s="65"/>
      <c r="V699" s="66"/>
      <c r="W699" s="67"/>
      <c r="X699" s="66">
        <f>IF(NOTA[[#This Row],[HARGA/ CTN]]="",NOTA[[#This Row],[JUMLAH_H]],NOTA[[#This Row],[HARGA/ CTN]]*IF(NOTA[[#This Row],[C]]="",0,NOTA[[#This Row],[C]]))</f>
        <v>7862400</v>
      </c>
      <c r="Y699" s="66">
        <f>IF(NOTA[[#This Row],[JUMLAH]]="","",NOTA[[#This Row],[JUMLAH]]*NOTA[[#This Row],[DISC 1]])</f>
        <v>235872</v>
      </c>
      <c r="Z699" s="66">
        <f>IF(NOTA[[#This Row],[JUMLAH]]="","",(NOTA[[#This Row],[JUMLAH]]-NOTA[[#This Row],[DISC 1-]])*NOTA[[#This Row],[DISC 2]])</f>
        <v>0</v>
      </c>
      <c r="AA699" s="66">
        <f>IF(NOTA[[#This Row],[JUMLAH]]="","",(NOTA[[#This Row],[JUMLAH]]-NOTA[[#This Row],[DISC 1-]]-NOTA[[#This Row],[DISC 2-]])*NOTA[[#This Row],[DISC 3]])</f>
        <v>0</v>
      </c>
      <c r="AB699" s="66">
        <f>IF(NOTA[[#This Row],[JUMLAH]]="","",NOTA[[#This Row],[DISC 1-]]+NOTA[[#This Row],[DISC 2-]]+NOTA[[#This Row],[DISC 3-]])</f>
        <v>235872</v>
      </c>
      <c r="AC699" s="66">
        <f>IF(NOTA[[#This Row],[JUMLAH]]="","",NOTA[[#This Row],[JUMLAH]]-NOTA[[#This Row],[DISC]])</f>
        <v>7626528</v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699" s="66">
        <f>IF(OR(NOTA[[#This Row],[QTY]]="",NOTA[[#This Row],[HARGA SATUAN]]="",),"",NOTA[[#This Row],[QTY]]*NOTA[[#This Row],[HARGA SATUAN]])</f>
        <v>7862400</v>
      </c>
      <c r="AI699" s="60">
        <f ca="1">IF(NOTA[ID_H]="","",INDEX(NOTA[TANGGAL],MATCH(,INDIRECT(ADDRESS(ROW(NOTA[TANGGAL]),COLUMN(NOTA[TANGGAL]))&amp;":"&amp;ADDRESS(ROW(),COLUMN(NOTA[TANGGAL]))),-1)))</f>
        <v>45313</v>
      </c>
      <c r="AJ699" s="55" t="str">
        <f ca="1">IF(NOTA[[#This Row],[NAMA BARANG]]="","",INDEX(NOTA[SUPPLIER],MATCH(,INDIRECT(ADDRESS(ROW(NOTA[ID]),COLUMN(NOTA[ID]))&amp;":"&amp;ADDRESS(ROW(),COLUMN(NOTA[ID]))),-1)))</f>
        <v>DUTA BAHAGIA</v>
      </c>
      <c r="AK699" s="55" t="str">
        <f ca="1">IF(NOTA[[#This Row],[ID_H]]="","",IF(NOTA[[#This Row],[FAKTUR]]="",INDIRECT(ADDRESS(ROW()-1,COLUMN())),NOTA[[#This Row],[FAKTUR]]))</f>
        <v>UNTANA</v>
      </c>
      <c r="AL699" s="56">
        <f ca="1">IF(NOTA[[#This Row],[ID]]="","",COUNTIF(NOTA[ID_H],NOTA[[#This Row],[ID_H]]))</f>
        <v>4</v>
      </c>
      <c r="AM699" s="56">
        <f>IF(NOTA[[#This Row],[TGL.NOTA]]="",IF(NOTA[[#This Row],[SUPPLIER_H]]="","",AM698),MONTH(NOTA[[#This Row],[TGL.NOTA]]))</f>
        <v>1</v>
      </c>
      <c r="AN699" s="56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bindernotefphy001a56019656000.03</v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bindernotefphy001a56019656000.03</v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BAHAGIAUNTANADHM/012/01-24C41659bindernotefphy001a560</v>
      </c>
      <c r="AR699" s="56" t="e">
        <f>IF(NOTA[[#This Row],[CONCAT4]]="","",_xlfn.IFNA(MATCH(NOTA[[#This Row],[CONCAT4]],[2]!RAW[CONCAT_H],0),FALSE))</f>
        <v>#REF!</v>
      </c>
      <c r="AS699" s="56">
        <f>IF(NOTA[[#This Row],[CONCAT1]]="","",MATCH(NOTA[[#This Row],[CONCAT1]],[3]!db[NB NOTA_C],0))</f>
        <v>342</v>
      </c>
      <c r="AT699" s="56" t="b">
        <f>IF(NOTA[[#This Row],[QTY/ CTN]]="","",TRUE)</f>
        <v>1</v>
      </c>
      <c r="AU699" s="56" t="str">
        <f ca="1">IF(NOTA[[#This Row],[ID_H]]="","",IF(NOTA[[#This Row],[Column3]]=TRUE,NOTA[[#This Row],[QTY/ CTN]],INDEX([3]!db[QTY/ CTN],NOTA[[#This Row],[//DB]])))</f>
        <v>96 PCS</v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bindernotefphy001a56096pcsuntana</v>
      </c>
      <c r="AW699" s="56" t="e">
        <f ca="1">IF(NOTA[[#This Row],[ID_H]]="","",MATCH(NOTA[[#This Row],[NB NOTA_C_QTY]],[4]!db[NB NOTA_C_QTY+F],0))</f>
        <v>#REF!</v>
      </c>
      <c r="AX699" s="68">
        <f ca="1">IF(NOTA[[#This Row],[NB NOTA_C_QTY]]="","",ROW()-2)</f>
        <v>697</v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>
        <f ca="1">IF(NOTA[[#This Row],[NAMA BARANG]]="","",INDEX(NOTA[ID],MATCH(,INDIRECT(ADDRESS(ROW(NOTA[ID]),COLUMN(NOTA[ID]))&amp;":"&amp;ADDRESS(ROW(),COLUMN(NOTA[ID]))),-1)))</f>
        <v>117</v>
      </c>
      <c r="E700" s="57"/>
      <c r="F700" s="58"/>
      <c r="G700" s="58"/>
      <c r="H700" s="59"/>
      <c r="I700" s="58"/>
      <c r="J700" s="60"/>
      <c r="K700" s="58">
        <v>1</v>
      </c>
      <c r="L700" s="37" t="s">
        <v>778</v>
      </c>
      <c r="M700" s="61">
        <v>5</v>
      </c>
      <c r="N700" s="56">
        <v>480</v>
      </c>
      <c r="O700" s="37" t="s">
        <v>115</v>
      </c>
      <c r="P700" s="55">
        <v>20475</v>
      </c>
      <c r="Q700" s="62"/>
      <c r="R700" s="48" t="s">
        <v>449</v>
      </c>
      <c r="S700" s="64">
        <v>0.03</v>
      </c>
      <c r="T700" s="65"/>
      <c r="U700" s="65"/>
      <c r="V700" s="66"/>
      <c r="W700" s="67"/>
      <c r="X700" s="66">
        <f>IF(NOTA[[#This Row],[HARGA/ CTN]]="",NOTA[[#This Row],[JUMLAH_H]],NOTA[[#This Row],[HARGA/ CTN]]*IF(NOTA[[#This Row],[C]]="",0,NOTA[[#This Row],[C]]))</f>
        <v>9828000</v>
      </c>
      <c r="Y700" s="66">
        <f>IF(NOTA[[#This Row],[JUMLAH]]="","",NOTA[[#This Row],[JUMLAH]]*NOTA[[#This Row],[DISC 1]])</f>
        <v>294840</v>
      </c>
      <c r="Z700" s="66">
        <f>IF(NOTA[[#This Row],[JUMLAH]]="","",(NOTA[[#This Row],[JUMLAH]]-NOTA[[#This Row],[DISC 1-]])*NOTA[[#This Row],[DISC 2]])</f>
        <v>0</v>
      </c>
      <c r="AA700" s="66">
        <f>IF(NOTA[[#This Row],[JUMLAH]]="","",(NOTA[[#This Row],[JUMLAH]]-NOTA[[#This Row],[DISC 1-]]-NOTA[[#This Row],[DISC 2-]])*NOTA[[#This Row],[DISC 3]])</f>
        <v>0</v>
      </c>
      <c r="AB700" s="66">
        <f>IF(NOTA[[#This Row],[JUMLAH]]="","",NOTA[[#This Row],[DISC 1-]]+NOTA[[#This Row],[DISC 2-]]+NOTA[[#This Row],[DISC 3-]])</f>
        <v>294840</v>
      </c>
      <c r="AC700" s="66">
        <f>IF(NOTA[[#This Row],[JUMLAH]]="","",NOTA[[#This Row],[JUMLAH]]-NOTA[[#This Row],[DISC]])</f>
        <v>9533160</v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700" s="66">
        <f>IF(OR(NOTA[[#This Row],[QTY]]="",NOTA[[#This Row],[HARGA SATUAN]]="",),"",NOTA[[#This Row],[QTY]]*NOTA[[#This Row],[HARGA SATUAN]])</f>
        <v>9828000</v>
      </c>
      <c r="AI700" s="60">
        <f ca="1">IF(NOTA[ID_H]="","",INDEX(NOTA[TANGGAL],MATCH(,INDIRECT(ADDRESS(ROW(NOTA[TANGGAL]),COLUMN(NOTA[TANGGAL]))&amp;":"&amp;ADDRESS(ROW(),COLUMN(NOTA[TANGGAL]))),-1)))</f>
        <v>45313</v>
      </c>
      <c r="AJ700" s="55" t="str">
        <f ca="1">IF(NOTA[[#This Row],[NAMA BARANG]]="","",INDEX(NOTA[SUPPLIER],MATCH(,INDIRECT(ADDRESS(ROW(NOTA[ID]),COLUMN(NOTA[ID]))&amp;":"&amp;ADDRESS(ROW(),COLUMN(NOTA[ID]))),-1)))</f>
        <v>DUTA BAHAGIA</v>
      </c>
      <c r="AK700" s="55" t="str">
        <f ca="1">IF(NOTA[[#This Row],[ID_H]]="","",IF(NOTA[[#This Row],[FAKTUR]]="",INDIRECT(ADDRESS(ROW()-1,COLUMN())),NOTA[[#This Row],[FAKTUR]]))</f>
        <v>UNTANA</v>
      </c>
      <c r="AL700" s="56" t="str">
        <f ca="1">IF(NOTA[[#This Row],[ID]]="","",COUNTIF(NOTA[ID_H],NOTA[[#This Row],[ID_H]]))</f>
        <v/>
      </c>
      <c r="AM700" s="56">
        <f ca="1">IF(NOTA[[#This Row],[TGL.NOTA]]="",IF(NOTA[[#This Row],[SUPPLIER_H]]="","",AM699),MONTH(NOTA[[#This Row],[TGL.NOTA]]))</f>
        <v>1</v>
      </c>
      <c r="AN700" s="56" t="str">
        <f>LOWER(SUBSTITUTE(SUBSTITUTE(SUBSTITUTE(SUBSTITUTE(SUBSTITUTE(SUBSTITUTE(SUBSTITUTE(SUBSTITUTE(SUBSTITUTE(NOTA[NAMA BARANG]," ",),".",""),"-",""),"(",""),")",""),",",""),"/",""),"""",""),"+",""))</f>
        <v>bindernotefphy002a560</v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bindernotefphy002a56019656000.03</v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bindernotefphy002a56019656000.03</v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>
        <f>IF(NOTA[[#This Row],[CONCAT1]]="","",MATCH(NOTA[[#This Row],[CONCAT1]],[3]!db[NB NOTA_C],0))</f>
        <v>344</v>
      </c>
      <c r="AT700" s="56" t="b">
        <f>IF(NOTA[[#This Row],[QTY/ CTN]]="","",TRUE)</f>
        <v>1</v>
      </c>
      <c r="AU700" s="56" t="str">
        <f ca="1">IF(NOTA[[#This Row],[ID_H]]="","",IF(NOTA[[#This Row],[Column3]]=TRUE,NOTA[[#This Row],[QTY/ CTN]],INDEX([3]!db[QTY/ CTN],NOTA[[#This Row],[//DB]])))</f>
        <v>96 PCS</v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bindernotefphy002a56096pcsuntana</v>
      </c>
      <c r="AW700" s="56" t="e">
        <f ca="1">IF(NOTA[[#This Row],[ID_H]]="","",MATCH(NOTA[[#This Row],[NB NOTA_C_QTY]],[4]!db[NB NOTA_C_QTY+F],0))</f>
        <v>#REF!</v>
      </c>
      <c r="AX700" s="68">
        <f ca="1">IF(NOTA[[#This Row],[NB NOTA_C_QTY]]="","",ROW()-2)</f>
        <v>698</v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>
        <f ca="1">IF(NOTA[[#This Row],[NAMA BARANG]]="","",INDEX(NOTA[ID],MATCH(,INDIRECT(ADDRESS(ROW(NOTA[ID]),COLUMN(NOTA[ID]))&amp;":"&amp;ADDRESS(ROW(),COLUMN(NOTA[ID]))),-1)))</f>
        <v>117</v>
      </c>
      <c r="E701" s="57"/>
      <c r="F701" s="58"/>
      <c r="G701" s="58"/>
      <c r="H701" s="59"/>
      <c r="I701" s="58"/>
      <c r="J701" s="60"/>
      <c r="K701" s="58">
        <v>2</v>
      </c>
      <c r="L701" s="37" t="s">
        <v>780</v>
      </c>
      <c r="M701" s="61">
        <v>3</v>
      </c>
      <c r="N701" s="56">
        <v>216</v>
      </c>
      <c r="O701" s="37" t="s">
        <v>115</v>
      </c>
      <c r="P701" s="55">
        <v>27300</v>
      </c>
      <c r="Q701" s="62"/>
      <c r="R701" s="48" t="s">
        <v>779</v>
      </c>
      <c r="S701" s="64">
        <v>0.03</v>
      </c>
      <c r="T701" s="65"/>
      <c r="U701" s="65"/>
      <c r="V701" s="66"/>
      <c r="W701" s="67"/>
      <c r="X701" s="66">
        <f>IF(NOTA[[#This Row],[HARGA/ CTN]]="",NOTA[[#This Row],[JUMLAH_H]],NOTA[[#This Row],[HARGA/ CTN]]*IF(NOTA[[#This Row],[C]]="",0,NOTA[[#This Row],[C]]))</f>
        <v>5896800</v>
      </c>
      <c r="Y701" s="66">
        <f>IF(NOTA[[#This Row],[JUMLAH]]="","",NOTA[[#This Row],[JUMLAH]]*NOTA[[#This Row],[DISC 1]])</f>
        <v>176904</v>
      </c>
      <c r="Z701" s="66">
        <f>IF(NOTA[[#This Row],[JUMLAH]]="","",(NOTA[[#This Row],[JUMLAH]]-NOTA[[#This Row],[DISC 1-]])*NOTA[[#This Row],[DISC 2]])</f>
        <v>0</v>
      </c>
      <c r="AA701" s="66">
        <f>IF(NOTA[[#This Row],[JUMLAH]]="","",(NOTA[[#This Row],[JUMLAH]]-NOTA[[#This Row],[DISC 1-]]-NOTA[[#This Row],[DISC 2-]])*NOTA[[#This Row],[DISC 3]])</f>
        <v>0</v>
      </c>
      <c r="AB701" s="66">
        <f>IF(NOTA[[#This Row],[JUMLAH]]="","",NOTA[[#This Row],[DISC 1-]]+NOTA[[#This Row],[DISC 2-]]+NOTA[[#This Row],[DISC 3-]])</f>
        <v>176904</v>
      </c>
      <c r="AC701" s="66">
        <f>IF(NOTA[[#This Row],[JUMLAH]]="","",NOTA[[#This Row],[JUMLAH]]-NOTA[[#This Row],[DISC]])</f>
        <v>5719896</v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701" s="66">
        <f>IF(OR(NOTA[[#This Row],[QTY]]="",NOTA[[#This Row],[HARGA SATUAN]]="",),"",NOTA[[#This Row],[QTY]]*NOTA[[#This Row],[HARGA SATUAN]])</f>
        <v>5896800</v>
      </c>
      <c r="AI701" s="60">
        <f ca="1">IF(NOTA[ID_H]="","",INDEX(NOTA[TANGGAL],MATCH(,INDIRECT(ADDRESS(ROW(NOTA[TANGGAL]),COLUMN(NOTA[TANGGAL]))&amp;":"&amp;ADDRESS(ROW(),COLUMN(NOTA[TANGGAL]))),-1)))</f>
        <v>45313</v>
      </c>
      <c r="AJ701" s="55" t="str">
        <f ca="1">IF(NOTA[[#This Row],[NAMA BARANG]]="","",INDEX(NOTA[SUPPLIER],MATCH(,INDIRECT(ADDRESS(ROW(NOTA[ID]),COLUMN(NOTA[ID]))&amp;":"&amp;ADDRESS(ROW(),COLUMN(NOTA[ID]))),-1)))</f>
        <v>DUTA BAHAGIA</v>
      </c>
      <c r="AK701" s="55" t="str">
        <f ca="1">IF(NOTA[[#This Row],[ID_H]]="","",IF(NOTA[[#This Row],[FAKTUR]]="",INDIRECT(ADDRESS(ROW()-1,COLUMN())),NOTA[[#This Row],[FAKTUR]]))</f>
        <v>UNTANA</v>
      </c>
      <c r="AL701" s="56" t="str">
        <f ca="1">IF(NOTA[[#This Row],[ID]]="","",COUNTIF(NOTA[ID_H],NOTA[[#This Row],[ID_H]]))</f>
        <v/>
      </c>
      <c r="AM701" s="56">
        <f ca="1">IF(NOTA[[#This Row],[TGL.NOTA]]="",IF(NOTA[[#This Row],[SUPPLIER_H]]="","",AM700),MONTH(NOTA[[#This Row],[TGL.NOTA]]))</f>
        <v>1</v>
      </c>
      <c r="AN701" s="56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bindernotefphy001b56019656000.03</v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bindernotefphy001b56019656000.03</v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>
        <f>IF(NOTA[[#This Row],[CONCAT1]]="","",MATCH(NOTA[[#This Row],[CONCAT1]],[3]!db[NB NOTA_C],0))</f>
        <v>343</v>
      </c>
      <c r="AT701" s="56" t="b">
        <f>IF(NOTA[[#This Row],[QTY/ CTN]]="","",TRUE)</f>
        <v>1</v>
      </c>
      <c r="AU701" s="56" t="str">
        <f ca="1">IF(NOTA[[#This Row],[ID_H]]="","",IF(NOTA[[#This Row],[Column3]]=TRUE,NOTA[[#This Row],[QTY/ CTN]],INDEX([3]!db[QTY/ CTN],NOTA[[#This Row],[//DB]])))</f>
        <v>72 PCS</v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bindernotefphy001b56072pcsuntana</v>
      </c>
      <c r="AW701" s="56" t="e">
        <f ca="1">IF(NOTA[[#This Row],[ID_H]]="","",MATCH(NOTA[[#This Row],[NB NOTA_C_QTY]],[4]!db[NB NOTA_C_QTY+F],0))</f>
        <v>#REF!</v>
      </c>
      <c r="AX701" s="68">
        <f ca="1">IF(NOTA[[#This Row],[NB NOTA_C_QTY]]="","",ROW()-2)</f>
        <v>699</v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>
        <f ca="1">IF(NOTA[[#This Row],[NAMA BARANG]]="","",INDEX(NOTA[ID],MATCH(,INDIRECT(ADDRESS(ROW(NOTA[ID]),COLUMN(NOTA[ID]))&amp;":"&amp;ADDRESS(ROW(),COLUMN(NOTA[ID]))),-1)))</f>
        <v>117</v>
      </c>
      <c r="E702" s="57"/>
      <c r="F702" s="58"/>
      <c r="G702" s="58"/>
      <c r="H702" s="59"/>
      <c r="I702" s="58"/>
      <c r="J702" s="60"/>
      <c r="K702" s="58">
        <v>1</v>
      </c>
      <c r="L702" s="37" t="s">
        <v>781</v>
      </c>
      <c r="M702" s="61">
        <v>3</v>
      </c>
      <c r="N702" s="56">
        <v>216</v>
      </c>
      <c r="O702" s="37" t="s">
        <v>115</v>
      </c>
      <c r="P702" s="55">
        <v>27300</v>
      </c>
      <c r="Q702" s="62"/>
      <c r="R702" s="48" t="s">
        <v>779</v>
      </c>
      <c r="S702" s="64">
        <v>0.03</v>
      </c>
      <c r="T702" s="65"/>
      <c r="U702" s="65"/>
      <c r="V702" s="66"/>
      <c r="W702" s="67"/>
      <c r="X702" s="66">
        <f>IF(NOTA[[#This Row],[HARGA/ CTN]]="",NOTA[[#This Row],[JUMLAH_H]],NOTA[[#This Row],[HARGA/ CTN]]*IF(NOTA[[#This Row],[C]]="",0,NOTA[[#This Row],[C]]))</f>
        <v>5896800</v>
      </c>
      <c r="Y702" s="66">
        <f>IF(NOTA[[#This Row],[JUMLAH]]="","",NOTA[[#This Row],[JUMLAH]]*NOTA[[#This Row],[DISC 1]])</f>
        <v>176904</v>
      </c>
      <c r="Z702" s="66">
        <f>IF(NOTA[[#This Row],[JUMLAH]]="","",(NOTA[[#This Row],[JUMLAH]]-NOTA[[#This Row],[DISC 1-]])*NOTA[[#This Row],[DISC 2]])</f>
        <v>0</v>
      </c>
      <c r="AA702" s="66">
        <f>IF(NOTA[[#This Row],[JUMLAH]]="","",(NOTA[[#This Row],[JUMLAH]]-NOTA[[#This Row],[DISC 1-]]-NOTA[[#This Row],[DISC 2-]])*NOTA[[#This Row],[DISC 3]])</f>
        <v>0</v>
      </c>
      <c r="AB702" s="66">
        <f>IF(NOTA[[#This Row],[JUMLAH]]="","",NOTA[[#This Row],[DISC 1-]]+NOTA[[#This Row],[DISC 2-]]+NOTA[[#This Row],[DISC 3-]])</f>
        <v>176904</v>
      </c>
      <c r="AC702" s="66">
        <f>IF(NOTA[[#This Row],[JUMLAH]]="","",NOTA[[#This Row],[JUMLAH]]-NOTA[[#This Row],[DISC]])</f>
        <v>5719896</v>
      </c>
      <c r="AD702" s="66"/>
      <c r="AE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884520</v>
      </c>
      <c r="AF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28599480</v>
      </c>
      <c r="AG702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702" s="66">
        <f>IF(OR(NOTA[[#This Row],[QTY]]="",NOTA[[#This Row],[HARGA SATUAN]]="",),"",NOTA[[#This Row],[QTY]]*NOTA[[#This Row],[HARGA SATUAN]])</f>
        <v>5896800</v>
      </c>
      <c r="AI702" s="60">
        <f ca="1">IF(NOTA[ID_H]="","",INDEX(NOTA[TANGGAL],MATCH(,INDIRECT(ADDRESS(ROW(NOTA[TANGGAL]),COLUMN(NOTA[TANGGAL]))&amp;":"&amp;ADDRESS(ROW(),COLUMN(NOTA[TANGGAL]))),-1)))</f>
        <v>45313</v>
      </c>
      <c r="AJ702" s="55" t="str">
        <f ca="1">IF(NOTA[[#This Row],[NAMA BARANG]]="","",INDEX(NOTA[SUPPLIER],MATCH(,INDIRECT(ADDRESS(ROW(NOTA[ID]),COLUMN(NOTA[ID]))&amp;":"&amp;ADDRESS(ROW(),COLUMN(NOTA[ID]))),-1)))</f>
        <v>DUTA BAHAGIA</v>
      </c>
      <c r="AK702" s="55" t="str">
        <f ca="1">IF(NOTA[[#This Row],[ID_H]]="","",IF(NOTA[[#This Row],[FAKTUR]]="",INDIRECT(ADDRESS(ROW()-1,COLUMN())),NOTA[[#This Row],[FAKTUR]]))</f>
        <v>UNTANA</v>
      </c>
      <c r="AL702" s="56" t="str">
        <f ca="1">IF(NOTA[[#This Row],[ID]]="","",COUNTIF(NOTA[ID_H],NOTA[[#This Row],[ID_H]]))</f>
        <v/>
      </c>
      <c r="AM702" s="56">
        <f ca="1">IF(NOTA[[#This Row],[TGL.NOTA]]="",IF(NOTA[[#This Row],[SUPPLIER_H]]="","",AM701),MONTH(NOTA[[#This Row],[TGL.NOTA]]))</f>
        <v>1</v>
      </c>
      <c r="AN702" s="56" t="str">
        <f>LOWER(SUBSTITUTE(SUBSTITUTE(SUBSTITUTE(SUBSTITUTE(SUBSTITUTE(SUBSTITUTE(SUBSTITUTE(SUBSTITUTE(SUBSTITUTE(NOTA[NAMA BARANG]," ",),".",""),"-",""),"(",""),")",""),",",""),"/",""),"""",""),"+",""))</f>
        <v>bindernotefphy002b560</v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bindernotefphy002b56019656000.03</v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bindernotefphy002b56019656000.03</v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>
        <f>IF(NOTA[[#This Row],[CONCAT1]]="","",MATCH(NOTA[[#This Row],[CONCAT1]],[3]!db[NB NOTA_C],0))</f>
        <v>345</v>
      </c>
      <c r="AT702" s="56" t="b">
        <f>IF(NOTA[[#This Row],[QTY/ CTN]]="","",TRUE)</f>
        <v>1</v>
      </c>
      <c r="AU702" s="56" t="str">
        <f ca="1">IF(NOTA[[#This Row],[ID_H]]="","",IF(NOTA[[#This Row],[Column3]]=TRUE,NOTA[[#This Row],[QTY/ CTN]],INDEX([3]!db[QTY/ CTN],NOTA[[#This Row],[//DB]])))</f>
        <v>72 PCS</v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bindernotefphy002b56072pcsuntana</v>
      </c>
      <c r="AW702" s="56" t="e">
        <f ca="1">IF(NOTA[[#This Row],[ID_H]]="","",MATCH(NOTA[[#This Row],[NB NOTA_C_QTY]],[4]!db[NB NOTA_C_QTY+F],0))</f>
        <v>#REF!</v>
      </c>
      <c r="AX702" s="68">
        <f ca="1">IF(NOTA[[#This Row],[NB NOTA_C_QTY]]="","",ROW()-2)</f>
        <v>700</v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70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PMJ_2501_779-9</v>
      </c>
      <c r="C704" s="56" t="e">
        <f ca="1">IF(NOTA[[#This Row],[ID_P]]="","",MATCH(NOTA[[#This Row],[ID_P]],[1]!B_MSK[N_ID],0))</f>
        <v>#REF!</v>
      </c>
      <c r="D704" s="56">
        <f ca="1">IF(NOTA[[#This Row],[NAMA BARANG]]="","",INDEX(NOTA[ID],MATCH(,INDIRECT(ADDRESS(ROW(NOTA[ID]),COLUMN(NOTA[ID]))&amp;":"&amp;ADDRESS(ROW(),COLUMN(NOTA[ID]))),-1)))</f>
        <v>118</v>
      </c>
      <c r="E704" s="57">
        <v>45316</v>
      </c>
      <c r="F704" s="37" t="s">
        <v>714</v>
      </c>
      <c r="G704" s="37" t="s">
        <v>110</v>
      </c>
      <c r="H704" s="47" t="s">
        <v>782</v>
      </c>
      <c r="I704" s="58"/>
      <c r="J704" s="60">
        <v>45308</v>
      </c>
      <c r="K704" s="58">
        <v>1</v>
      </c>
      <c r="L704" s="37" t="s">
        <v>783</v>
      </c>
      <c r="M704" s="61">
        <v>10</v>
      </c>
      <c r="N704" s="56">
        <v>1200</v>
      </c>
      <c r="O704" s="37" t="s">
        <v>115</v>
      </c>
      <c r="P704" s="55">
        <v>15750</v>
      </c>
      <c r="Q704" s="62"/>
      <c r="R704" s="48" t="s">
        <v>784</v>
      </c>
      <c r="S704" s="64"/>
      <c r="T704" s="65"/>
      <c r="U704" s="65"/>
      <c r="V704" s="66"/>
      <c r="W704" s="67"/>
      <c r="X704" s="66">
        <f>IF(NOTA[[#This Row],[HARGA/ CTN]]="",NOTA[[#This Row],[JUMLAH_H]],NOTA[[#This Row],[HARGA/ CTN]]*IF(NOTA[[#This Row],[C]]="",0,NOTA[[#This Row],[C]]))</f>
        <v>18900000</v>
      </c>
      <c r="Y704" s="66">
        <f>IF(NOTA[[#This Row],[JUMLAH]]="","",NOTA[[#This Row],[JUMLAH]]*NOTA[[#This Row],[DISC 1]])</f>
        <v>0</v>
      </c>
      <c r="Z704" s="66">
        <f>IF(NOTA[[#This Row],[JUMLAH]]="","",(NOTA[[#This Row],[JUMLAH]]-NOTA[[#This Row],[DISC 1-]])*NOTA[[#This Row],[DISC 2]])</f>
        <v>0</v>
      </c>
      <c r="AA704" s="66">
        <f>IF(NOTA[[#This Row],[JUMLAH]]="","",(NOTA[[#This Row],[JUMLAH]]-NOTA[[#This Row],[DISC 1-]]-NOTA[[#This Row],[DISC 2-]])*NOTA[[#This Row],[DISC 3]])</f>
        <v>0</v>
      </c>
      <c r="AB704" s="66">
        <f>IF(NOTA[[#This Row],[JUMLAH]]="","",NOTA[[#This Row],[DISC 1-]]+NOTA[[#This Row],[DISC 2-]]+NOTA[[#This Row],[DISC 3-]])</f>
        <v>0</v>
      </c>
      <c r="AC704" s="66">
        <f>IF(NOTA[[#This Row],[JUMLAH]]="","",NOTA[[#This Row],[JUMLAH]]-NOTA[[#This Row],[DISC]])</f>
        <v>18900000</v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H704" s="66">
        <f>IF(OR(NOTA[[#This Row],[QTY]]="",NOTA[[#This Row],[HARGA SATUAN]]="",),"",NOTA[[#This Row],[QTY]]*NOTA[[#This Row],[HARGA SATUAN]])</f>
        <v>18900000</v>
      </c>
      <c r="AI704" s="60">
        <f ca="1">IF(NOTA[ID_H]="","",INDEX(NOTA[TANGGAL],MATCH(,INDIRECT(ADDRESS(ROW(NOTA[TANGGAL]),COLUMN(NOTA[TANGGAL]))&amp;":"&amp;ADDRESS(ROW(),COLUMN(NOTA[TANGGAL]))),-1)))</f>
        <v>45316</v>
      </c>
      <c r="AJ704" s="55" t="str">
        <f ca="1">IF(NOTA[[#This Row],[NAMA BARANG]]="","",INDEX(NOTA[SUPPLIER],MATCH(,INDIRECT(ADDRESS(ROW(NOTA[ID]),COLUMN(NOTA[ID]))&amp;":"&amp;ADDRESS(ROW(),COLUMN(NOTA[ID]))),-1)))</f>
        <v>PMJP</v>
      </c>
      <c r="AK704" s="55" t="str">
        <f ca="1">IF(NOTA[[#This Row],[ID_H]]="","",IF(NOTA[[#This Row],[FAKTUR]]="",INDIRECT(ADDRESS(ROW()-1,COLUMN())),NOTA[[#This Row],[FAKTUR]]))</f>
        <v>UNTANA</v>
      </c>
      <c r="AL704" s="56">
        <f ca="1">IF(NOTA[[#This Row],[ID]]="","",COUNTIF(NOTA[ID_H],NOTA[[#This Row],[ID_H]]))</f>
        <v>9</v>
      </c>
      <c r="AM704" s="56">
        <f>IF(NOTA[[#This Row],[TGL.NOTA]]="",IF(NOTA[[#This Row],[SUPPLIER_H]]="","",AM703),MONTH(NOTA[[#This Row],[TGL.NOTA]]))</f>
        <v>1</v>
      </c>
      <c r="AN704" s="56" t="str">
        <f>LOWER(SUBSTITUTE(SUBSTITUTE(SUBSTITUTE(SUBSTITUTE(SUBSTITUTE(SUBSTITUTE(SUBSTITUTE(SUBSTITUTE(SUBSTITUTE(NOTA[NAMA BARANG]," ",),".",""),"-",""),"(",""),")",""),",",""),"/",""),"""",""),"+",""))</f>
        <v>pcaseb233</v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pcaseb2331890000</v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pcaseb2331890000</v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>PMJPUNTANA0277945308pcaseb233</v>
      </c>
      <c r="AR704" s="56" t="e">
        <f>IF(NOTA[[#This Row],[CONCAT4]]="","",_xlfn.IFNA(MATCH(NOTA[[#This Row],[CONCAT4]],[2]!RAW[CONCAT_H],0),FALSE))</f>
        <v>#REF!</v>
      </c>
      <c r="AS704" s="56">
        <f>IF(NOTA[[#This Row],[CONCAT1]]="","",MATCH(NOTA[[#This Row],[CONCAT1]],[3]!db[NB NOTA_C],0))</f>
        <v>2214</v>
      </c>
      <c r="AT704" s="56" t="b">
        <f>IF(NOTA[[#This Row],[QTY/ CTN]]="","",TRUE)</f>
        <v>1</v>
      </c>
      <c r="AU704" s="56" t="str">
        <f ca="1">IF(NOTA[[#This Row],[ID_H]]="","",IF(NOTA[[#This Row],[Column3]]=TRUE,NOTA[[#This Row],[QTY/ CTN]],INDEX([3]!db[QTY/ CTN],NOTA[[#This Row],[//DB]])))</f>
        <v>120 PCS</v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pcaseb233120pcsuntana</v>
      </c>
      <c r="AW704" s="56" t="e">
        <f ca="1">IF(NOTA[[#This Row],[ID_H]]="","",MATCH(NOTA[[#This Row],[NB NOTA_C_QTY]],[4]!db[NB NOTA_C_QTY+F],0))</f>
        <v>#REF!</v>
      </c>
      <c r="AX704" s="68">
        <f ca="1">IF(NOTA[[#This Row],[NB NOTA_C_QTY]]="","",ROW()-2)</f>
        <v>702</v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>
        <f ca="1">IF(NOTA[[#This Row],[NAMA BARANG]]="","",INDEX(NOTA[ID],MATCH(,INDIRECT(ADDRESS(ROW(NOTA[ID]),COLUMN(NOTA[ID]))&amp;":"&amp;ADDRESS(ROW(),COLUMN(NOTA[ID]))),-1)))</f>
        <v>118</v>
      </c>
      <c r="E705" s="57"/>
      <c r="F705" s="58"/>
      <c r="G705" s="58"/>
      <c r="H705" s="59"/>
      <c r="I705" s="58"/>
      <c r="J705" s="60"/>
      <c r="K705" s="58"/>
      <c r="L705" s="37" t="s">
        <v>785</v>
      </c>
      <c r="M705" s="61">
        <v>1</v>
      </c>
      <c r="N705" s="56">
        <v>144</v>
      </c>
      <c r="O705" s="37" t="s">
        <v>111</v>
      </c>
      <c r="P705" s="55">
        <v>22000</v>
      </c>
      <c r="Q705" s="62"/>
      <c r="R705" s="48" t="s">
        <v>597</v>
      </c>
      <c r="S705" s="64"/>
      <c r="T705" s="65"/>
      <c r="U705" s="65"/>
      <c r="V705" s="66"/>
      <c r="W705" s="67"/>
      <c r="X705" s="66">
        <f>IF(NOTA[[#This Row],[HARGA/ CTN]]="",NOTA[[#This Row],[JUMLAH_H]],NOTA[[#This Row],[HARGA/ CTN]]*IF(NOTA[[#This Row],[C]]="",0,NOTA[[#This Row],[C]]))</f>
        <v>3168000</v>
      </c>
      <c r="Y705" s="66">
        <f>IF(NOTA[[#This Row],[JUMLAH]]="","",NOTA[[#This Row],[JUMLAH]]*NOTA[[#This Row],[DISC 1]])</f>
        <v>0</v>
      </c>
      <c r="Z705" s="66">
        <f>IF(NOTA[[#This Row],[JUMLAH]]="","",(NOTA[[#This Row],[JUMLAH]]-NOTA[[#This Row],[DISC 1-]])*NOTA[[#This Row],[DISC 2]])</f>
        <v>0</v>
      </c>
      <c r="AA705" s="66">
        <f>IF(NOTA[[#This Row],[JUMLAH]]="","",(NOTA[[#This Row],[JUMLAH]]-NOTA[[#This Row],[DISC 1-]]-NOTA[[#This Row],[DISC 2-]])*NOTA[[#This Row],[DISC 3]])</f>
        <v>0</v>
      </c>
      <c r="AB705" s="66">
        <f>IF(NOTA[[#This Row],[JUMLAH]]="","",NOTA[[#This Row],[DISC 1-]]+NOTA[[#This Row],[DISC 2-]]+NOTA[[#This Row],[DISC 3-]])</f>
        <v>0</v>
      </c>
      <c r="AC705" s="66">
        <f>IF(NOTA[[#This Row],[JUMLAH]]="","",NOTA[[#This Row],[JUMLAH]]-NOTA[[#This Row],[DISC]])</f>
        <v>3168000</v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H705" s="66">
        <f>IF(OR(NOTA[[#This Row],[QTY]]="",NOTA[[#This Row],[HARGA SATUAN]]="",),"",NOTA[[#This Row],[QTY]]*NOTA[[#This Row],[HARGA SATUAN]])</f>
        <v>3168000</v>
      </c>
      <c r="AI705" s="60">
        <f ca="1">IF(NOTA[ID_H]="","",INDEX(NOTA[TANGGAL],MATCH(,INDIRECT(ADDRESS(ROW(NOTA[TANGGAL]),COLUMN(NOTA[TANGGAL]))&amp;":"&amp;ADDRESS(ROW(),COLUMN(NOTA[TANGGAL]))),-1)))</f>
        <v>45316</v>
      </c>
      <c r="AJ705" s="55" t="str">
        <f ca="1">IF(NOTA[[#This Row],[NAMA BARANG]]="","",INDEX(NOTA[SUPPLIER],MATCH(,INDIRECT(ADDRESS(ROW(NOTA[ID]),COLUMN(NOTA[ID]))&amp;":"&amp;ADDRESS(ROW(),COLUMN(NOTA[ID]))),-1)))</f>
        <v>PMJP</v>
      </c>
      <c r="AK705" s="55" t="str">
        <f ca="1">IF(NOTA[[#This Row],[ID_H]]="","",IF(NOTA[[#This Row],[FAKTUR]]="",INDIRECT(ADDRESS(ROW()-1,COLUMN())),NOTA[[#This Row],[FAKTUR]]))</f>
        <v>UNTANA</v>
      </c>
      <c r="AL705" s="56" t="str">
        <f ca="1">IF(NOTA[[#This Row],[ID]]="","",COUNTIF(NOTA[ID_H],NOTA[[#This Row],[ID_H]]))</f>
        <v/>
      </c>
      <c r="AM705" s="56">
        <f ca="1">IF(NOTA[[#This Row],[TGL.NOTA]]="",IF(NOTA[[#This Row],[SUPPLIER_H]]="","",AM704),MONTH(NOTA[[#This Row],[TGL.NOTA]]))</f>
        <v>1</v>
      </c>
      <c r="AN705" s="56" t="str">
        <f>LOWER(SUBSTITUTE(SUBSTITUTE(SUBSTITUTE(SUBSTITUTE(SUBSTITUTE(SUBSTITUTE(SUBSTITUTE(SUBSTITUTE(SUBSTITUTE(NOTA[NAMA BARANG]," ",),".",""),"-",""),"(",""),")",""),",",""),"/",""),"""",""),"+",""))</f>
        <v>stabillotz8001</v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stabillotz80013168000</v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stabillotz80013168000</v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>
        <f>IF(NOTA[[#This Row],[CONCAT1]]="","",MATCH(NOTA[[#This Row],[CONCAT1]],[3]!db[NB NOTA_C],0))</f>
        <v>2831</v>
      </c>
      <c r="AT705" s="56" t="b">
        <f>IF(NOTA[[#This Row],[QTY/ CTN]]="","",TRUE)</f>
        <v>1</v>
      </c>
      <c r="AU705" s="56" t="str">
        <f ca="1">IF(NOTA[[#This Row],[ID_H]]="","",IF(NOTA[[#This Row],[Column3]]=TRUE,NOTA[[#This Row],[QTY/ CTN]],INDEX([3]!db[QTY/ CTN],NOTA[[#This Row],[//DB]])))</f>
        <v>144 LSN</v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W705" s="56" t="e">
        <f ca="1">IF(NOTA[[#This Row],[ID_H]]="","",MATCH(NOTA[[#This Row],[NB NOTA_C_QTY]],[4]!db[NB NOTA_C_QTY+F],0))</f>
        <v>#REF!</v>
      </c>
      <c r="AX705" s="68">
        <f ca="1">IF(NOTA[[#This Row],[NB NOTA_C_QTY]]="","",ROW()-2)</f>
        <v>703</v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>
        <f ca="1">IF(NOTA[[#This Row],[NAMA BARANG]]="","",INDEX(NOTA[ID],MATCH(,INDIRECT(ADDRESS(ROW(NOTA[ID]),COLUMN(NOTA[ID]))&amp;":"&amp;ADDRESS(ROW(),COLUMN(NOTA[ID]))),-1)))</f>
        <v>118</v>
      </c>
      <c r="E706" s="57"/>
      <c r="F706" s="58"/>
      <c r="G706" s="58"/>
      <c r="H706" s="59"/>
      <c r="I706" s="58"/>
      <c r="J706" s="60"/>
      <c r="K706" s="58"/>
      <c r="L706" s="37" t="s">
        <v>786</v>
      </c>
      <c r="M706" s="61">
        <v>2</v>
      </c>
      <c r="N706" s="56">
        <v>144</v>
      </c>
      <c r="O706" s="37" t="s">
        <v>115</v>
      </c>
      <c r="P706" s="55">
        <v>21000</v>
      </c>
      <c r="Q706" s="62"/>
      <c r="R706" s="48" t="s">
        <v>779</v>
      </c>
      <c r="S706" s="64"/>
      <c r="T706" s="65"/>
      <c r="U706" s="65"/>
      <c r="V706" s="66"/>
      <c r="W706" s="67"/>
      <c r="X706" s="66">
        <f>IF(NOTA[[#This Row],[HARGA/ CTN]]="",NOTA[[#This Row],[JUMLAH_H]],NOTA[[#This Row],[HARGA/ CTN]]*IF(NOTA[[#This Row],[C]]="",0,NOTA[[#This Row],[C]]))</f>
        <v>3024000</v>
      </c>
      <c r="Y706" s="66">
        <f>IF(NOTA[[#This Row],[JUMLAH]]="","",NOTA[[#This Row],[JUMLAH]]*NOTA[[#This Row],[DISC 1]])</f>
        <v>0</v>
      </c>
      <c r="Z706" s="66">
        <f>IF(NOTA[[#This Row],[JUMLAH]]="","",(NOTA[[#This Row],[JUMLAH]]-NOTA[[#This Row],[DISC 1-]])*NOTA[[#This Row],[DISC 2]])</f>
        <v>0</v>
      </c>
      <c r="AA706" s="66">
        <f>IF(NOTA[[#This Row],[JUMLAH]]="","",(NOTA[[#This Row],[JUMLAH]]-NOTA[[#This Row],[DISC 1-]]-NOTA[[#This Row],[DISC 2-]])*NOTA[[#This Row],[DISC 3]])</f>
        <v>0</v>
      </c>
      <c r="AB706" s="66">
        <f>IF(NOTA[[#This Row],[JUMLAH]]="","",NOTA[[#This Row],[DISC 1-]]+NOTA[[#This Row],[DISC 2-]]+NOTA[[#This Row],[DISC 3-]])</f>
        <v>0</v>
      </c>
      <c r="AC706" s="66">
        <f>IF(NOTA[[#This Row],[JUMLAH]]="","",NOTA[[#This Row],[JUMLAH]]-NOTA[[#This Row],[DISC]])</f>
        <v>3024000</v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H706" s="66">
        <f>IF(OR(NOTA[[#This Row],[QTY]]="",NOTA[[#This Row],[HARGA SATUAN]]="",),"",NOTA[[#This Row],[QTY]]*NOTA[[#This Row],[HARGA SATUAN]])</f>
        <v>3024000</v>
      </c>
      <c r="AI706" s="60">
        <f ca="1">IF(NOTA[ID_H]="","",INDEX(NOTA[TANGGAL],MATCH(,INDIRECT(ADDRESS(ROW(NOTA[TANGGAL]),COLUMN(NOTA[TANGGAL]))&amp;":"&amp;ADDRESS(ROW(),COLUMN(NOTA[TANGGAL]))),-1)))</f>
        <v>45316</v>
      </c>
      <c r="AJ706" s="55" t="str">
        <f ca="1">IF(NOTA[[#This Row],[NAMA BARANG]]="","",INDEX(NOTA[SUPPLIER],MATCH(,INDIRECT(ADDRESS(ROW(NOTA[ID]),COLUMN(NOTA[ID]))&amp;":"&amp;ADDRESS(ROW(),COLUMN(NOTA[ID]))),-1)))</f>
        <v>PMJP</v>
      </c>
      <c r="AK706" s="55" t="str">
        <f ca="1">IF(NOTA[[#This Row],[ID_H]]="","",IF(NOTA[[#This Row],[FAKTUR]]="",INDIRECT(ADDRESS(ROW()-1,COLUMN())),NOTA[[#This Row],[FAKTUR]]))</f>
        <v>UNTANA</v>
      </c>
      <c r="AL706" s="56" t="str">
        <f ca="1">IF(NOTA[[#This Row],[ID]]="","",COUNTIF(NOTA[ID_H],NOTA[[#This Row],[ID_H]]))</f>
        <v/>
      </c>
      <c r="AM706" s="56">
        <f ca="1">IF(NOTA[[#This Row],[TGL.NOTA]]="",IF(NOTA[[#This Row],[SUPPLIER_H]]="","",AM705),MONTH(NOTA[[#This Row],[TGL.NOTA]]))</f>
        <v>1</v>
      </c>
      <c r="AN706" s="56" t="str">
        <f>LOWER(SUBSTITUTE(SUBSTITUTE(SUBSTITUTE(SUBSTITUTE(SUBSTITUTE(SUBSTITUTE(SUBSTITUTE(SUBSTITUTE(SUBSTITUTE(NOTA[NAMA BARANG]," ",),".",""),"-",""),"(",""),")",""),",",""),"/",""),"""",""),"+",""))</f>
        <v>serutan037</v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serutan0371512000</v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serutan0371512000</v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e">
        <f>IF(NOTA[[#This Row],[CONCAT1]]="","",MATCH(NOTA[[#This Row],[CONCAT1]],[3]!db[NB NOTA_C],0))</f>
        <v>#N/A</v>
      </c>
      <c r="AT706" s="56" t="b">
        <f>IF(NOTA[[#This Row],[QTY/ CTN]]="","",TRUE)</f>
        <v>1</v>
      </c>
      <c r="AU706" s="56" t="str">
        <f ca="1">IF(NOTA[[#This Row],[ID_H]]="","",IF(NOTA[[#This Row],[Column3]]=TRUE,NOTA[[#This Row],[QTY/ CTN]],INDEX([3]!db[QTY/ CTN],NOTA[[#This Row],[//DB]])))</f>
        <v>72 PCS</v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serutan03772pcsuntana</v>
      </c>
      <c r="AW706" s="56" t="e">
        <f ca="1">IF(NOTA[[#This Row],[ID_H]]="","",MATCH(NOTA[[#This Row],[NB NOTA_C_QTY]],[4]!db[NB NOTA_C_QTY+F],0))</f>
        <v>#REF!</v>
      </c>
      <c r="AX706" s="68">
        <f ca="1">IF(NOTA[[#This Row],[NB NOTA_C_QTY]]="","",ROW()-2)</f>
        <v>704</v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>
        <f ca="1">IF(NOTA[[#This Row],[NAMA BARANG]]="","",INDEX(NOTA[ID],MATCH(,INDIRECT(ADDRESS(ROW(NOTA[ID]),COLUMN(NOTA[ID]))&amp;":"&amp;ADDRESS(ROW(),COLUMN(NOTA[ID]))),-1)))</f>
        <v>118</v>
      </c>
      <c r="E707" s="57"/>
      <c r="F707" s="58"/>
      <c r="G707" s="58"/>
      <c r="H707" s="59"/>
      <c r="I707" s="58"/>
      <c r="J707" s="60"/>
      <c r="K707" s="58"/>
      <c r="L707" s="37" t="s">
        <v>787</v>
      </c>
      <c r="M707" s="61">
        <v>2</v>
      </c>
      <c r="N707" s="56">
        <v>144</v>
      </c>
      <c r="O707" s="37" t="s">
        <v>115</v>
      </c>
      <c r="P707" s="55">
        <v>22000</v>
      </c>
      <c r="Q707" s="62"/>
      <c r="R707" s="48" t="s">
        <v>779</v>
      </c>
      <c r="S707" s="64"/>
      <c r="T707" s="65"/>
      <c r="U707" s="65"/>
      <c r="V707" s="66"/>
      <c r="W707" s="67"/>
      <c r="X707" s="66">
        <f>IF(NOTA[[#This Row],[HARGA/ CTN]]="",NOTA[[#This Row],[JUMLAH_H]],NOTA[[#This Row],[HARGA/ CTN]]*IF(NOTA[[#This Row],[C]]="",0,NOTA[[#This Row],[C]]))</f>
        <v>3168000</v>
      </c>
      <c r="Y707" s="66">
        <f>IF(NOTA[[#This Row],[JUMLAH]]="","",NOTA[[#This Row],[JUMLAH]]*NOTA[[#This Row],[DISC 1]])</f>
        <v>0</v>
      </c>
      <c r="Z707" s="66">
        <f>IF(NOTA[[#This Row],[JUMLAH]]="","",(NOTA[[#This Row],[JUMLAH]]-NOTA[[#This Row],[DISC 1-]])*NOTA[[#This Row],[DISC 2]])</f>
        <v>0</v>
      </c>
      <c r="AA707" s="66">
        <f>IF(NOTA[[#This Row],[JUMLAH]]="","",(NOTA[[#This Row],[JUMLAH]]-NOTA[[#This Row],[DISC 1-]]-NOTA[[#This Row],[DISC 2-]])*NOTA[[#This Row],[DISC 3]])</f>
        <v>0</v>
      </c>
      <c r="AB707" s="66">
        <f>IF(NOTA[[#This Row],[JUMLAH]]="","",NOTA[[#This Row],[DISC 1-]]+NOTA[[#This Row],[DISC 2-]]+NOTA[[#This Row],[DISC 3-]])</f>
        <v>0</v>
      </c>
      <c r="AC707" s="66">
        <f>IF(NOTA[[#This Row],[JUMLAH]]="","",NOTA[[#This Row],[JUMLAH]]-NOTA[[#This Row],[DISC]])</f>
        <v>3168000</v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707" s="66">
        <f>IF(OR(NOTA[[#This Row],[QTY]]="",NOTA[[#This Row],[HARGA SATUAN]]="",),"",NOTA[[#This Row],[QTY]]*NOTA[[#This Row],[HARGA SATUAN]])</f>
        <v>3168000</v>
      </c>
      <c r="AI707" s="60">
        <f ca="1">IF(NOTA[ID_H]="","",INDEX(NOTA[TANGGAL],MATCH(,INDIRECT(ADDRESS(ROW(NOTA[TANGGAL]),COLUMN(NOTA[TANGGAL]))&amp;":"&amp;ADDRESS(ROW(),COLUMN(NOTA[TANGGAL]))),-1)))</f>
        <v>45316</v>
      </c>
      <c r="AJ707" s="55" t="str">
        <f ca="1">IF(NOTA[[#This Row],[NAMA BARANG]]="","",INDEX(NOTA[SUPPLIER],MATCH(,INDIRECT(ADDRESS(ROW(NOTA[ID]),COLUMN(NOTA[ID]))&amp;":"&amp;ADDRESS(ROW(),COLUMN(NOTA[ID]))),-1)))</f>
        <v>PMJP</v>
      </c>
      <c r="AK707" s="55" t="str">
        <f ca="1">IF(NOTA[[#This Row],[ID_H]]="","",IF(NOTA[[#This Row],[FAKTUR]]="",INDIRECT(ADDRESS(ROW()-1,COLUMN())),NOTA[[#This Row],[FAKTUR]]))</f>
        <v>UNTANA</v>
      </c>
      <c r="AL707" s="56" t="str">
        <f ca="1">IF(NOTA[[#This Row],[ID]]="","",COUNTIF(NOTA[ID_H],NOTA[[#This Row],[ID_H]]))</f>
        <v/>
      </c>
      <c r="AM707" s="56">
        <f ca="1">IF(NOTA[[#This Row],[TGL.NOTA]]="",IF(NOTA[[#This Row],[SUPPLIER_H]]="","",AM706),MONTH(NOTA[[#This Row],[TGL.NOTA]]))</f>
        <v>1</v>
      </c>
      <c r="AN707" s="56" t="str">
        <f>LOWER(SUBSTITUTE(SUBSTITUTE(SUBSTITUTE(SUBSTITUTE(SUBSTITUTE(SUBSTITUTE(SUBSTITUTE(SUBSTITUTE(SUBSTITUTE(NOTA[NAMA BARANG]," ",),".",""),"-",""),"(",""),")",""),",",""),"/",""),"""",""),"+",""))</f>
        <v>serutan009</v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serutan0091584000</v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serutan0091584000</v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e">
        <f>IF(NOTA[[#This Row],[CONCAT1]]="","",MATCH(NOTA[[#This Row],[CONCAT1]],[3]!db[NB NOTA_C],0))</f>
        <v>#N/A</v>
      </c>
      <c r="AT707" s="56" t="b">
        <f>IF(NOTA[[#This Row],[QTY/ CTN]]="","",TRUE)</f>
        <v>1</v>
      </c>
      <c r="AU707" s="56" t="str">
        <f ca="1">IF(NOTA[[#This Row],[ID_H]]="","",IF(NOTA[[#This Row],[Column3]]=TRUE,NOTA[[#This Row],[QTY/ CTN]],INDEX([3]!db[QTY/ CTN],NOTA[[#This Row],[//DB]])))</f>
        <v>72 PCS</v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serutan00972pcsuntana</v>
      </c>
      <c r="AW707" s="56" t="e">
        <f ca="1">IF(NOTA[[#This Row],[ID_H]]="","",MATCH(NOTA[[#This Row],[NB NOTA_C_QTY]],[4]!db[NB NOTA_C_QTY+F],0))</f>
        <v>#REF!</v>
      </c>
      <c r="AX707" s="68">
        <f ca="1">IF(NOTA[[#This Row],[NB NOTA_C_QTY]]="","",ROW()-2)</f>
        <v>705</v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>
        <f ca="1">IF(NOTA[[#This Row],[NAMA BARANG]]="","",INDEX(NOTA[ID],MATCH(,INDIRECT(ADDRESS(ROW(NOTA[ID]),COLUMN(NOTA[ID]))&amp;":"&amp;ADDRESS(ROW(),COLUMN(NOTA[ID]))),-1)))</f>
        <v>118</v>
      </c>
      <c r="E708" s="57"/>
      <c r="F708" s="58"/>
      <c r="G708" s="58"/>
      <c r="H708" s="59"/>
      <c r="I708" s="58"/>
      <c r="J708" s="60"/>
      <c r="K708" s="58">
        <v>0</v>
      </c>
      <c r="L708" s="37" t="s">
        <v>786</v>
      </c>
      <c r="M708" s="61"/>
      <c r="N708" s="56">
        <v>67</v>
      </c>
      <c r="O708" s="37" t="s">
        <v>115</v>
      </c>
      <c r="P708" s="55">
        <v>21000</v>
      </c>
      <c r="Q708" s="62"/>
      <c r="R708" s="48" t="s">
        <v>779</v>
      </c>
      <c r="S708" s="64"/>
      <c r="T708" s="65"/>
      <c r="U708" s="65"/>
      <c r="V708" s="66"/>
      <c r="W708" s="67"/>
      <c r="X708" s="66">
        <f>IF(NOTA[[#This Row],[HARGA/ CTN]]="",NOTA[[#This Row],[JUMLAH_H]],NOTA[[#This Row],[HARGA/ CTN]]*IF(NOTA[[#This Row],[C]]="",0,NOTA[[#This Row],[C]]))</f>
        <v>1407000</v>
      </c>
      <c r="Y708" s="66">
        <f>IF(NOTA[[#This Row],[JUMLAH]]="","",NOTA[[#This Row],[JUMLAH]]*NOTA[[#This Row],[DISC 1]])</f>
        <v>0</v>
      </c>
      <c r="Z708" s="66">
        <f>IF(NOTA[[#This Row],[JUMLAH]]="","",(NOTA[[#This Row],[JUMLAH]]-NOTA[[#This Row],[DISC 1-]])*NOTA[[#This Row],[DISC 2]])</f>
        <v>0</v>
      </c>
      <c r="AA708" s="66">
        <f>IF(NOTA[[#This Row],[JUMLAH]]="","",(NOTA[[#This Row],[JUMLAH]]-NOTA[[#This Row],[DISC 1-]]-NOTA[[#This Row],[DISC 2-]])*NOTA[[#This Row],[DISC 3]])</f>
        <v>0</v>
      </c>
      <c r="AB708" s="66">
        <f>IF(NOTA[[#This Row],[JUMLAH]]="","",NOTA[[#This Row],[DISC 1-]]+NOTA[[#This Row],[DISC 2-]]+NOTA[[#This Row],[DISC 3-]])</f>
        <v>0</v>
      </c>
      <c r="AC708" s="66">
        <f>IF(NOTA[[#This Row],[JUMLAH]]="","",NOTA[[#This Row],[JUMLAH]]-NOTA[[#This Row],[DISC]])</f>
        <v>1407000</v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>
        <f>IF(NOTA[[#This Row],[NAMA BARANG]]="","",IF(NOTA[[#This Row],[JUMLAH_H]]="",NOTA[[#This Row],[HARGA/ CTN]],NOTA[[#This Row],[QTY]]*NOTA[[#This Row],[HARGA SATUAN]]/IF(ISNUMBER(NOTA[[#This Row],[C]]),NOTA[[#This Row],[C]],1)))</f>
        <v>1407000</v>
      </c>
      <c r="AH708" s="66">
        <f>IF(OR(NOTA[[#This Row],[QTY]]="",NOTA[[#This Row],[HARGA SATUAN]]="",),"",NOTA[[#This Row],[QTY]]*NOTA[[#This Row],[HARGA SATUAN]])</f>
        <v>1407000</v>
      </c>
      <c r="AI708" s="60">
        <f ca="1">IF(NOTA[ID_H]="","",INDEX(NOTA[TANGGAL],MATCH(,INDIRECT(ADDRESS(ROW(NOTA[TANGGAL]),COLUMN(NOTA[TANGGAL]))&amp;":"&amp;ADDRESS(ROW(),COLUMN(NOTA[TANGGAL]))),-1)))</f>
        <v>45316</v>
      </c>
      <c r="AJ708" s="55" t="str">
        <f ca="1">IF(NOTA[[#This Row],[NAMA BARANG]]="","",INDEX(NOTA[SUPPLIER],MATCH(,INDIRECT(ADDRESS(ROW(NOTA[ID]),COLUMN(NOTA[ID]))&amp;":"&amp;ADDRESS(ROW(),COLUMN(NOTA[ID]))),-1)))</f>
        <v>PMJP</v>
      </c>
      <c r="AK708" s="55" t="str">
        <f ca="1">IF(NOTA[[#This Row],[ID_H]]="","",IF(NOTA[[#This Row],[FAKTUR]]="",INDIRECT(ADDRESS(ROW()-1,COLUMN())),NOTA[[#This Row],[FAKTUR]]))</f>
        <v>UNTANA</v>
      </c>
      <c r="AL708" s="56" t="str">
        <f ca="1">IF(NOTA[[#This Row],[ID]]="","",COUNTIF(NOTA[ID_H],NOTA[[#This Row],[ID_H]]))</f>
        <v/>
      </c>
      <c r="AM708" s="56">
        <f ca="1">IF(NOTA[[#This Row],[TGL.NOTA]]="",IF(NOTA[[#This Row],[SUPPLIER_H]]="","",AM707),MONTH(NOTA[[#This Row],[TGL.NOTA]]))</f>
        <v>1</v>
      </c>
      <c r="AN708" s="56" t="str">
        <f>LOWER(SUBSTITUTE(SUBSTITUTE(SUBSTITUTE(SUBSTITUTE(SUBSTITUTE(SUBSTITUTE(SUBSTITUTE(SUBSTITUTE(SUBSTITUTE(NOTA[NAMA BARANG]," ",),".",""),"-",""),"(",""),")",""),",",""),"/",""),"""",""),"+",""))</f>
        <v>serutan037</v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serutan0371407000</v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serutan03721000</v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e">
        <f>IF(NOTA[[#This Row],[CONCAT1]]="","",MATCH(NOTA[[#This Row],[CONCAT1]],[3]!db[NB NOTA_C],0))</f>
        <v>#N/A</v>
      </c>
      <c r="AT708" s="56" t="b">
        <f>IF(NOTA[[#This Row],[QTY/ CTN]]="","",TRUE)</f>
        <v>1</v>
      </c>
      <c r="AU708" s="56" t="str">
        <f ca="1">IF(NOTA[[#This Row],[ID_H]]="","",IF(NOTA[[#This Row],[Column3]]=TRUE,NOTA[[#This Row],[QTY/ CTN]],INDEX([3]!db[QTY/ CTN],NOTA[[#This Row],[//DB]])))</f>
        <v>72 PCS</v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serutan03772pcsuntana</v>
      </c>
      <c r="AW708" s="56" t="e">
        <f ca="1">IF(NOTA[[#This Row],[ID_H]]="","",MATCH(NOTA[[#This Row],[NB NOTA_C_QTY]],[4]!db[NB NOTA_C_QTY+F],0))</f>
        <v>#REF!</v>
      </c>
      <c r="AX708" s="68">
        <f ca="1">IF(NOTA[[#This Row],[NB NOTA_C_QTY]]="","",ROW()-2)</f>
        <v>706</v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>
        <f ca="1">IF(NOTA[[#This Row],[NAMA BARANG]]="","",INDEX(NOTA[ID],MATCH(,INDIRECT(ADDRESS(ROW(NOTA[ID]),COLUMN(NOTA[ID]))&amp;":"&amp;ADDRESS(ROW(),COLUMN(NOTA[ID]))),-1)))</f>
        <v>118</v>
      </c>
      <c r="E709" s="57"/>
      <c r="F709" s="58"/>
      <c r="G709" s="58"/>
      <c r="H709" s="59"/>
      <c r="I709" s="58"/>
      <c r="J709" s="60"/>
      <c r="K709" s="58">
        <v>0</v>
      </c>
      <c r="L709" s="37" t="s">
        <v>787</v>
      </c>
      <c r="M709" s="61"/>
      <c r="N709" s="56">
        <v>67</v>
      </c>
      <c r="O709" s="37" t="s">
        <v>115</v>
      </c>
      <c r="P709" s="55">
        <v>22000</v>
      </c>
      <c r="Q709" s="62"/>
      <c r="R709" s="48" t="s">
        <v>779</v>
      </c>
      <c r="S709" s="64"/>
      <c r="T709" s="65"/>
      <c r="U709" s="65"/>
      <c r="V709" s="66"/>
      <c r="W709" s="67"/>
      <c r="X709" s="66">
        <f>IF(NOTA[[#This Row],[HARGA/ CTN]]="",NOTA[[#This Row],[JUMLAH_H]],NOTA[[#This Row],[HARGA/ CTN]]*IF(NOTA[[#This Row],[C]]="",0,NOTA[[#This Row],[C]]))</f>
        <v>1474000</v>
      </c>
      <c r="Y709" s="66">
        <f>IF(NOTA[[#This Row],[JUMLAH]]="","",NOTA[[#This Row],[JUMLAH]]*NOTA[[#This Row],[DISC 1]])</f>
        <v>0</v>
      </c>
      <c r="Z709" s="66">
        <f>IF(NOTA[[#This Row],[JUMLAH]]="","",(NOTA[[#This Row],[JUMLAH]]-NOTA[[#This Row],[DISC 1-]])*NOTA[[#This Row],[DISC 2]])</f>
        <v>0</v>
      </c>
      <c r="AA709" s="66">
        <f>IF(NOTA[[#This Row],[JUMLAH]]="","",(NOTA[[#This Row],[JUMLAH]]-NOTA[[#This Row],[DISC 1-]]-NOTA[[#This Row],[DISC 2-]])*NOTA[[#This Row],[DISC 3]])</f>
        <v>0</v>
      </c>
      <c r="AB709" s="66">
        <f>IF(NOTA[[#This Row],[JUMLAH]]="","",NOTA[[#This Row],[DISC 1-]]+NOTA[[#This Row],[DISC 2-]]+NOTA[[#This Row],[DISC 3-]])</f>
        <v>0</v>
      </c>
      <c r="AC709" s="66">
        <f>IF(NOTA[[#This Row],[JUMLAH]]="","",NOTA[[#This Row],[JUMLAH]]-NOTA[[#This Row],[DISC]])</f>
        <v>1474000</v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>
        <f>IF(NOTA[[#This Row],[NAMA BARANG]]="","",IF(NOTA[[#This Row],[JUMLAH_H]]="",NOTA[[#This Row],[HARGA/ CTN]],NOTA[[#This Row],[QTY]]*NOTA[[#This Row],[HARGA SATUAN]]/IF(ISNUMBER(NOTA[[#This Row],[C]]),NOTA[[#This Row],[C]],1)))</f>
        <v>1474000</v>
      </c>
      <c r="AH709" s="66">
        <f>IF(OR(NOTA[[#This Row],[QTY]]="",NOTA[[#This Row],[HARGA SATUAN]]="",),"",NOTA[[#This Row],[QTY]]*NOTA[[#This Row],[HARGA SATUAN]])</f>
        <v>1474000</v>
      </c>
      <c r="AI709" s="60">
        <f ca="1">IF(NOTA[ID_H]="","",INDEX(NOTA[TANGGAL],MATCH(,INDIRECT(ADDRESS(ROW(NOTA[TANGGAL]),COLUMN(NOTA[TANGGAL]))&amp;":"&amp;ADDRESS(ROW(),COLUMN(NOTA[TANGGAL]))),-1)))</f>
        <v>45316</v>
      </c>
      <c r="AJ709" s="55" t="str">
        <f ca="1">IF(NOTA[[#This Row],[NAMA BARANG]]="","",INDEX(NOTA[SUPPLIER],MATCH(,INDIRECT(ADDRESS(ROW(NOTA[ID]),COLUMN(NOTA[ID]))&amp;":"&amp;ADDRESS(ROW(),COLUMN(NOTA[ID]))),-1)))</f>
        <v>PMJP</v>
      </c>
      <c r="AK709" s="55" t="str">
        <f ca="1">IF(NOTA[[#This Row],[ID_H]]="","",IF(NOTA[[#This Row],[FAKTUR]]="",INDIRECT(ADDRESS(ROW()-1,COLUMN())),NOTA[[#This Row],[FAKTUR]]))</f>
        <v>UNTANA</v>
      </c>
      <c r="AL709" s="56" t="str">
        <f ca="1">IF(NOTA[[#This Row],[ID]]="","",COUNTIF(NOTA[ID_H],NOTA[[#This Row],[ID_H]]))</f>
        <v/>
      </c>
      <c r="AM709" s="56">
        <f ca="1">IF(NOTA[[#This Row],[TGL.NOTA]]="",IF(NOTA[[#This Row],[SUPPLIER_H]]="","",AM708),MONTH(NOTA[[#This Row],[TGL.NOTA]]))</f>
        <v>1</v>
      </c>
      <c r="AN709" s="56" t="str">
        <f>LOWER(SUBSTITUTE(SUBSTITUTE(SUBSTITUTE(SUBSTITUTE(SUBSTITUTE(SUBSTITUTE(SUBSTITUTE(SUBSTITUTE(SUBSTITUTE(NOTA[NAMA BARANG]," ",),".",""),"-",""),"(",""),")",""),",",""),"/",""),"""",""),"+",""))</f>
        <v>serutan009</v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serutan0091474000</v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serutan00922000</v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e">
        <f>IF(NOTA[[#This Row],[CONCAT1]]="","",MATCH(NOTA[[#This Row],[CONCAT1]],[3]!db[NB NOTA_C],0))</f>
        <v>#N/A</v>
      </c>
      <c r="AT709" s="56" t="b">
        <f>IF(NOTA[[#This Row],[QTY/ CTN]]="","",TRUE)</f>
        <v>1</v>
      </c>
      <c r="AU709" s="56" t="str">
        <f ca="1">IF(NOTA[[#This Row],[ID_H]]="","",IF(NOTA[[#This Row],[Column3]]=TRUE,NOTA[[#This Row],[QTY/ CTN]],INDEX([3]!db[QTY/ CTN],NOTA[[#This Row],[//DB]])))</f>
        <v>72 PCS</v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serutan00972pcsuntana</v>
      </c>
      <c r="AW709" s="56" t="e">
        <f ca="1">IF(NOTA[[#This Row],[ID_H]]="","",MATCH(NOTA[[#This Row],[NB NOTA_C_QTY]],[4]!db[NB NOTA_C_QTY+F],0))</f>
        <v>#REF!</v>
      </c>
      <c r="AX709" s="68">
        <f ca="1">IF(NOTA[[#This Row],[NB NOTA_C_QTY]]="","",ROW()-2)</f>
        <v>707</v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>
        <f ca="1">IF(NOTA[[#This Row],[NAMA BARANG]]="","",INDEX(NOTA[ID],MATCH(,INDIRECT(ADDRESS(ROW(NOTA[ID]),COLUMN(NOTA[ID]))&amp;":"&amp;ADDRESS(ROW(),COLUMN(NOTA[ID]))),-1)))</f>
        <v>118</v>
      </c>
      <c r="E710" s="57"/>
      <c r="F710" s="58"/>
      <c r="G710" s="58"/>
      <c r="H710" s="59"/>
      <c r="I710" s="58"/>
      <c r="J710" s="60"/>
      <c r="K710" s="58"/>
      <c r="L710" s="37" t="s">
        <v>788</v>
      </c>
      <c r="M710" s="61">
        <v>6</v>
      </c>
      <c r="N710" s="56">
        <v>72</v>
      </c>
      <c r="O710" s="37" t="s">
        <v>115</v>
      </c>
      <c r="P710" s="55">
        <v>80000</v>
      </c>
      <c r="Q710" s="62"/>
      <c r="R710" s="48" t="s">
        <v>395</v>
      </c>
      <c r="S710" s="64"/>
      <c r="T710" s="65"/>
      <c r="U710" s="65"/>
      <c r="V710" s="66"/>
      <c r="W710" s="67"/>
      <c r="X710" s="66">
        <f>IF(NOTA[[#This Row],[HARGA/ CTN]]="",NOTA[[#This Row],[JUMLAH_H]],NOTA[[#This Row],[HARGA/ CTN]]*IF(NOTA[[#This Row],[C]]="",0,NOTA[[#This Row],[C]]))</f>
        <v>5760000</v>
      </c>
      <c r="Y710" s="66">
        <f>IF(NOTA[[#This Row],[JUMLAH]]="","",NOTA[[#This Row],[JUMLAH]]*NOTA[[#This Row],[DISC 1]])</f>
        <v>0</v>
      </c>
      <c r="Z710" s="66">
        <f>IF(NOTA[[#This Row],[JUMLAH]]="","",(NOTA[[#This Row],[JUMLAH]]-NOTA[[#This Row],[DISC 1-]])*NOTA[[#This Row],[DISC 2]])</f>
        <v>0</v>
      </c>
      <c r="AA710" s="66">
        <f>IF(NOTA[[#This Row],[JUMLAH]]="","",(NOTA[[#This Row],[JUMLAH]]-NOTA[[#This Row],[DISC 1-]]-NOTA[[#This Row],[DISC 2-]])*NOTA[[#This Row],[DISC 3]])</f>
        <v>0</v>
      </c>
      <c r="AB710" s="66">
        <f>IF(NOTA[[#This Row],[JUMLAH]]="","",NOTA[[#This Row],[DISC 1-]]+NOTA[[#This Row],[DISC 2-]]+NOTA[[#This Row],[DISC 3-]])</f>
        <v>0</v>
      </c>
      <c r="AC710" s="66">
        <f>IF(NOTA[[#This Row],[JUMLAH]]="","",NOTA[[#This Row],[JUMLAH]]-NOTA[[#This Row],[DISC]])</f>
        <v>5760000</v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710" s="66">
        <f>IF(OR(NOTA[[#This Row],[QTY]]="",NOTA[[#This Row],[HARGA SATUAN]]="",),"",NOTA[[#This Row],[QTY]]*NOTA[[#This Row],[HARGA SATUAN]])</f>
        <v>5760000</v>
      </c>
      <c r="AI710" s="60">
        <f ca="1">IF(NOTA[ID_H]="","",INDEX(NOTA[TANGGAL],MATCH(,INDIRECT(ADDRESS(ROW(NOTA[TANGGAL]),COLUMN(NOTA[TANGGAL]))&amp;":"&amp;ADDRESS(ROW(),COLUMN(NOTA[TANGGAL]))),-1)))</f>
        <v>45316</v>
      </c>
      <c r="AJ710" s="55" t="str">
        <f ca="1">IF(NOTA[[#This Row],[NAMA BARANG]]="","",INDEX(NOTA[SUPPLIER],MATCH(,INDIRECT(ADDRESS(ROW(NOTA[ID]),COLUMN(NOTA[ID]))&amp;":"&amp;ADDRESS(ROW(),COLUMN(NOTA[ID]))),-1)))</f>
        <v>PMJP</v>
      </c>
      <c r="AK710" s="55" t="str">
        <f ca="1">IF(NOTA[[#This Row],[ID_H]]="","",IF(NOTA[[#This Row],[FAKTUR]]="",INDIRECT(ADDRESS(ROW()-1,COLUMN())),NOTA[[#This Row],[FAKTUR]]))</f>
        <v>UNTANA</v>
      </c>
      <c r="AL710" s="56" t="str">
        <f ca="1">IF(NOTA[[#This Row],[ID]]="","",COUNTIF(NOTA[ID_H],NOTA[[#This Row],[ID_H]]))</f>
        <v/>
      </c>
      <c r="AM710" s="56">
        <f ca="1">IF(NOTA[[#This Row],[TGL.NOTA]]="",IF(NOTA[[#This Row],[SUPPLIER_H]]="","",AM709),MONTH(NOTA[[#This Row],[TGL.NOTA]]))</f>
        <v>1</v>
      </c>
      <c r="AN710" s="56" t="str">
        <f>LOWER(SUBSTITUTE(SUBSTITUTE(SUBSTITUTE(SUBSTITUTE(SUBSTITUTE(SUBSTITUTE(SUBSTITUTE(SUBSTITUTE(SUBSTITUTE(NOTA[NAMA BARANG]," ",),".",""),"-",""),"(",""),")",""),",",""),"/",""),"""",""),"+",""))</f>
        <v>pianikatozchapinktz32pk</v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pianikatozchapinktz32pk960000</v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pianikatozchapinktz32pk960000</v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e">
        <f>IF(NOTA[[#This Row],[CONCAT1]]="","",MATCH(NOTA[[#This Row],[CONCAT1]],[3]!db[NB NOTA_C],0))</f>
        <v>#N/A</v>
      </c>
      <c r="AT710" s="56" t="b">
        <f>IF(NOTA[[#This Row],[QTY/ CTN]]="","",TRUE)</f>
        <v>1</v>
      </c>
      <c r="AU710" s="56" t="str">
        <f ca="1">IF(NOTA[[#This Row],[ID_H]]="","",IF(NOTA[[#This Row],[Column3]]=TRUE,NOTA[[#This Row],[QTY/ CTN]],INDEX([3]!db[QTY/ CTN],NOTA[[#This Row],[//DB]])))</f>
        <v>12 PCS</v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pianikatozchapinktz32pk12pcsuntana</v>
      </c>
      <c r="AW710" s="56" t="e">
        <f ca="1">IF(NOTA[[#This Row],[ID_H]]="","",MATCH(NOTA[[#This Row],[NB NOTA_C_QTY]],[4]!db[NB NOTA_C_QTY+F],0))</f>
        <v>#REF!</v>
      </c>
      <c r="AX710" s="68">
        <f ca="1">IF(NOTA[[#This Row],[NB NOTA_C_QTY]]="","",ROW()-2)</f>
        <v>708</v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>
        <f ca="1">IF(NOTA[[#This Row],[NAMA BARANG]]="","",INDEX(NOTA[ID],MATCH(,INDIRECT(ADDRESS(ROW(NOTA[ID]),COLUMN(NOTA[ID]))&amp;":"&amp;ADDRESS(ROW(),COLUMN(NOTA[ID]))),-1)))</f>
        <v>118</v>
      </c>
      <c r="E711" s="57"/>
      <c r="F711" s="58"/>
      <c r="G711" s="58"/>
      <c r="H711" s="59"/>
      <c r="I711" s="58"/>
      <c r="J711" s="60"/>
      <c r="K711" s="58">
        <v>0</v>
      </c>
      <c r="L711" s="37" t="s">
        <v>788</v>
      </c>
      <c r="M711" s="61"/>
      <c r="N711" s="56">
        <v>7</v>
      </c>
      <c r="O711" s="37" t="s">
        <v>115</v>
      </c>
      <c r="P711" s="55">
        <v>80000</v>
      </c>
      <c r="Q711" s="62"/>
      <c r="R711" s="48" t="s">
        <v>395</v>
      </c>
      <c r="S711" s="64"/>
      <c r="T711" s="65"/>
      <c r="U711" s="65"/>
      <c r="V711" s="66"/>
      <c r="W711" s="45" t="s">
        <v>789</v>
      </c>
      <c r="X711" s="66">
        <f>IF(NOTA[[#This Row],[HARGA/ CTN]]="",NOTA[[#This Row],[JUMLAH_H]],NOTA[[#This Row],[HARGA/ CTN]]*IF(NOTA[[#This Row],[C]]="",0,NOTA[[#This Row],[C]]))</f>
        <v>560000</v>
      </c>
      <c r="Y711" s="66">
        <f>IF(NOTA[[#This Row],[JUMLAH]]="","",NOTA[[#This Row],[JUMLAH]]*NOTA[[#This Row],[DISC 1]])</f>
        <v>0</v>
      </c>
      <c r="Z711" s="66">
        <f>IF(NOTA[[#This Row],[JUMLAH]]="","",(NOTA[[#This Row],[JUMLAH]]-NOTA[[#This Row],[DISC 1-]])*NOTA[[#This Row],[DISC 2]])</f>
        <v>0</v>
      </c>
      <c r="AA711" s="66">
        <f>IF(NOTA[[#This Row],[JUMLAH]]="","",(NOTA[[#This Row],[JUMLAH]]-NOTA[[#This Row],[DISC 1-]]-NOTA[[#This Row],[DISC 2-]])*NOTA[[#This Row],[DISC 3]])</f>
        <v>0</v>
      </c>
      <c r="AB711" s="66">
        <f>IF(NOTA[[#This Row],[JUMLAH]]="","",NOTA[[#This Row],[DISC 1-]]+NOTA[[#This Row],[DISC 2-]]+NOTA[[#This Row],[DISC 3-]])</f>
        <v>0</v>
      </c>
      <c r="AC711" s="66">
        <f>IF(NOTA[[#This Row],[JUMLAH]]="","",NOTA[[#This Row],[JUMLAH]]-NOTA[[#This Row],[DISC]])</f>
        <v>560000</v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>
        <f>IF(NOTA[[#This Row],[NAMA BARANG]]="","",IF(NOTA[[#This Row],[JUMLAH_H]]="",NOTA[[#This Row],[HARGA/ CTN]],NOTA[[#This Row],[QTY]]*NOTA[[#This Row],[HARGA SATUAN]]/IF(ISNUMBER(NOTA[[#This Row],[C]]),NOTA[[#This Row],[C]],1)))</f>
        <v>560000</v>
      </c>
      <c r="AH711" s="66">
        <f>IF(OR(NOTA[[#This Row],[QTY]]="",NOTA[[#This Row],[HARGA SATUAN]]="",),"",NOTA[[#This Row],[QTY]]*NOTA[[#This Row],[HARGA SATUAN]])</f>
        <v>560000</v>
      </c>
      <c r="AI711" s="60">
        <f ca="1">IF(NOTA[ID_H]="","",INDEX(NOTA[TANGGAL],MATCH(,INDIRECT(ADDRESS(ROW(NOTA[TANGGAL]),COLUMN(NOTA[TANGGAL]))&amp;":"&amp;ADDRESS(ROW(),COLUMN(NOTA[TANGGAL]))),-1)))</f>
        <v>45316</v>
      </c>
      <c r="AJ711" s="55" t="str">
        <f ca="1">IF(NOTA[[#This Row],[NAMA BARANG]]="","",INDEX(NOTA[SUPPLIER],MATCH(,INDIRECT(ADDRESS(ROW(NOTA[ID]),COLUMN(NOTA[ID]))&amp;":"&amp;ADDRESS(ROW(),COLUMN(NOTA[ID]))),-1)))</f>
        <v>PMJP</v>
      </c>
      <c r="AK711" s="55" t="str">
        <f ca="1">IF(NOTA[[#This Row],[ID_H]]="","",IF(NOTA[[#This Row],[FAKTUR]]="",INDIRECT(ADDRESS(ROW()-1,COLUMN())),NOTA[[#This Row],[FAKTUR]]))</f>
        <v>UNTANA</v>
      </c>
      <c r="AL711" s="56" t="str">
        <f ca="1">IF(NOTA[[#This Row],[ID]]="","",COUNTIF(NOTA[ID_H],NOTA[[#This Row],[ID_H]]))</f>
        <v/>
      </c>
      <c r="AM711" s="56">
        <f ca="1">IF(NOTA[[#This Row],[TGL.NOTA]]="",IF(NOTA[[#This Row],[SUPPLIER_H]]="","",AM710),MONTH(NOTA[[#This Row],[TGL.NOTA]]))</f>
        <v>1</v>
      </c>
      <c r="AN711" s="56" t="str">
        <f>LOWER(SUBSTITUTE(SUBSTITUTE(SUBSTITUTE(SUBSTITUTE(SUBSTITUTE(SUBSTITUTE(SUBSTITUTE(SUBSTITUTE(SUBSTITUTE(NOTA[NAMA BARANG]," ",),".",""),"-",""),"(",""),")",""),",",""),"/",""),"""",""),"+",""))</f>
        <v>pianikatozchapinktz32pk</v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pianikatozchapinktz32pk560000</v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pianikatozchapinktz32pk80000</v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e">
        <f>IF(NOTA[[#This Row],[CONCAT1]]="","",MATCH(NOTA[[#This Row],[CONCAT1]],[3]!db[NB NOTA_C],0))</f>
        <v>#N/A</v>
      </c>
      <c r="AT711" s="56" t="b">
        <f>IF(NOTA[[#This Row],[QTY/ CTN]]="","",TRUE)</f>
        <v>1</v>
      </c>
      <c r="AU711" s="56" t="str">
        <f ca="1">IF(NOTA[[#This Row],[ID_H]]="","",IF(NOTA[[#This Row],[Column3]]=TRUE,NOTA[[#This Row],[QTY/ CTN]],INDEX([3]!db[QTY/ CTN],NOTA[[#This Row],[//DB]])))</f>
        <v>12 PCS</v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pianikatozchapinktz32pk12pcsuntana</v>
      </c>
      <c r="AW711" s="56" t="e">
        <f ca="1">IF(NOTA[[#This Row],[ID_H]]="","",MATCH(NOTA[[#This Row],[NB NOTA_C_QTY]],[4]!db[NB NOTA_C_QTY+F],0))</f>
        <v>#REF!</v>
      </c>
      <c r="AX711" s="68">
        <f ca="1">IF(NOTA[[#This Row],[NB NOTA_C_QTY]]="","",ROW()-2)</f>
        <v>709</v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>
        <f ca="1">IF(NOTA[[#This Row],[NAMA BARANG]]="","",INDEX(NOTA[ID],MATCH(,INDIRECT(ADDRESS(ROW(NOTA[ID]),COLUMN(NOTA[ID]))&amp;":"&amp;ADDRESS(ROW(),COLUMN(NOTA[ID]))),-1)))</f>
        <v>118</v>
      </c>
      <c r="E712" s="57"/>
      <c r="F712" s="58"/>
      <c r="G712" s="58"/>
      <c r="H712" s="59"/>
      <c r="I712" s="58"/>
      <c r="J712" s="60"/>
      <c r="K712" s="58">
        <v>0</v>
      </c>
      <c r="L712" s="37" t="s">
        <v>785</v>
      </c>
      <c r="M712" s="61"/>
      <c r="N712" s="56">
        <v>76</v>
      </c>
      <c r="O712" s="37" t="s">
        <v>111</v>
      </c>
      <c r="P712" s="55">
        <v>22000</v>
      </c>
      <c r="Q712" s="62"/>
      <c r="R712" s="48" t="s">
        <v>597</v>
      </c>
      <c r="S712" s="64"/>
      <c r="T712" s="65"/>
      <c r="U712" s="65"/>
      <c r="V712" s="66"/>
      <c r="W712" s="67"/>
      <c r="X712" s="66">
        <f>IF(NOTA[[#This Row],[HARGA/ CTN]]="",NOTA[[#This Row],[JUMLAH_H]],NOTA[[#This Row],[HARGA/ CTN]]*IF(NOTA[[#This Row],[C]]="",0,NOTA[[#This Row],[C]]))</f>
        <v>1672000</v>
      </c>
      <c r="Y712" s="66">
        <f>IF(NOTA[[#This Row],[JUMLAH]]="","",NOTA[[#This Row],[JUMLAH]]*NOTA[[#This Row],[DISC 1]])</f>
        <v>0</v>
      </c>
      <c r="Z712" s="66">
        <f>IF(NOTA[[#This Row],[JUMLAH]]="","",(NOTA[[#This Row],[JUMLAH]]-NOTA[[#This Row],[DISC 1-]])*NOTA[[#This Row],[DISC 2]])</f>
        <v>0</v>
      </c>
      <c r="AA712" s="66">
        <f>IF(NOTA[[#This Row],[JUMLAH]]="","",(NOTA[[#This Row],[JUMLAH]]-NOTA[[#This Row],[DISC 1-]]-NOTA[[#This Row],[DISC 2-]])*NOTA[[#This Row],[DISC 3]])</f>
        <v>0</v>
      </c>
      <c r="AB712" s="66">
        <f>IF(NOTA[[#This Row],[JUMLAH]]="","",NOTA[[#This Row],[DISC 1-]]+NOTA[[#This Row],[DISC 2-]]+NOTA[[#This Row],[DISC 3-]])</f>
        <v>0</v>
      </c>
      <c r="AC712" s="66">
        <f>IF(NOTA[[#This Row],[JUMLAH]]="","",NOTA[[#This Row],[JUMLAH]]-NOTA[[#This Row],[DISC]])</f>
        <v>1672000</v>
      </c>
      <c r="AD712" s="66"/>
      <c r="AE7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39133000</v>
      </c>
      <c r="AG712" s="55">
        <f>IF(NOTA[[#This Row],[NAMA BARANG]]="","",IF(NOTA[[#This Row],[JUMLAH_H]]="",NOTA[[#This Row],[HARGA/ CTN]],NOTA[[#This Row],[QTY]]*NOTA[[#This Row],[HARGA SATUAN]]/IF(ISNUMBER(NOTA[[#This Row],[C]]),NOTA[[#This Row],[C]],1)))</f>
        <v>1672000</v>
      </c>
      <c r="AH712" s="66">
        <f>IF(OR(NOTA[[#This Row],[QTY]]="",NOTA[[#This Row],[HARGA SATUAN]]="",),"",NOTA[[#This Row],[QTY]]*NOTA[[#This Row],[HARGA SATUAN]])</f>
        <v>1672000</v>
      </c>
      <c r="AI712" s="60">
        <f ca="1">IF(NOTA[ID_H]="","",INDEX(NOTA[TANGGAL],MATCH(,INDIRECT(ADDRESS(ROW(NOTA[TANGGAL]),COLUMN(NOTA[TANGGAL]))&amp;":"&amp;ADDRESS(ROW(),COLUMN(NOTA[TANGGAL]))),-1)))</f>
        <v>45316</v>
      </c>
      <c r="AJ712" s="55" t="str">
        <f ca="1">IF(NOTA[[#This Row],[NAMA BARANG]]="","",INDEX(NOTA[SUPPLIER],MATCH(,INDIRECT(ADDRESS(ROW(NOTA[ID]),COLUMN(NOTA[ID]))&amp;":"&amp;ADDRESS(ROW(),COLUMN(NOTA[ID]))),-1)))</f>
        <v>PMJP</v>
      </c>
      <c r="AK712" s="55" t="str">
        <f ca="1">IF(NOTA[[#This Row],[ID_H]]="","",IF(NOTA[[#This Row],[FAKTUR]]="",INDIRECT(ADDRESS(ROW()-1,COLUMN())),NOTA[[#This Row],[FAKTUR]]))</f>
        <v>UNTANA</v>
      </c>
      <c r="AL712" s="56" t="str">
        <f ca="1">IF(NOTA[[#This Row],[ID]]="","",COUNTIF(NOTA[ID_H],NOTA[[#This Row],[ID_H]]))</f>
        <v/>
      </c>
      <c r="AM712" s="56">
        <f ca="1">IF(NOTA[[#This Row],[TGL.NOTA]]="",IF(NOTA[[#This Row],[SUPPLIER_H]]="","",AM711),MONTH(NOTA[[#This Row],[TGL.NOTA]]))</f>
        <v>1</v>
      </c>
      <c r="AN712" s="56" t="str">
        <f>LOWER(SUBSTITUTE(SUBSTITUTE(SUBSTITUTE(SUBSTITUTE(SUBSTITUTE(SUBSTITUTE(SUBSTITUTE(SUBSTITUTE(SUBSTITUTE(NOTA[NAMA BARANG]," ",),".",""),"-",""),"(",""),")",""),",",""),"/",""),"""",""),"+",""))</f>
        <v>stabillotz8001</v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stabillotz80011672000</v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stabillotz800122000</v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>
        <f>IF(NOTA[[#This Row],[CONCAT1]]="","",MATCH(NOTA[[#This Row],[CONCAT1]],[3]!db[NB NOTA_C],0))</f>
        <v>2831</v>
      </c>
      <c r="AT712" s="56" t="b">
        <f>IF(NOTA[[#This Row],[QTY/ CTN]]="","",TRUE)</f>
        <v>1</v>
      </c>
      <c r="AU712" s="56" t="str">
        <f ca="1">IF(NOTA[[#This Row],[ID_H]]="","",IF(NOTA[[#This Row],[Column3]]=TRUE,NOTA[[#This Row],[QTY/ CTN]],INDEX([3]!db[QTY/ CTN],NOTA[[#This Row],[//DB]])))</f>
        <v>144 LSN</v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W712" s="56" t="e">
        <f ca="1">IF(NOTA[[#This Row],[ID_H]]="","",MATCH(NOTA[[#This Row],[NB NOTA_C_QTY]],[4]!db[NB NOTA_C_QTY+F],0))</f>
        <v>#REF!</v>
      </c>
      <c r="AX712" s="68">
        <f ca="1">IF(NOTA[[#This Row],[NB NOTA_C_QTY]]="","",ROW()-2)</f>
        <v>710</v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7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GUN_2501_178-1</v>
      </c>
      <c r="C714" s="56" t="e">
        <f ca="1">IF(NOTA[[#This Row],[ID_P]]="","",MATCH(NOTA[[#This Row],[ID_P]],[1]!B_MSK[N_ID],0))</f>
        <v>#REF!</v>
      </c>
      <c r="D714" s="56">
        <f ca="1">IF(NOTA[[#This Row],[NAMA BARANG]]="","",INDEX(NOTA[ID],MATCH(,INDIRECT(ADDRESS(ROW(NOTA[ID]),COLUMN(NOTA[ID]))&amp;":"&amp;ADDRESS(ROW(),COLUMN(NOTA[ID]))),-1)))</f>
        <v>119</v>
      </c>
      <c r="E714" s="57">
        <v>45316</v>
      </c>
      <c r="F714" s="37" t="s">
        <v>693</v>
      </c>
      <c r="G714" s="37" t="s">
        <v>110</v>
      </c>
      <c r="H714" s="47" t="s">
        <v>790</v>
      </c>
      <c r="I714" s="58"/>
      <c r="J714" s="39">
        <v>45313</v>
      </c>
      <c r="K714" s="58">
        <v>0</v>
      </c>
      <c r="L714" s="37" t="s">
        <v>791</v>
      </c>
      <c r="M714" s="61">
        <v>1</v>
      </c>
      <c r="N714" s="56">
        <v>20</v>
      </c>
      <c r="O714" s="37" t="s">
        <v>111</v>
      </c>
      <c r="P714" s="55">
        <v>120000</v>
      </c>
      <c r="Q714" s="62"/>
      <c r="R714" s="48" t="s">
        <v>792</v>
      </c>
      <c r="S714" s="64">
        <v>0.05</v>
      </c>
      <c r="T714" s="65">
        <v>0.1</v>
      </c>
      <c r="U714" s="65"/>
      <c r="V714" s="66"/>
      <c r="W714" s="67"/>
      <c r="X714" s="66">
        <f>IF(NOTA[[#This Row],[HARGA/ CTN]]="",NOTA[[#This Row],[JUMLAH_H]],NOTA[[#This Row],[HARGA/ CTN]]*IF(NOTA[[#This Row],[C]]="",0,NOTA[[#This Row],[C]]))</f>
        <v>2400000</v>
      </c>
      <c r="Y714" s="66">
        <f>IF(NOTA[[#This Row],[JUMLAH]]="","",NOTA[[#This Row],[JUMLAH]]*NOTA[[#This Row],[DISC 1]])</f>
        <v>120000</v>
      </c>
      <c r="Z714" s="66">
        <f>IF(NOTA[[#This Row],[JUMLAH]]="","",(NOTA[[#This Row],[JUMLAH]]-NOTA[[#This Row],[DISC 1-]])*NOTA[[#This Row],[DISC 2]])</f>
        <v>228000</v>
      </c>
      <c r="AA714" s="66">
        <f>IF(NOTA[[#This Row],[JUMLAH]]="","",(NOTA[[#This Row],[JUMLAH]]-NOTA[[#This Row],[DISC 1-]]-NOTA[[#This Row],[DISC 2-]])*NOTA[[#This Row],[DISC 3]])</f>
        <v>0</v>
      </c>
      <c r="AB714" s="66">
        <f>IF(NOTA[[#This Row],[JUMLAH]]="","",NOTA[[#This Row],[DISC 1-]]+NOTA[[#This Row],[DISC 2-]]+NOTA[[#This Row],[DISC 3-]])</f>
        <v>348000</v>
      </c>
      <c r="AC714" s="66">
        <f>IF(NOTA[[#This Row],[JUMLAH]]="","",NOTA[[#This Row],[JUMLAH]]-NOTA[[#This Row],[DISC]])</f>
        <v>2052000</v>
      </c>
      <c r="AD714" s="66"/>
      <c r="AE7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348000</v>
      </c>
      <c r="AF7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2052000</v>
      </c>
      <c r="AG714" s="5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714" s="66">
        <f>IF(OR(NOTA[[#This Row],[QTY]]="",NOTA[[#This Row],[HARGA SATUAN]]="",),"",NOTA[[#This Row],[QTY]]*NOTA[[#This Row],[HARGA SATUAN]])</f>
        <v>2400000</v>
      </c>
      <c r="AI714" s="60">
        <f ca="1">IF(NOTA[ID_H]="","",INDEX(NOTA[TANGGAL],MATCH(,INDIRECT(ADDRESS(ROW(NOTA[TANGGAL]),COLUMN(NOTA[TANGGAL]))&amp;":"&amp;ADDRESS(ROW(),COLUMN(NOTA[TANGGAL]))),-1)))</f>
        <v>45316</v>
      </c>
      <c r="AJ714" s="55" t="str">
        <f ca="1">IF(NOTA[[#This Row],[NAMA BARANG]]="","",INDEX(NOTA[SUPPLIER],MATCH(,INDIRECT(ADDRESS(ROW(NOTA[ID]),COLUMN(NOTA[ID]))&amp;":"&amp;ADDRESS(ROW(),COLUMN(NOTA[ID]))),-1)))</f>
        <v>GUNINDO</v>
      </c>
      <c r="AK714" s="55" t="str">
        <f ca="1">IF(NOTA[[#This Row],[ID_H]]="","",IF(NOTA[[#This Row],[FAKTUR]]="",INDIRECT(ADDRESS(ROW()-1,COLUMN())),NOTA[[#This Row],[FAKTUR]]))</f>
        <v>UNTANA</v>
      </c>
      <c r="AL714" s="56">
        <f ca="1">IF(NOTA[[#This Row],[ID]]="","",COUNTIF(NOTA[ID_H],NOTA[[#This Row],[ID_H]]))</f>
        <v>1</v>
      </c>
      <c r="AM714" s="56">
        <f>IF(NOTA[[#This Row],[TGL.NOTA]]="",IF(NOTA[[#This Row],[SUPPLIER_H]]="","",AM713),MONTH(NOTA[[#This Row],[TGL.NOTA]]))</f>
        <v>1</v>
      </c>
      <c r="AN714" s="56" t="str">
        <f>LOWER(SUBSTITUTE(SUBSTITUTE(SUBSTITUTE(SUBSTITUTE(SUBSTITUTE(SUBSTITUTE(SUBSTITUTE(SUBSTITUTE(SUBSTITUTE(NOTA[NAMA BARANG]," ",),".",""),"-",""),"(",""),")",""),",",""),"/",""),"""",""),"+",""))</f>
        <v>pl8gunindo</v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GUNINDOUNTANA240117845313pl8gunindo</v>
      </c>
      <c r="AR714" s="56" t="e">
        <f>IF(NOTA[[#This Row],[CONCAT4]]="","",_xlfn.IFNA(MATCH(NOTA[[#This Row],[CONCAT4]],[2]!RAW[CONCAT_H],0),FALSE))</f>
        <v>#REF!</v>
      </c>
      <c r="AS714" s="56">
        <f>IF(NOTA[[#This Row],[CONCAT1]]="","",MATCH(NOTA[[#This Row],[CONCAT1]],[3]!db[NB NOTA_C],0))</f>
        <v>2677</v>
      </c>
      <c r="AT714" s="56" t="b">
        <f>IF(NOTA[[#This Row],[QTY/ CTN]]="","",TRUE)</f>
        <v>1</v>
      </c>
      <c r="AU714" s="56" t="str">
        <f ca="1">IF(NOTA[[#This Row],[ID_H]]="","",IF(NOTA[[#This Row],[Column3]]=TRUE,NOTA[[#This Row],[QTY/ CTN]],INDEX([3]!db[QTY/ CTN],NOTA[[#This Row],[//DB]])))</f>
        <v>20 LSN</v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W714" s="56" t="e">
        <f ca="1">IF(NOTA[[#This Row],[ID_H]]="","",MATCH(NOTA[[#This Row],[NB NOTA_C_QTY]],[4]!db[NB NOTA_C_QTY+F],0))</f>
        <v>#REF!</v>
      </c>
      <c r="AX714" s="68">
        <f ca="1">IF(NOTA[[#This Row],[NB NOTA_C_QTY]]="","",ROW()-2)</f>
        <v>712</v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71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SUR_2501_645-2</v>
      </c>
      <c r="C716" s="56" t="e">
        <f ca="1">IF(NOTA[[#This Row],[ID_P]]="","",MATCH(NOTA[[#This Row],[ID_P]],[1]!B_MSK[N_ID],0))</f>
        <v>#REF!</v>
      </c>
      <c r="D716" s="56">
        <f ca="1">IF(NOTA[[#This Row],[NAMA BARANG]]="","",INDEX(NOTA[ID],MATCH(,INDIRECT(ADDRESS(ROW(NOTA[ID]),COLUMN(NOTA[ID]))&amp;":"&amp;ADDRESS(ROW(),COLUMN(NOTA[ID]))),-1)))</f>
        <v>120</v>
      </c>
      <c r="E716" s="57">
        <v>45316</v>
      </c>
      <c r="F716" s="37" t="s">
        <v>447</v>
      </c>
      <c r="G716" s="37" t="s">
        <v>110</v>
      </c>
      <c r="H716" s="47" t="s">
        <v>793</v>
      </c>
      <c r="I716" s="58"/>
      <c r="J716" s="60">
        <v>45311</v>
      </c>
      <c r="K716" s="58"/>
      <c r="L716" s="37" t="s">
        <v>794</v>
      </c>
      <c r="M716" s="61">
        <v>5</v>
      </c>
      <c r="N716" s="56">
        <f>216*5</f>
        <v>1080</v>
      </c>
      <c r="O716" s="37" t="s">
        <v>115</v>
      </c>
      <c r="P716" s="55">
        <v>9000</v>
      </c>
      <c r="Q716" s="62"/>
      <c r="R716" s="48" t="s">
        <v>795</v>
      </c>
      <c r="S716" s="64">
        <v>0.2</v>
      </c>
      <c r="T716" s="65">
        <v>2.5000000000000001E-2</v>
      </c>
      <c r="U716" s="65"/>
      <c r="V716" s="66"/>
      <c r="W716" s="67"/>
      <c r="X716" s="66">
        <f>IF(NOTA[[#This Row],[HARGA/ CTN]]="",NOTA[[#This Row],[JUMLAH_H]],NOTA[[#This Row],[HARGA/ CTN]]*IF(NOTA[[#This Row],[C]]="",0,NOTA[[#This Row],[C]]))</f>
        <v>9720000</v>
      </c>
      <c r="Y716" s="66">
        <f>IF(NOTA[[#This Row],[JUMLAH]]="","",NOTA[[#This Row],[JUMLAH]]*NOTA[[#This Row],[DISC 1]])</f>
        <v>1944000</v>
      </c>
      <c r="Z716" s="66">
        <f>IF(NOTA[[#This Row],[JUMLAH]]="","",(NOTA[[#This Row],[JUMLAH]]-NOTA[[#This Row],[DISC 1-]])*NOTA[[#This Row],[DISC 2]])</f>
        <v>194400</v>
      </c>
      <c r="AA716" s="66">
        <f>IF(NOTA[[#This Row],[JUMLAH]]="","",(NOTA[[#This Row],[JUMLAH]]-NOTA[[#This Row],[DISC 1-]]-NOTA[[#This Row],[DISC 2-]])*NOTA[[#This Row],[DISC 3]])</f>
        <v>0</v>
      </c>
      <c r="AB716" s="66">
        <f>IF(NOTA[[#This Row],[JUMLAH]]="","",NOTA[[#This Row],[DISC 1-]]+NOTA[[#This Row],[DISC 2-]]+NOTA[[#This Row],[DISC 3-]])</f>
        <v>2138400</v>
      </c>
      <c r="AC716" s="66">
        <f>IF(NOTA[[#This Row],[JUMLAH]]="","",NOTA[[#This Row],[JUMLAH]]-NOTA[[#This Row],[DISC]])</f>
        <v>7581600</v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716" s="66">
        <f>IF(OR(NOTA[[#This Row],[QTY]]="",NOTA[[#This Row],[HARGA SATUAN]]="",),"",NOTA[[#This Row],[QTY]]*NOTA[[#This Row],[HARGA SATUAN]])</f>
        <v>9720000</v>
      </c>
      <c r="AI716" s="60">
        <f ca="1">IF(NOTA[ID_H]="","",INDEX(NOTA[TANGGAL],MATCH(,INDIRECT(ADDRESS(ROW(NOTA[TANGGAL]),COLUMN(NOTA[TANGGAL]))&amp;":"&amp;ADDRESS(ROW(),COLUMN(NOTA[TANGGAL]))),-1)))</f>
        <v>45316</v>
      </c>
      <c r="AJ716" s="55" t="str">
        <f ca="1">IF(NOTA[[#This Row],[NAMA BARANG]]="","",INDEX(NOTA[SUPPLIER],MATCH(,INDIRECT(ADDRESS(ROW(NOTA[ID]),COLUMN(NOTA[ID]))&amp;":"&amp;ADDRESS(ROW(),COLUMN(NOTA[ID]))),-1)))</f>
        <v>SURYA PRATAMA</v>
      </c>
      <c r="AK716" s="55" t="str">
        <f ca="1">IF(NOTA[[#This Row],[ID_H]]="","",IF(NOTA[[#This Row],[FAKTUR]]="",INDIRECT(ADDRESS(ROW()-1,COLUMN())),NOTA[[#This Row],[FAKTUR]]))</f>
        <v>UNTANA</v>
      </c>
      <c r="AL716" s="56">
        <f ca="1">IF(NOTA[[#This Row],[ID]]="","",COUNTIF(NOTA[ID_H],NOTA[[#This Row],[ID_H]]))</f>
        <v>2</v>
      </c>
      <c r="AM716" s="56">
        <f>IF(NOTA[[#This Row],[TGL.NOTA]]="",IF(NOTA[[#This Row],[SUPPLIER_H]]="","",AM715),MONTH(NOTA[[#This Row],[TGL.NOTA]]))</f>
        <v>1</v>
      </c>
      <c r="AN716" s="56" t="str">
        <f>LOWER(SUBSTITUTE(SUBSTITUTE(SUBSTITUTE(SUBSTITUTE(SUBSTITUTE(SUBSTITUTE(SUBSTITUTE(SUBSTITUTE(SUBSTITUTE(NOTA[NAMA BARANG]," ",),".",""),"-",""),"(",""),")",""),",",""),"/",""),"""",""),"+",""))</f>
        <v>catairopini110</v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catairopini11019440000.20.025</v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catairopini11019440000.20.025</v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PRATAMAUNTANAF24A00064545311catairopini110</v>
      </c>
      <c r="AR716" s="56" t="e">
        <f>IF(NOTA[[#This Row],[CONCAT4]]="","",_xlfn.IFNA(MATCH(NOTA[[#This Row],[CONCAT4]],[2]!RAW[CONCAT_H],0),FALSE))</f>
        <v>#REF!</v>
      </c>
      <c r="AS716" s="56" t="e">
        <f>IF(NOTA[[#This Row],[CONCAT1]]="","",MATCH(NOTA[[#This Row],[CONCAT1]],[3]!db[NB NOTA_C],0))</f>
        <v>#N/A</v>
      </c>
      <c r="AT716" s="56" t="b">
        <f>IF(NOTA[[#This Row],[QTY/ CTN]]="","",TRUE)</f>
        <v>1</v>
      </c>
      <c r="AU716" s="56" t="str">
        <f ca="1">IF(NOTA[[#This Row],[ID_H]]="","",IF(NOTA[[#This Row],[Column3]]=TRUE,NOTA[[#This Row],[QTY/ CTN]],INDEX([3]!db[QTY/ CTN],NOTA[[#This Row],[//DB]])))</f>
        <v>216 PCS</v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catairopini110216pcsuntana</v>
      </c>
      <c r="AW716" s="56" t="e">
        <f ca="1">IF(NOTA[[#This Row],[ID_H]]="","",MATCH(NOTA[[#This Row],[NB NOTA_C_QTY]],[4]!db[NB NOTA_C_QTY+F],0))</f>
        <v>#REF!</v>
      </c>
      <c r="AX716" s="68">
        <f ca="1">IF(NOTA[[#This Row],[NB NOTA_C_QTY]]="","",ROW()-2)</f>
        <v>714</v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>
        <f ca="1">IF(NOTA[[#This Row],[NAMA BARANG]]="","",INDEX(NOTA[ID],MATCH(,INDIRECT(ADDRESS(ROW(NOTA[ID]),COLUMN(NOTA[ID]))&amp;":"&amp;ADDRESS(ROW(),COLUMN(NOTA[ID]))),-1)))</f>
        <v>120</v>
      </c>
      <c r="E717" s="57"/>
      <c r="F717" s="58"/>
      <c r="G717" s="58"/>
      <c r="H717" s="59"/>
      <c r="I717" s="58"/>
      <c r="J717" s="60"/>
      <c r="K717" s="58"/>
      <c r="L717" s="37" t="s">
        <v>796</v>
      </c>
      <c r="M717" s="61">
        <v>5</v>
      </c>
      <c r="N717" s="56">
        <v>720</v>
      </c>
      <c r="O717" s="37" t="s">
        <v>115</v>
      </c>
      <c r="P717" s="55">
        <v>9400</v>
      </c>
      <c r="Q717" s="62"/>
      <c r="R717" s="48" t="s">
        <v>413</v>
      </c>
      <c r="S717" s="64">
        <v>0.2</v>
      </c>
      <c r="T717" s="65">
        <v>2.5000000000000001E-2</v>
      </c>
      <c r="U717" s="65"/>
      <c r="V717" s="66"/>
      <c r="W717" s="67"/>
      <c r="X717" s="66">
        <f>IF(NOTA[[#This Row],[HARGA/ CTN]]="",NOTA[[#This Row],[JUMLAH_H]],NOTA[[#This Row],[HARGA/ CTN]]*IF(NOTA[[#This Row],[C]]="",0,NOTA[[#This Row],[C]]))</f>
        <v>6768000</v>
      </c>
      <c r="Y717" s="66">
        <f>IF(NOTA[[#This Row],[JUMLAH]]="","",NOTA[[#This Row],[JUMLAH]]*NOTA[[#This Row],[DISC 1]])</f>
        <v>1353600</v>
      </c>
      <c r="Z717" s="66">
        <f>IF(NOTA[[#This Row],[JUMLAH]]="","",(NOTA[[#This Row],[JUMLAH]]-NOTA[[#This Row],[DISC 1-]])*NOTA[[#This Row],[DISC 2]])</f>
        <v>135360</v>
      </c>
      <c r="AA717" s="66">
        <f>IF(NOTA[[#This Row],[JUMLAH]]="","",(NOTA[[#This Row],[JUMLAH]]-NOTA[[#This Row],[DISC 1-]]-NOTA[[#This Row],[DISC 2-]])*NOTA[[#This Row],[DISC 3]])</f>
        <v>0</v>
      </c>
      <c r="AB717" s="66">
        <f>IF(NOTA[[#This Row],[JUMLAH]]="","",NOTA[[#This Row],[DISC 1-]]+NOTA[[#This Row],[DISC 2-]]+NOTA[[#This Row],[DISC 3-]])</f>
        <v>1488960</v>
      </c>
      <c r="AC717" s="66">
        <f>IF(NOTA[[#This Row],[JUMLAH]]="","",NOTA[[#This Row],[JUMLAH]]-NOTA[[#This Row],[DISC]])</f>
        <v>5279040</v>
      </c>
      <c r="AD717" s="66"/>
      <c r="AE7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3627360</v>
      </c>
      <c r="AF7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12860640</v>
      </c>
      <c r="AG717" s="55">
        <f>IF(NOTA[[#This Row],[NAMA BARANG]]="","",IF(NOTA[[#This Row],[JUMLAH_H]]="",NOTA[[#This Row],[HARGA/ CTN]],NOTA[[#This Row],[QTY]]*NOTA[[#This Row],[HARGA SATUAN]]/IF(ISNUMBER(NOTA[[#This Row],[C]]),NOTA[[#This Row],[C]],1)))</f>
        <v>1353600</v>
      </c>
      <c r="AH717" s="66">
        <f>IF(OR(NOTA[[#This Row],[QTY]]="",NOTA[[#This Row],[HARGA SATUAN]]="",),"",NOTA[[#This Row],[QTY]]*NOTA[[#This Row],[HARGA SATUAN]])</f>
        <v>6768000</v>
      </c>
      <c r="AI717" s="60">
        <f ca="1">IF(NOTA[ID_H]="","",INDEX(NOTA[TANGGAL],MATCH(,INDIRECT(ADDRESS(ROW(NOTA[TANGGAL]),COLUMN(NOTA[TANGGAL]))&amp;":"&amp;ADDRESS(ROW(),COLUMN(NOTA[TANGGAL]))),-1)))</f>
        <v>45316</v>
      </c>
      <c r="AJ717" s="55" t="str">
        <f ca="1">IF(NOTA[[#This Row],[NAMA BARANG]]="","",INDEX(NOTA[SUPPLIER],MATCH(,INDIRECT(ADDRESS(ROW(NOTA[ID]),COLUMN(NOTA[ID]))&amp;":"&amp;ADDRESS(ROW(),COLUMN(NOTA[ID]))),-1)))</f>
        <v>SURYA PRATAMA</v>
      </c>
      <c r="AK717" s="55" t="str">
        <f ca="1">IF(NOTA[[#This Row],[ID_H]]="","",IF(NOTA[[#This Row],[FAKTUR]]="",INDIRECT(ADDRESS(ROW()-1,COLUMN())),NOTA[[#This Row],[FAKTUR]]))</f>
        <v>UNTANA</v>
      </c>
      <c r="AL717" s="56" t="str">
        <f ca="1">IF(NOTA[[#This Row],[ID]]="","",COUNTIF(NOTA[ID_H],NOTA[[#This Row],[ID_H]]))</f>
        <v/>
      </c>
      <c r="AM717" s="56">
        <f ca="1">IF(NOTA[[#This Row],[TGL.NOTA]]="",IF(NOTA[[#This Row],[SUPPLIER_H]]="","",AM716),MONTH(NOTA[[#This Row],[TGL.NOTA]]))</f>
        <v>1</v>
      </c>
      <c r="AN717" s="56" t="str">
        <f>LOWER(SUBSTITUTE(SUBSTITUTE(SUBSTITUTE(SUBSTITUTE(SUBSTITUTE(SUBSTITUTE(SUBSTITUTE(SUBSTITUTE(SUBSTITUTE(NOTA[NAMA BARANG]," ",),".",""),"-",""),"(",""),")",""),",",""),"/",""),"""",""),"+",""))</f>
        <v>catairopini120</v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catairopini12013536000.20.025</v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catairopini12013536000.20.025</v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e">
        <f>IF(NOTA[[#This Row],[CONCAT1]]="","",MATCH(NOTA[[#This Row],[CONCAT1]],[3]!db[NB NOTA_C],0))</f>
        <v>#N/A</v>
      </c>
      <c r="AT717" s="56" t="b">
        <f>IF(NOTA[[#This Row],[QTY/ CTN]]="","",TRUE)</f>
        <v>1</v>
      </c>
      <c r="AU717" s="56" t="str">
        <f ca="1">IF(NOTA[[#This Row],[ID_H]]="","",IF(NOTA[[#This Row],[Column3]]=TRUE,NOTA[[#This Row],[QTY/ CTN]],INDEX([3]!db[QTY/ CTN],NOTA[[#This Row],[//DB]])))</f>
        <v>144 PCS</v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catairopini120144pcsuntana</v>
      </c>
      <c r="AW717" s="56" t="e">
        <f ca="1">IF(NOTA[[#This Row],[ID_H]]="","",MATCH(NOTA[[#This Row],[NB NOTA_C_QTY]],[4]!db[NB NOTA_C_QTY+F],0))</f>
        <v>#REF!</v>
      </c>
      <c r="AX717" s="68">
        <f ca="1">IF(NOTA[[#This Row],[NB NOTA_C_QTY]]="","",ROW()-2)</f>
        <v>715</v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7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HAN_2401_311-3</v>
      </c>
      <c r="C719" s="56" t="e">
        <f ca="1">IF(NOTA[[#This Row],[ID_P]]="","",MATCH(NOTA[[#This Row],[ID_P]],[1]!B_MSK[N_ID],0))</f>
        <v>#REF!</v>
      </c>
      <c r="D719" s="56">
        <f ca="1">IF(NOTA[[#This Row],[NAMA BARANG]]="","",INDEX(NOTA[ID],MATCH(,INDIRECT(ADDRESS(ROW(NOTA[ID]),COLUMN(NOTA[ID]))&amp;":"&amp;ADDRESS(ROW(),COLUMN(NOTA[ID]))),-1)))</f>
        <v>121</v>
      </c>
      <c r="E719" s="57">
        <v>45315</v>
      </c>
      <c r="F719" s="37" t="s">
        <v>797</v>
      </c>
      <c r="G719" s="37" t="s">
        <v>110</v>
      </c>
      <c r="H719" s="47" t="s">
        <v>798</v>
      </c>
      <c r="I719" s="58"/>
      <c r="J719" s="60">
        <v>45315</v>
      </c>
      <c r="K719" s="58">
        <v>0</v>
      </c>
      <c r="L719" s="37" t="s">
        <v>800</v>
      </c>
      <c r="M719" s="61"/>
      <c r="N719" s="56">
        <v>8</v>
      </c>
      <c r="O719" s="37" t="s">
        <v>111</v>
      </c>
      <c r="P719" s="55">
        <v>13000</v>
      </c>
      <c r="Q719" s="62"/>
      <c r="R719" s="63"/>
      <c r="S719" s="64"/>
      <c r="T719" s="65"/>
      <c r="U719" s="65"/>
      <c r="V719" s="66"/>
      <c r="W719" s="45" t="s">
        <v>799</v>
      </c>
      <c r="X719" s="66">
        <f>IF(NOTA[[#This Row],[HARGA/ CTN]]="",NOTA[[#This Row],[JUMLAH_H]],NOTA[[#This Row],[HARGA/ CTN]]*IF(NOTA[[#This Row],[C]]="",0,NOTA[[#This Row],[C]]))</f>
        <v>104000</v>
      </c>
      <c r="Y719" s="66">
        <f>IF(NOTA[[#This Row],[JUMLAH]]="","",NOTA[[#This Row],[JUMLAH]]*NOTA[[#This Row],[DISC 1]])</f>
        <v>0</v>
      </c>
      <c r="Z719" s="66">
        <f>IF(NOTA[[#This Row],[JUMLAH]]="","",(NOTA[[#This Row],[JUMLAH]]-NOTA[[#This Row],[DISC 1-]])*NOTA[[#This Row],[DISC 2]])</f>
        <v>0</v>
      </c>
      <c r="AA719" s="66">
        <f>IF(NOTA[[#This Row],[JUMLAH]]="","",(NOTA[[#This Row],[JUMLAH]]-NOTA[[#This Row],[DISC 1-]]-NOTA[[#This Row],[DISC 2-]])*NOTA[[#This Row],[DISC 3]])</f>
        <v>0</v>
      </c>
      <c r="AB719" s="66">
        <f>IF(NOTA[[#This Row],[JUMLAH]]="","",NOTA[[#This Row],[DISC 1-]]+NOTA[[#This Row],[DISC 2-]]+NOTA[[#This Row],[DISC 3-]])</f>
        <v>0</v>
      </c>
      <c r="AC719" s="66">
        <f>IF(NOTA[[#This Row],[JUMLAH]]="","",NOTA[[#This Row],[JUMLAH]]-NOTA[[#This Row],[DISC]])</f>
        <v>104000</v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>
        <f>IF(NOTA[[#This Row],[NAMA BARANG]]="","",IF(NOTA[[#This Row],[JUMLAH_H]]="",NOTA[[#This Row],[HARGA/ CTN]],NOTA[[#This Row],[QTY]]*NOTA[[#This Row],[HARGA SATUAN]]/IF(ISNUMBER(NOTA[[#This Row],[C]]),NOTA[[#This Row],[C]],1)))</f>
        <v>104000</v>
      </c>
      <c r="AH719" s="66">
        <f>IF(OR(NOTA[[#This Row],[QTY]]="",NOTA[[#This Row],[HARGA SATUAN]]="",),"",NOTA[[#This Row],[QTY]]*NOTA[[#This Row],[HARGA SATUAN]])</f>
        <v>104000</v>
      </c>
      <c r="AI719" s="60">
        <f ca="1">IF(NOTA[ID_H]="","",INDEX(NOTA[TANGGAL],MATCH(,INDIRECT(ADDRESS(ROW(NOTA[TANGGAL]),COLUMN(NOTA[TANGGAL]))&amp;":"&amp;ADDRESS(ROW(),COLUMN(NOTA[TANGGAL]))),-1)))</f>
        <v>45315</v>
      </c>
      <c r="AJ719" s="55" t="str">
        <f ca="1">IF(NOTA[[#This Row],[NAMA BARANG]]="","",INDEX(NOTA[SUPPLIER],MATCH(,INDIRECT(ADDRESS(ROW(NOTA[ID]),COLUMN(NOTA[ID]))&amp;":"&amp;ADDRESS(ROW(),COLUMN(NOTA[ID]))),-1)))</f>
        <v>HANSA</v>
      </c>
      <c r="AK719" s="55" t="str">
        <f ca="1">IF(NOTA[[#This Row],[ID_H]]="","",IF(NOTA[[#This Row],[FAKTUR]]="",INDIRECT(ADDRESS(ROW()-1,COLUMN())),NOTA[[#This Row],[FAKTUR]]))</f>
        <v>UNTANA</v>
      </c>
      <c r="AL719" s="56">
        <f ca="1">IF(NOTA[[#This Row],[ID]]="","",COUNTIF(NOTA[ID_H],NOTA[[#This Row],[ID_H]]))</f>
        <v>3</v>
      </c>
      <c r="AM719" s="56">
        <f>IF(NOTA[[#This Row],[TGL.NOTA]]="",IF(NOTA[[#This Row],[SUPPLIER_H]]="","",AM718),MONTH(NOTA[[#This Row],[TGL.NOTA]]))</f>
        <v>1</v>
      </c>
      <c r="AN719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lilinangkashintoeng104000</v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HANSAUNTANAHN01202431145315lilinangkashintoeng</v>
      </c>
      <c r="AR719" s="56" t="e">
        <f>IF(NOTA[[#This Row],[CONCAT4]]="","",_xlfn.IFNA(MATCH(NOTA[[#This Row],[CONCAT4]],[2]!RAW[CONCAT_H],0),FALSE))</f>
        <v>#REF!</v>
      </c>
      <c r="AS719" s="56">
        <f>IF(NOTA[[#This Row],[CONCAT1]]="","",MATCH(NOTA[[#This Row],[CONCAT1]],[3]!db[NB NOTA_C],0))</f>
        <v>1892</v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>100 LSN</v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719" s="56" t="e">
        <f ca="1">IF(NOTA[[#This Row],[ID_H]]="","",MATCH(NOTA[[#This Row],[NB NOTA_C_QTY]],[4]!db[NB NOTA_C_QTY+F],0))</f>
        <v>#REF!</v>
      </c>
      <c r="AX719" s="68">
        <f ca="1">IF(NOTA[[#This Row],[NB NOTA_C_QTY]]="","",ROW()-2)</f>
        <v>717</v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37"/>
      <c r="G720" s="37"/>
      <c r="H720" s="47"/>
      <c r="I720" s="58"/>
      <c r="J720" s="60"/>
      <c r="K720" s="58"/>
      <c r="L720" s="37"/>
      <c r="M720" s="61"/>
      <c r="N720" s="56"/>
      <c r="O720" s="37"/>
      <c r="P720" s="55"/>
      <c r="Q720" s="62"/>
      <c r="R720" s="63"/>
      <c r="S720" s="64"/>
      <c r="T720" s="65"/>
      <c r="U720" s="65"/>
      <c r="V720" s="66"/>
      <c r="W720" s="45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>
        <f ca="1">IF(NOTA[[#This Row],[NAMA BARANG]]="","",INDEX(NOTA[ID],MATCH(,INDIRECT(ADDRESS(ROW(NOTA[ID]),COLUMN(NOTA[ID]))&amp;":"&amp;ADDRESS(ROW(),COLUMN(NOTA[ID]))),-1)))</f>
        <v>121</v>
      </c>
      <c r="E721" s="57"/>
      <c r="F721" s="58"/>
      <c r="G721" s="58"/>
      <c r="H721" s="59"/>
      <c r="I721" s="58"/>
      <c r="J721" s="60"/>
      <c r="K721" s="58">
        <v>0</v>
      </c>
      <c r="L721" s="37" t="s">
        <v>801</v>
      </c>
      <c r="M721" s="61"/>
      <c r="N721" s="56">
        <v>6</v>
      </c>
      <c r="O721" s="37" t="s">
        <v>111</v>
      </c>
      <c r="P721" s="55">
        <v>39000</v>
      </c>
      <c r="Q721" s="62"/>
      <c r="R721" s="63"/>
      <c r="S721" s="64"/>
      <c r="T721" s="65"/>
      <c r="U721" s="65"/>
      <c r="V721" s="66"/>
      <c r="W721" s="67"/>
      <c r="X721" s="66">
        <f>IF(NOTA[[#This Row],[HARGA/ CTN]]="",NOTA[[#This Row],[JUMLAH_H]],NOTA[[#This Row],[HARGA/ CTN]]*IF(NOTA[[#This Row],[C]]="",0,NOTA[[#This Row],[C]]))</f>
        <v>234000</v>
      </c>
      <c r="Y721" s="66">
        <f>IF(NOTA[[#This Row],[JUMLAH]]="","",NOTA[[#This Row],[JUMLAH]]*NOTA[[#This Row],[DISC 1]])</f>
        <v>0</v>
      </c>
      <c r="Z721" s="66">
        <f>IF(NOTA[[#This Row],[JUMLAH]]="","",(NOTA[[#This Row],[JUMLAH]]-NOTA[[#This Row],[DISC 1-]])*NOTA[[#This Row],[DISC 2]])</f>
        <v>0</v>
      </c>
      <c r="AA721" s="66">
        <f>IF(NOTA[[#This Row],[JUMLAH]]="","",(NOTA[[#This Row],[JUMLAH]]-NOTA[[#This Row],[DISC 1-]]-NOTA[[#This Row],[DISC 2-]])*NOTA[[#This Row],[DISC 3]])</f>
        <v>0</v>
      </c>
      <c r="AB721" s="66">
        <f>IF(NOTA[[#This Row],[JUMLAH]]="","",NOTA[[#This Row],[DISC 1-]]+NOTA[[#This Row],[DISC 2-]]+NOTA[[#This Row],[DISC 3-]])</f>
        <v>0</v>
      </c>
      <c r="AC721" s="66">
        <f>IF(NOTA[[#This Row],[JUMLAH]]="","",NOTA[[#This Row],[JUMLAH]]-NOTA[[#This Row],[DISC]])</f>
        <v>234000</v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H721" s="66">
        <f>IF(OR(NOTA[[#This Row],[QTY]]="",NOTA[[#This Row],[HARGA SATUAN]]="",),"",NOTA[[#This Row],[QTY]]*NOTA[[#This Row],[HARGA SATUAN]])</f>
        <v>234000</v>
      </c>
      <c r="AI721" s="60">
        <f ca="1">IF(NOTA[ID_H]="","",INDEX(NOTA[TANGGAL],MATCH(,INDIRECT(ADDRESS(ROW(NOTA[TANGGAL]),COLUMN(NOTA[TANGGAL]))&amp;":"&amp;ADDRESS(ROW(),COLUMN(NOTA[TANGGAL]))),-1)))</f>
        <v>45315</v>
      </c>
      <c r="AJ721" s="55" t="str">
        <f ca="1">IF(NOTA[[#This Row],[NAMA BARANG]]="","",INDEX(NOTA[SUPPLIER],MATCH(,INDIRECT(ADDRESS(ROW(NOTA[ID]),COLUMN(NOTA[ID]))&amp;":"&amp;ADDRESS(ROW(),COLUMN(NOTA[ID]))),-1)))</f>
        <v>HANSA</v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>
        <f ca="1">IF(NOTA[[#This Row],[TGL.NOTA]]="",IF(NOTA[[#This Row],[SUPPLIER_H]]="","",AM719),MONTH(NOTA[[#This Row],[TGL.NOTA]]))</f>
        <v>1</v>
      </c>
      <c r="AN721" s="56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lilinshintoeng12btg234000</v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>
        <f>IF(NOTA[[#This Row],[CONCAT1]]="","",MATCH(NOTA[[#This Row],[CONCAT1]],[3]!db[NB NOTA_C],0))</f>
        <v>1911</v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>50 LSN</v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</v>
      </c>
      <c r="AW721" s="56" t="e">
        <f ca="1">IF(NOTA[[#This Row],[ID_H]]="","",MATCH(NOTA[[#This Row],[NB NOTA_C_QTY]],[4]!db[NB NOTA_C_QTY+F],0))</f>
        <v>#REF!</v>
      </c>
      <c r="AX721" s="68">
        <f ca="1">IF(NOTA[[#This Row],[NB NOTA_C_QTY]]="","",ROW()-2)</f>
        <v>719</v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>
        <f ca="1">IF(NOTA[[#This Row],[NAMA BARANG]]="","",INDEX(NOTA[ID],MATCH(,INDIRECT(ADDRESS(ROW(NOTA[ID]),COLUMN(NOTA[ID]))&amp;":"&amp;ADDRESS(ROW(),COLUMN(NOTA[ID]))),-1)))</f>
        <v>121</v>
      </c>
      <c r="E722" s="57"/>
      <c r="F722" s="58"/>
      <c r="G722" s="58"/>
      <c r="H722" s="59"/>
      <c r="I722" s="58"/>
      <c r="J722" s="60"/>
      <c r="K722" s="58">
        <v>0</v>
      </c>
      <c r="L722" s="37" t="s">
        <v>802</v>
      </c>
      <c r="M722" s="61"/>
      <c r="N722" s="56">
        <v>6</v>
      </c>
      <c r="O722" s="37" t="s">
        <v>111</v>
      </c>
      <c r="P722" s="55">
        <v>41000</v>
      </c>
      <c r="Q722" s="62"/>
      <c r="R722" s="63"/>
      <c r="S722" s="64"/>
      <c r="T722" s="65"/>
      <c r="U722" s="65"/>
      <c r="V722" s="66"/>
      <c r="W722" s="67"/>
      <c r="X722" s="66">
        <f>IF(NOTA[[#This Row],[HARGA/ CTN]]="",NOTA[[#This Row],[JUMLAH_H]],NOTA[[#This Row],[HARGA/ CTN]]*IF(NOTA[[#This Row],[C]]="",0,NOTA[[#This Row],[C]]))</f>
        <v>246000</v>
      </c>
      <c r="Y722" s="66">
        <f>IF(NOTA[[#This Row],[JUMLAH]]="","",NOTA[[#This Row],[JUMLAH]]*NOTA[[#This Row],[DISC 1]])</f>
        <v>0</v>
      </c>
      <c r="Z722" s="66">
        <f>IF(NOTA[[#This Row],[JUMLAH]]="","",(NOTA[[#This Row],[JUMLAH]]-NOTA[[#This Row],[DISC 1-]])*NOTA[[#This Row],[DISC 2]])</f>
        <v>0</v>
      </c>
      <c r="AA722" s="66">
        <f>IF(NOTA[[#This Row],[JUMLAH]]="","",(NOTA[[#This Row],[JUMLAH]]-NOTA[[#This Row],[DISC 1-]]-NOTA[[#This Row],[DISC 2-]])*NOTA[[#This Row],[DISC 3]])</f>
        <v>0</v>
      </c>
      <c r="AB722" s="66">
        <f>IF(NOTA[[#This Row],[JUMLAH]]="","",NOTA[[#This Row],[DISC 1-]]+NOTA[[#This Row],[DISC 2-]]+NOTA[[#This Row],[DISC 3-]])</f>
        <v>0</v>
      </c>
      <c r="AC722" s="66">
        <f>IF(NOTA[[#This Row],[JUMLAH]]="","",NOTA[[#This Row],[JUMLAH]]-NOTA[[#This Row],[DISC]])</f>
        <v>246000</v>
      </c>
      <c r="AD722" s="66"/>
      <c r="AE7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584000</v>
      </c>
      <c r="AG722" s="55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H722" s="66">
        <f>IF(OR(NOTA[[#This Row],[QTY]]="",NOTA[[#This Row],[HARGA SATUAN]]="",),"",NOTA[[#This Row],[QTY]]*NOTA[[#This Row],[HARGA SATUAN]])</f>
        <v>246000</v>
      </c>
      <c r="AI722" s="60">
        <f ca="1">IF(NOTA[ID_H]="","",INDEX(NOTA[TANGGAL],MATCH(,INDIRECT(ADDRESS(ROW(NOTA[TANGGAL]),COLUMN(NOTA[TANGGAL]))&amp;":"&amp;ADDRESS(ROW(),COLUMN(NOTA[TANGGAL]))),-1)))</f>
        <v>45315</v>
      </c>
      <c r="AJ722" s="55" t="str">
        <f ca="1">IF(NOTA[[#This Row],[NAMA BARANG]]="","",INDEX(NOTA[SUPPLIER],MATCH(,INDIRECT(ADDRESS(ROW(NOTA[ID]),COLUMN(NOTA[ID]))&amp;":"&amp;ADDRESS(ROW(),COLUMN(NOTA[ID]))),-1)))</f>
        <v>HANSA</v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>
        <f ca="1">IF(NOTA[[#This Row],[TGL.NOTA]]="",IF(NOTA[[#This Row],[SUPPLIER_H]]="","",AM721),MONTH(NOTA[[#This Row],[TGL.NOTA]]))</f>
        <v>1</v>
      </c>
      <c r="AN722" s="56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lilinshintoeng24btg246000</v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>
        <f>IF(NOTA[[#This Row],[CONCAT1]]="","",MATCH(NOTA[[#This Row],[CONCAT1]],[3]!db[NB NOTA_C],0))</f>
        <v>1912</v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>40 LSN</v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lilinshintoeng24btg40lsn</v>
      </c>
      <c r="AW722" s="56" t="e">
        <f ca="1">IF(NOTA[[#This Row],[ID_H]]="","",MATCH(NOTA[[#This Row],[NB NOTA_C_QTY]],[4]!db[NB NOTA_C_QTY+F],0))</f>
        <v>#REF!</v>
      </c>
      <c r="AX722" s="68">
        <f ca="1">IF(NOTA[[#This Row],[NB NOTA_C_QTY]]="","",ROW()-2)</f>
        <v>720</v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7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WIN_2501_COD-2</v>
      </c>
      <c r="C724" s="56" t="e">
        <f ca="1">IF(NOTA[[#This Row],[ID_P]]="","",MATCH(NOTA[[#This Row],[ID_P]],[1]!B_MSK[N_ID],0))</f>
        <v>#REF!</v>
      </c>
      <c r="D724" s="56">
        <f ca="1">IF(NOTA[[#This Row],[NAMA BARANG]]="","",INDEX(NOTA[ID],MATCH(,INDIRECT(ADDRESS(ROW(NOTA[ID]),COLUMN(NOTA[ID]))&amp;":"&amp;ADDRESS(ROW(),COLUMN(NOTA[ID]))),-1)))</f>
        <v>122</v>
      </c>
      <c r="E724" s="57">
        <v>45316</v>
      </c>
      <c r="F724" s="37" t="s">
        <v>807</v>
      </c>
      <c r="G724" s="37" t="s">
        <v>110</v>
      </c>
      <c r="H724" s="47" t="s">
        <v>803</v>
      </c>
      <c r="I724" s="58"/>
      <c r="J724" s="60">
        <v>45311</v>
      </c>
      <c r="K724" s="58">
        <v>2</v>
      </c>
      <c r="L724" s="37" t="s">
        <v>804</v>
      </c>
      <c r="M724" s="61">
        <v>7</v>
      </c>
      <c r="N724" s="56">
        <f>40*7</f>
        <v>280</v>
      </c>
      <c r="O724" s="37" t="s">
        <v>805</v>
      </c>
      <c r="P724" s="55">
        <v>18500</v>
      </c>
      <c r="Q724" s="62"/>
      <c r="R724" s="48" t="s">
        <v>806</v>
      </c>
      <c r="S724" s="64"/>
      <c r="T724" s="65"/>
      <c r="U724" s="65"/>
      <c r="V724" s="66"/>
      <c r="W724" s="67"/>
      <c r="X724" s="66">
        <f>IF(NOTA[[#This Row],[HARGA/ CTN]]="",NOTA[[#This Row],[JUMLAH_H]],NOTA[[#This Row],[HARGA/ CTN]]*IF(NOTA[[#This Row],[C]]="",0,NOTA[[#This Row],[C]]))</f>
        <v>5180000</v>
      </c>
      <c r="Y724" s="66">
        <f>IF(NOTA[[#This Row],[JUMLAH]]="","",NOTA[[#This Row],[JUMLAH]]*NOTA[[#This Row],[DISC 1]])</f>
        <v>0</v>
      </c>
      <c r="Z724" s="66">
        <f>IF(NOTA[[#This Row],[JUMLAH]]="","",(NOTA[[#This Row],[JUMLAH]]-NOTA[[#This Row],[DISC 1-]])*NOTA[[#This Row],[DISC 2]])</f>
        <v>0</v>
      </c>
      <c r="AA724" s="66">
        <f>IF(NOTA[[#This Row],[JUMLAH]]="","",(NOTA[[#This Row],[JUMLAH]]-NOTA[[#This Row],[DISC 1-]]-NOTA[[#This Row],[DISC 2-]])*NOTA[[#This Row],[DISC 3]])</f>
        <v>0</v>
      </c>
      <c r="AB724" s="66">
        <f>IF(NOTA[[#This Row],[JUMLAH]]="","",NOTA[[#This Row],[DISC 1-]]+NOTA[[#This Row],[DISC 2-]]+NOTA[[#This Row],[DISC 3-]])</f>
        <v>0</v>
      </c>
      <c r="AC724" s="66">
        <f>IF(NOTA[[#This Row],[JUMLAH]]="","",NOTA[[#This Row],[JUMLAH]]-NOTA[[#This Row],[DISC]])</f>
        <v>5180000</v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H724" s="66">
        <f>IF(OR(NOTA[[#This Row],[QTY]]="",NOTA[[#This Row],[HARGA SATUAN]]="",),"",NOTA[[#This Row],[QTY]]*NOTA[[#This Row],[HARGA SATUAN]])</f>
        <v>5180000</v>
      </c>
      <c r="AI724" s="60">
        <f ca="1">IF(NOTA[ID_H]="","",INDEX(NOTA[TANGGAL],MATCH(,INDIRECT(ADDRESS(ROW(NOTA[TANGGAL]),COLUMN(NOTA[TANGGAL]))&amp;":"&amp;ADDRESS(ROW(),COLUMN(NOTA[TANGGAL]))),-1)))</f>
        <v>45316</v>
      </c>
      <c r="AJ724" s="55" t="str">
        <f ca="1">IF(NOTA[[#This Row],[NAMA BARANG]]="","",INDEX(NOTA[SUPPLIER],MATCH(,INDIRECT(ADDRESS(ROW(NOTA[ID]),COLUMN(NOTA[ID]))&amp;":"&amp;ADDRESS(ROW(),COLUMN(NOTA[ID]))),-1)))</f>
        <v>WIN'S SENTOSA</v>
      </c>
      <c r="AK724" s="55" t="str">
        <f ca="1">IF(NOTA[[#This Row],[ID_H]]="","",IF(NOTA[[#This Row],[FAKTUR]]="",INDIRECT(ADDRESS(ROW()-1,COLUMN())),NOTA[[#This Row],[FAKTUR]]))</f>
        <v>UNTANA</v>
      </c>
      <c r="AL724" s="56">
        <f ca="1">IF(NOTA[[#This Row],[ID]]="","",COUNTIF(NOTA[ID_H],NOTA[[#This Row],[ID_H]]))</f>
        <v>2</v>
      </c>
      <c r="AM724" s="56">
        <f>IF(NOTA[[#This Row],[TGL.NOTA]]="",IF(NOTA[[#This Row],[SUPPLIER_H]]="","",AM723),MONTH(NOTA[[#This Row],[TGL.NOTA]]))</f>
        <v>1</v>
      </c>
      <c r="AN724" s="56" t="str">
        <f>LOWER(SUBSTITUTE(SUBSTITUTE(SUBSTITUTE(SUBSTITUTE(SUBSTITUTE(SUBSTITUTE(SUBSTITUTE(SUBSTITUTE(SUBSTITUTE(NOTA[NAMA BARANG]," ",),".",""),"-",""),"(",""),")",""),",",""),"/",""),"""",""),"+",""))</f>
        <v>pitajpnpolosb1:10</v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pitajpnpolosb1:10740000</v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pitajpnpolosb1:10740000</v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SENTOSAUNTANASI-2024/01-0215/COD45311pitajpnpolosb1:10</v>
      </c>
      <c r="AR724" s="56" t="e">
        <f>IF(NOTA[[#This Row],[CONCAT4]]="","",_xlfn.IFNA(MATCH(NOTA[[#This Row],[CONCAT4]],[2]!RAW[CONCAT_H],0),FALSE))</f>
        <v>#REF!</v>
      </c>
      <c r="AS724" s="56">
        <f>IF(NOTA[[#This Row],[CONCAT1]]="","",MATCH(NOTA[[#This Row],[CONCAT1]],[3]!db[NB NOTA_C],0))</f>
        <v>2671</v>
      </c>
      <c r="AT724" s="56" t="b">
        <f>IF(NOTA[[#This Row],[QTY/ CTN]]="","",TRUE)</f>
        <v>1</v>
      </c>
      <c r="AU724" s="56" t="str">
        <f ca="1">IF(NOTA[[#This Row],[ID_H]]="","",IF(NOTA[[#This Row],[Column3]]=TRUE,NOTA[[#This Row],[QTY/ CTN]],INDEX([3]!db[QTY/ CTN],NOTA[[#This Row],[//DB]])))</f>
        <v>40 SLOP</v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pitajpnpolosb1:1040slopuntana</v>
      </c>
      <c r="AW724" s="56" t="e">
        <f ca="1">IF(NOTA[[#This Row],[ID_H]]="","",MATCH(NOTA[[#This Row],[NB NOTA_C_QTY]],[4]!db[NB NOTA_C_QTY+F],0))</f>
        <v>#REF!</v>
      </c>
      <c r="AX724" s="68">
        <f ca="1">IF(NOTA[[#This Row],[NB NOTA_C_QTY]]="","",ROW()-2)</f>
        <v>722</v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>
        <f ca="1">IF(NOTA[[#This Row],[NAMA BARANG]]="","",INDEX(NOTA[ID],MATCH(,INDIRECT(ADDRESS(ROW(NOTA[ID]),COLUMN(NOTA[ID]))&amp;":"&amp;ADDRESS(ROW(),COLUMN(NOTA[ID]))),-1)))</f>
        <v>122</v>
      </c>
      <c r="E725" s="57"/>
      <c r="F725" s="58"/>
      <c r="G725" s="58"/>
      <c r="H725" s="59"/>
      <c r="I725" s="58"/>
      <c r="J725" s="60"/>
      <c r="K725" s="58"/>
      <c r="L725" s="37" t="s">
        <v>804</v>
      </c>
      <c r="M725" s="61">
        <v>5</v>
      </c>
      <c r="N725" s="56">
        <f>40*5</f>
        <v>200</v>
      </c>
      <c r="O725" s="37" t="s">
        <v>805</v>
      </c>
      <c r="P725" s="55">
        <v>18500</v>
      </c>
      <c r="Q725" s="62"/>
      <c r="R725" s="48" t="s">
        <v>806</v>
      </c>
      <c r="S725" s="64"/>
      <c r="T725" s="65"/>
      <c r="U725" s="65"/>
      <c r="V725" s="66"/>
      <c r="W725" s="67"/>
      <c r="X725" s="66">
        <f>IF(NOTA[[#This Row],[HARGA/ CTN]]="",NOTA[[#This Row],[JUMLAH_H]],NOTA[[#This Row],[HARGA/ CTN]]*IF(NOTA[[#This Row],[C]]="",0,NOTA[[#This Row],[C]]))</f>
        <v>3700000</v>
      </c>
      <c r="Y725" s="66">
        <f>IF(NOTA[[#This Row],[JUMLAH]]="","",NOTA[[#This Row],[JUMLAH]]*NOTA[[#This Row],[DISC 1]])</f>
        <v>0</v>
      </c>
      <c r="Z725" s="66">
        <f>IF(NOTA[[#This Row],[JUMLAH]]="","",(NOTA[[#This Row],[JUMLAH]]-NOTA[[#This Row],[DISC 1-]])*NOTA[[#This Row],[DISC 2]])</f>
        <v>0</v>
      </c>
      <c r="AA725" s="66">
        <f>IF(NOTA[[#This Row],[JUMLAH]]="","",(NOTA[[#This Row],[JUMLAH]]-NOTA[[#This Row],[DISC 1-]]-NOTA[[#This Row],[DISC 2-]])*NOTA[[#This Row],[DISC 3]])</f>
        <v>0</v>
      </c>
      <c r="AB725" s="66">
        <f>IF(NOTA[[#This Row],[JUMLAH]]="","",NOTA[[#This Row],[DISC 1-]]+NOTA[[#This Row],[DISC 2-]]+NOTA[[#This Row],[DISC 3-]])</f>
        <v>0</v>
      </c>
      <c r="AC725" s="66">
        <f>IF(NOTA[[#This Row],[JUMLAH]]="","",NOTA[[#This Row],[JUMLAH]]-NOTA[[#This Row],[DISC]])</f>
        <v>3700000</v>
      </c>
      <c r="AD725" s="66"/>
      <c r="AE7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G725" s="55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H725" s="66">
        <f>IF(OR(NOTA[[#This Row],[QTY]]="",NOTA[[#This Row],[HARGA SATUAN]]="",),"",NOTA[[#This Row],[QTY]]*NOTA[[#This Row],[HARGA SATUAN]])</f>
        <v>3700000</v>
      </c>
      <c r="AI725" s="60">
        <f ca="1">IF(NOTA[ID_H]="","",INDEX(NOTA[TANGGAL],MATCH(,INDIRECT(ADDRESS(ROW(NOTA[TANGGAL]),COLUMN(NOTA[TANGGAL]))&amp;":"&amp;ADDRESS(ROW(),COLUMN(NOTA[TANGGAL]))),-1)))</f>
        <v>45316</v>
      </c>
      <c r="AJ725" s="55" t="str">
        <f ca="1">IF(NOTA[[#This Row],[NAMA BARANG]]="","",INDEX(NOTA[SUPPLIER],MATCH(,INDIRECT(ADDRESS(ROW(NOTA[ID]),COLUMN(NOTA[ID]))&amp;":"&amp;ADDRESS(ROW(),COLUMN(NOTA[ID]))),-1)))</f>
        <v>WIN'S SENTOSA</v>
      </c>
      <c r="AK725" s="55" t="str">
        <f ca="1">IF(NOTA[[#This Row],[ID_H]]="","",IF(NOTA[[#This Row],[FAKTUR]]="",INDIRECT(ADDRESS(ROW()-1,COLUMN())),NOTA[[#This Row],[FAKTUR]]))</f>
        <v>UNTANA</v>
      </c>
      <c r="AL725" s="56" t="str">
        <f ca="1">IF(NOTA[[#This Row],[ID]]="","",COUNTIF(NOTA[ID_H],NOTA[[#This Row],[ID_H]]))</f>
        <v/>
      </c>
      <c r="AM725" s="56">
        <f ca="1">IF(NOTA[[#This Row],[TGL.NOTA]]="",IF(NOTA[[#This Row],[SUPPLIER_H]]="","",AM724),MONTH(NOTA[[#This Row],[TGL.NOTA]]))</f>
        <v>1</v>
      </c>
      <c r="AN725" s="56" t="str">
        <f>LOWER(SUBSTITUTE(SUBSTITUTE(SUBSTITUTE(SUBSTITUTE(SUBSTITUTE(SUBSTITUTE(SUBSTITUTE(SUBSTITUTE(SUBSTITUTE(NOTA[NAMA BARANG]," ",),".",""),"-",""),"(",""),")",""),",",""),"/",""),"""",""),"+",""))</f>
        <v>pitajpnpolosb1:10</v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pitajpnpolosb1:10740000</v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pitajpnpolosb1:10740000</v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>
        <f>IF(NOTA[[#This Row],[CONCAT1]]="","",MATCH(NOTA[[#This Row],[CONCAT1]],[3]!db[NB NOTA_C],0))</f>
        <v>2671</v>
      </c>
      <c r="AT725" s="56" t="b">
        <f>IF(NOTA[[#This Row],[QTY/ CTN]]="","",TRUE)</f>
        <v>1</v>
      </c>
      <c r="AU725" s="56" t="str">
        <f ca="1">IF(NOTA[[#This Row],[ID_H]]="","",IF(NOTA[[#This Row],[Column3]]=TRUE,NOTA[[#This Row],[QTY/ CTN]],INDEX([3]!db[QTY/ CTN],NOTA[[#This Row],[//DB]])))</f>
        <v>40 SLOP</v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pitajpnpolosb1:1040slopuntana</v>
      </c>
      <c r="AW725" s="56" t="e">
        <f ca="1">IF(NOTA[[#This Row],[ID_H]]="","",MATCH(NOTA[[#This Row],[NB NOTA_C_QTY]],[4]!db[NB NOTA_C_QTY+F],0))</f>
        <v>#REF!</v>
      </c>
      <c r="AX725" s="68">
        <f ca="1">IF(NOTA[[#This Row],[NB NOTA_C_QTY]]="","",ROW()-2)</f>
        <v>723</v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72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WIN_2501_COD-3</v>
      </c>
      <c r="C727" s="56" t="e">
        <f ca="1">IF(NOTA[[#This Row],[ID_P]]="","",MATCH(NOTA[[#This Row],[ID_P]],[1]!B_MSK[N_ID],0))</f>
        <v>#REF!</v>
      </c>
      <c r="D727" s="56">
        <f ca="1">IF(NOTA[[#This Row],[NAMA BARANG]]="","",INDEX(NOTA[ID],MATCH(,INDIRECT(ADDRESS(ROW(NOTA[ID]),COLUMN(NOTA[ID]))&amp;":"&amp;ADDRESS(ROW(),COLUMN(NOTA[ID]))),-1)))</f>
        <v>123</v>
      </c>
      <c r="E727" s="57">
        <v>45316</v>
      </c>
      <c r="F727" s="37" t="s">
        <v>807</v>
      </c>
      <c r="G727" s="37" t="s">
        <v>110</v>
      </c>
      <c r="H727" s="47" t="s">
        <v>808</v>
      </c>
      <c r="I727" s="58"/>
      <c r="J727" s="60">
        <v>45311</v>
      </c>
      <c r="K727" s="58">
        <v>1</v>
      </c>
      <c r="L727" s="37" t="s">
        <v>809</v>
      </c>
      <c r="M727" s="61">
        <v>2</v>
      </c>
      <c r="N727" s="56">
        <v>240</v>
      </c>
      <c r="O727" s="37" t="s">
        <v>115</v>
      </c>
      <c r="P727" s="55">
        <v>11500</v>
      </c>
      <c r="Q727" s="62"/>
      <c r="R727" s="48" t="s">
        <v>784</v>
      </c>
      <c r="S727" s="64"/>
      <c r="T727" s="65"/>
      <c r="U727" s="65"/>
      <c r="V727" s="66"/>
      <c r="W727" s="45" t="s">
        <v>812</v>
      </c>
      <c r="X727" s="66">
        <f>IF(NOTA[[#This Row],[HARGA/ CTN]]="",NOTA[[#This Row],[JUMLAH_H]],NOTA[[#This Row],[HARGA/ CTN]]*IF(NOTA[[#This Row],[C]]="",0,NOTA[[#This Row],[C]]))</f>
        <v>2760000</v>
      </c>
      <c r="Y727" s="66">
        <f>IF(NOTA[[#This Row],[JUMLAH]]="","",NOTA[[#This Row],[JUMLAH]]*NOTA[[#This Row],[DISC 1]])</f>
        <v>0</v>
      </c>
      <c r="Z727" s="66">
        <f>IF(NOTA[[#This Row],[JUMLAH]]="","",(NOTA[[#This Row],[JUMLAH]]-NOTA[[#This Row],[DISC 1-]])*NOTA[[#This Row],[DISC 2]])</f>
        <v>0</v>
      </c>
      <c r="AA727" s="66">
        <f>IF(NOTA[[#This Row],[JUMLAH]]="","",(NOTA[[#This Row],[JUMLAH]]-NOTA[[#This Row],[DISC 1-]]-NOTA[[#This Row],[DISC 2-]])*NOTA[[#This Row],[DISC 3]])</f>
        <v>0</v>
      </c>
      <c r="AB727" s="66">
        <f>IF(NOTA[[#This Row],[JUMLAH]]="","",NOTA[[#This Row],[DISC 1-]]+NOTA[[#This Row],[DISC 2-]]+NOTA[[#This Row],[DISC 3-]])</f>
        <v>0</v>
      </c>
      <c r="AC727" s="66">
        <f>IF(NOTA[[#This Row],[JUMLAH]]="","",NOTA[[#This Row],[JUMLAH]]-NOTA[[#This Row],[DISC]])</f>
        <v>2760000</v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727" s="66">
        <f>IF(OR(NOTA[[#This Row],[QTY]]="",NOTA[[#This Row],[HARGA SATUAN]]="",),"",NOTA[[#This Row],[QTY]]*NOTA[[#This Row],[HARGA SATUAN]])</f>
        <v>2760000</v>
      </c>
      <c r="AI727" s="60">
        <f ca="1">IF(NOTA[ID_H]="","",INDEX(NOTA[TANGGAL],MATCH(,INDIRECT(ADDRESS(ROW(NOTA[TANGGAL]),COLUMN(NOTA[TANGGAL]))&amp;":"&amp;ADDRESS(ROW(),COLUMN(NOTA[TANGGAL]))),-1)))</f>
        <v>45316</v>
      </c>
      <c r="AJ727" s="55" t="str">
        <f ca="1">IF(NOTA[[#This Row],[NAMA BARANG]]="","",INDEX(NOTA[SUPPLIER],MATCH(,INDIRECT(ADDRESS(ROW(NOTA[ID]),COLUMN(NOTA[ID]))&amp;":"&amp;ADDRESS(ROW(),COLUMN(NOTA[ID]))),-1)))</f>
        <v>WIN'S SENTOSA</v>
      </c>
      <c r="AK727" s="55" t="str">
        <f ca="1">IF(NOTA[[#This Row],[ID_H]]="","",IF(NOTA[[#This Row],[FAKTUR]]="",INDIRECT(ADDRESS(ROW()-1,COLUMN())),NOTA[[#This Row],[FAKTUR]]))</f>
        <v>UNTANA</v>
      </c>
      <c r="AL727" s="56">
        <f ca="1">IF(NOTA[[#This Row],[ID]]="","",COUNTIF(NOTA[ID_H],NOTA[[#This Row],[ID_H]]))</f>
        <v>3</v>
      </c>
      <c r="AM727" s="56">
        <f>IF(NOTA[[#This Row],[TGL.NOTA]]="",IF(NOTA[[#This Row],[SUPPLIER_H]]="","",AM726),MONTH(NOTA[[#This Row],[TGL.NOTA]]))</f>
        <v>1</v>
      </c>
      <c r="AN727" s="56" t="str">
        <f>LOWER(SUBSTITUTE(SUBSTITUTE(SUBSTITUTE(SUBSTITUTE(SUBSTITUTE(SUBSTITUTE(SUBSTITUTE(SUBSTITUTE(SUBSTITUTE(NOTA[NAMA BARANG]," ",),".",""),"-",""),"(",""),")",""),",",""),"/",""),"""",""),"+",""))</f>
        <v>taskarung45x50</v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taskarung45x501380000</v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taskarung45x501380000</v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SENTOSAUNTANASI-2024/01-0211/COD45311taskarung45x50</v>
      </c>
      <c r="AR727" s="56" t="e">
        <f>IF(NOTA[[#This Row],[CONCAT4]]="","",_xlfn.IFNA(MATCH(NOTA[[#This Row],[CONCAT4]],[2]!RAW[CONCAT_H],0),FALSE))</f>
        <v>#REF!</v>
      </c>
      <c r="AS727" s="56">
        <f>IF(NOTA[[#This Row],[CONCAT1]]="","",MATCH(NOTA[[#This Row],[CONCAT1]],[3]!db[NB NOTA_C],0))</f>
        <v>2946</v>
      </c>
      <c r="AT727" s="56" t="b">
        <f>IF(NOTA[[#This Row],[QTY/ CTN]]="","",TRUE)</f>
        <v>1</v>
      </c>
      <c r="AU727" s="56" t="str">
        <f ca="1">IF(NOTA[[#This Row],[ID_H]]="","",IF(NOTA[[#This Row],[Column3]]=TRUE,NOTA[[#This Row],[QTY/ CTN]],INDEX([3]!db[QTY/ CTN],NOTA[[#This Row],[//DB]])))</f>
        <v>120 PCS</v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taskarung45x50120pcsuntana</v>
      </c>
      <c r="AW727" s="56" t="e">
        <f ca="1">IF(NOTA[[#This Row],[ID_H]]="","",MATCH(NOTA[[#This Row],[NB NOTA_C_QTY]],[4]!db[NB NOTA_C_QTY+F],0))</f>
        <v>#REF!</v>
      </c>
      <c r="AX727" s="68">
        <f ca="1">IF(NOTA[[#This Row],[NB NOTA_C_QTY]]="","",ROW()-2)</f>
        <v>725</v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>
        <f ca="1">IF(NOTA[[#This Row],[NAMA BARANG]]="","",INDEX(NOTA[ID],MATCH(,INDIRECT(ADDRESS(ROW(NOTA[ID]),COLUMN(NOTA[ID]))&amp;":"&amp;ADDRESS(ROW(),COLUMN(NOTA[ID]))),-1)))</f>
        <v>123</v>
      </c>
      <c r="E728" s="57"/>
      <c r="F728" s="58"/>
      <c r="G728" s="58"/>
      <c r="H728" s="59"/>
      <c r="I728" s="58"/>
      <c r="J728" s="60"/>
      <c r="K728" s="58">
        <v>1</v>
      </c>
      <c r="L728" s="37" t="s">
        <v>810</v>
      </c>
      <c r="M728" s="61">
        <v>2</v>
      </c>
      <c r="N728" s="56">
        <v>240</v>
      </c>
      <c r="O728" s="37" t="s">
        <v>115</v>
      </c>
      <c r="P728" s="55">
        <v>13000</v>
      </c>
      <c r="Q728" s="62"/>
      <c r="R728" s="48" t="s">
        <v>784</v>
      </c>
      <c r="S728" s="64"/>
      <c r="T728" s="65"/>
      <c r="U728" s="65"/>
      <c r="V728" s="66"/>
      <c r="W728" s="45" t="s">
        <v>812</v>
      </c>
      <c r="X728" s="66">
        <f>IF(NOTA[[#This Row],[HARGA/ CTN]]="",NOTA[[#This Row],[JUMLAH_H]],NOTA[[#This Row],[HARGA/ CTN]]*IF(NOTA[[#This Row],[C]]="",0,NOTA[[#This Row],[C]]))</f>
        <v>3120000</v>
      </c>
      <c r="Y728" s="66">
        <f>IF(NOTA[[#This Row],[JUMLAH]]="","",NOTA[[#This Row],[JUMLAH]]*NOTA[[#This Row],[DISC 1]])</f>
        <v>0</v>
      </c>
      <c r="Z728" s="66">
        <f>IF(NOTA[[#This Row],[JUMLAH]]="","",(NOTA[[#This Row],[JUMLAH]]-NOTA[[#This Row],[DISC 1-]])*NOTA[[#This Row],[DISC 2]])</f>
        <v>0</v>
      </c>
      <c r="AA728" s="66">
        <f>IF(NOTA[[#This Row],[JUMLAH]]="","",(NOTA[[#This Row],[JUMLAH]]-NOTA[[#This Row],[DISC 1-]]-NOTA[[#This Row],[DISC 2-]])*NOTA[[#This Row],[DISC 3]])</f>
        <v>0</v>
      </c>
      <c r="AB728" s="66">
        <f>IF(NOTA[[#This Row],[JUMLAH]]="","",NOTA[[#This Row],[DISC 1-]]+NOTA[[#This Row],[DISC 2-]]+NOTA[[#This Row],[DISC 3-]])</f>
        <v>0</v>
      </c>
      <c r="AC728" s="66">
        <f>IF(NOTA[[#This Row],[JUMLAH]]="","",NOTA[[#This Row],[JUMLAH]]-NOTA[[#This Row],[DISC]])</f>
        <v>3120000</v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728" s="66">
        <f>IF(OR(NOTA[[#This Row],[QTY]]="",NOTA[[#This Row],[HARGA SATUAN]]="",),"",NOTA[[#This Row],[QTY]]*NOTA[[#This Row],[HARGA SATUAN]])</f>
        <v>3120000</v>
      </c>
      <c r="AI728" s="60">
        <f ca="1">IF(NOTA[ID_H]="","",INDEX(NOTA[TANGGAL],MATCH(,INDIRECT(ADDRESS(ROW(NOTA[TANGGAL]),COLUMN(NOTA[TANGGAL]))&amp;":"&amp;ADDRESS(ROW(),COLUMN(NOTA[TANGGAL]))),-1)))</f>
        <v>45316</v>
      </c>
      <c r="AJ728" s="55" t="str">
        <f ca="1">IF(NOTA[[#This Row],[NAMA BARANG]]="","",INDEX(NOTA[SUPPLIER],MATCH(,INDIRECT(ADDRESS(ROW(NOTA[ID]),COLUMN(NOTA[ID]))&amp;":"&amp;ADDRESS(ROW(),COLUMN(NOTA[ID]))),-1)))</f>
        <v>WIN'S SENTOSA</v>
      </c>
      <c r="AK728" s="55" t="str">
        <f ca="1">IF(NOTA[[#This Row],[ID_H]]="","",IF(NOTA[[#This Row],[FAKTUR]]="",INDIRECT(ADDRESS(ROW()-1,COLUMN())),NOTA[[#This Row],[FAKTUR]]))</f>
        <v>UNTANA</v>
      </c>
      <c r="AL728" s="56" t="str">
        <f ca="1">IF(NOTA[[#This Row],[ID]]="","",COUNTIF(NOTA[ID_H],NOTA[[#This Row],[ID_H]]))</f>
        <v/>
      </c>
      <c r="AM728" s="56">
        <f ca="1">IF(NOTA[[#This Row],[TGL.NOTA]]="",IF(NOTA[[#This Row],[SUPPLIER_H]]="","",AM727),MONTH(NOTA[[#This Row],[TGL.NOTA]]))</f>
        <v>1</v>
      </c>
      <c r="AN728" s="56" t="str">
        <f>LOWER(SUBSTITUTE(SUBSTITUTE(SUBSTITUTE(SUBSTITUTE(SUBSTITUTE(SUBSTITUTE(SUBSTITUTE(SUBSTITUTE(SUBSTITUTE(NOTA[NAMA BARANG]," ",),".",""),"-",""),"(",""),")",""),",",""),"/",""),"""",""),"+",""))</f>
        <v>taskarung50x55</v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taskarung50x551560000</v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taskarung50x551560000</v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>
        <f>IF(NOTA[[#This Row],[CONCAT1]]="","",MATCH(NOTA[[#This Row],[CONCAT1]],[3]!db[NB NOTA_C],0))</f>
        <v>2947</v>
      </c>
      <c r="AT728" s="56" t="b">
        <f>IF(NOTA[[#This Row],[QTY/ CTN]]="","",TRUE)</f>
        <v>1</v>
      </c>
      <c r="AU728" s="56" t="str">
        <f ca="1">IF(NOTA[[#This Row],[ID_H]]="","",IF(NOTA[[#This Row],[Column3]]=TRUE,NOTA[[#This Row],[QTY/ CTN]],INDEX([3]!db[QTY/ CTN],NOTA[[#This Row],[//DB]])))</f>
        <v>120 PCS</v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taskarung50x55120pcsuntana</v>
      </c>
      <c r="AW728" s="56" t="e">
        <f ca="1">IF(NOTA[[#This Row],[ID_H]]="","",MATCH(NOTA[[#This Row],[NB NOTA_C_QTY]],[4]!db[NB NOTA_C_QTY+F],0))</f>
        <v>#REF!</v>
      </c>
      <c r="AX728" s="68">
        <f ca="1">IF(NOTA[[#This Row],[NB NOTA_C_QTY]]="","",ROW()-2)</f>
        <v>726</v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>
        <f ca="1">IF(NOTA[[#This Row],[NAMA BARANG]]="","",INDEX(NOTA[ID],MATCH(,INDIRECT(ADDRESS(ROW(NOTA[ID]),COLUMN(NOTA[ID]))&amp;":"&amp;ADDRESS(ROW(),COLUMN(NOTA[ID]))),-1)))</f>
        <v>123</v>
      </c>
      <c r="E729" s="57"/>
      <c r="F729" s="58"/>
      <c r="G729" s="58"/>
      <c r="H729" s="59"/>
      <c r="I729" s="58"/>
      <c r="J729" s="60"/>
      <c r="K729" s="58">
        <v>1</v>
      </c>
      <c r="L729" s="37" t="s">
        <v>811</v>
      </c>
      <c r="M729" s="61">
        <v>2</v>
      </c>
      <c r="N729" s="56">
        <v>240</v>
      </c>
      <c r="O729" s="37" t="s">
        <v>115</v>
      </c>
      <c r="P729" s="55">
        <v>18000</v>
      </c>
      <c r="Q729" s="62"/>
      <c r="R729" s="48" t="s">
        <v>784</v>
      </c>
      <c r="S729" s="64"/>
      <c r="T729" s="65"/>
      <c r="U729" s="65"/>
      <c r="V729" s="66"/>
      <c r="W729" s="45" t="s">
        <v>812</v>
      </c>
      <c r="X729" s="66">
        <f>IF(NOTA[[#This Row],[HARGA/ CTN]]="",NOTA[[#This Row],[JUMLAH_H]],NOTA[[#This Row],[HARGA/ CTN]]*IF(NOTA[[#This Row],[C]]="",0,NOTA[[#This Row],[C]]))</f>
        <v>4320000</v>
      </c>
      <c r="Y729" s="66">
        <f>IF(NOTA[[#This Row],[JUMLAH]]="","",NOTA[[#This Row],[JUMLAH]]*NOTA[[#This Row],[DISC 1]])</f>
        <v>0</v>
      </c>
      <c r="Z729" s="66">
        <f>IF(NOTA[[#This Row],[JUMLAH]]="","",(NOTA[[#This Row],[JUMLAH]]-NOTA[[#This Row],[DISC 1-]])*NOTA[[#This Row],[DISC 2]])</f>
        <v>0</v>
      </c>
      <c r="AA729" s="66">
        <f>IF(NOTA[[#This Row],[JUMLAH]]="","",(NOTA[[#This Row],[JUMLAH]]-NOTA[[#This Row],[DISC 1-]]-NOTA[[#This Row],[DISC 2-]])*NOTA[[#This Row],[DISC 3]])</f>
        <v>0</v>
      </c>
      <c r="AB729" s="66">
        <f>IF(NOTA[[#This Row],[JUMLAH]]="","",NOTA[[#This Row],[DISC 1-]]+NOTA[[#This Row],[DISC 2-]]+NOTA[[#This Row],[DISC 3-]])</f>
        <v>0</v>
      </c>
      <c r="AC729" s="66">
        <f>IF(NOTA[[#This Row],[JUMLAH]]="","",NOTA[[#This Row],[JUMLAH]]-NOTA[[#This Row],[DISC]])</f>
        <v>4320000</v>
      </c>
      <c r="AD729" s="66"/>
      <c r="AE72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10200000</v>
      </c>
      <c r="AG729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29" s="66">
        <f>IF(OR(NOTA[[#This Row],[QTY]]="",NOTA[[#This Row],[HARGA SATUAN]]="",),"",NOTA[[#This Row],[QTY]]*NOTA[[#This Row],[HARGA SATUAN]])</f>
        <v>4320000</v>
      </c>
      <c r="AI729" s="60">
        <f ca="1">IF(NOTA[ID_H]="","",INDEX(NOTA[TANGGAL],MATCH(,INDIRECT(ADDRESS(ROW(NOTA[TANGGAL]),COLUMN(NOTA[TANGGAL]))&amp;":"&amp;ADDRESS(ROW(),COLUMN(NOTA[TANGGAL]))),-1)))</f>
        <v>45316</v>
      </c>
      <c r="AJ729" s="55" t="str">
        <f ca="1">IF(NOTA[[#This Row],[NAMA BARANG]]="","",INDEX(NOTA[SUPPLIER],MATCH(,INDIRECT(ADDRESS(ROW(NOTA[ID]),COLUMN(NOTA[ID]))&amp;":"&amp;ADDRESS(ROW(),COLUMN(NOTA[ID]))),-1)))</f>
        <v>WIN'S SENTOSA</v>
      </c>
      <c r="AK729" s="55" t="str">
        <f ca="1">IF(NOTA[[#This Row],[ID_H]]="","",IF(NOTA[[#This Row],[FAKTUR]]="",INDIRECT(ADDRESS(ROW()-1,COLUMN())),NOTA[[#This Row],[FAKTUR]]))</f>
        <v>UNTANA</v>
      </c>
      <c r="AL729" s="56" t="str">
        <f ca="1">IF(NOTA[[#This Row],[ID]]="","",COUNTIF(NOTA[ID_H],NOTA[[#This Row],[ID_H]]))</f>
        <v/>
      </c>
      <c r="AM729" s="56">
        <f ca="1">IF(NOTA[[#This Row],[TGL.NOTA]]="",IF(NOTA[[#This Row],[SUPPLIER_H]]="","",AM728),MONTH(NOTA[[#This Row],[TGL.NOTA]]))</f>
        <v>1</v>
      </c>
      <c r="AN729" s="56" t="str">
        <f>LOWER(SUBSTITUTE(SUBSTITUTE(SUBSTITUTE(SUBSTITUTE(SUBSTITUTE(SUBSTITUTE(SUBSTITUTE(SUBSTITUTE(SUBSTITUTE(NOTA[NAMA BARANG]," ",),".",""),"-",""),"(",""),")",""),",",""),"/",""),"""",""),"+",""))</f>
        <v>taskarung60x70x25</v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taskarung60x70x252160000</v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taskarung60x70x252160000</v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e">
        <f>IF(NOTA[[#This Row],[CONCAT1]]="","",MATCH(NOTA[[#This Row],[CONCAT1]],[3]!db[NB NOTA_C],0))</f>
        <v>#N/A</v>
      </c>
      <c r="AT729" s="56" t="b">
        <f>IF(NOTA[[#This Row],[QTY/ CTN]]="","",TRUE)</f>
        <v>1</v>
      </c>
      <c r="AU729" s="56" t="str">
        <f ca="1">IF(NOTA[[#This Row],[ID_H]]="","",IF(NOTA[[#This Row],[Column3]]=TRUE,NOTA[[#This Row],[QTY/ CTN]],INDEX([3]!db[QTY/ CTN],NOTA[[#This Row],[//DB]])))</f>
        <v>120 PCS</v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taskarung60x70x25120pcsuntana</v>
      </c>
      <c r="AW729" s="56" t="e">
        <f ca="1">IF(NOTA[[#This Row],[ID_H]]="","",MATCH(NOTA[[#This Row],[NB NOTA_C_QTY]],[4]!db[NB NOTA_C_QTY+F],0))</f>
        <v>#REF!</v>
      </c>
      <c r="AX729" s="68">
        <f ca="1">IF(NOTA[[#This Row],[NB NOTA_C_QTY]]="","",ROW()-2)</f>
        <v>727</v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>
        <f ca="1">IF(INDIRECT(ADDRESS(ROW()-1,COLUMN(NOTA[[#Headers],[ID]])))="ID",1,IF(NOTA[[#This Row],[FAKTUR]]="","",COUNT(INDIRECT(ADDRESS(ROW(NOTA[ID]),COLUMN(NOTA[ID]))&amp;":"&amp;ADDRESS(ROW()-1,COLUMN(NOTA[ID]))))+1))</f>
        <v>124</v>
      </c>
      <c r="B73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WIN_2501_COD-10</v>
      </c>
      <c r="C731" s="56" t="e">
        <f ca="1">IF(NOTA[[#This Row],[ID_P]]="","",MATCH(NOTA[[#This Row],[ID_P]],[1]!B_MSK[N_ID],0))</f>
        <v>#REF!</v>
      </c>
      <c r="D731" s="56">
        <f ca="1">IF(NOTA[[#This Row],[NAMA BARANG]]="","",INDEX(NOTA[ID],MATCH(,INDIRECT(ADDRESS(ROW(NOTA[ID]),COLUMN(NOTA[ID]))&amp;":"&amp;ADDRESS(ROW(),COLUMN(NOTA[ID]))),-1)))</f>
        <v>124</v>
      </c>
      <c r="E731" s="57">
        <v>45316</v>
      </c>
      <c r="F731" s="37" t="s">
        <v>807</v>
      </c>
      <c r="G731" s="37" t="s">
        <v>110</v>
      </c>
      <c r="H731" s="47" t="s">
        <v>813</v>
      </c>
      <c r="I731" s="58"/>
      <c r="J731" s="60">
        <v>45311</v>
      </c>
      <c r="K731" s="58">
        <v>1</v>
      </c>
      <c r="L731" s="37" t="s">
        <v>814</v>
      </c>
      <c r="M731" s="61">
        <v>2</v>
      </c>
      <c r="N731" s="56">
        <v>1200</v>
      </c>
      <c r="O731" s="37" t="s">
        <v>115</v>
      </c>
      <c r="P731" s="55">
        <v>1500</v>
      </c>
      <c r="Q731" s="62"/>
      <c r="R731" s="48" t="s">
        <v>815</v>
      </c>
      <c r="S731" s="64"/>
      <c r="T731" s="65"/>
      <c r="U731" s="65"/>
      <c r="V731" s="66"/>
      <c r="W731" s="67"/>
      <c r="X731" s="66">
        <f>IF(NOTA[[#This Row],[HARGA/ CTN]]="",NOTA[[#This Row],[JUMLAH_H]],NOTA[[#This Row],[HARGA/ CTN]]*IF(NOTA[[#This Row],[C]]="",0,NOTA[[#This Row],[C]]))</f>
        <v>1800000</v>
      </c>
      <c r="Y731" s="66">
        <f>IF(NOTA[[#This Row],[JUMLAH]]="","",NOTA[[#This Row],[JUMLAH]]*NOTA[[#This Row],[DISC 1]])</f>
        <v>0</v>
      </c>
      <c r="Z731" s="66">
        <f>IF(NOTA[[#This Row],[JUMLAH]]="","",(NOTA[[#This Row],[JUMLAH]]-NOTA[[#This Row],[DISC 1-]])*NOTA[[#This Row],[DISC 2]])</f>
        <v>0</v>
      </c>
      <c r="AA731" s="66">
        <f>IF(NOTA[[#This Row],[JUMLAH]]="","",(NOTA[[#This Row],[JUMLAH]]-NOTA[[#This Row],[DISC 1-]]-NOTA[[#This Row],[DISC 2-]])*NOTA[[#This Row],[DISC 3]])</f>
        <v>0</v>
      </c>
      <c r="AB731" s="66">
        <f>IF(NOTA[[#This Row],[JUMLAH]]="","",NOTA[[#This Row],[DISC 1-]]+NOTA[[#This Row],[DISC 2-]]+NOTA[[#This Row],[DISC 3-]])</f>
        <v>0</v>
      </c>
      <c r="AC731" s="66">
        <f>IF(NOTA[[#This Row],[JUMLAH]]="","",NOTA[[#This Row],[JUMLAH]]-NOTA[[#This Row],[DISC]])</f>
        <v>1800000</v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1" s="66">
        <f>IF(OR(NOTA[[#This Row],[QTY]]="",NOTA[[#This Row],[HARGA SATUAN]]="",),"",NOTA[[#This Row],[QTY]]*NOTA[[#This Row],[HARGA SATUAN]])</f>
        <v>1800000</v>
      </c>
      <c r="AI731" s="60">
        <f ca="1">IF(NOTA[ID_H]="","",INDEX(NOTA[TANGGAL],MATCH(,INDIRECT(ADDRESS(ROW(NOTA[TANGGAL]),COLUMN(NOTA[TANGGAL]))&amp;":"&amp;ADDRESS(ROW(),COLUMN(NOTA[TANGGAL]))),-1)))</f>
        <v>45316</v>
      </c>
      <c r="AJ731" s="55" t="str">
        <f ca="1">IF(NOTA[[#This Row],[NAMA BARANG]]="","",INDEX(NOTA[SUPPLIER],MATCH(,INDIRECT(ADDRESS(ROW(NOTA[ID]),COLUMN(NOTA[ID]))&amp;":"&amp;ADDRESS(ROW(),COLUMN(NOTA[ID]))),-1)))</f>
        <v>WIN'S SENTOSA</v>
      </c>
      <c r="AK731" s="55" t="str">
        <f ca="1">IF(NOTA[[#This Row],[ID_H]]="","",IF(NOTA[[#This Row],[FAKTUR]]="",INDIRECT(ADDRESS(ROW()-1,COLUMN())),NOTA[[#This Row],[FAKTUR]]))</f>
        <v>UNTANA</v>
      </c>
      <c r="AL731" s="56">
        <f ca="1">IF(NOTA[[#This Row],[ID]]="","",COUNTIF(NOTA[ID_H],NOTA[[#This Row],[ID_H]]))</f>
        <v>10</v>
      </c>
      <c r="AM731" s="56">
        <f>IF(NOTA[[#This Row],[TGL.NOTA]]="",IF(NOTA[[#This Row],[SUPPLIER_H]]="","",AM730),MONTH(NOTA[[#This Row],[TGL.NOTA]]))</f>
        <v>1</v>
      </c>
      <c r="AN731" s="56" t="str">
        <f>LOWER(SUBSTITUTE(SUBSTITUTE(SUBSTITUTE(SUBSTITUTE(SUBSTITUTE(SUBSTITUTE(SUBSTITUTE(SUBSTITUTE(SUBSTITUTE(NOTA[NAMA BARANG]," ",),".",""),"-",""),"(",""),")",""),",",""),"/",""),"""",""),"+",""))</f>
        <v>tymini1gold</v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tymini1gold900000</v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tymini1gold900000</v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SENTOSAUNTANAS-2024/01-0216/COD45311tymini1gold</v>
      </c>
      <c r="AR731" s="56" t="e">
        <f>IF(NOTA[[#This Row],[CONCAT4]]="","",_xlfn.IFNA(MATCH(NOTA[[#This Row],[CONCAT4]],[2]!RAW[CONCAT_H],0),FALSE))</f>
        <v>#REF!</v>
      </c>
      <c r="AS731" s="56" t="e">
        <f>IF(NOTA[[#This Row],[CONCAT1]]="","",MATCH(NOTA[[#This Row],[CONCAT1]],[3]!db[NB NOTA_C],0))</f>
        <v>#N/A</v>
      </c>
      <c r="AT731" s="56" t="b">
        <f>IF(NOTA[[#This Row],[QTY/ CTN]]="","",TRUE)</f>
        <v>1</v>
      </c>
      <c r="AU731" s="56" t="str">
        <f ca="1">IF(NOTA[[#This Row],[ID_H]]="","",IF(NOTA[[#This Row],[Column3]]=TRUE,NOTA[[#This Row],[QTY/ CTN]],INDEX([3]!db[QTY/ CTN],NOTA[[#This Row],[//DB]])))</f>
        <v>600 PCS</v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tymini1gold600pcsuntana</v>
      </c>
      <c r="AW731" s="56" t="e">
        <f ca="1">IF(NOTA[[#This Row],[ID_H]]="","",MATCH(NOTA[[#This Row],[NB NOTA_C_QTY]],[4]!db[NB NOTA_C_QTY+F],0))</f>
        <v>#REF!</v>
      </c>
      <c r="AX731" s="68">
        <f ca="1">IF(NOTA[[#This Row],[NB NOTA_C_QTY]]="","",ROW()-2)</f>
        <v>729</v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>
        <f ca="1">IF(NOTA[[#This Row],[NAMA BARANG]]="","",INDEX(NOTA[ID],MATCH(,INDIRECT(ADDRESS(ROW(NOTA[ID]),COLUMN(NOTA[ID]))&amp;":"&amp;ADDRESS(ROW(),COLUMN(NOTA[ID]))),-1)))</f>
        <v>124</v>
      </c>
      <c r="E732" s="57"/>
      <c r="F732" s="58"/>
      <c r="G732" s="58"/>
      <c r="H732" s="59"/>
      <c r="I732" s="58"/>
      <c r="J732" s="60"/>
      <c r="K732" s="58">
        <v>1</v>
      </c>
      <c r="L732" s="37" t="s">
        <v>818</v>
      </c>
      <c r="M732" s="61">
        <v>1</v>
      </c>
      <c r="N732" s="56">
        <v>600</v>
      </c>
      <c r="O732" s="37" t="s">
        <v>115</v>
      </c>
      <c r="P732" s="55">
        <v>1500</v>
      </c>
      <c r="Q732" s="62"/>
      <c r="R732" s="48" t="s">
        <v>815</v>
      </c>
      <c r="S732" s="64"/>
      <c r="T732" s="65"/>
      <c r="U732" s="65"/>
      <c r="V732" s="66"/>
      <c r="W732" s="67"/>
      <c r="X732" s="66">
        <f>IF(NOTA[[#This Row],[HARGA/ CTN]]="",NOTA[[#This Row],[JUMLAH_H]],NOTA[[#This Row],[HARGA/ CTN]]*IF(NOTA[[#This Row],[C]]="",0,NOTA[[#This Row],[C]]))</f>
        <v>900000</v>
      </c>
      <c r="Y732" s="66">
        <f>IF(NOTA[[#This Row],[JUMLAH]]="","",NOTA[[#This Row],[JUMLAH]]*NOTA[[#This Row],[DISC 1]])</f>
        <v>0</v>
      </c>
      <c r="Z732" s="66">
        <f>IF(NOTA[[#This Row],[JUMLAH]]="","",(NOTA[[#This Row],[JUMLAH]]-NOTA[[#This Row],[DISC 1-]])*NOTA[[#This Row],[DISC 2]])</f>
        <v>0</v>
      </c>
      <c r="AA732" s="66">
        <f>IF(NOTA[[#This Row],[JUMLAH]]="","",(NOTA[[#This Row],[JUMLAH]]-NOTA[[#This Row],[DISC 1-]]-NOTA[[#This Row],[DISC 2-]])*NOTA[[#This Row],[DISC 3]])</f>
        <v>0</v>
      </c>
      <c r="AB732" s="66">
        <f>IF(NOTA[[#This Row],[JUMLAH]]="","",NOTA[[#This Row],[DISC 1-]]+NOTA[[#This Row],[DISC 2-]]+NOTA[[#This Row],[DISC 3-]])</f>
        <v>0</v>
      </c>
      <c r="AC732" s="66">
        <f>IF(NOTA[[#This Row],[JUMLAH]]="","",NOTA[[#This Row],[JUMLAH]]-NOTA[[#This Row],[DISC]])</f>
        <v>900000</v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2" s="66">
        <f>IF(OR(NOTA[[#This Row],[QTY]]="",NOTA[[#This Row],[HARGA SATUAN]]="",),"",NOTA[[#This Row],[QTY]]*NOTA[[#This Row],[HARGA SATUAN]])</f>
        <v>900000</v>
      </c>
      <c r="AI732" s="60">
        <f ca="1">IF(NOTA[ID_H]="","",INDEX(NOTA[TANGGAL],MATCH(,INDIRECT(ADDRESS(ROW(NOTA[TANGGAL]),COLUMN(NOTA[TANGGAL]))&amp;":"&amp;ADDRESS(ROW(),COLUMN(NOTA[TANGGAL]))),-1)))</f>
        <v>45316</v>
      </c>
      <c r="AJ732" s="55" t="str">
        <f ca="1">IF(NOTA[[#This Row],[NAMA BARANG]]="","",INDEX(NOTA[SUPPLIER],MATCH(,INDIRECT(ADDRESS(ROW(NOTA[ID]),COLUMN(NOTA[ID]))&amp;":"&amp;ADDRESS(ROW(),COLUMN(NOTA[ID]))),-1)))</f>
        <v>WIN'S SENTOSA</v>
      </c>
      <c r="AK732" s="55" t="str">
        <f ca="1">IF(NOTA[[#This Row],[ID_H]]="","",IF(NOTA[[#This Row],[FAKTUR]]="",INDIRECT(ADDRESS(ROW()-1,COLUMN())),NOTA[[#This Row],[FAKTUR]]))</f>
        <v>UNTANA</v>
      </c>
      <c r="AL732" s="56" t="str">
        <f ca="1">IF(NOTA[[#This Row],[ID]]="","",COUNTIF(NOTA[ID_H],NOTA[[#This Row],[ID_H]]))</f>
        <v/>
      </c>
      <c r="AM732" s="56">
        <f ca="1">IF(NOTA[[#This Row],[TGL.NOTA]]="",IF(NOTA[[#This Row],[SUPPLIER_H]]="","",AM731),MONTH(NOTA[[#This Row],[TGL.NOTA]]))</f>
        <v>1</v>
      </c>
      <c r="AN732" s="56" t="str">
        <f>LOWER(SUBSTITUTE(SUBSTITUTE(SUBSTITUTE(SUBSTITUTE(SUBSTITUTE(SUBSTITUTE(SUBSTITUTE(SUBSTITUTE(SUBSTITUTE(NOTA[NAMA BARANG]," ",),".",""),"-",""),"(",""),")",""),",",""),"/",""),"""",""),"+",""))</f>
        <v>tymini0gold</v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tymini0gold900000</v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tymini0gold900000</v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e">
        <f>IF(NOTA[[#This Row],[CONCAT1]]="","",MATCH(NOTA[[#This Row],[CONCAT1]],[3]!db[NB NOTA_C],0))</f>
        <v>#N/A</v>
      </c>
      <c r="AT732" s="56" t="b">
        <f>IF(NOTA[[#This Row],[QTY/ CTN]]="","",TRUE)</f>
        <v>1</v>
      </c>
      <c r="AU732" s="56" t="str">
        <f ca="1">IF(NOTA[[#This Row],[ID_H]]="","",IF(NOTA[[#This Row],[Column3]]=TRUE,NOTA[[#This Row],[QTY/ CTN]],INDEX([3]!db[QTY/ CTN],NOTA[[#This Row],[//DB]])))</f>
        <v>600 PCS</v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tymini0gold600pcsuntana</v>
      </c>
      <c r="AW732" s="56" t="e">
        <f ca="1">IF(NOTA[[#This Row],[ID_H]]="","",MATCH(NOTA[[#This Row],[NB NOTA_C_QTY]],[4]!db[NB NOTA_C_QTY+F],0))</f>
        <v>#REF!</v>
      </c>
      <c r="AX732" s="68">
        <f ca="1">IF(NOTA[[#This Row],[NB NOTA_C_QTY]]="","",ROW()-2)</f>
        <v>730</v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>
        <f ca="1">IF(NOTA[[#This Row],[NAMA BARANG]]="","",INDEX(NOTA[ID],MATCH(,INDIRECT(ADDRESS(ROW(NOTA[ID]),COLUMN(NOTA[ID]))&amp;":"&amp;ADDRESS(ROW(),COLUMN(NOTA[ID]))),-1)))</f>
        <v>124</v>
      </c>
      <c r="E733" s="57"/>
      <c r="F733" s="58"/>
      <c r="G733" s="58"/>
      <c r="H733" s="59"/>
      <c r="I733" s="58"/>
      <c r="J733" s="60"/>
      <c r="K733" s="58">
        <v>1</v>
      </c>
      <c r="L733" s="37" t="s">
        <v>816</v>
      </c>
      <c r="M733" s="61">
        <v>2</v>
      </c>
      <c r="N733" s="56">
        <v>1200</v>
      </c>
      <c r="O733" s="37" t="s">
        <v>115</v>
      </c>
      <c r="P733" s="55">
        <v>1500</v>
      </c>
      <c r="Q733" s="62"/>
      <c r="R733" s="48" t="s">
        <v>815</v>
      </c>
      <c r="S733" s="64"/>
      <c r="T733" s="65"/>
      <c r="U733" s="65"/>
      <c r="V733" s="66"/>
      <c r="W733" s="67"/>
      <c r="X733" s="66">
        <f>IF(NOTA[[#This Row],[HARGA/ CTN]]="",NOTA[[#This Row],[JUMLAH_H]],NOTA[[#This Row],[HARGA/ CTN]]*IF(NOTA[[#This Row],[C]]="",0,NOTA[[#This Row],[C]]))</f>
        <v>1800000</v>
      </c>
      <c r="Y733" s="66">
        <f>IF(NOTA[[#This Row],[JUMLAH]]="","",NOTA[[#This Row],[JUMLAH]]*NOTA[[#This Row],[DISC 1]])</f>
        <v>0</v>
      </c>
      <c r="Z733" s="66">
        <f>IF(NOTA[[#This Row],[JUMLAH]]="","",(NOTA[[#This Row],[JUMLAH]]-NOTA[[#This Row],[DISC 1-]])*NOTA[[#This Row],[DISC 2]])</f>
        <v>0</v>
      </c>
      <c r="AA733" s="66">
        <f>IF(NOTA[[#This Row],[JUMLAH]]="","",(NOTA[[#This Row],[JUMLAH]]-NOTA[[#This Row],[DISC 1-]]-NOTA[[#This Row],[DISC 2-]])*NOTA[[#This Row],[DISC 3]])</f>
        <v>0</v>
      </c>
      <c r="AB733" s="66">
        <f>IF(NOTA[[#This Row],[JUMLAH]]="","",NOTA[[#This Row],[DISC 1-]]+NOTA[[#This Row],[DISC 2-]]+NOTA[[#This Row],[DISC 3-]])</f>
        <v>0</v>
      </c>
      <c r="AC733" s="66">
        <f>IF(NOTA[[#This Row],[JUMLAH]]="","",NOTA[[#This Row],[JUMLAH]]-NOTA[[#This Row],[DISC]])</f>
        <v>1800000</v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3" s="66">
        <f>IF(OR(NOTA[[#This Row],[QTY]]="",NOTA[[#This Row],[HARGA SATUAN]]="",),"",NOTA[[#This Row],[QTY]]*NOTA[[#This Row],[HARGA SATUAN]])</f>
        <v>1800000</v>
      </c>
      <c r="AI733" s="60">
        <f ca="1">IF(NOTA[ID_H]="","",INDEX(NOTA[TANGGAL],MATCH(,INDIRECT(ADDRESS(ROW(NOTA[TANGGAL]),COLUMN(NOTA[TANGGAL]))&amp;":"&amp;ADDRESS(ROW(),COLUMN(NOTA[TANGGAL]))),-1)))</f>
        <v>45316</v>
      </c>
      <c r="AJ733" s="55" t="str">
        <f ca="1">IF(NOTA[[#This Row],[NAMA BARANG]]="","",INDEX(NOTA[SUPPLIER],MATCH(,INDIRECT(ADDRESS(ROW(NOTA[ID]),COLUMN(NOTA[ID]))&amp;":"&amp;ADDRESS(ROW(),COLUMN(NOTA[ID]))),-1)))</f>
        <v>WIN'S SENTOSA</v>
      </c>
      <c r="AK733" s="55" t="str">
        <f ca="1">IF(NOTA[[#This Row],[ID_H]]="","",IF(NOTA[[#This Row],[FAKTUR]]="",INDIRECT(ADDRESS(ROW()-1,COLUMN())),NOTA[[#This Row],[FAKTUR]]))</f>
        <v>UNTANA</v>
      </c>
      <c r="AL733" s="56" t="str">
        <f ca="1">IF(NOTA[[#This Row],[ID]]="","",COUNTIF(NOTA[ID_H],NOTA[[#This Row],[ID_H]]))</f>
        <v/>
      </c>
      <c r="AM733" s="56">
        <f ca="1">IF(NOTA[[#This Row],[TGL.NOTA]]="",IF(NOTA[[#This Row],[SUPPLIER_H]]="","",AM732),MONTH(NOTA[[#This Row],[TGL.NOTA]]))</f>
        <v>1</v>
      </c>
      <c r="AN733" s="56" t="str">
        <f>LOWER(SUBSTITUTE(SUBSTITUTE(SUBSTITUTE(SUBSTITUTE(SUBSTITUTE(SUBSTITUTE(SUBSTITUTE(SUBSTITUTE(SUBSTITUTE(NOTA[NAMA BARANG]," ",),".",""),"-",""),"(",""),")",""),",",""),"/",""),"""",""),"+",""))</f>
        <v>tymini2gold</v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tymini2gold900000</v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tymini2gold900000</v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e">
        <f>IF(NOTA[[#This Row],[CONCAT1]]="","",MATCH(NOTA[[#This Row],[CONCAT1]],[3]!db[NB NOTA_C],0))</f>
        <v>#N/A</v>
      </c>
      <c r="AT733" s="56" t="b">
        <f>IF(NOTA[[#This Row],[QTY/ CTN]]="","",TRUE)</f>
        <v>1</v>
      </c>
      <c r="AU733" s="56" t="str">
        <f ca="1">IF(NOTA[[#This Row],[ID_H]]="","",IF(NOTA[[#This Row],[Column3]]=TRUE,NOTA[[#This Row],[QTY/ CTN]],INDEX([3]!db[QTY/ CTN],NOTA[[#This Row],[//DB]])))</f>
        <v>600 PCS</v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tymini2gold600pcsuntana</v>
      </c>
      <c r="AW733" s="56" t="e">
        <f ca="1">IF(NOTA[[#This Row],[ID_H]]="","",MATCH(NOTA[[#This Row],[NB NOTA_C_QTY]],[4]!db[NB NOTA_C_QTY+F],0))</f>
        <v>#REF!</v>
      </c>
      <c r="AX733" s="68">
        <f ca="1">IF(NOTA[[#This Row],[NB NOTA_C_QTY]]="","",ROW()-2)</f>
        <v>731</v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>
        <f ca="1">IF(NOTA[[#This Row],[NAMA BARANG]]="","",INDEX(NOTA[ID],MATCH(,INDIRECT(ADDRESS(ROW(NOTA[ID]),COLUMN(NOTA[ID]))&amp;":"&amp;ADDRESS(ROW(),COLUMN(NOTA[ID]))),-1)))</f>
        <v>124</v>
      </c>
      <c r="E734" s="57"/>
      <c r="F734" s="58"/>
      <c r="G734" s="58"/>
      <c r="H734" s="59"/>
      <c r="I734" s="58"/>
      <c r="J734" s="60"/>
      <c r="K734" s="58">
        <v>1</v>
      </c>
      <c r="L734" s="37" t="s">
        <v>817</v>
      </c>
      <c r="M734" s="61">
        <v>2</v>
      </c>
      <c r="N734" s="56">
        <v>1200</v>
      </c>
      <c r="O734" s="37" t="s">
        <v>115</v>
      </c>
      <c r="P734" s="55">
        <v>1500</v>
      </c>
      <c r="Q734" s="62"/>
      <c r="R734" s="48" t="s">
        <v>815</v>
      </c>
      <c r="S734" s="64"/>
      <c r="T734" s="65"/>
      <c r="U734" s="65"/>
      <c r="V734" s="66"/>
      <c r="W734" s="67"/>
      <c r="X734" s="66">
        <f>IF(NOTA[[#This Row],[HARGA/ CTN]]="",NOTA[[#This Row],[JUMLAH_H]],NOTA[[#This Row],[HARGA/ CTN]]*IF(NOTA[[#This Row],[C]]="",0,NOTA[[#This Row],[C]]))</f>
        <v>1800000</v>
      </c>
      <c r="Y734" s="66">
        <f>IF(NOTA[[#This Row],[JUMLAH]]="","",NOTA[[#This Row],[JUMLAH]]*NOTA[[#This Row],[DISC 1]])</f>
        <v>0</v>
      </c>
      <c r="Z734" s="66">
        <f>IF(NOTA[[#This Row],[JUMLAH]]="","",(NOTA[[#This Row],[JUMLAH]]-NOTA[[#This Row],[DISC 1-]])*NOTA[[#This Row],[DISC 2]])</f>
        <v>0</v>
      </c>
      <c r="AA734" s="66">
        <f>IF(NOTA[[#This Row],[JUMLAH]]="","",(NOTA[[#This Row],[JUMLAH]]-NOTA[[#This Row],[DISC 1-]]-NOTA[[#This Row],[DISC 2-]])*NOTA[[#This Row],[DISC 3]])</f>
        <v>0</v>
      </c>
      <c r="AB734" s="66">
        <f>IF(NOTA[[#This Row],[JUMLAH]]="","",NOTA[[#This Row],[DISC 1-]]+NOTA[[#This Row],[DISC 2-]]+NOTA[[#This Row],[DISC 3-]])</f>
        <v>0</v>
      </c>
      <c r="AC734" s="66">
        <f>IF(NOTA[[#This Row],[JUMLAH]]="","",NOTA[[#This Row],[JUMLAH]]-NOTA[[#This Row],[DISC]])</f>
        <v>1800000</v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4" s="66">
        <f>IF(OR(NOTA[[#This Row],[QTY]]="",NOTA[[#This Row],[HARGA SATUAN]]="",),"",NOTA[[#This Row],[QTY]]*NOTA[[#This Row],[HARGA SATUAN]])</f>
        <v>1800000</v>
      </c>
      <c r="AI734" s="60">
        <f ca="1">IF(NOTA[ID_H]="","",INDEX(NOTA[TANGGAL],MATCH(,INDIRECT(ADDRESS(ROW(NOTA[TANGGAL]),COLUMN(NOTA[TANGGAL]))&amp;":"&amp;ADDRESS(ROW(),COLUMN(NOTA[TANGGAL]))),-1)))</f>
        <v>45316</v>
      </c>
      <c r="AJ734" s="55" t="str">
        <f ca="1">IF(NOTA[[#This Row],[NAMA BARANG]]="","",INDEX(NOTA[SUPPLIER],MATCH(,INDIRECT(ADDRESS(ROW(NOTA[ID]),COLUMN(NOTA[ID]))&amp;":"&amp;ADDRESS(ROW(),COLUMN(NOTA[ID]))),-1)))</f>
        <v>WIN'S SENTOSA</v>
      </c>
      <c r="AK734" s="55" t="str">
        <f ca="1">IF(NOTA[[#This Row],[ID_H]]="","",IF(NOTA[[#This Row],[FAKTUR]]="",INDIRECT(ADDRESS(ROW()-1,COLUMN())),NOTA[[#This Row],[FAKTUR]]))</f>
        <v>UNTANA</v>
      </c>
      <c r="AL734" s="56" t="str">
        <f ca="1">IF(NOTA[[#This Row],[ID]]="","",COUNTIF(NOTA[ID_H],NOTA[[#This Row],[ID_H]]))</f>
        <v/>
      </c>
      <c r="AM734" s="56">
        <f ca="1">IF(NOTA[[#This Row],[TGL.NOTA]]="",IF(NOTA[[#This Row],[SUPPLIER_H]]="","",AM733),MONTH(NOTA[[#This Row],[TGL.NOTA]]))</f>
        <v>1</v>
      </c>
      <c r="AN734" s="56" t="str">
        <f>LOWER(SUBSTITUTE(SUBSTITUTE(SUBSTITUTE(SUBSTITUTE(SUBSTITUTE(SUBSTITUTE(SUBSTITUTE(SUBSTITUTE(SUBSTITUTE(NOTA[NAMA BARANG]," ",),".",""),"-",""),"(",""),")",""),",",""),"/",""),"""",""),"+",""))</f>
        <v>tymini3gold</v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tymini3gold900000</v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tymini3gold900000</v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e">
        <f>IF(NOTA[[#This Row],[CONCAT1]]="","",MATCH(NOTA[[#This Row],[CONCAT1]],[3]!db[NB NOTA_C],0))</f>
        <v>#N/A</v>
      </c>
      <c r="AT734" s="56" t="b">
        <f>IF(NOTA[[#This Row],[QTY/ CTN]]="","",TRUE)</f>
        <v>1</v>
      </c>
      <c r="AU734" s="56" t="str">
        <f ca="1">IF(NOTA[[#This Row],[ID_H]]="","",IF(NOTA[[#This Row],[Column3]]=TRUE,NOTA[[#This Row],[QTY/ CTN]],INDEX([3]!db[QTY/ CTN],NOTA[[#This Row],[//DB]])))</f>
        <v>600 PCS</v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tymini3gold600pcsuntana</v>
      </c>
      <c r="AW734" s="56" t="e">
        <f ca="1">IF(NOTA[[#This Row],[ID_H]]="","",MATCH(NOTA[[#This Row],[NB NOTA_C_QTY]],[4]!db[NB NOTA_C_QTY+F],0))</f>
        <v>#REF!</v>
      </c>
      <c r="AX734" s="68">
        <f ca="1">IF(NOTA[[#This Row],[NB NOTA_C_QTY]]="","",ROW()-2)</f>
        <v>732</v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>
        <f ca="1">IF(NOTA[[#This Row],[NAMA BARANG]]="","",INDEX(NOTA[ID],MATCH(,INDIRECT(ADDRESS(ROW(NOTA[ID]),COLUMN(NOTA[ID]))&amp;":"&amp;ADDRESS(ROW(),COLUMN(NOTA[ID]))),-1)))</f>
        <v>124</v>
      </c>
      <c r="E735" s="57"/>
      <c r="F735" s="58"/>
      <c r="G735" s="58"/>
      <c r="H735" s="59"/>
      <c r="I735" s="58"/>
      <c r="J735" s="60"/>
      <c r="K735" s="58">
        <v>1</v>
      </c>
      <c r="L735" s="37" t="s">
        <v>819</v>
      </c>
      <c r="M735" s="61">
        <v>2</v>
      </c>
      <c r="N735" s="56">
        <v>1200</v>
      </c>
      <c r="O735" s="37" t="s">
        <v>115</v>
      </c>
      <c r="P735" s="55">
        <v>1500</v>
      </c>
      <c r="Q735" s="62"/>
      <c r="R735" s="48" t="s">
        <v>815</v>
      </c>
      <c r="S735" s="64"/>
      <c r="T735" s="65"/>
      <c r="U735" s="65"/>
      <c r="V735" s="66"/>
      <c r="W735" s="67"/>
      <c r="X735" s="66">
        <f>IF(NOTA[[#This Row],[HARGA/ CTN]]="",NOTA[[#This Row],[JUMLAH_H]],NOTA[[#This Row],[HARGA/ CTN]]*IF(NOTA[[#This Row],[C]]="",0,NOTA[[#This Row],[C]]))</f>
        <v>1800000</v>
      </c>
      <c r="Y735" s="66">
        <f>IF(NOTA[[#This Row],[JUMLAH]]="","",NOTA[[#This Row],[JUMLAH]]*NOTA[[#This Row],[DISC 1]])</f>
        <v>0</v>
      </c>
      <c r="Z735" s="66">
        <f>IF(NOTA[[#This Row],[JUMLAH]]="","",(NOTA[[#This Row],[JUMLAH]]-NOTA[[#This Row],[DISC 1-]])*NOTA[[#This Row],[DISC 2]])</f>
        <v>0</v>
      </c>
      <c r="AA735" s="66">
        <f>IF(NOTA[[#This Row],[JUMLAH]]="","",(NOTA[[#This Row],[JUMLAH]]-NOTA[[#This Row],[DISC 1-]]-NOTA[[#This Row],[DISC 2-]])*NOTA[[#This Row],[DISC 3]])</f>
        <v>0</v>
      </c>
      <c r="AB735" s="66">
        <f>IF(NOTA[[#This Row],[JUMLAH]]="","",NOTA[[#This Row],[DISC 1-]]+NOTA[[#This Row],[DISC 2-]]+NOTA[[#This Row],[DISC 3-]])</f>
        <v>0</v>
      </c>
      <c r="AC735" s="66">
        <f>IF(NOTA[[#This Row],[JUMLAH]]="","",NOTA[[#This Row],[JUMLAH]]-NOTA[[#This Row],[DISC]])</f>
        <v>1800000</v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5" s="66">
        <f>IF(OR(NOTA[[#This Row],[QTY]]="",NOTA[[#This Row],[HARGA SATUAN]]="",),"",NOTA[[#This Row],[QTY]]*NOTA[[#This Row],[HARGA SATUAN]])</f>
        <v>1800000</v>
      </c>
      <c r="AI735" s="60">
        <f ca="1">IF(NOTA[ID_H]="","",INDEX(NOTA[TANGGAL],MATCH(,INDIRECT(ADDRESS(ROW(NOTA[TANGGAL]),COLUMN(NOTA[TANGGAL]))&amp;":"&amp;ADDRESS(ROW(),COLUMN(NOTA[TANGGAL]))),-1)))</f>
        <v>45316</v>
      </c>
      <c r="AJ735" s="55" t="str">
        <f ca="1">IF(NOTA[[#This Row],[NAMA BARANG]]="","",INDEX(NOTA[SUPPLIER],MATCH(,INDIRECT(ADDRESS(ROW(NOTA[ID]),COLUMN(NOTA[ID]))&amp;":"&amp;ADDRESS(ROW(),COLUMN(NOTA[ID]))),-1)))</f>
        <v>WIN'S SENTOSA</v>
      </c>
      <c r="AK735" s="55" t="str">
        <f ca="1">IF(NOTA[[#This Row],[ID_H]]="","",IF(NOTA[[#This Row],[FAKTUR]]="",INDIRECT(ADDRESS(ROW()-1,COLUMN())),NOTA[[#This Row],[FAKTUR]]))</f>
        <v>UNTANA</v>
      </c>
      <c r="AL735" s="56" t="str">
        <f ca="1">IF(NOTA[[#This Row],[ID]]="","",COUNTIF(NOTA[ID_H],NOTA[[#This Row],[ID_H]]))</f>
        <v/>
      </c>
      <c r="AM735" s="56">
        <f ca="1">IF(NOTA[[#This Row],[TGL.NOTA]]="",IF(NOTA[[#This Row],[SUPPLIER_H]]="","",AM734),MONTH(NOTA[[#This Row],[TGL.NOTA]]))</f>
        <v>1</v>
      </c>
      <c r="AN735" s="56" t="str">
        <f>LOWER(SUBSTITUTE(SUBSTITUTE(SUBSTITUTE(SUBSTITUTE(SUBSTITUTE(SUBSTITUTE(SUBSTITUTE(SUBSTITUTE(SUBSTITUTE(NOTA[NAMA BARANG]," ",),".",""),"-",""),"(",""),")",""),",",""),"/",""),"""",""),"+",""))</f>
        <v>tymini4gold</v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tymini4gold900000</v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tymini4gold900000</v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e">
        <f>IF(NOTA[[#This Row],[CONCAT1]]="","",MATCH(NOTA[[#This Row],[CONCAT1]],[3]!db[NB NOTA_C],0))</f>
        <v>#N/A</v>
      </c>
      <c r="AT735" s="56" t="b">
        <f>IF(NOTA[[#This Row],[QTY/ CTN]]="","",TRUE)</f>
        <v>1</v>
      </c>
      <c r="AU735" s="56" t="str">
        <f ca="1">IF(NOTA[[#This Row],[ID_H]]="","",IF(NOTA[[#This Row],[Column3]]=TRUE,NOTA[[#This Row],[QTY/ CTN]],INDEX([3]!db[QTY/ CTN],NOTA[[#This Row],[//DB]])))</f>
        <v>600 PCS</v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tymini4gold600pcsuntana</v>
      </c>
      <c r="AW735" s="56" t="e">
        <f ca="1">IF(NOTA[[#This Row],[ID_H]]="","",MATCH(NOTA[[#This Row],[NB NOTA_C_QTY]],[4]!db[NB NOTA_C_QTY+F],0))</f>
        <v>#REF!</v>
      </c>
      <c r="AX735" s="68">
        <f ca="1">IF(NOTA[[#This Row],[NB NOTA_C_QTY]]="","",ROW()-2)</f>
        <v>733</v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>
        <f ca="1">IF(NOTA[[#This Row],[NAMA BARANG]]="","",INDEX(NOTA[ID],MATCH(,INDIRECT(ADDRESS(ROW(NOTA[ID]),COLUMN(NOTA[ID]))&amp;":"&amp;ADDRESS(ROW(),COLUMN(NOTA[ID]))),-1)))</f>
        <v>124</v>
      </c>
      <c r="E736" s="57"/>
      <c r="F736" s="58"/>
      <c r="G736" s="58"/>
      <c r="H736" s="59"/>
      <c r="I736" s="58"/>
      <c r="J736" s="60"/>
      <c r="K736" s="58">
        <v>1</v>
      </c>
      <c r="L736" s="37" t="s">
        <v>820</v>
      </c>
      <c r="M736" s="61">
        <v>2</v>
      </c>
      <c r="N736" s="56">
        <v>1200</v>
      </c>
      <c r="O736" s="37" t="s">
        <v>115</v>
      </c>
      <c r="P736" s="55">
        <v>1500</v>
      </c>
      <c r="Q736" s="62"/>
      <c r="R736" s="48" t="s">
        <v>815</v>
      </c>
      <c r="S736" s="64"/>
      <c r="T736" s="65"/>
      <c r="U736" s="65"/>
      <c r="V736" s="66"/>
      <c r="W736" s="67"/>
      <c r="X736" s="66">
        <f>IF(NOTA[[#This Row],[HARGA/ CTN]]="",NOTA[[#This Row],[JUMLAH_H]],NOTA[[#This Row],[HARGA/ CTN]]*IF(NOTA[[#This Row],[C]]="",0,NOTA[[#This Row],[C]]))</f>
        <v>1800000</v>
      </c>
      <c r="Y736" s="66">
        <f>IF(NOTA[[#This Row],[JUMLAH]]="","",NOTA[[#This Row],[JUMLAH]]*NOTA[[#This Row],[DISC 1]])</f>
        <v>0</v>
      </c>
      <c r="Z736" s="66">
        <f>IF(NOTA[[#This Row],[JUMLAH]]="","",(NOTA[[#This Row],[JUMLAH]]-NOTA[[#This Row],[DISC 1-]])*NOTA[[#This Row],[DISC 2]])</f>
        <v>0</v>
      </c>
      <c r="AA736" s="66">
        <f>IF(NOTA[[#This Row],[JUMLAH]]="","",(NOTA[[#This Row],[JUMLAH]]-NOTA[[#This Row],[DISC 1-]]-NOTA[[#This Row],[DISC 2-]])*NOTA[[#This Row],[DISC 3]])</f>
        <v>0</v>
      </c>
      <c r="AB736" s="66">
        <f>IF(NOTA[[#This Row],[JUMLAH]]="","",NOTA[[#This Row],[DISC 1-]]+NOTA[[#This Row],[DISC 2-]]+NOTA[[#This Row],[DISC 3-]])</f>
        <v>0</v>
      </c>
      <c r="AC736" s="66">
        <f>IF(NOTA[[#This Row],[JUMLAH]]="","",NOTA[[#This Row],[JUMLAH]]-NOTA[[#This Row],[DISC]])</f>
        <v>1800000</v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6" s="66">
        <f>IF(OR(NOTA[[#This Row],[QTY]]="",NOTA[[#This Row],[HARGA SATUAN]]="",),"",NOTA[[#This Row],[QTY]]*NOTA[[#This Row],[HARGA SATUAN]])</f>
        <v>1800000</v>
      </c>
      <c r="AI736" s="60">
        <f ca="1">IF(NOTA[ID_H]="","",INDEX(NOTA[TANGGAL],MATCH(,INDIRECT(ADDRESS(ROW(NOTA[TANGGAL]),COLUMN(NOTA[TANGGAL]))&amp;":"&amp;ADDRESS(ROW(),COLUMN(NOTA[TANGGAL]))),-1)))</f>
        <v>45316</v>
      </c>
      <c r="AJ736" s="55" t="str">
        <f ca="1">IF(NOTA[[#This Row],[NAMA BARANG]]="","",INDEX(NOTA[SUPPLIER],MATCH(,INDIRECT(ADDRESS(ROW(NOTA[ID]),COLUMN(NOTA[ID]))&amp;":"&amp;ADDRESS(ROW(),COLUMN(NOTA[ID]))),-1)))</f>
        <v>WIN'S SENTOSA</v>
      </c>
      <c r="AK736" s="55" t="str">
        <f ca="1">IF(NOTA[[#This Row],[ID_H]]="","",IF(NOTA[[#This Row],[FAKTUR]]="",INDIRECT(ADDRESS(ROW()-1,COLUMN())),NOTA[[#This Row],[FAKTUR]]))</f>
        <v>UNTANA</v>
      </c>
      <c r="AL736" s="56" t="str">
        <f ca="1">IF(NOTA[[#This Row],[ID]]="","",COUNTIF(NOTA[ID_H],NOTA[[#This Row],[ID_H]]))</f>
        <v/>
      </c>
      <c r="AM736" s="56">
        <f ca="1">IF(NOTA[[#This Row],[TGL.NOTA]]="",IF(NOTA[[#This Row],[SUPPLIER_H]]="","",AM735),MONTH(NOTA[[#This Row],[TGL.NOTA]]))</f>
        <v>1</v>
      </c>
      <c r="AN736" s="56" t="str">
        <f>LOWER(SUBSTITUTE(SUBSTITUTE(SUBSTITUTE(SUBSTITUTE(SUBSTITUTE(SUBSTITUTE(SUBSTITUTE(SUBSTITUTE(SUBSTITUTE(NOTA[NAMA BARANG]," ",),".",""),"-",""),"(",""),")",""),",",""),"/",""),"""",""),"+",""))</f>
        <v>tymini5gold</v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tymini5gold900000</v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tymini5gold900000</v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e">
        <f>IF(NOTA[[#This Row],[CONCAT1]]="","",MATCH(NOTA[[#This Row],[CONCAT1]],[3]!db[NB NOTA_C],0))</f>
        <v>#N/A</v>
      </c>
      <c r="AT736" s="56" t="b">
        <f>IF(NOTA[[#This Row],[QTY/ CTN]]="","",TRUE)</f>
        <v>1</v>
      </c>
      <c r="AU736" s="56" t="str">
        <f ca="1">IF(NOTA[[#This Row],[ID_H]]="","",IF(NOTA[[#This Row],[Column3]]=TRUE,NOTA[[#This Row],[QTY/ CTN]],INDEX([3]!db[QTY/ CTN],NOTA[[#This Row],[//DB]])))</f>
        <v>600 PCS</v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tymini5gold600pcsuntana</v>
      </c>
      <c r="AW736" s="56" t="e">
        <f ca="1">IF(NOTA[[#This Row],[ID_H]]="","",MATCH(NOTA[[#This Row],[NB NOTA_C_QTY]],[4]!db[NB NOTA_C_QTY+F],0))</f>
        <v>#REF!</v>
      </c>
      <c r="AX736" s="68">
        <f ca="1">IF(NOTA[[#This Row],[NB NOTA_C_QTY]]="","",ROW()-2)</f>
        <v>734</v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>
        <f ca="1">IF(NOTA[[#This Row],[NAMA BARANG]]="","",INDEX(NOTA[ID],MATCH(,INDIRECT(ADDRESS(ROW(NOTA[ID]),COLUMN(NOTA[ID]))&amp;":"&amp;ADDRESS(ROW(),COLUMN(NOTA[ID]))),-1)))</f>
        <v>124</v>
      </c>
      <c r="E737" s="57"/>
      <c r="F737" s="58"/>
      <c r="G737" s="58"/>
      <c r="H737" s="59"/>
      <c r="I737" s="58"/>
      <c r="J737" s="60"/>
      <c r="K737" s="58">
        <v>1</v>
      </c>
      <c r="L737" s="37" t="s">
        <v>821</v>
      </c>
      <c r="M737" s="61">
        <v>2</v>
      </c>
      <c r="N737" s="56">
        <v>1200</v>
      </c>
      <c r="O737" s="37" t="s">
        <v>115</v>
      </c>
      <c r="P737" s="55">
        <v>1500</v>
      </c>
      <c r="Q737" s="62"/>
      <c r="R737" s="48" t="s">
        <v>815</v>
      </c>
      <c r="S737" s="64"/>
      <c r="T737" s="65"/>
      <c r="U737" s="65"/>
      <c r="V737" s="66"/>
      <c r="W737" s="67"/>
      <c r="X737" s="66">
        <f>IF(NOTA[[#This Row],[HARGA/ CTN]]="",NOTA[[#This Row],[JUMLAH_H]],NOTA[[#This Row],[HARGA/ CTN]]*IF(NOTA[[#This Row],[C]]="",0,NOTA[[#This Row],[C]]))</f>
        <v>1800000</v>
      </c>
      <c r="Y737" s="66">
        <f>IF(NOTA[[#This Row],[JUMLAH]]="","",NOTA[[#This Row],[JUMLAH]]*NOTA[[#This Row],[DISC 1]])</f>
        <v>0</v>
      </c>
      <c r="Z737" s="66">
        <f>IF(NOTA[[#This Row],[JUMLAH]]="","",(NOTA[[#This Row],[JUMLAH]]-NOTA[[#This Row],[DISC 1-]])*NOTA[[#This Row],[DISC 2]])</f>
        <v>0</v>
      </c>
      <c r="AA737" s="66">
        <f>IF(NOTA[[#This Row],[JUMLAH]]="","",(NOTA[[#This Row],[JUMLAH]]-NOTA[[#This Row],[DISC 1-]]-NOTA[[#This Row],[DISC 2-]])*NOTA[[#This Row],[DISC 3]])</f>
        <v>0</v>
      </c>
      <c r="AB737" s="66">
        <f>IF(NOTA[[#This Row],[JUMLAH]]="","",NOTA[[#This Row],[DISC 1-]]+NOTA[[#This Row],[DISC 2-]]+NOTA[[#This Row],[DISC 3-]])</f>
        <v>0</v>
      </c>
      <c r="AC737" s="66">
        <f>IF(NOTA[[#This Row],[JUMLAH]]="","",NOTA[[#This Row],[JUMLAH]]-NOTA[[#This Row],[DISC]])</f>
        <v>1800000</v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7" s="66">
        <f>IF(OR(NOTA[[#This Row],[QTY]]="",NOTA[[#This Row],[HARGA SATUAN]]="",),"",NOTA[[#This Row],[QTY]]*NOTA[[#This Row],[HARGA SATUAN]])</f>
        <v>1800000</v>
      </c>
      <c r="AI737" s="60">
        <f ca="1">IF(NOTA[ID_H]="","",INDEX(NOTA[TANGGAL],MATCH(,INDIRECT(ADDRESS(ROW(NOTA[TANGGAL]),COLUMN(NOTA[TANGGAL]))&amp;":"&amp;ADDRESS(ROW(),COLUMN(NOTA[TANGGAL]))),-1)))</f>
        <v>45316</v>
      </c>
      <c r="AJ737" s="55" t="str">
        <f ca="1">IF(NOTA[[#This Row],[NAMA BARANG]]="","",INDEX(NOTA[SUPPLIER],MATCH(,INDIRECT(ADDRESS(ROW(NOTA[ID]),COLUMN(NOTA[ID]))&amp;":"&amp;ADDRESS(ROW(),COLUMN(NOTA[ID]))),-1)))</f>
        <v>WIN'S SENTOSA</v>
      </c>
      <c r="AK737" s="55" t="str">
        <f ca="1">IF(NOTA[[#This Row],[ID_H]]="","",IF(NOTA[[#This Row],[FAKTUR]]="",INDIRECT(ADDRESS(ROW()-1,COLUMN())),NOTA[[#This Row],[FAKTUR]]))</f>
        <v>UNTANA</v>
      </c>
      <c r="AL737" s="56" t="str">
        <f ca="1">IF(NOTA[[#This Row],[ID]]="","",COUNTIF(NOTA[ID_H],NOTA[[#This Row],[ID_H]]))</f>
        <v/>
      </c>
      <c r="AM737" s="56">
        <f ca="1">IF(NOTA[[#This Row],[TGL.NOTA]]="",IF(NOTA[[#This Row],[SUPPLIER_H]]="","",AM736),MONTH(NOTA[[#This Row],[TGL.NOTA]]))</f>
        <v>1</v>
      </c>
      <c r="AN737" s="56" t="str">
        <f>LOWER(SUBSTITUTE(SUBSTITUTE(SUBSTITUTE(SUBSTITUTE(SUBSTITUTE(SUBSTITUTE(SUBSTITUTE(SUBSTITUTE(SUBSTITUTE(NOTA[NAMA BARANG]," ",),".",""),"-",""),"(",""),")",""),",",""),"/",""),"""",""),"+",""))</f>
        <v>tymini6gold</v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tymini6gold900000</v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tymini6gold900000</v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e">
        <f>IF(NOTA[[#This Row],[CONCAT1]]="","",MATCH(NOTA[[#This Row],[CONCAT1]],[3]!db[NB NOTA_C],0))</f>
        <v>#N/A</v>
      </c>
      <c r="AT737" s="56" t="b">
        <f>IF(NOTA[[#This Row],[QTY/ CTN]]="","",TRUE)</f>
        <v>1</v>
      </c>
      <c r="AU737" s="56" t="str">
        <f ca="1">IF(NOTA[[#This Row],[ID_H]]="","",IF(NOTA[[#This Row],[Column3]]=TRUE,NOTA[[#This Row],[QTY/ CTN]],INDEX([3]!db[QTY/ CTN],NOTA[[#This Row],[//DB]])))</f>
        <v>600 PCS</v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tymini6gold600pcsuntana</v>
      </c>
      <c r="AW737" s="56" t="e">
        <f ca="1">IF(NOTA[[#This Row],[ID_H]]="","",MATCH(NOTA[[#This Row],[NB NOTA_C_QTY]],[4]!db[NB NOTA_C_QTY+F],0))</f>
        <v>#REF!</v>
      </c>
      <c r="AX737" s="68">
        <f ca="1">IF(NOTA[[#This Row],[NB NOTA_C_QTY]]="","",ROW()-2)</f>
        <v>735</v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>
        <f ca="1">IF(NOTA[[#This Row],[NAMA BARANG]]="","",INDEX(NOTA[ID],MATCH(,INDIRECT(ADDRESS(ROW(NOTA[ID]),COLUMN(NOTA[ID]))&amp;":"&amp;ADDRESS(ROW(),COLUMN(NOTA[ID]))),-1)))</f>
        <v>124</v>
      </c>
      <c r="E738" s="57"/>
      <c r="F738" s="58"/>
      <c r="G738" s="58"/>
      <c r="H738" s="59"/>
      <c r="I738" s="58"/>
      <c r="J738" s="60"/>
      <c r="K738" s="58">
        <v>1</v>
      </c>
      <c r="L738" s="37" t="s">
        <v>822</v>
      </c>
      <c r="M738" s="61">
        <v>2</v>
      </c>
      <c r="N738" s="56">
        <v>1200</v>
      </c>
      <c r="O738" s="37" t="s">
        <v>115</v>
      </c>
      <c r="P738" s="55">
        <v>1500</v>
      </c>
      <c r="Q738" s="62"/>
      <c r="R738" s="48" t="s">
        <v>815</v>
      </c>
      <c r="S738" s="64"/>
      <c r="T738" s="65"/>
      <c r="U738" s="65"/>
      <c r="V738" s="66"/>
      <c r="W738" s="67"/>
      <c r="X738" s="66">
        <f>IF(NOTA[[#This Row],[HARGA/ CTN]]="",NOTA[[#This Row],[JUMLAH_H]],NOTA[[#This Row],[HARGA/ CTN]]*IF(NOTA[[#This Row],[C]]="",0,NOTA[[#This Row],[C]]))</f>
        <v>1800000</v>
      </c>
      <c r="Y738" s="66">
        <f>IF(NOTA[[#This Row],[JUMLAH]]="","",NOTA[[#This Row],[JUMLAH]]*NOTA[[#This Row],[DISC 1]])</f>
        <v>0</v>
      </c>
      <c r="Z738" s="66">
        <f>IF(NOTA[[#This Row],[JUMLAH]]="","",(NOTA[[#This Row],[JUMLAH]]-NOTA[[#This Row],[DISC 1-]])*NOTA[[#This Row],[DISC 2]])</f>
        <v>0</v>
      </c>
      <c r="AA738" s="66">
        <f>IF(NOTA[[#This Row],[JUMLAH]]="","",(NOTA[[#This Row],[JUMLAH]]-NOTA[[#This Row],[DISC 1-]]-NOTA[[#This Row],[DISC 2-]])*NOTA[[#This Row],[DISC 3]])</f>
        <v>0</v>
      </c>
      <c r="AB738" s="66">
        <f>IF(NOTA[[#This Row],[JUMLAH]]="","",NOTA[[#This Row],[DISC 1-]]+NOTA[[#This Row],[DISC 2-]]+NOTA[[#This Row],[DISC 3-]])</f>
        <v>0</v>
      </c>
      <c r="AC738" s="66">
        <f>IF(NOTA[[#This Row],[JUMLAH]]="","",NOTA[[#This Row],[JUMLAH]]-NOTA[[#This Row],[DISC]])</f>
        <v>1800000</v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8" s="66">
        <f>IF(OR(NOTA[[#This Row],[QTY]]="",NOTA[[#This Row],[HARGA SATUAN]]="",),"",NOTA[[#This Row],[QTY]]*NOTA[[#This Row],[HARGA SATUAN]])</f>
        <v>1800000</v>
      </c>
      <c r="AI738" s="60">
        <f ca="1">IF(NOTA[ID_H]="","",INDEX(NOTA[TANGGAL],MATCH(,INDIRECT(ADDRESS(ROW(NOTA[TANGGAL]),COLUMN(NOTA[TANGGAL]))&amp;":"&amp;ADDRESS(ROW(),COLUMN(NOTA[TANGGAL]))),-1)))</f>
        <v>45316</v>
      </c>
      <c r="AJ738" s="55" t="str">
        <f ca="1">IF(NOTA[[#This Row],[NAMA BARANG]]="","",INDEX(NOTA[SUPPLIER],MATCH(,INDIRECT(ADDRESS(ROW(NOTA[ID]),COLUMN(NOTA[ID]))&amp;":"&amp;ADDRESS(ROW(),COLUMN(NOTA[ID]))),-1)))</f>
        <v>WIN'S SENTOSA</v>
      </c>
      <c r="AK738" s="55" t="str">
        <f ca="1">IF(NOTA[[#This Row],[ID_H]]="","",IF(NOTA[[#This Row],[FAKTUR]]="",INDIRECT(ADDRESS(ROW()-1,COLUMN())),NOTA[[#This Row],[FAKTUR]]))</f>
        <v>UNTANA</v>
      </c>
      <c r="AL738" s="56" t="str">
        <f ca="1">IF(NOTA[[#This Row],[ID]]="","",COUNTIF(NOTA[ID_H],NOTA[[#This Row],[ID_H]]))</f>
        <v/>
      </c>
      <c r="AM738" s="56">
        <f ca="1">IF(NOTA[[#This Row],[TGL.NOTA]]="",IF(NOTA[[#This Row],[SUPPLIER_H]]="","",AM737),MONTH(NOTA[[#This Row],[TGL.NOTA]]))</f>
        <v>1</v>
      </c>
      <c r="AN738" s="56" t="str">
        <f>LOWER(SUBSTITUTE(SUBSTITUTE(SUBSTITUTE(SUBSTITUTE(SUBSTITUTE(SUBSTITUTE(SUBSTITUTE(SUBSTITUTE(SUBSTITUTE(NOTA[NAMA BARANG]," ",),".",""),"-",""),"(",""),")",""),",",""),"/",""),"""",""),"+",""))</f>
        <v>tymini7gold</v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tymini7gold900000</v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tymini7gold900000</v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e">
        <f>IF(NOTA[[#This Row],[CONCAT1]]="","",MATCH(NOTA[[#This Row],[CONCAT1]],[3]!db[NB NOTA_C],0))</f>
        <v>#N/A</v>
      </c>
      <c r="AT738" s="56" t="b">
        <f>IF(NOTA[[#This Row],[QTY/ CTN]]="","",TRUE)</f>
        <v>1</v>
      </c>
      <c r="AU738" s="56" t="str">
        <f ca="1">IF(NOTA[[#This Row],[ID_H]]="","",IF(NOTA[[#This Row],[Column3]]=TRUE,NOTA[[#This Row],[QTY/ CTN]],INDEX([3]!db[QTY/ CTN],NOTA[[#This Row],[//DB]])))</f>
        <v>600 PCS</v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tymini7gold600pcsuntana</v>
      </c>
      <c r="AW738" s="56" t="e">
        <f ca="1">IF(NOTA[[#This Row],[ID_H]]="","",MATCH(NOTA[[#This Row],[NB NOTA_C_QTY]],[4]!db[NB NOTA_C_QTY+F],0))</f>
        <v>#REF!</v>
      </c>
      <c r="AX738" s="68">
        <f ca="1">IF(NOTA[[#This Row],[NB NOTA_C_QTY]]="","",ROW()-2)</f>
        <v>736</v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>
        <f ca="1">IF(NOTA[[#This Row],[NAMA BARANG]]="","",INDEX(NOTA[ID],MATCH(,INDIRECT(ADDRESS(ROW(NOTA[ID]),COLUMN(NOTA[ID]))&amp;":"&amp;ADDRESS(ROW(),COLUMN(NOTA[ID]))),-1)))</f>
        <v>124</v>
      </c>
      <c r="E739" s="57"/>
      <c r="F739" s="58"/>
      <c r="G739" s="58"/>
      <c r="H739" s="59"/>
      <c r="I739" s="58"/>
      <c r="J739" s="60"/>
      <c r="K739" s="58">
        <v>1</v>
      </c>
      <c r="L739" s="37" t="s">
        <v>823</v>
      </c>
      <c r="M739" s="61">
        <v>1</v>
      </c>
      <c r="N739" s="56">
        <v>600</v>
      </c>
      <c r="O739" s="37" t="s">
        <v>115</v>
      </c>
      <c r="P739" s="55">
        <v>1500</v>
      </c>
      <c r="Q739" s="62"/>
      <c r="R739" s="48" t="s">
        <v>815</v>
      </c>
      <c r="S739" s="64"/>
      <c r="T739" s="65"/>
      <c r="U739" s="65"/>
      <c r="V739" s="66"/>
      <c r="W739" s="67"/>
      <c r="X739" s="66">
        <f>IF(NOTA[[#This Row],[HARGA/ CTN]]="",NOTA[[#This Row],[JUMLAH_H]],NOTA[[#This Row],[HARGA/ CTN]]*IF(NOTA[[#This Row],[C]]="",0,NOTA[[#This Row],[C]]))</f>
        <v>900000</v>
      </c>
      <c r="Y739" s="66">
        <f>IF(NOTA[[#This Row],[JUMLAH]]="","",NOTA[[#This Row],[JUMLAH]]*NOTA[[#This Row],[DISC 1]])</f>
        <v>0</v>
      </c>
      <c r="Z739" s="66">
        <f>IF(NOTA[[#This Row],[JUMLAH]]="","",(NOTA[[#This Row],[JUMLAH]]-NOTA[[#This Row],[DISC 1-]])*NOTA[[#This Row],[DISC 2]])</f>
        <v>0</v>
      </c>
      <c r="AA739" s="66">
        <f>IF(NOTA[[#This Row],[JUMLAH]]="","",(NOTA[[#This Row],[JUMLAH]]-NOTA[[#This Row],[DISC 1-]]-NOTA[[#This Row],[DISC 2-]])*NOTA[[#This Row],[DISC 3]])</f>
        <v>0</v>
      </c>
      <c r="AB739" s="66">
        <f>IF(NOTA[[#This Row],[JUMLAH]]="","",NOTA[[#This Row],[DISC 1-]]+NOTA[[#This Row],[DISC 2-]]+NOTA[[#This Row],[DISC 3-]])</f>
        <v>0</v>
      </c>
      <c r="AC739" s="66">
        <f>IF(NOTA[[#This Row],[JUMLAH]]="","",NOTA[[#This Row],[JUMLAH]]-NOTA[[#This Row],[DISC]])</f>
        <v>900000</v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9" s="66">
        <f>IF(OR(NOTA[[#This Row],[QTY]]="",NOTA[[#This Row],[HARGA SATUAN]]="",),"",NOTA[[#This Row],[QTY]]*NOTA[[#This Row],[HARGA SATUAN]])</f>
        <v>900000</v>
      </c>
      <c r="AI739" s="60">
        <f ca="1">IF(NOTA[ID_H]="","",INDEX(NOTA[TANGGAL],MATCH(,INDIRECT(ADDRESS(ROW(NOTA[TANGGAL]),COLUMN(NOTA[TANGGAL]))&amp;":"&amp;ADDRESS(ROW(),COLUMN(NOTA[TANGGAL]))),-1)))</f>
        <v>45316</v>
      </c>
      <c r="AJ739" s="55" t="str">
        <f ca="1">IF(NOTA[[#This Row],[NAMA BARANG]]="","",INDEX(NOTA[SUPPLIER],MATCH(,INDIRECT(ADDRESS(ROW(NOTA[ID]),COLUMN(NOTA[ID]))&amp;":"&amp;ADDRESS(ROW(),COLUMN(NOTA[ID]))),-1)))</f>
        <v>WIN'S SENTOSA</v>
      </c>
      <c r="AK739" s="55" t="str">
        <f ca="1">IF(NOTA[[#This Row],[ID_H]]="","",IF(NOTA[[#This Row],[FAKTUR]]="",INDIRECT(ADDRESS(ROW()-1,COLUMN())),NOTA[[#This Row],[FAKTUR]]))</f>
        <v>UNTANA</v>
      </c>
      <c r="AL739" s="56" t="str">
        <f ca="1">IF(NOTA[[#This Row],[ID]]="","",COUNTIF(NOTA[ID_H],NOTA[[#This Row],[ID_H]]))</f>
        <v/>
      </c>
      <c r="AM739" s="56">
        <f ca="1">IF(NOTA[[#This Row],[TGL.NOTA]]="",IF(NOTA[[#This Row],[SUPPLIER_H]]="","",AM738),MONTH(NOTA[[#This Row],[TGL.NOTA]]))</f>
        <v>1</v>
      </c>
      <c r="AN739" s="56" t="str">
        <f>LOWER(SUBSTITUTE(SUBSTITUTE(SUBSTITUTE(SUBSTITUTE(SUBSTITUTE(SUBSTITUTE(SUBSTITUTE(SUBSTITUTE(SUBSTITUTE(NOTA[NAMA BARANG]," ",),".",""),"-",""),"(",""),")",""),",",""),"/",""),"""",""),"+",""))</f>
        <v>tymini8gold</v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tymini8gold900000</v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tymini8gold900000</v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e">
        <f>IF(NOTA[[#This Row],[CONCAT1]]="","",MATCH(NOTA[[#This Row],[CONCAT1]],[3]!db[NB NOTA_C],0))</f>
        <v>#N/A</v>
      </c>
      <c r="AT739" s="56" t="b">
        <f>IF(NOTA[[#This Row],[QTY/ CTN]]="","",TRUE)</f>
        <v>1</v>
      </c>
      <c r="AU739" s="56" t="str">
        <f ca="1">IF(NOTA[[#This Row],[ID_H]]="","",IF(NOTA[[#This Row],[Column3]]=TRUE,NOTA[[#This Row],[QTY/ CTN]],INDEX([3]!db[QTY/ CTN],NOTA[[#This Row],[//DB]])))</f>
        <v>600 PCS</v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tymini8gold600pcsuntana</v>
      </c>
      <c r="AW739" s="56" t="e">
        <f ca="1">IF(NOTA[[#This Row],[ID_H]]="","",MATCH(NOTA[[#This Row],[NB NOTA_C_QTY]],[4]!db[NB NOTA_C_QTY+F],0))</f>
        <v>#REF!</v>
      </c>
      <c r="AX739" s="68">
        <f ca="1">IF(NOTA[[#This Row],[NB NOTA_C_QTY]]="","",ROW()-2)</f>
        <v>737</v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>
        <f ca="1">IF(NOTA[[#This Row],[NAMA BARANG]]="","",INDEX(NOTA[ID],MATCH(,INDIRECT(ADDRESS(ROW(NOTA[ID]),COLUMN(NOTA[ID]))&amp;":"&amp;ADDRESS(ROW(),COLUMN(NOTA[ID]))),-1)))</f>
        <v>124</v>
      </c>
      <c r="E740" s="57"/>
      <c r="F740" s="58"/>
      <c r="G740" s="58"/>
      <c r="H740" s="59"/>
      <c r="I740" s="58"/>
      <c r="J740" s="60"/>
      <c r="K740" s="58">
        <v>1</v>
      </c>
      <c r="L740" s="37" t="s">
        <v>824</v>
      </c>
      <c r="M740" s="61">
        <v>1</v>
      </c>
      <c r="N740" s="56">
        <v>600</v>
      </c>
      <c r="O740" s="37" t="s">
        <v>115</v>
      </c>
      <c r="P740" s="55">
        <v>1500</v>
      </c>
      <c r="Q740" s="62"/>
      <c r="R740" s="48" t="s">
        <v>815</v>
      </c>
      <c r="S740" s="64"/>
      <c r="T740" s="65"/>
      <c r="U740" s="65"/>
      <c r="V740" s="66"/>
      <c r="W740" s="67"/>
      <c r="X740" s="66">
        <f>IF(NOTA[[#This Row],[HARGA/ CTN]]="",NOTA[[#This Row],[JUMLAH_H]],NOTA[[#This Row],[HARGA/ CTN]]*IF(NOTA[[#This Row],[C]]="",0,NOTA[[#This Row],[C]]))</f>
        <v>900000</v>
      </c>
      <c r="Y740" s="66">
        <f>IF(NOTA[[#This Row],[JUMLAH]]="","",NOTA[[#This Row],[JUMLAH]]*NOTA[[#This Row],[DISC 1]])</f>
        <v>0</v>
      </c>
      <c r="Z740" s="66">
        <f>IF(NOTA[[#This Row],[JUMLAH]]="","",(NOTA[[#This Row],[JUMLAH]]-NOTA[[#This Row],[DISC 1-]])*NOTA[[#This Row],[DISC 2]])</f>
        <v>0</v>
      </c>
      <c r="AA740" s="66">
        <f>IF(NOTA[[#This Row],[JUMLAH]]="","",(NOTA[[#This Row],[JUMLAH]]-NOTA[[#This Row],[DISC 1-]]-NOTA[[#This Row],[DISC 2-]])*NOTA[[#This Row],[DISC 3]])</f>
        <v>0</v>
      </c>
      <c r="AB740" s="66">
        <f>IF(NOTA[[#This Row],[JUMLAH]]="","",NOTA[[#This Row],[DISC 1-]]+NOTA[[#This Row],[DISC 2-]]+NOTA[[#This Row],[DISC 3-]])</f>
        <v>0</v>
      </c>
      <c r="AC740" s="66">
        <f>IF(NOTA[[#This Row],[JUMLAH]]="","",NOTA[[#This Row],[JUMLAH]]-NOTA[[#This Row],[DISC]])</f>
        <v>900000</v>
      </c>
      <c r="AD740" s="66"/>
      <c r="AE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15300000</v>
      </c>
      <c r="AG740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40" s="66">
        <f>IF(OR(NOTA[[#This Row],[QTY]]="",NOTA[[#This Row],[HARGA SATUAN]]="",),"",NOTA[[#This Row],[QTY]]*NOTA[[#This Row],[HARGA SATUAN]])</f>
        <v>900000</v>
      </c>
      <c r="AI740" s="60">
        <f ca="1">IF(NOTA[ID_H]="","",INDEX(NOTA[TANGGAL],MATCH(,INDIRECT(ADDRESS(ROW(NOTA[TANGGAL]),COLUMN(NOTA[TANGGAL]))&amp;":"&amp;ADDRESS(ROW(),COLUMN(NOTA[TANGGAL]))),-1)))</f>
        <v>45316</v>
      </c>
      <c r="AJ740" s="55" t="str">
        <f ca="1">IF(NOTA[[#This Row],[NAMA BARANG]]="","",INDEX(NOTA[SUPPLIER],MATCH(,INDIRECT(ADDRESS(ROW(NOTA[ID]),COLUMN(NOTA[ID]))&amp;":"&amp;ADDRESS(ROW(),COLUMN(NOTA[ID]))),-1)))</f>
        <v>WIN'S SENTOSA</v>
      </c>
      <c r="AK740" s="55" t="str">
        <f ca="1">IF(NOTA[[#This Row],[ID_H]]="","",IF(NOTA[[#This Row],[FAKTUR]]="",INDIRECT(ADDRESS(ROW()-1,COLUMN())),NOTA[[#This Row],[FAKTUR]]))</f>
        <v>UNTANA</v>
      </c>
      <c r="AL740" s="56" t="str">
        <f ca="1">IF(NOTA[[#This Row],[ID]]="","",COUNTIF(NOTA[ID_H],NOTA[[#This Row],[ID_H]]))</f>
        <v/>
      </c>
      <c r="AM740" s="56">
        <f ca="1">IF(NOTA[[#This Row],[TGL.NOTA]]="",IF(NOTA[[#This Row],[SUPPLIER_H]]="","",AM739),MONTH(NOTA[[#This Row],[TGL.NOTA]]))</f>
        <v>1</v>
      </c>
      <c r="AN740" s="56" t="str">
        <f>LOWER(SUBSTITUTE(SUBSTITUTE(SUBSTITUTE(SUBSTITUTE(SUBSTITUTE(SUBSTITUTE(SUBSTITUTE(SUBSTITUTE(SUBSTITUTE(NOTA[NAMA BARANG]," ",),".",""),"-",""),"(",""),")",""),",",""),"/",""),"""",""),"+",""))</f>
        <v>tymini9gold</v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tymini9gold900000</v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tymini9gold900000</v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e">
        <f>IF(NOTA[[#This Row],[CONCAT1]]="","",MATCH(NOTA[[#This Row],[CONCAT1]],[3]!db[NB NOTA_C],0))</f>
        <v>#N/A</v>
      </c>
      <c r="AT740" s="56" t="b">
        <f>IF(NOTA[[#This Row],[QTY/ CTN]]="","",TRUE)</f>
        <v>1</v>
      </c>
      <c r="AU740" s="56" t="str">
        <f ca="1">IF(NOTA[[#This Row],[ID_H]]="","",IF(NOTA[[#This Row],[Column3]]=TRUE,NOTA[[#This Row],[QTY/ CTN]],INDEX([3]!db[QTY/ CTN],NOTA[[#This Row],[//DB]])))</f>
        <v>600 PCS</v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tymini9gold600pcsuntana</v>
      </c>
      <c r="AW740" s="56" t="e">
        <f ca="1">IF(NOTA[[#This Row],[ID_H]]="","",MATCH(NOTA[[#This Row],[NB NOTA_C_QTY]],[4]!db[NB NOTA_C_QTY+F],0))</f>
        <v>#REF!</v>
      </c>
      <c r="AX740" s="68">
        <f ca="1">IF(NOTA[[#This Row],[NB NOTA_C_QTY]]="","",ROW()-2)</f>
        <v>738</v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74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MSI_2601_343-1</v>
      </c>
      <c r="C742" s="56" t="e">
        <f ca="1">IF(NOTA[[#This Row],[ID_P]]="","",MATCH(NOTA[[#This Row],[ID_P]],[1]!B_MSK[N_ID],0))</f>
        <v>#REF!</v>
      </c>
      <c r="D742" s="56">
        <f ca="1">IF(NOTA[[#This Row],[NAMA BARANG]]="","",INDEX(NOTA[ID],MATCH(,INDIRECT(ADDRESS(ROW(NOTA[ID]),COLUMN(NOTA[ID]))&amp;":"&amp;ADDRESS(ROW(),COLUMN(NOTA[ID]))),-1)))</f>
        <v>125</v>
      </c>
      <c r="E742" s="57">
        <v>45317</v>
      </c>
      <c r="F742" s="37" t="s">
        <v>458</v>
      </c>
      <c r="G742" s="37" t="s">
        <v>110</v>
      </c>
      <c r="H742" s="47" t="s">
        <v>825</v>
      </c>
      <c r="I742" s="58"/>
      <c r="J742" s="60">
        <v>45313</v>
      </c>
      <c r="K742" s="58"/>
      <c r="L742" s="37" t="s">
        <v>826</v>
      </c>
      <c r="M742" s="61">
        <v>10</v>
      </c>
      <c r="N742" s="56">
        <v>2400</v>
      </c>
      <c r="O742" s="37" t="s">
        <v>111</v>
      </c>
      <c r="P742" s="55">
        <v>2650</v>
      </c>
      <c r="Q742" s="62"/>
      <c r="R742" s="48" t="s">
        <v>827</v>
      </c>
      <c r="S742" s="64"/>
      <c r="T742" s="65"/>
      <c r="U742" s="65"/>
      <c r="V742" s="66"/>
      <c r="W742" s="67"/>
      <c r="X742" s="66">
        <f>IF(NOTA[[#This Row],[HARGA/ CTN]]="",NOTA[[#This Row],[JUMLAH_H]],NOTA[[#This Row],[HARGA/ CTN]]*IF(NOTA[[#This Row],[C]]="",0,NOTA[[#This Row],[C]]))</f>
        <v>6360000</v>
      </c>
      <c r="Y742" s="66">
        <f>IF(NOTA[[#This Row],[JUMLAH]]="","",NOTA[[#This Row],[JUMLAH]]*NOTA[[#This Row],[DISC 1]])</f>
        <v>0</v>
      </c>
      <c r="Z742" s="66">
        <f>IF(NOTA[[#This Row],[JUMLAH]]="","",(NOTA[[#This Row],[JUMLAH]]-NOTA[[#This Row],[DISC 1-]])*NOTA[[#This Row],[DISC 2]])</f>
        <v>0</v>
      </c>
      <c r="AA742" s="66">
        <f>IF(NOTA[[#This Row],[JUMLAH]]="","",(NOTA[[#This Row],[JUMLAH]]-NOTA[[#This Row],[DISC 1-]]-NOTA[[#This Row],[DISC 2-]])*NOTA[[#This Row],[DISC 3]])</f>
        <v>0</v>
      </c>
      <c r="AB742" s="66">
        <f>IF(NOTA[[#This Row],[JUMLAH]]="","",NOTA[[#This Row],[DISC 1-]]+NOTA[[#This Row],[DISC 2-]]+NOTA[[#This Row],[DISC 3-]])</f>
        <v>0</v>
      </c>
      <c r="AC742" s="66">
        <f>IF(NOTA[[#This Row],[JUMLAH]]="","",NOTA[[#This Row],[JUMLAH]]-NOTA[[#This Row],[DISC]])</f>
        <v>6360000</v>
      </c>
      <c r="AD742" s="66"/>
      <c r="AE7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6360000</v>
      </c>
      <c r="AG742" s="55">
        <f>IF(NOTA[[#This Row],[NAMA BARANG]]="","",IF(NOTA[[#This Row],[JUMLAH_H]]="",NOTA[[#This Row],[HARGA/ CTN]],NOTA[[#This Row],[QTY]]*NOTA[[#This Row],[HARGA SATUAN]]/IF(ISNUMBER(NOTA[[#This Row],[C]]),NOTA[[#This Row],[C]],1)))</f>
        <v>636000</v>
      </c>
      <c r="AH742" s="66">
        <f>IF(OR(NOTA[[#This Row],[QTY]]="",NOTA[[#This Row],[HARGA SATUAN]]="",),"",NOTA[[#This Row],[QTY]]*NOTA[[#This Row],[HARGA SATUAN]])</f>
        <v>6360000</v>
      </c>
      <c r="AI742" s="60">
        <f ca="1">IF(NOTA[ID_H]="","",INDEX(NOTA[TANGGAL],MATCH(,INDIRECT(ADDRESS(ROW(NOTA[TANGGAL]),COLUMN(NOTA[TANGGAL]))&amp;":"&amp;ADDRESS(ROW(),COLUMN(NOTA[TANGGAL]))),-1)))</f>
        <v>45317</v>
      </c>
      <c r="AJ742" s="55" t="str">
        <f ca="1">IF(NOTA[[#This Row],[NAMA BARANG]]="","",INDEX(NOTA[SUPPLIER],MATCH(,INDIRECT(ADDRESS(ROW(NOTA[ID]),COLUMN(NOTA[ID]))&amp;":"&amp;ADDRESS(ROW(),COLUMN(NOTA[ID]))),-1)))</f>
        <v>MSI</v>
      </c>
      <c r="AK742" s="55" t="str">
        <f ca="1">IF(NOTA[[#This Row],[ID_H]]="","",IF(NOTA[[#This Row],[FAKTUR]]="",INDIRECT(ADDRESS(ROW()-1,COLUMN())),NOTA[[#This Row],[FAKTUR]]))</f>
        <v>UNTANA</v>
      </c>
      <c r="AL742" s="56">
        <f ca="1">IF(NOTA[[#This Row],[ID]]="","",COUNTIF(NOTA[ID_H],NOTA[[#This Row],[ID_H]]))</f>
        <v>1</v>
      </c>
      <c r="AM742" s="56">
        <f>IF(NOTA[[#This Row],[TGL.NOTA]]="",IF(NOTA[[#This Row],[SUPPLIER_H]]="","",AM741),MONTH(NOTA[[#This Row],[TGL.NOTA]]))</f>
        <v>1</v>
      </c>
      <c r="AN742" s="56" t="str">
        <f>LOWER(SUBSTITUTE(SUBSTITUTE(SUBSTITUTE(SUBSTITUTE(SUBSTITUTE(SUBSTITUTE(SUBSTITUTE(SUBSTITUTE(SUBSTITUTE(NOTA[NAMA BARANG]," ",),".",""),"-",""),"(",""),")",""),",",""),"/",""),"""",""),"+",""))</f>
        <v>pisaulipatminipemesrentengmck1</v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pisaulipatminipemesrentengmck1636000</v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pisaulipatminipemesrentengmck1636000</v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>MSIUNTANA24/I/34345313pisaulipatminipemesrentengmck1</v>
      </c>
      <c r="AR742" s="56" t="e">
        <f>IF(NOTA[[#This Row],[CONCAT4]]="","",_xlfn.IFNA(MATCH(NOTA[[#This Row],[CONCAT4]],[2]!RAW[CONCAT_H],0),FALSE))</f>
        <v>#REF!</v>
      </c>
      <c r="AS742" s="56" t="e">
        <f>IF(NOTA[[#This Row],[CONCAT1]]="","",MATCH(NOTA[[#This Row],[CONCAT1]],[3]!db[NB NOTA_C],0))</f>
        <v>#N/A</v>
      </c>
      <c r="AT742" s="56" t="b">
        <f>IF(NOTA[[#This Row],[QTY/ CTN]]="","",TRUE)</f>
        <v>1</v>
      </c>
      <c r="AU742" s="56" t="str">
        <f ca="1">IF(NOTA[[#This Row],[ID_H]]="","",IF(NOTA[[#This Row],[Column3]]=TRUE,NOTA[[#This Row],[QTY/ CTN]],INDEX([3]!db[QTY/ CTN],NOTA[[#This Row],[//DB]])))</f>
        <v>240 LSN</v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pisaulipatminipemesrentengmck1240lsnuntana</v>
      </c>
      <c r="AW742" s="56" t="e">
        <f ca="1">IF(NOTA[[#This Row],[ID_H]]="","",MATCH(NOTA[[#This Row],[NB NOTA_C_QTY]],[4]!db[NB NOTA_C_QTY+F],0))</f>
        <v>#REF!</v>
      </c>
      <c r="AX742" s="68">
        <f ca="1">IF(NOTA[[#This Row],[NB NOTA_C_QTY]]="","",ROW()-2)</f>
        <v>740</v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74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ATA_2601_309-3</v>
      </c>
      <c r="C744" s="56" t="e">
        <f ca="1">IF(NOTA[[#This Row],[ID_P]]="","",MATCH(NOTA[[#This Row],[ID_P]],[1]!B_MSK[N_ID],0))</f>
        <v>#REF!</v>
      </c>
      <c r="D744" s="56">
        <f ca="1">IF(NOTA[[#This Row],[NAMA BARANG]]="","",INDEX(NOTA[ID],MATCH(,INDIRECT(ADDRESS(ROW(NOTA[ID]),COLUMN(NOTA[ID]))&amp;":"&amp;ADDRESS(ROW(),COLUMN(NOTA[ID]))),-1)))</f>
        <v>126</v>
      </c>
      <c r="E744" s="57">
        <v>45317</v>
      </c>
      <c r="F744" s="37" t="s">
        <v>24</v>
      </c>
      <c r="G744" s="37" t="s">
        <v>23</v>
      </c>
      <c r="H744" s="47" t="s">
        <v>828</v>
      </c>
      <c r="I744" s="58"/>
      <c r="J744" s="60">
        <v>45311</v>
      </c>
      <c r="K744" s="58">
        <v>0</v>
      </c>
      <c r="L744" s="37" t="s">
        <v>829</v>
      </c>
      <c r="M744" s="61">
        <v>1</v>
      </c>
      <c r="N744" s="56">
        <v>480</v>
      </c>
      <c r="O744" s="37" t="s">
        <v>115</v>
      </c>
      <c r="P744" s="55">
        <v>8500</v>
      </c>
      <c r="Q744" s="62"/>
      <c r="R744" s="48" t="s">
        <v>384</v>
      </c>
      <c r="S744" s="64">
        <v>0.125</v>
      </c>
      <c r="T744" s="65">
        <v>0.05</v>
      </c>
      <c r="U744" s="65"/>
      <c r="V744" s="66"/>
      <c r="W744" s="67"/>
      <c r="X744" s="66">
        <f>IF(NOTA[[#This Row],[HARGA/ CTN]]="",NOTA[[#This Row],[JUMLAH_H]],NOTA[[#This Row],[HARGA/ CTN]]*IF(NOTA[[#This Row],[C]]="",0,NOTA[[#This Row],[C]]))</f>
        <v>4080000</v>
      </c>
      <c r="Y744" s="66">
        <f>IF(NOTA[[#This Row],[JUMLAH]]="","",NOTA[[#This Row],[JUMLAH]]*NOTA[[#This Row],[DISC 1]])</f>
        <v>510000</v>
      </c>
      <c r="Z744" s="66">
        <f>IF(NOTA[[#This Row],[JUMLAH]]="","",(NOTA[[#This Row],[JUMLAH]]-NOTA[[#This Row],[DISC 1-]])*NOTA[[#This Row],[DISC 2]])</f>
        <v>178500</v>
      </c>
      <c r="AA744" s="66">
        <f>IF(NOTA[[#This Row],[JUMLAH]]="","",(NOTA[[#This Row],[JUMLAH]]-NOTA[[#This Row],[DISC 1-]]-NOTA[[#This Row],[DISC 2-]])*NOTA[[#This Row],[DISC 3]])</f>
        <v>0</v>
      </c>
      <c r="AB744" s="66">
        <f>IF(NOTA[[#This Row],[JUMLAH]]="","",NOTA[[#This Row],[DISC 1-]]+NOTA[[#This Row],[DISC 2-]]+NOTA[[#This Row],[DISC 3-]])</f>
        <v>688500</v>
      </c>
      <c r="AC744" s="66">
        <f>IF(NOTA[[#This Row],[JUMLAH]]="","",NOTA[[#This Row],[JUMLAH]]-NOTA[[#This Row],[DISC]])</f>
        <v>3391500</v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744" s="66">
        <f>IF(OR(NOTA[[#This Row],[QTY]]="",NOTA[[#This Row],[HARGA SATUAN]]="",),"",NOTA[[#This Row],[QTY]]*NOTA[[#This Row],[HARGA SATUAN]])</f>
        <v>4080000</v>
      </c>
      <c r="AI744" s="60">
        <f ca="1">IF(NOTA[ID_H]="","",INDEX(NOTA[TANGGAL],MATCH(,INDIRECT(ADDRESS(ROW(NOTA[TANGGAL]),COLUMN(NOTA[TANGGAL]))&amp;":"&amp;ADDRESS(ROW(),COLUMN(NOTA[TANGGAL]))),-1)))</f>
        <v>45317</v>
      </c>
      <c r="AJ744" s="55" t="str">
        <f ca="1">IF(NOTA[[#This Row],[NAMA BARANG]]="","",INDEX(NOTA[SUPPLIER],MATCH(,INDIRECT(ADDRESS(ROW(NOTA[ID]),COLUMN(NOTA[ID]))&amp;":"&amp;ADDRESS(ROW(),COLUMN(NOTA[ID]))),-1)))</f>
        <v>ATALI MAKMUR</v>
      </c>
      <c r="AK744" s="55" t="str">
        <f ca="1">IF(NOTA[[#This Row],[ID_H]]="","",IF(NOTA[[#This Row],[FAKTUR]]="",INDIRECT(ADDRESS(ROW()-1,COLUMN())),NOTA[[#This Row],[FAKTUR]]))</f>
        <v>ARTO MORO</v>
      </c>
      <c r="AL744" s="56">
        <f ca="1">IF(NOTA[[#This Row],[ID]]="","",COUNTIF(NOTA[ID_H],NOTA[[#This Row],[ID_H]]))</f>
        <v>3</v>
      </c>
      <c r="AM744" s="56">
        <f>IF(NOTA[[#This Row],[TGL.NOTA]]="",IF(NOTA[[#This Row],[SUPPLIER_H]]="","",AM743),MONTH(NOTA[[#This Row],[TGL.NOTA]]))</f>
        <v>1</v>
      </c>
      <c r="AN744" s="56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MOROSA24010130945311correctiontapect533jk</v>
      </c>
      <c r="AR744" s="56" t="e">
        <f>IF(NOTA[[#This Row],[CONCAT4]]="","",_xlfn.IFNA(MATCH(NOTA[[#This Row],[CONCAT4]],[2]!RAW[CONCAT_H],0),FALSE))</f>
        <v>#REF!</v>
      </c>
      <c r="AS744" s="56">
        <f>IF(NOTA[[#This Row],[CONCAT1]]="","",MATCH(NOTA[[#This Row],[CONCAT1]],[3]!db[NB NOTA_C],0))</f>
        <v>728</v>
      </c>
      <c r="AT744" s="56" t="b">
        <f>IF(NOTA[[#This Row],[QTY/ CTN]]="","",TRUE)</f>
        <v>1</v>
      </c>
      <c r="AU744" s="56" t="str">
        <f ca="1">IF(NOTA[[#This Row],[ID_H]]="","",IF(NOTA[[#This Row],[Column3]]=TRUE,NOTA[[#This Row],[QTY/ CTN]],INDEX([3]!db[QTY/ CTN],NOTA[[#This Row],[//DB]])))</f>
        <v>40 LSN</v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W744" s="56" t="e">
        <f ca="1">IF(NOTA[[#This Row],[ID_H]]="","",MATCH(NOTA[[#This Row],[NB NOTA_C_QTY]],[4]!db[NB NOTA_C_QTY+F],0))</f>
        <v>#REF!</v>
      </c>
      <c r="AX744" s="68">
        <f ca="1">IF(NOTA[[#This Row],[NB NOTA_C_QTY]]="","",ROW()-2)</f>
        <v>742</v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>
        <f ca="1">IF(NOTA[[#This Row],[NAMA BARANG]]="","",INDEX(NOTA[ID],MATCH(,INDIRECT(ADDRESS(ROW(NOTA[ID]),COLUMN(NOTA[ID]))&amp;":"&amp;ADDRESS(ROW(),COLUMN(NOTA[ID]))),-1)))</f>
        <v>126</v>
      </c>
      <c r="E745" s="57"/>
      <c r="F745" s="58"/>
      <c r="G745" s="58"/>
      <c r="H745" s="59"/>
      <c r="I745" s="58"/>
      <c r="J745" s="60"/>
      <c r="K745" s="58">
        <v>0</v>
      </c>
      <c r="L745" s="37" t="s">
        <v>186</v>
      </c>
      <c r="M745" s="61">
        <v>2</v>
      </c>
      <c r="N745" s="56">
        <v>48</v>
      </c>
      <c r="O745" s="37" t="s">
        <v>115</v>
      </c>
      <c r="P745" s="55">
        <v>11100</v>
      </c>
      <c r="Q745" s="62"/>
      <c r="R745" s="48" t="s">
        <v>543</v>
      </c>
      <c r="S745" s="64">
        <v>0.125</v>
      </c>
      <c r="T745" s="65">
        <v>0.05</v>
      </c>
      <c r="U745" s="65"/>
      <c r="V745" s="66"/>
      <c r="W745" s="67"/>
      <c r="X745" s="66">
        <f>IF(NOTA[[#This Row],[HARGA/ CTN]]="",NOTA[[#This Row],[JUMLAH_H]],NOTA[[#This Row],[HARGA/ CTN]]*IF(NOTA[[#This Row],[C]]="",0,NOTA[[#This Row],[C]]))</f>
        <v>532800</v>
      </c>
      <c r="Y745" s="66">
        <f>IF(NOTA[[#This Row],[JUMLAH]]="","",NOTA[[#This Row],[JUMLAH]]*NOTA[[#This Row],[DISC 1]])</f>
        <v>66600</v>
      </c>
      <c r="Z745" s="66">
        <f>IF(NOTA[[#This Row],[JUMLAH]]="","",(NOTA[[#This Row],[JUMLAH]]-NOTA[[#This Row],[DISC 1-]])*NOTA[[#This Row],[DISC 2]])</f>
        <v>23310</v>
      </c>
      <c r="AA745" s="66">
        <f>IF(NOTA[[#This Row],[JUMLAH]]="","",(NOTA[[#This Row],[JUMLAH]]-NOTA[[#This Row],[DISC 1-]]-NOTA[[#This Row],[DISC 2-]])*NOTA[[#This Row],[DISC 3]])</f>
        <v>0</v>
      </c>
      <c r="AB745" s="66">
        <f>IF(NOTA[[#This Row],[JUMLAH]]="","",NOTA[[#This Row],[DISC 1-]]+NOTA[[#This Row],[DISC 2-]]+NOTA[[#This Row],[DISC 3-]])</f>
        <v>89910</v>
      </c>
      <c r="AC745" s="66">
        <f>IF(NOTA[[#This Row],[JUMLAH]]="","",NOTA[[#This Row],[JUMLAH]]-NOTA[[#This Row],[DISC]])</f>
        <v>442890</v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745" s="66">
        <f>IF(OR(NOTA[[#This Row],[QTY]]="",NOTA[[#This Row],[HARGA SATUAN]]="",),"",NOTA[[#This Row],[QTY]]*NOTA[[#This Row],[HARGA SATUAN]])</f>
        <v>532800</v>
      </c>
      <c r="AI745" s="60">
        <f ca="1">IF(NOTA[ID_H]="","",INDEX(NOTA[TANGGAL],MATCH(,INDIRECT(ADDRESS(ROW(NOTA[TANGGAL]),COLUMN(NOTA[TANGGAL]))&amp;":"&amp;ADDRESS(ROW(),COLUMN(NOTA[TANGGAL]))),-1)))</f>
        <v>45317</v>
      </c>
      <c r="AJ745" s="55" t="str">
        <f ca="1">IF(NOTA[[#This Row],[NAMA BARANG]]="","",INDEX(NOTA[SUPPLIER],MATCH(,INDIRECT(ADDRESS(ROW(NOTA[ID]),COLUMN(NOTA[ID]))&amp;":"&amp;ADDRESS(ROW(),COLUMN(NOTA[ID]))),-1)))</f>
        <v>ATALI MAKMUR</v>
      </c>
      <c r="AK745" s="55" t="str">
        <f ca="1">IF(NOTA[[#This Row],[ID_H]]="","",IF(NOTA[[#This Row],[FAKTUR]]="",INDIRECT(ADDRESS(ROW()-1,COLUMN())),NOTA[[#This Row],[FAKTUR]]))</f>
        <v>ARTO MORO</v>
      </c>
      <c r="AL745" s="56" t="str">
        <f ca="1">IF(NOTA[[#This Row],[ID]]="","",COUNTIF(NOTA[ID_H],NOTA[[#This Row],[ID_H]]))</f>
        <v/>
      </c>
      <c r="AM745" s="56">
        <f ca="1">IF(NOTA[[#This Row],[TGL.NOTA]]="",IF(NOTA[[#This Row],[SUPPLIER_H]]="","",AM744),MONTH(NOTA[[#This Row],[TGL.NOTA]]))</f>
        <v>1</v>
      </c>
      <c r="AN745" s="56" t="str">
        <f>LOWER(SUBSTITUTE(SUBSTITUTE(SUBSTITUTE(SUBSTITUTE(SUBSTITUTE(SUBSTITUTE(SUBSTITUTE(SUBSTITUTE(SUBSTITUTE(NOTA[NAMA BARANG]," ",),".",""),"-",""),"(",""),")",""),",",""),"/",""),"""",""),"+",""))</f>
        <v>tapecuttertd102jk</v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>
        <f>IF(NOTA[[#This Row],[CONCAT1]]="","",MATCH(NOTA[[#This Row],[CONCAT1]],[3]!db[NB NOTA_C],0))</f>
        <v>2917</v>
      </c>
      <c r="AT745" s="56" t="b">
        <f>IF(NOTA[[#This Row],[QTY/ CTN]]="","",TRUE)</f>
        <v>1</v>
      </c>
      <c r="AU745" s="56" t="str">
        <f ca="1">IF(NOTA[[#This Row],[ID_H]]="","",IF(NOTA[[#This Row],[Column3]]=TRUE,NOTA[[#This Row],[QTY/ CTN]],INDEX([3]!db[QTY/ CTN],NOTA[[#This Row],[//DB]])))</f>
        <v>24 PCS</v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745" s="56" t="e">
        <f ca="1">IF(NOTA[[#This Row],[ID_H]]="","",MATCH(NOTA[[#This Row],[NB NOTA_C_QTY]],[4]!db[NB NOTA_C_QTY+F],0))</f>
        <v>#REF!</v>
      </c>
      <c r="AX745" s="68">
        <f ca="1">IF(NOTA[[#This Row],[NB NOTA_C_QTY]]="","",ROW()-2)</f>
        <v>743</v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>
        <f ca="1">IF(NOTA[[#This Row],[NAMA BARANG]]="","",INDEX(NOTA[ID],MATCH(,INDIRECT(ADDRESS(ROW(NOTA[ID]),COLUMN(NOTA[ID]))&amp;":"&amp;ADDRESS(ROW(),COLUMN(NOTA[ID]))),-1)))</f>
        <v>126</v>
      </c>
      <c r="E746" s="57"/>
      <c r="F746" s="58"/>
      <c r="G746" s="58"/>
      <c r="H746" s="59"/>
      <c r="I746" s="58"/>
      <c r="J746" s="60"/>
      <c r="K746" s="58">
        <v>0</v>
      </c>
      <c r="L746" s="37" t="s">
        <v>830</v>
      </c>
      <c r="M746" s="61">
        <v>1</v>
      </c>
      <c r="N746" s="56">
        <v>144</v>
      </c>
      <c r="O746" s="37" t="s">
        <v>111</v>
      </c>
      <c r="P746" s="55">
        <v>27600</v>
      </c>
      <c r="Q746" s="62"/>
      <c r="R746" s="48" t="s">
        <v>597</v>
      </c>
      <c r="S746" s="64">
        <v>0.125</v>
      </c>
      <c r="T746" s="65">
        <v>0.05</v>
      </c>
      <c r="U746" s="65"/>
      <c r="V746" s="66"/>
      <c r="W746" s="67"/>
      <c r="X746" s="66">
        <f>IF(NOTA[[#This Row],[HARGA/ CTN]]="",NOTA[[#This Row],[JUMLAH_H]],NOTA[[#This Row],[HARGA/ CTN]]*IF(NOTA[[#This Row],[C]]="",0,NOTA[[#This Row],[C]]))</f>
        <v>3974400</v>
      </c>
      <c r="Y746" s="66">
        <f>IF(NOTA[[#This Row],[JUMLAH]]="","",NOTA[[#This Row],[JUMLAH]]*NOTA[[#This Row],[DISC 1]])</f>
        <v>496800</v>
      </c>
      <c r="Z746" s="66">
        <f>IF(NOTA[[#This Row],[JUMLAH]]="","",(NOTA[[#This Row],[JUMLAH]]-NOTA[[#This Row],[DISC 1-]])*NOTA[[#This Row],[DISC 2]])</f>
        <v>173880</v>
      </c>
      <c r="AA746" s="66">
        <f>IF(NOTA[[#This Row],[JUMLAH]]="","",(NOTA[[#This Row],[JUMLAH]]-NOTA[[#This Row],[DISC 1-]]-NOTA[[#This Row],[DISC 2-]])*NOTA[[#This Row],[DISC 3]])</f>
        <v>0</v>
      </c>
      <c r="AB746" s="66">
        <f>IF(NOTA[[#This Row],[JUMLAH]]="","",NOTA[[#This Row],[DISC 1-]]+NOTA[[#This Row],[DISC 2-]]+NOTA[[#This Row],[DISC 3-]])</f>
        <v>670680</v>
      </c>
      <c r="AC746" s="66">
        <f>IF(NOTA[[#This Row],[JUMLAH]]="","",NOTA[[#This Row],[JUMLAH]]-NOTA[[#This Row],[DISC]])</f>
        <v>3303720</v>
      </c>
      <c r="AD746" s="66"/>
      <c r="AE74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1449090</v>
      </c>
      <c r="AF74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7138110</v>
      </c>
      <c r="AG746" s="55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746" s="66">
        <f>IF(OR(NOTA[[#This Row],[QTY]]="",NOTA[[#This Row],[HARGA SATUAN]]="",),"",NOTA[[#This Row],[QTY]]*NOTA[[#This Row],[HARGA SATUAN]])</f>
        <v>3974400</v>
      </c>
      <c r="AI746" s="60">
        <f ca="1">IF(NOTA[ID_H]="","",INDEX(NOTA[TANGGAL],MATCH(,INDIRECT(ADDRESS(ROW(NOTA[TANGGAL]),COLUMN(NOTA[TANGGAL]))&amp;":"&amp;ADDRESS(ROW(),COLUMN(NOTA[TANGGAL]))),-1)))</f>
        <v>45317</v>
      </c>
      <c r="AJ746" s="55" t="str">
        <f ca="1">IF(NOTA[[#This Row],[NAMA BARANG]]="","",INDEX(NOTA[SUPPLIER],MATCH(,INDIRECT(ADDRESS(ROW(NOTA[ID]),COLUMN(NOTA[ID]))&amp;":"&amp;ADDRESS(ROW(),COLUMN(NOTA[ID]))),-1)))</f>
        <v>ATALI MAKMUR</v>
      </c>
      <c r="AK746" s="55" t="str">
        <f ca="1">IF(NOTA[[#This Row],[ID_H]]="","",IF(NOTA[[#This Row],[FAKTUR]]="",INDIRECT(ADDRESS(ROW()-1,COLUMN())),NOTA[[#This Row],[FAKTUR]]))</f>
        <v>ARTO MORO</v>
      </c>
      <c r="AL746" s="56" t="str">
        <f ca="1">IF(NOTA[[#This Row],[ID]]="","",COUNTIF(NOTA[ID_H],NOTA[[#This Row],[ID_H]]))</f>
        <v/>
      </c>
      <c r="AM746" s="56">
        <f ca="1">IF(NOTA[[#This Row],[TGL.NOTA]]="",IF(NOTA[[#This Row],[SUPPLIER_H]]="","",AM745),MONTH(NOTA[[#This Row],[TGL.NOTA]]))</f>
        <v>1</v>
      </c>
      <c r="AN746" s="5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>
        <f>IF(NOTA[[#This Row],[CONCAT1]]="","",MATCH(NOTA[[#This Row],[CONCAT1]],[3]!db[NB NOTA_C],0))</f>
        <v>1054</v>
      </c>
      <c r="AT746" s="56" t="b">
        <f>IF(NOTA[[#This Row],[QTY/ CTN]]="","",TRUE)</f>
        <v>1</v>
      </c>
      <c r="AU746" s="56" t="str">
        <f ca="1">IF(NOTA[[#This Row],[ID_H]]="","",IF(NOTA[[#This Row],[Column3]]=TRUE,NOTA[[#This Row],[QTY/ CTN]],INDEX([3]!db[QTY/ CTN],NOTA[[#This Row],[//DB]])))</f>
        <v>144 LSN</v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746" s="56" t="e">
        <f ca="1">IF(NOTA[[#This Row],[ID_H]]="","",MATCH(NOTA[[#This Row],[NB NOTA_C_QTY]],[4]!db[NB NOTA_C_QTY+F],0))</f>
        <v>#REF!</v>
      </c>
      <c r="AX746" s="68">
        <f ca="1">IF(NOTA[[#This Row],[NB NOTA_C_QTY]]="","",ROW()-2)</f>
        <v>744</v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74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ATA_2601_458-4</v>
      </c>
      <c r="C748" s="56" t="e">
        <f ca="1">IF(NOTA[[#This Row],[ID_P]]="","",MATCH(NOTA[[#This Row],[ID_P]],[1]!B_MSK[N_ID],0))</f>
        <v>#REF!</v>
      </c>
      <c r="D748" s="56">
        <f ca="1">IF(NOTA[[#This Row],[NAMA BARANG]]="","",INDEX(NOTA[ID],MATCH(,INDIRECT(ADDRESS(ROW(NOTA[ID]),COLUMN(NOTA[ID]))&amp;":"&amp;ADDRESS(ROW(),COLUMN(NOTA[ID]))),-1)))</f>
        <v>127</v>
      </c>
      <c r="E748" s="46">
        <v>45317</v>
      </c>
      <c r="F748" s="37" t="s">
        <v>24</v>
      </c>
      <c r="G748" s="37" t="s">
        <v>23</v>
      </c>
      <c r="H748" s="47" t="s">
        <v>831</v>
      </c>
      <c r="I748" s="58"/>
      <c r="J748" s="60">
        <v>45314</v>
      </c>
      <c r="K748" s="58">
        <v>1</v>
      </c>
      <c r="L748" s="37" t="s">
        <v>339</v>
      </c>
      <c r="M748" s="61">
        <v>2</v>
      </c>
      <c r="N748" s="56">
        <v>1440</v>
      </c>
      <c r="O748" s="37" t="s">
        <v>115</v>
      </c>
      <c r="P748" s="55">
        <v>4300</v>
      </c>
      <c r="Q748" s="62"/>
      <c r="R748" s="48" t="s">
        <v>153</v>
      </c>
      <c r="S748" s="64">
        <v>0.125</v>
      </c>
      <c r="T748" s="65">
        <v>0.05</v>
      </c>
      <c r="U748" s="65"/>
      <c r="V748" s="66"/>
      <c r="W748" s="67"/>
      <c r="X748" s="66">
        <f>IF(NOTA[[#This Row],[HARGA/ CTN]]="",NOTA[[#This Row],[JUMLAH_H]],NOTA[[#This Row],[HARGA/ CTN]]*IF(NOTA[[#This Row],[C]]="",0,NOTA[[#This Row],[C]]))</f>
        <v>6192000</v>
      </c>
      <c r="Y748" s="66">
        <f>IF(NOTA[[#This Row],[JUMLAH]]="","",NOTA[[#This Row],[JUMLAH]]*NOTA[[#This Row],[DISC 1]])</f>
        <v>774000</v>
      </c>
      <c r="Z748" s="66">
        <f>IF(NOTA[[#This Row],[JUMLAH]]="","",(NOTA[[#This Row],[JUMLAH]]-NOTA[[#This Row],[DISC 1-]])*NOTA[[#This Row],[DISC 2]])</f>
        <v>270900</v>
      </c>
      <c r="AA748" s="66">
        <f>IF(NOTA[[#This Row],[JUMLAH]]="","",(NOTA[[#This Row],[JUMLAH]]-NOTA[[#This Row],[DISC 1-]]-NOTA[[#This Row],[DISC 2-]])*NOTA[[#This Row],[DISC 3]])</f>
        <v>0</v>
      </c>
      <c r="AB748" s="66">
        <f>IF(NOTA[[#This Row],[JUMLAH]]="","",NOTA[[#This Row],[DISC 1-]]+NOTA[[#This Row],[DISC 2-]]+NOTA[[#This Row],[DISC 3-]])</f>
        <v>1044900</v>
      </c>
      <c r="AC748" s="66">
        <f>IF(NOTA[[#This Row],[JUMLAH]]="","",NOTA[[#This Row],[JUMLAH]]-NOTA[[#This Row],[DISC]])</f>
        <v>5147100</v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748" s="66">
        <f>IF(OR(NOTA[[#This Row],[QTY]]="",NOTA[[#This Row],[HARGA SATUAN]]="",),"",NOTA[[#This Row],[QTY]]*NOTA[[#This Row],[HARGA SATUAN]])</f>
        <v>6192000</v>
      </c>
      <c r="AI748" s="60">
        <f ca="1">IF(NOTA[ID_H]="","",INDEX(NOTA[TANGGAL],MATCH(,INDIRECT(ADDRESS(ROW(NOTA[TANGGAL]),COLUMN(NOTA[TANGGAL]))&amp;":"&amp;ADDRESS(ROW(),COLUMN(NOTA[TANGGAL]))),-1)))</f>
        <v>45317</v>
      </c>
      <c r="AJ748" s="55" t="str">
        <f ca="1">IF(NOTA[[#This Row],[NAMA BARANG]]="","",INDEX(NOTA[SUPPLIER],MATCH(,INDIRECT(ADDRESS(ROW(NOTA[ID]),COLUMN(NOTA[ID]))&amp;":"&amp;ADDRESS(ROW(),COLUMN(NOTA[ID]))),-1)))</f>
        <v>ATALI MAKMUR</v>
      </c>
      <c r="AK748" s="55" t="str">
        <f ca="1">IF(NOTA[[#This Row],[ID_H]]="","",IF(NOTA[[#This Row],[FAKTUR]]="",INDIRECT(ADDRESS(ROW()-1,COLUMN())),NOTA[[#This Row],[FAKTUR]]))</f>
        <v>ARTO MORO</v>
      </c>
      <c r="AL748" s="56">
        <f ca="1">IF(NOTA[[#This Row],[ID]]="","",COUNTIF(NOTA[ID_H],NOTA[[#This Row],[ID_H]]))</f>
        <v>4</v>
      </c>
      <c r="AM748" s="56">
        <f>IF(NOTA[[#This Row],[TGL.NOTA]]="",IF(NOTA[[#This Row],[SUPPLIER_H]]="","",AM747),MONTH(NOTA[[#This Row],[TGL.NOTA]]))</f>
        <v>1</v>
      </c>
      <c r="AN748" s="56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MOROSA24010145845314correctiontapect522jk</v>
      </c>
      <c r="AR748" s="56" t="e">
        <f>IF(NOTA[[#This Row],[CONCAT4]]="","",_xlfn.IFNA(MATCH(NOTA[[#This Row],[CONCAT4]],[2]!RAW[CONCAT_H],0),FALSE))</f>
        <v>#REF!</v>
      </c>
      <c r="AS748" s="56">
        <f>IF(NOTA[[#This Row],[CONCAT1]]="","",MATCH(NOTA[[#This Row],[CONCAT1]],[3]!db[NB NOTA_C],0))</f>
        <v>725</v>
      </c>
      <c r="AT748" s="56" t="b">
        <f>IF(NOTA[[#This Row],[QTY/ CTN]]="","",TRUE)</f>
        <v>1</v>
      </c>
      <c r="AU748" s="56" t="str">
        <f ca="1">IF(NOTA[[#This Row],[ID_H]]="","",IF(NOTA[[#This Row],[Column3]]=TRUE,NOTA[[#This Row],[QTY/ CTN]],INDEX([3]!db[QTY/ CTN],NOTA[[#This Row],[//DB]])))</f>
        <v>60 LSN</v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748" s="56" t="e">
        <f ca="1">IF(NOTA[[#This Row],[ID_H]]="","",MATCH(NOTA[[#This Row],[NB NOTA_C_QTY]],[4]!db[NB NOTA_C_QTY+F],0))</f>
        <v>#REF!</v>
      </c>
      <c r="AX748" s="68">
        <f ca="1">IF(NOTA[[#This Row],[NB NOTA_C_QTY]]="","",ROW()-2)</f>
        <v>746</v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>
        <f ca="1">IF(NOTA[[#This Row],[NAMA BARANG]]="","",INDEX(NOTA[ID],MATCH(,INDIRECT(ADDRESS(ROW(NOTA[ID]),COLUMN(NOTA[ID]))&amp;":"&amp;ADDRESS(ROW(),COLUMN(NOTA[ID]))),-1)))</f>
        <v>127</v>
      </c>
      <c r="E749" s="57"/>
      <c r="F749" s="58"/>
      <c r="G749" s="58"/>
      <c r="H749" s="59"/>
      <c r="I749" s="58"/>
      <c r="J749" s="60"/>
      <c r="K749" s="58">
        <v>0</v>
      </c>
      <c r="L749" s="37" t="s">
        <v>835</v>
      </c>
      <c r="M749" s="61">
        <v>1</v>
      </c>
      <c r="N749" s="56">
        <v>12</v>
      </c>
      <c r="O749" s="37" t="s">
        <v>115</v>
      </c>
      <c r="P749" s="55">
        <v>97000</v>
      </c>
      <c r="Q749" s="62"/>
      <c r="R749" s="48" t="s">
        <v>832</v>
      </c>
      <c r="S749" s="64">
        <v>0.125</v>
      </c>
      <c r="T749" s="65">
        <v>0.05</v>
      </c>
      <c r="U749" s="65"/>
      <c r="V749" s="66"/>
      <c r="W749" s="67"/>
      <c r="X749" s="66">
        <f>IF(NOTA[[#This Row],[HARGA/ CTN]]="",NOTA[[#This Row],[JUMLAH_H]],NOTA[[#This Row],[HARGA/ CTN]]*IF(NOTA[[#This Row],[C]]="",0,NOTA[[#This Row],[C]]))</f>
        <v>1164000</v>
      </c>
      <c r="Y749" s="66">
        <f>IF(NOTA[[#This Row],[JUMLAH]]="","",NOTA[[#This Row],[JUMLAH]]*NOTA[[#This Row],[DISC 1]])</f>
        <v>145500</v>
      </c>
      <c r="Z749" s="66">
        <f>IF(NOTA[[#This Row],[JUMLAH]]="","",(NOTA[[#This Row],[JUMLAH]]-NOTA[[#This Row],[DISC 1-]])*NOTA[[#This Row],[DISC 2]])</f>
        <v>50925</v>
      </c>
      <c r="AA749" s="66">
        <f>IF(NOTA[[#This Row],[JUMLAH]]="","",(NOTA[[#This Row],[JUMLAH]]-NOTA[[#This Row],[DISC 1-]]-NOTA[[#This Row],[DISC 2-]])*NOTA[[#This Row],[DISC 3]])</f>
        <v>0</v>
      </c>
      <c r="AB749" s="66">
        <f>IF(NOTA[[#This Row],[JUMLAH]]="","",NOTA[[#This Row],[DISC 1-]]+NOTA[[#This Row],[DISC 2-]]+NOTA[[#This Row],[DISC 3-]])</f>
        <v>196425</v>
      </c>
      <c r="AC749" s="66">
        <f>IF(NOTA[[#This Row],[JUMLAH]]="","",NOTA[[#This Row],[JUMLAH]]-NOTA[[#This Row],[DISC]])</f>
        <v>967575</v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749" s="66">
        <f>IF(OR(NOTA[[#This Row],[QTY]]="",NOTA[[#This Row],[HARGA SATUAN]]="",),"",NOTA[[#This Row],[QTY]]*NOTA[[#This Row],[HARGA SATUAN]])</f>
        <v>1164000</v>
      </c>
      <c r="AI749" s="60">
        <f ca="1">IF(NOTA[ID_H]="","",INDEX(NOTA[TANGGAL],MATCH(,INDIRECT(ADDRESS(ROW(NOTA[TANGGAL]),COLUMN(NOTA[TANGGAL]))&amp;":"&amp;ADDRESS(ROW(),COLUMN(NOTA[TANGGAL]))),-1)))</f>
        <v>45317</v>
      </c>
      <c r="AJ749" s="55" t="str">
        <f ca="1">IF(NOTA[[#This Row],[NAMA BARANG]]="","",INDEX(NOTA[SUPPLIER],MATCH(,INDIRECT(ADDRESS(ROW(NOTA[ID]),COLUMN(NOTA[ID]))&amp;":"&amp;ADDRESS(ROW(),COLUMN(NOTA[ID]))),-1)))</f>
        <v>ATALI MAKMUR</v>
      </c>
      <c r="AK749" s="55" t="str">
        <f ca="1">IF(NOTA[[#This Row],[ID_H]]="","",IF(NOTA[[#This Row],[FAKTUR]]="",INDIRECT(ADDRESS(ROW()-1,COLUMN())),NOTA[[#This Row],[FAKTUR]]))</f>
        <v>ARTO MORO</v>
      </c>
      <c r="AL749" s="56" t="str">
        <f ca="1">IF(NOTA[[#This Row],[ID]]="","",COUNTIF(NOTA[ID_H],NOTA[[#This Row],[ID_H]]))</f>
        <v/>
      </c>
      <c r="AM749" s="56">
        <f ca="1">IF(NOTA[[#This Row],[TGL.NOTA]]="",IF(NOTA[[#This Row],[SUPPLIER_H]]="","",AM748),MONTH(NOTA[[#This Row],[TGL.NOTA]]))</f>
        <v>1</v>
      </c>
      <c r="AN749" s="56" t="str">
        <f>LOWER(SUBSTITUTE(SUBSTITUTE(SUBSTITUTE(SUBSTITUTE(SUBSTITUTE(SUBSTITUTE(SUBSTITUTE(SUBSTITUTE(SUBSTITUTE(NOTA[NAMA BARANG]," ",),".",""),"-",""),"(",""),")",""),",",""),"/",""),"""",""),"+",""))</f>
        <v>hdstaplerhd12n13jk</v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>
        <f>IF(NOTA[[#This Row],[CONCAT1]]="","",MATCH(NOTA[[#This Row],[CONCAT1]],[3]!db[NB NOTA_C],0))</f>
        <v>1390</v>
      </c>
      <c r="AT749" s="56" t="b">
        <f>IF(NOTA[[#This Row],[QTY/ CTN]]="","",TRUE)</f>
        <v>1</v>
      </c>
      <c r="AU749" s="56" t="str">
        <f ca="1">IF(NOTA[[#This Row],[ID_H]]="","",IF(NOTA[[#This Row],[Column3]]=TRUE,NOTA[[#This Row],[QTY/ CTN]],INDEX([3]!db[QTY/ CTN],NOTA[[#This Row],[//DB]])))</f>
        <v>12PCS</v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749" s="56" t="e">
        <f ca="1">IF(NOTA[[#This Row],[ID_H]]="","",MATCH(NOTA[[#This Row],[NB NOTA_C_QTY]],[4]!db[NB NOTA_C_QTY+F],0))</f>
        <v>#REF!</v>
      </c>
      <c r="AX749" s="68">
        <f ca="1">IF(NOTA[[#This Row],[NB NOTA_C_QTY]]="","",ROW()-2)</f>
        <v>747</v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>
        <f ca="1">IF(NOTA[[#This Row],[NAMA BARANG]]="","",INDEX(NOTA[ID],MATCH(,INDIRECT(ADDRESS(ROW(NOTA[ID]),COLUMN(NOTA[ID]))&amp;":"&amp;ADDRESS(ROW(),COLUMN(NOTA[ID]))),-1)))</f>
        <v>127</v>
      </c>
      <c r="E750" s="57"/>
      <c r="F750" s="58"/>
      <c r="G750" s="58"/>
      <c r="H750" s="59"/>
      <c r="I750" s="58"/>
      <c r="J750" s="60"/>
      <c r="K750" s="58">
        <v>0</v>
      </c>
      <c r="L750" s="37" t="s">
        <v>833</v>
      </c>
      <c r="M750" s="61">
        <v>1</v>
      </c>
      <c r="N750" s="56">
        <v>288</v>
      </c>
      <c r="O750" s="37" t="s">
        <v>115</v>
      </c>
      <c r="P750" s="55">
        <v>4800</v>
      </c>
      <c r="Q750" s="62"/>
      <c r="R750" s="63"/>
      <c r="S750" s="64">
        <v>0.125</v>
      </c>
      <c r="T750" s="65">
        <v>0.05</v>
      </c>
      <c r="U750" s="65"/>
      <c r="V750" s="66"/>
      <c r="W750" s="67"/>
      <c r="X750" s="66">
        <f>IF(NOTA[[#This Row],[HARGA/ CTN]]="",NOTA[[#This Row],[JUMLAH_H]],NOTA[[#This Row],[HARGA/ CTN]]*IF(NOTA[[#This Row],[C]]="",0,NOTA[[#This Row],[C]]))</f>
        <v>1382400</v>
      </c>
      <c r="Y750" s="66">
        <f>IF(NOTA[[#This Row],[JUMLAH]]="","",NOTA[[#This Row],[JUMLAH]]*NOTA[[#This Row],[DISC 1]])</f>
        <v>172800</v>
      </c>
      <c r="Z750" s="66">
        <f>IF(NOTA[[#This Row],[JUMLAH]]="","",(NOTA[[#This Row],[JUMLAH]]-NOTA[[#This Row],[DISC 1-]])*NOTA[[#This Row],[DISC 2]])</f>
        <v>60480</v>
      </c>
      <c r="AA750" s="66">
        <f>IF(NOTA[[#This Row],[JUMLAH]]="","",(NOTA[[#This Row],[JUMLAH]]-NOTA[[#This Row],[DISC 1-]]-NOTA[[#This Row],[DISC 2-]])*NOTA[[#This Row],[DISC 3]])</f>
        <v>0</v>
      </c>
      <c r="AB750" s="66">
        <f>IF(NOTA[[#This Row],[JUMLAH]]="","",NOTA[[#This Row],[DISC 1-]]+NOTA[[#This Row],[DISC 2-]]+NOTA[[#This Row],[DISC 3-]])</f>
        <v>233280</v>
      </c>
      <c r="AC750" s="66">
        <f>IF(NOTA[[#This Row],[JUMLAH]]="","",NOTA[[#This Row],[JUMLAH]]-NOTA[[#This Row],[DISC]])</f>
        <v>1149120</v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750" s="66">
        <f>IF(OR(NOTA[[#This Row],[QTY]]="",NOTA[[#This Row],[HARGA SATUAN]]="",),"",NOTA[[#This Row],[QTY]]*NOTA[[#This Row],[HARGA SATUAN]])</f>
        <v>1382400</v>
      </c>
      <c r="AI750" s="60">
        <f ca="1">IF(NOTA[ID_H]="","",INDEX(NOTA[TANGGAL],MATCH(,INDIRECT(ADDRESS(ROW(NOTA[TANGGAL]),COLUMN(NOTA[TANGGAL]))&amp;":"&amp;ADDRESS(ROW(),COLUMN(NOTA[TANGGAL]))),-1)))</f>
        <v>45317</v>
      </c>
      <c r="AJ750" s="55" t="str">
        <f ca="1">IF(NOTA[[#This Row],[NAMA BARANG]]="","",INDEX(NOTA[SUPPLIER],MATCH(,INDIRECT(ADDRESS(ROW(NOTA[ID]),COLUMN(NOTA[ID]))&amp;":"&amp;ADDRESS(ROW(),COLUMN(NOTA[ID]))),-1)))</f>
        <v>ATALI MAKMUR</v>
      </c>
      <c r="AK750" s="55" t="str">
        <f ca="1">IF(NOTA[[#This Row],[ID_H]]="","",IF(NOTA[[#This Row],[FAKTUR]]="",INDIRECT(ADDRESS(ROW()-1,COLUMN())),NOTA[[#This Row],[FAKTUR]]))</f>
        <v>ARTO MORO</v>
      </c>
      <c r="AL750" s="56" t="str">
        <f ca="1">IF(NOTA[[#This Row],[ID]]="","",COUNTIF(NOTA[ID_H],NOTA[[#This Row],[ID_H]]))</f>
        <v/>
      </c>
      <c r="AM750" s="56">
        <f ca="1">IF(NOTA[[#This Row],[TGL.NOTA]]="",IF(NOTA[[#This Row],[SUPPLIER_H]]="","",AM749),MONTH(NOTA[[#This Row],[TGL.NOTA]]))</f>
        <v>1</v>
      </c>
      <c r="AN750" s="56" t="str">
        <f>LOWER(SUBSTITUTE(SUBSTITUTE(SUBSTITUTE(SUBSTITUTE(SUBSTITUTE(SUBSTITUTE(SUBSTITUTE(SUBSTITUTE(SUBSTITUTE(NOTA[NAMA BARANG]," ",),".",""),"-",""),"(",""),")",""),",",""),"/",""),"""",""),"+",""))</f>
        <v>pencilcasepc0719ac37afanimalcalenderjk</v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>
        <f>IF(NOTA[[#This Row],[CONCAT1]]="","",MATCH(NOTA[[#This Row],[CONCAT1]],[3]!db[NB NOTA_C],0))</f>
        <v>2459</v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>288 PCS</v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pencilcasepc0719ac37afanimalcalenderjk288pcsartomoro</v>
      </c>
      <c r="AW750" s="56" t="e">
        <f ca="1">IF(NOTA[[#This Row],[ID_H]]="","",MATCH(NOTA[[#This Row],[NB NOTA_C_QTY]],[4]!db[NB NOTA_C_QTY+F],0))</f>
        <v>#REF!</v>
      </c>
      <c r="AX750" s="68">
        <f ca="1">IF(NOTA[[#This Row],[NB NOTA_C_QTY]]="","",ROW()-2)</f>
        <v>748</v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>
        <f ca="1">IF(NOTA[[#This Row],[NAMA BARANG]]="","",INDEX(NOTA[ID],MATCH(,INDIRECT(ADDRESS(ROW(NOTA[ID]),COLUMN(NOTA[ID]))&amp;":"&amp;ADDRESS(ROW(),COLUMN(NOTA[ID]))),-1)))</f>
        <v>127</v>
      </c>
      <c r="E751" s="57"/>
      <c r="F751" s="58"/>
      <c r="G751" s="58"/>
      <c r="H751" s="59"/>
      <c r="I751" s="58"/>
      <c r="J751" s="60"/>
      <c r="K751" s="58">
        <v>0</v>
      </c>
      <c r="L751" s="37" t="s">
        <v>834</v>
      </c>
      <c r="M751" s="61">
        <v>1</v>
      </c>
      <c r="N751" s="56">
        <v>288</v>
      </c>
      <c r="O751" s="37" t="s">
        <v>115</v>
      </c>
      <c r="P751" s="55">
        <v>4800</v>
      </c>
      <c r="Q751" s="62"/>
      <c r="R751" s="63"/>
      <c r="S751" s="64">
        <v>0.125</v>
      </c>
      <c r="T751" s="65">
        <v>0.05</v>
      </c>
      <c r="U751" s="65"/>
      <c r="V751" s="66"/>
      <c r="W751" s="67"/>
      <c r="X751" s="66">
        <f>IF(NOTA[[#This Row],[HARGA/ CTN]]="",NOTA[[#This Row],[JUMLAH_H]],NOTA[[#This Row],[HARGA/ CTN]]*IF(NOTA[[#This Row],[C]]="",0,NOTA[[#This Row],[C]]))</f>
        <v>1382400</v>
      </c>
      <c r="Y751" s="66">
        <f>IF(NOTA[[#This Row],[JUMLAH]]="","",NOTA[[#This Row],[JUMLAH]]*NOTA[[#This Row],[DISC 1]])</f>
        <v>172800</v>
      </c>
      <c r="Z751" s="66">
        <f>IF(NOTA[[#This Row],[JUMLAH]]="","",(NOTA[[#This Row],[JUMLAH]]-NOTA[[#This Row],[DISC 1-]])*NOTA[[#This Row],[DISC 2]])</f>
        <v>60480</v>
      </c>
      <c r="AA751" s="66">
        <f>IF(NOTA[[#This Row],[JUMLAH]]="","",(NOTA[[#This Row],[JUMLAH]]-NOTA[[#This Row],[DISC 1-]]-NOTA[[#This Row],[DISC 2-]])*NOTA[[#This Row],[DISC 3]])</f>
        <v>0</v>
      </c>
      <c r="AB751" s="66">
        <f>IF(NOTA[[#This Row],[JUMLAH]]="","",NOTA[[#This Row],[DISC 1-]]+NOTA[[#This Row],[DISC 2-]]+NOTA[[#This Row],[DISC 3-]])</f>
        <v>233280</v>
      </c>
      <c r="AC751" s="66">
        <f>IF(NOTA[[#This Row],[JUMLAH]]="","",NOTA[[#This Row],[JUMLAH]]-NOTA[[#This Row],[DISC]])</f>
        <v>1149120</v>
      </c>
      <c r="AD751" s="66"/>
      <c r="AE7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1707885</v>
      </c>
      <c r="AF7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8412915</v>
      </c>
      <c r="AG751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751" s="66">
        <f>IF(OR(NOTA[[#This Row],[QTY]]="",NOTA[[#This Row],[HARGA SATUAN]]="",),"",NOTA[[#This Row],[QTY]]*NOTA[[#This Row],[HARGA SATUAN]])</f>
        <v>1382400</v>
      </c>
      <c r="AI751" s="60">
        <f ca="1">IF(NOTA[ID_H]="","",INDEX(NOTA[TANGGAL],MATCH(,INDIRECT(ADDRESS(ROW(NOTA[TANGGAL]),COLUMN(NOTA[TANGGAL]))&amp;":"&amp;ADDRESS(ROW(),COLUMN(NOTA[TANGGAL]))),-1)))</f>
        <v>45317</v>
      </c>
      <c r="AJ751" s="55" t="str">
        <f ca="1">IF(NOTA[[#This Row],[NAMA BARANG]]="","",INDEX(NOTA[SUPPLIER],MATCH(,INDIRECT(ADDRESS(ROW(NOTA[ID]),COLUMN(NOTA[ID]))&amp;":"&amp;ADDRESS(ROW(),COLUMN(NOTA[ID]))),-1)))</f>
        <v>ATALI MAKMUR</v>
      </c>
      <c r="AK751" s="55" t="str">
        <f ca="1">IF(NOTA[[#This Row],[ID_H]]="","",IF(NOTA[[#This Row],[FAKTUR]]="",INDIRECT(ADDRESS(ROW()-1,COLUMN())),NOTA[[#This Row],[FAKTUR]]))</f>
        <v>ARTO MORO</v>
      </c>
      <c r="AL751" s="56" t="str">
        <f ca="1">IF(NOTA[[#This Row],[ID]]="","",COUNTIF(NOTA[ID_H],NOTA[[#This Row],[ID_H]]))</f>
        <v/>
      </c>
      <c r="AM751" s="56">
        <f ca="1">IF(NOTA[[#This Row],[TGL.NOTA]]="",IF(NOTA[[#This Row],[SUPPLIER_H]]="","",AM750),MONTH(NOTA[[#This Row],[TGL.NOTA]]))</f>
        <v>1</v>
      </c>
      <c r="AN751" s="56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>
        <f>IF(NOTA[[#This Row],[CONCAT1]]="","",MATCH(NOTA[[#This Row],[CONCAT1]],[3]!db[NB NOTA_C],0))</f>
        <v>2460</v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>288 PCS</v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pencilcasepc0719gz34afgozzyjk288pcsartomoro</v>
      </c>
      <c r="AW751" s="56" t="e">
        <f ca="1">IF(NOTA[[#This Row],[ID_H]]="","",MATCH(NOTA[[#This Row],[NB NOTA_C_QTY]],[4]!db[NB NOTA_C_QTY+F],0))</f>
        <v>#REF!</v>
      </c>
      <c r="AX751" s="68">
        <f ca="1">IF(NOTA[[#This Row],[NB NOTA_C_QTY]]="","",ROW()-2)</f>
        <v>749</v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75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KEN_2601_641-4</v>
      </c>
      <c r="C753" s="56" t="e">
        <f ca="1">IF(NOTA[[#This Row],[ID_P]]="","",MATCH(NOTA[[#This Row],[ID_P]],[1]!B_MSK[N_ID],0))</f>
        <v>#REF!</v>
      </c>
      <c r="D753" s="56">
        <f ca="1">IF(NOTA[[#This Row],[NAMA BARANG]]="","",INDEX(NOTA[ID],MATCH(,INDIRECT(ADDRESS(ROW(NOTA[ID]),COLUMN(NOTA[ID]))&amp;":"&amp;ADDRESS(ROW(),COLUMN(NOTA[ID]))),-1)))</f>
        <v>128</v>
      </c>
      <c r="E753" s="57">
        <v>45317</v>
      </c>
      <c r="F753" s="37" t="s">
        <v>22</v>
      </c>
      <c r="G753" s="37" t="s">
        <v>23</v>
      </c>
      <c r="H753" s="47" t="s">
        <v>836</v>
      </c>
      <c r="I753" s="58"/>
      <c r="J753" s="60">
        <v>41663</v>
      </c>
      <c r="K753" s="58">
        <v>0</v>
      </c>
      <c r="L753" s="37" t="s">
        <v>837</v>
      </c>
      <c r="M753" s="61">
        <v>1</v>
      </c>
      <c r="N753" s="56"/>
      <c r="O753" s="58"/>
      <c r="P753" s="55"/>
      <c r="Q753" s="62">
        <v>5702400</v>
      </c>
      <c r="R753" s="63"/>
      <c r="S753" s="64">
        <v>0.17</v>
      </c>
      <c r="T753" s="65"/>
      <c r="U753" s="65"/>
      <c r="V753" s="66"/>
      <c r="W753" s="67"/>
      <c r="X753" s="66">
        <f>IF(NOTA[[#This Row],[HARGA/ CTN]]="",NOTA[[#This Row],[JUMLAH_H]],NOTA[[#This Row],[HARGA/ CTN]]*IF(NOTA[[#This Row],[C]]="",0,NOTA[[#This Row],[C]]))</f>
        <v>5702400</v>
      </c>
      <c r="Y753" s="66">
        <f>IF(NOTA[[#This Row],[JUMLAH]]="","",NOTA[[#This Row],[JUMLAH]]*NOTA[[#This Row],[DISC 1]])</f>
        <v>969408.00000000012</v>
      </c>
      <c r="Z753" s="66">
        <f>IF(NOTA[[#This Row],[JUMLAH]]="","",(NOTA[[#This Row],[JUMLAH]]-NOTA[[#This Row],[DISC 1-]])*NOTA[[#This Row],[DISC 2]])</f>
        <v>0</v>
      </c>
      <c r="AA753" s="66">
        <f>IF(NOTA[[#This Row],[JUMLAH]]="","",(NOTA[[#This Row],[JUMLAH]]-NOTA[[#This Row],[DISC 1-]]-NOTA[[#This Row],[DISC 2-]])*NOTA[[#This Row],[DISC 3]])</f>
        <v>0</v>
      </c>
      <c r="AB753" s="66">
        <f>IF(NOTA[[#This Row],[JUMLAH]]="","",NOTA[[#This Row],[DISC 1-]]+NOTA[[#This Row],[DISC 2-]]+NOTA[[#This Row],[DISC 3-]])</f>
        <v>969408.00000000012</v>
      </c>
      <c r="AC753" s="66">
        <f>IF(NOTA[[#This Row],[JUMLAH]]="","",NOTA[[#This Row],[JUMLAH]]-NOTA[[#This Row],[DISC]])</f>
        <v>4732992</v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753" s="66" t="str">
        <f>IF(OR(NOTA[[#This Row],[QTY]]="",NOTA[[#This Row],[HARGA SATUAN]]="",),"",NOTA[[#This Row],[QTY]]*NOTA[[#This Row],[HARGA SATUAN]])</f>
        <v/>
      </c>
      <c r="AI753" s="60">
        <f ca="1">IF(NOTA[ID_H]="","",INDEX(NOTA[TANGGAL],MATCH(,INDIRECT(ADDRESS(ROW(NOTA[TANGGAL]),COLUMN(NOTA[TANGGAL]))&amp;":"&amp;ADDRESS(ROW(),COLUMN(NOTA[TANGGAL]))),-1)))</f>
        <v>45317</v>
      </c>
      <c r="AJ753" s="55" t="str">
        <f ca="1">IF(NOTA[[#This Row],[NAMA BARANG]]="","",INDEX(NOTA[SUPPLIER],MATCH(,INDIRECT(ADDRESS(ROW(NOTA[ID]),COLUMN(NOTA[ID]))&amp;":"&amp;ADDRESS(ROW(),COLUMN(NOTA[ID]))),-1)))</f>
        <v>KENKO SINAR INDONESIA</v>
      </c>
      <c r="AK753" s="55" t="str">
        <f ca="1">IF(NOTA[[#This Row],[ID_H]]="","",IF(NOTA[[#This Row],[FAKTUR]]="",INDIRECT(ADDRESS(ROW()-1,COLUMN())),NOTA[[#This Row],[FAKTUR]]))</f>
        <v>ARTO MORO</v>
      </c>
      <c r="AL753" s="56">
        <f ca="1">IF(NOTA[[#This Row],[ID]]="","",COUNTIF(NOTA[ID_H],NOTA[[#This Row],[ID_H]]))</f>
        <v>4</v>
      </c>
      <c r="AM753" s="56">
        <f>IF(NOTA[[#This Row],[TGL.NOTA]]="",IF(NOTA[[#This Row],[SUPPLIER_H]]="","",AM752),MONTH(NOTA[[#This Row],[TGL.NOTA]]))</f>
        <v>1</v>
      </c>
      <c r="AN753" s="56" t="str">
        <f>LOWER(SUBSTITUTE(SUBSTITUTE(SUBSTITUTE(SUBSTITUTE(SUBSTITUTE(SUBSTITUTE(SUBSTITUTE(SUBSTITUTE(SUBSTITUTE(NOTA[NAMA BARANG]," ",),".",""),"-",""),"(",""),")",""),",",""),"/",""),"""",""),"+",""))</f>
        <v>kenkogelpenmicrotec028mmblack</v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kenkogelpenmicrotec028mmblack57024000.17</v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kenkogelpenmicrotec028mmblack57024000.17</v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MORO2401164141663kenkogelpenmicrotec028mmblack</v>
      </c>
      <c r="AR753" s="56" t="e">
        <f>IF(NOTA[[#This Row],[CONCAT4]]="","",_xlfn.IFNA(MATCH(NOTA[[#This Row],[CONCAT4]],[2]!RAW[CONCAT_H],0),FALSE))</f>
        <v>#REF!</v>
      </c>
      <c r="AS753" s="56">
        <f>IF(NOTA[[#This Row],[CONCAT1]]="","",MATCH(NOTA[[#This Row],[CONCAT1]],[3]!db[NB NOTA_C],0))</f>
        <v>1647</v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>144 LSN</v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kenkogelpenmicrotec028mmblack144lsnartomoro</v>
      </c>
      <c r="AW753" s="56" t="e">
        <f ca="1">IF(NOTA[[#This Row],[ID_H]]="","",MATCH(NOTA[[#This Row],[NB NOTA_C_QTY]],[4]!db[NB NOTA_C_QTY+F],0))</f>
        <v>#REF!</v>
      </c>
      <c r="AX753" s="68">
        <f ca="1">IF(NOTA[[#This Row],[NB NOTA_C_QTY]]="","",ROW()-2)</f>
        <v>751</v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>
        <f ca="1">IF(NOTA[[#This Row],[NAMA BARANG]]="","",INDEX(NOTA[ID],MATCH(,INDIRECT(ADDRESS(ROW(NOTA[ID]),COLUMN(NOTA[ID]))&amp;":"&amp;ADDRESS(ROW(),COLUMN(NOTA[ID]))),-1)))</f>
        <v>128</v>
      </c>
      <c r="E754" s="57"/>
      <c r="F754" s="58"/>
      <c r="G754" s="58"/>
      <c r="H754" s="59"/>
      <c r="I754" s="58"/>
      <c r="J754" s="60"/>
      <c r="K754" s="58"/>
      <c r="L754" s="37" t="s">
        <v>838</v>
      </c>
      <c r="M754" s="61">
        <v>1</v>
      </c>
      <c r="N754" s="56"/>
      <c r="O754" s="58"/>
      <c r="P754" s="55"/>
      <c r="Q754" s="62">
        <v>5220000</v>
      </c>
      <c r="R754" s="63"/>
      <c r="S754" s="64">
        <v>0.17</v>
      </c>
      <c r="T754" s="65"/>
      <c r="U754" s="65"/>
      <c r="V754" s="66"/>
      <c r="W754" s="67"/>
      <c r="X754" s="66">
        <f>IF(NOTA[[#This Row],[HARGA/ CTN]]="",NOTA[[#This Row],[JUMLAH_H]],NOTA[[#This Row],[HARGA/ CTN]]*IF(NOTA[[#This Row],[C]]="",0,NOTA[[#This Row],[C]]))</f>
        <v>5220000</v>
      </c>
      <c r="Y754" s="66">
        <f>IF(NOTA[[#This Row],[JUMLAH]]="","",NOTA[[#This Row],[JUMLAH]]*NOTA[[#This Row],[DISC 1]])</f>
        <v>887400.00000000012</v>
      </c>
      <c r="Z754" s="66">
        <f>IF(NOTA[[#This Row],[JUMLAH]]="","",(NOTA[[#This Row],[JUMLAH]]-NOTA[[#This Row],[DISC 1-]])*NOTA[[#This Row],[DISC 2]])</f>
        <v>0</v>
      </c>
      <c r="AA754" s="66">
        <f>IF(NOTA[[#This Row],[JUMLAH]]="","",(NOTA[[#This Row],[JUMLAH]]-NOTA[[#This Row],[DISC 1-]]-NOTA[[#This Row],[DISC 2-]])*NOTA[[#This Row],[DISC 3]])</f>
        <v>0</v>
      </c>
      <c r="AB754" s="66">
        <f>IF(NOTA[[#This Row],[JUMLAH]]="","",NOTA[[#This Row],[DISC 1-]]+NOTA[[#This Row],[DISC 2-]]+NOTA[[#This Row],[DISC 3-]])</f>
        <v>887400.00000000012</v>
      </c>
      <c r="AC754" s="66">
        <f>IF(NOTA[[#This Row],[JUMLAH]]="","",NOTA[[#This Row],[JUMLAH]]-NOTA[[#This Row],[DISC]])</f>
        <v>4332600</v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>
        <f>IF(NOTA[[#This Row],[NAMA BARANG]]="","",IF(NOTA[[#This Row],[JUMLAH_H]]="",NOTA[[#This Row],[HARGA/ CTN]],NOTA[[#This Row],[QTY]]*NOTA[[#This Row],[HARGA SATUAN]]/IF(ISNUMBER(NOTA[[#This Row],[C]]),NOTA[[#This Row],[C]],1)))</f>
        <v>5220000</v>
      </c>
      <c r="AH754" s="66" t="str">
        <f>IF(OR(NOTA[[#This Row],[QTY]]="",NOTA[[#This Row],[HARGA SATUAN]]="",),"",NOTA[[#This Row],[QTY]]*NOTA[[#This Row],[HARGA SATUAN]])</f>
        <v/>
      </c>
      <c r="AI754" s="60">
        <f ca="1">IF(NOTA[ID_H]="","",INDEX(NOTA[TANGGAL],MATCH(,INDIRECT(ADDRESS(ROW(NOTA[TANGGAL]),COLUMN(NOTA[TANGGAL]))&amp;":"&amp;ADDRESS(ROW(),COLUMN(NOTA[TANGGAL]))),-1)))</f>
        <v>45317</v>
      </c>
      <c r="AJ754" s="55" t="str">
        <f ca="1">IF(NOTA[[#This Row],[NAMA BARANG]]="","",INDEX(NOTA[SUPPLIER],MATCH(,INDIRECT(ADDRESS(ROW(NOTA[ID]),COLUMN(NOTA[ID]))&amp;":"&amp;ADDRESS(ROW(),COLUMN(NOTA[ID]))),-1)))</f>
        <v>KENKO SINAR INDONESIA</v>
      </c>
      <c r="AK754" s="55" t="str">
        <f ca="1">IF(NOTA[[#This Row],[ID_H]]="","",IF(NOTA[[#This Row],[FAKTUR]]="",INDIRECT(ADDRESS(ROW()-1,COLUMN())),NOTA[[#This Row],[FAKTUR]]))</f>
        <v>ARTO MORO</v>
      </c>
      <c r="AL754" s="56" t="str">
        <f ca="1">IF(NOTA[[#This Row],[ID]]="","",COUNTIF(NOTA[ID_H],NOTA[[#This Row],[ID_H]]))</f>
        <v/>
      </c>
      <c r="AM754" s="56">
        <f ca="1">IF(NOTA[[#This Row],[TGL.NOTA]]="",IF(NOTA[[#This Row],[SUPPLIER_H]]="","",AM753),MONTH(NOTA[[#This Row],[TGL.NOTA]]))</f>
        <v>1</v>
      </c>
      <c r="AN754" s="56" t="str">
        <f>LOWER(SUBSTITUTE(SUBSTITUTE(SUBSTITUTE(SUBSTITUTE(SUBSTITUTE(SUBSTITUTE(SUBSTITUTE(SUBSTITUTE(SUBSTITUTE(NOTA[NAMA BARANG]," ",),".",""),"-",""),"(",""),")",""),",",""),"/",""),"""",""),"+",""))</f>
        <v>kenkostainlesssteelruler100cm</v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kenkostainlesssteelruler100cm52200000.17</v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kenkostainlesssteelruler100cm52200000.17</v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>
        <f>IF(NOTA[[#This Row],[CONCAT1]]="","",MATCH(NOTA[[#This Row],[CONCAT1]],[3]!db[NB NOTA_C],0))</f>
        <v>1765</v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>10 LSN</v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kenkostainlesssteelruler100cm10lsnartomoro</v>
      </c>
      <c r="AW754" s="56" t="e">
        <f ca="1">IF(NOTA[[#This Row],[ID_H]]="","",MATCH(NOTA[[#This Row],[NB NOTA_C_QTY]],[4]!db[NB NOTA_C_QTY+F],0))</f>
        <v>#REF!</v>
      </c>
      <c r="AX754" s="68">
        <f ca="1">IF(NOTA[[#This Row],[NB NOTA_C_QTY]]="","",ROW()-2)</f>
        <v>752</v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>
        <f ca="1">IF(NOTA[[#This Row],[NAMA BARANG]]="","",INDEX(NOTA[ID],MATCH(,INDIRECT(ADDRESS(ROW(NOTA[ID]),COLUMN(NOTA[ID]))&amp;":"&amp;ADDRESS(ROW(),COLUMN(NOTA[ID]))),-1)))</f>
        <v>128</v>
      </c>
      <c r="E755" s="57"/>
      <c r="F755" s="58"/>
      <c r="G755" s="58"/>
      <c r="H755" s="59"/>
      <c r="I755" s="58"/>
      <c r="J755" s="60"/>
      <c r="K755" s="58">
        <v>5</v>
      </c>
      <c r="L755" s="37" t="s">
        <v>148</v>
      </c>
      <c r="M755" s="61">
        <v>10</v>
      </c>
      <c r="N755" s="56"/>
      <c r="O755" s="58"/>
      <c r="P755" s="55"/>
      <c r="Q755" s="62">
        <v>5616000</v>
      </c>
      <c r="R755" s="63"/>
      <c r="S755" s="64">
        <v>0.17</v>
      </c>
      <c r="T755" s="65"/>
      <c r="U755" s="65"/>
      <c r="V755" s="66"/>
      <c r="W755" s="67"/>
      <c r="X755" s="66">
        <f>IF(NOTA[[#This Row],[HARGA/ CTN]]="",NOTA[[#This Row],[JUMLAH_H]],NOTA[[#This Row],[HARGA/ CTN]]*IF(NOTA[[#This Row],[C]]="",0,NOTA[[#This Row],[C]]))</f>
        <v>56160000</v>
      </c>
      <c r="Y755" s="66">
        <f>IF(NOTA[[#This Row],[JUMLAH]]="","",NOTA[[#This Row],[JUMLAH]]*NOTA[[#This Row],[DISC 1]])</f>
        <v>9547200</v>
      </c>
      <c r="Z755" s="66">
        <f>IF(NOTA[[#This Row],[JUMLAH]]="","",(NOTA[[#This Row],[JUMLAH]]-NOTA[[#This Row],[DISC 1-]])*NOTA[[#This Row],[DISC 2]])</f>
        <v>0</v>
      </c>
      <c r="AA755" s="66">
        <f>IF(NOTA[[#This Row],[JUMLAH]]="","",(NOTA[[#This Row],[JUMLAH]]-NOTA[[#This Row],[DISC 1-]]-NOTA[[#This Row],[DISC 2-]])*NOTA[[#This Row],[DISC 3]])</f>
        <v>0</v>
      </c>
      <c r="AB755" s="66">
        <f>IF(NOTA[[#This Row],[JUMLAH]]="","",NOTA[[#This Row],[DISC 1-]]+NOTA[[#This Row],[DISC 2-]]+NOTA[[#This Row],[DISC 3-]])</f>
        <v>9547200</v>
      </c>
      <c r="AC755" s="66">
        <f>IF(NOTA[[#This Row],[JUMLAH]]="","",NOTA[[#This Row],[JUMLAH]]-NOTA[[#This Row],[DISC]])</f>
        <v>46612800</v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755" s="66" t="str">
        <f>IF(OR(NOTA[[#This Row],[QTY]]="",NOTA[[#This Row],[HARGA SATUAN]]="",),"",NOTA[[#This Row],[QTY]]*NOTA[[#This Row],[HARGA SATUAN]])</f>
        <v/>
      </c>
      <c r="AI755" s="60">
        <f ca="1">IF(NOTA[ID_H]="","",INDEX(NOTA[TANGGAL],MATCH(,INDIRECT(ADDRESS(ROW(NOTA[TANGGAL]),COLUMN(NOTA[TANGGAL]))&amp;":"&amp;ADDRESS(ROW(),COLUMN(NOTA[TANGGAL]))),-1)))</f>
        <v>45317</v>
      </c>
      <c r="AJ755" s="55" t="str">
        <f ca="1">IF(NOTA[[#This Row],[NAMA BARANG]]="","",INDEX(NOTA[SUPPLIER],MATCH(,INDIRECT(ADDRESS(ROW(NOTA[ID]),COLUMN(NOTA[ID]))&amp;":"&amp;ADDRESS(ROW(),COLUMN(NOTA[ID]))),-1)))</f>
        <v>KENKO SINAR INDONESIA</v>
      </c>
      <c r="AK755" s="55" t="str">
        <f ca="1">IF(NOTA[[#This Row],[ID_H]]="","",IF(NOTA[[#This Row],[FAKTUR]]="",INDIRECT(ADDRESS(ROW()-1,COLUMN())),NOTA[[#This Row],[FAKTUR]]))</f>
        <v>ARTO MORO</v>
      </c>
      <c r="AL755" s="56" t="str">
        <f ca="1">IF(NOTA[[#This Row],[ID]]="","",COUNTIF(NOTA[ID_H],NOTA[[#This Row],[ID_H]]))</f>
        <v/>
      </c>
      <c r="AM755" s="56">
        <f ca="1">IF(NOTA[[#This Row],[TGL.NOTA]]="",IF(NOTA[[#This Row],[SUPPLIER_H]]="","",AM754),MONTH(NOTA[[#This Row],[TGL.NOTA]]))</f>
        <v>1</v>
      </c>
      <c r="AN755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>
        <f>IF(NOTA[[#This Row],[CONCAT1]]="","",MATCH(NOTA[[#This Row],[CONCAT1]],[3]!db[NB NOTA_C],0))</f>
        <v>1621</v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>144 LSN</v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755" s="56" t="e">
        <f ca="1">IF(NOTA[[#This Row],[ID_H]]="","",MATCH(NOTA[[#This Row],[NB NOTA_C_QTY]],[4]!db[NB NOTA_C_QTY+F],0))</f>
        <v>#REF!</v>
      </c>
      <c r="AX755" s="68">
        <f ca="1">IF(NOTA[[#This Row],[NB NOTA_C_QTY]]="","",ROW()-2)</f>
        <v>753</v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>
        <f ca="1">IF(NOTA[[#This Row],[NAMA BARANG]]="","",INDEX(NOTA[ID],MATCH(,INDIRECT(ADDRESS(ROW(NOTA[ID]),COLUMN(NOTA[ID]))&amp;":"&amp;ADDRESS(ROW(),COLUMN(NOTA[ID]))),-1)))</f>
        <v>128</v>
      </c>
      <c r="E756" s="57"/>
      <c r="F756" s="58"/>
      <c r="G756" s="58"/>
      <c r="H756" s="59"/>
      <c r="I756" s="58"/>
      <c r="J756" s="60"/>
      <c r="K756" s="58">
        <v>1</v>
      </c>
      <c r="L756" s="37" t="s">
        <v>149</v>
      </c>
      <c r="M756" s="61">
        <v>5</v>
      </c>
      <c r="N756" s="56"/>
      <c r="O756" s="58"/>
      <c r="P756" s="55"/>
      <c r="Q756" s="62">
        <v>5616000</v>
      </c>
      <c r="R756" s="63"/>
      <c r="S756" s="64">
        <v>0.17</v>
      </c>
      <c r="T756" s="65"/>
      <c r="U756" s="65"/>
      <c r="V756" s="66"/>
      <c r="W756" s="67"/>
      <c r="X756" s="66">
        <f>IF(NOTA[[#This Row],[HARGA/ CTN]]="",NOTA[[#This Row],[JUMLAH_H]],NOTA[[#This Row],[HARGA/ CTN]]*IF(NOTA[[#This Row],[C]]="",0,NOTA[[#This Row],[C]]))</f>
        <v>28080000</v>
      </c>
      <c r="Y756" s="66">
        <f>IF(NOTA[[#This Row],[JUMLAH]]="","",NOTA[[#This Row],[JUMLAH]]*NOTA[[#This Row],[DISC 1]])</f>
        <v>4773600</v>
      </c>
      <c r="Z756" s="66">
        <f>IF(NOTA[[#This Row],[JUMLAH]]="","",(NOTA[[#This Row],[JUMLAH]]-NOTA[[#This Row],[DISC 1-]])*NOTA[[#This Row],[DISC 2]])</f>
        <v>0</v>
      </c>
      <c r="AA756" s="66">
        <f>IF(NOTA[[#This Row],[JUMLAH]]="","",(NOTA[[#This Row],[JUMLAH]]-NOTA[[#This Row],[DISC 1-]]-NOTA[[#This Row],[DISC 2-]])*NOTA[[#This Row],[DISC 3]])</f>
        <v>0</v>
      </c>
      <c r="AB756" s="66">
        <f>IF(NOTA[[#This Row],[JUMLAH]]="","",NOTA[[#This Row],[DISC 1-]]+NOTA[[#This Row],[DISC 2-]]+NOTA[[#This Row],[DISC 3-]])</f>
        <v>4773600</v>
      </c>
      <c r="AC756" s="66">
        <f>IF(NOTA[[#This Row],[JUMLAH]]="","",NOTA[[#This Row],[JUMLAH]]-NOTA[[#This Row],[DISC]])</f>
        <v>23306400</v>
      </c>
      <c r="AD756" s="66"/>
      <c r="AE75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16177608</v>
      </c>
      <c r="AF75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78984792</v>
      </c>
      <c r="AG756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756" s="66" t="str">
        <f>IF(OR(NOTA[[#This Row],[QTY]]="",NOTA[[#This Row],[HARGA SATUAN]]="",),"",NOTA[[#This Row],[QTY]]*NOTA[[#This Row],[HARGA SATUAN]])</f>
        <v/>
      </c>
      <c r="AI756" s="60">
        <f ca="1">IF(NOTA[ID_H]="","",INDEX(NOTA[TANGGAL],MATCH(,INDIRECT(ADDRESS(ROW(NOTA[TANGGAL]),COLUMN(NOTA[TANGGAL]))&amp;":"&amp;ADDRESS(ROW(),COLUMN(NOTA[TANGGAL]))),-1)))</f>
        <v>45317</v>
      </c>
      <c r="AJ756" s="55" t="str">
        <f ca="1">IF(NOTA[[#This Row],[NAMA BARANG]]="","",INDEX(NOTA[SUPPLIER],MATCH(,INDIRECT(ADDRESS(ROW(NOTA[ID]),COLUMN(NOTA[ID]))&amp;":"&amp;ADDRESS(ROW(),COLUMN(NOTA[ID]))),-1)))</f>
        <v>KENKO SINAR INDONESIA</v>
      </c>
      <c r="AK756" s="55" t="str">
        <f ca="1">IF(NOTA[[#This Row],[ID_H]]="","",IF(NOTA[[#This Row],[FAKTUR]]="",INDIRECT(ADDRESS(ROW()-1,COLUMN())),NOTA[[#This Row],[FAKTUR]]))</f>
        <v>ARTO MORO</v>
      </c>
      <c r="AL756" s="56" t="str">
        <f ca="1">IF(NOTA[[#This Row],[ID]]="","",COUNTIF(NOTA[ID_H],NOTA[[#This Row],[ID_H]]))</f>
        <v/>
      </c>
      <c r="AM756" s="56">
        <f ca="1">IF(NOTA[[#This Row],[TGL.NOTA]]="",IF(NOTA[[#This Row],[SUPPLIER_H]]="","",AM755),MONTH(NOTA[[#This Row],[TGL.NOTA]]))</f>
        <v>1</v>
      </c>
      <c r="AN756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>
        <f>IF(NOTA[[#This Row],[CONCAT1]]="","",MATCH(NOTA[[#This Row],[CONCAT1]],[3]!db[NB NOTA_C],0))</f>
        <v>1622</v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>144 LSN</v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756" s="56" t="e">
        <f ca="1">IF(NOTA[[#This Row],[ID_H]]="","",MATCH(NOTA[[#This Row],[NB NOTA_C_QTY]],[4]!db[NB NOTA_C_QTY+F],0))</f>
        <v>#REF!</v>
      </c>
      <c r="AX756" s="68">
        <f ca="1">IF(NOTA[[#This Row],[NB NOTA_C_QTY]]="","",ROW()-2)</f>
        <v>754</v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>
        <f ca="1">IF(INDIRECT(ADDRESS(ROW()-1,COLUMN(NOTA[[#Headers],[ID]])))="ID",1,IF(NOTA[[#This Row],[FAKTUR]]="","",COUNT(INDIRECT(ADDRESS(ROW(NOTA[ID]),COLUMN(NOTA[ID]))&amp;":"&amp;ADDRESS(ROW()-1,COLUMN(NOTA[ID]))))+1))</f>
        <v>129</v>
      </c>
      <c r="B75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KEN_2601_462-2</v>
      </c>
      <c r="C758" s="56" t="e">
        <f ca="1">IF(NOTA[[#This Row],[ID_P]]="","",MATCH(NOTA[[#This Row],[ID_P]],[1]!B_MSK[N_ID],0))</f>
        <v>#REF!</v>
      </c>
      <c r="D758" s="56">
        <f ca="1">IF(NOTA[[#This Row],[NAMA BARANG]]="","",INDEX(NOTA[ID],MATCH(,INDIRECT(ADDRESS(ROW(NOTA[ID]),COLUMN(NOTA[ID]))&amp;":"&amp;ADDRESS(ROW(),COLUMN(NOTA[ID]))),-1)))</f>
        <v>129</v>
      </c>
      <c r="E758" s="57">
        <v>45317</v>
      </c>
      <c r="F758" s="37" t="s">
        <v>22</v>
      </c>
      <c r="G758" s="37" t="s">
        <v>23</v>
      </c>
      <c r="H758" s="47" t="s">
        <v>839</v>
      </c>
      <c r="I758" s="58"/>
      <c r="J758" s="60">
        <v>45313</v>
      </c>
      <c r="K758" s="58">
        <v>0</v>
      </c>
      <c r="L758" s="37" t="s">
        <v>840</v>
      </c>
      <c r="M758" s="61">
        <v>1</v>
      </c>
      <c r="N758" s="56"/>
      <c r="O758" s="58"/>
      <c r="P758" s="55"/>
      <c r="Q758" s="62">
        <v>504000</v>
      </c>
      <c r="R758" s="63"/>
      <c r="S758" s="64">
        <v>0.17</v>
      </c>
      <c r="T758" s="65"/>
      <c r="U758" s="65"/>
      <c r="V758" s="66"/>
      <c r="W758" s="67"/>
      <c r="X758" s="66">
        <f>IF(NOTA[[#This Row],[HARGA/ CTN]]="",NOTA[[#This Row],[JUMLAH_H]],NOTA[[#This Row],[HARGA/ CTN]]*IF(NOTA[[#This Row],[C]]="",0,NOTA[[#This Row],[C]]))</f>
        <v>504000</v>
      </c>
      <c r="Y758" s="66">
        <f>IF(NOTA[[#This Row],[JUMLAH]]="","",NOTA[[#This Row],[JUMLAH]]*NOTA[[#This Row],[DISC 1]])</f>
        <v>85680</v>
      </c>
      <c r="Z758" s="66">
        <f>IF(NOTA[[#This Row],[JUMLAH]]="","",(NOTA[[#This Row],[JUMLAH]]-NOTA[[#This Row],[DISC 1-]])*NOTA[[#This Row],[DISC 2]])</f>
        <v>0</v>
      </c>
      <c r="AA758" s="66">
        <f>IF(NOTA[[#This Row],[JUMLAH]]="","",(NOTA[[#This Row],[JUMLAH]]-NOTA[[#This Row],[DISC 1-]]-NOTA[[#This Row],[DISC 2-]])*NOTA[[#This Row],[DISC 3]])</f>
        <v>0</v>
      </c>
      <c r="AB758" s="66">
        <f>IF(NOTA[[#This Row],[JUMLAH]]="","",NOTA[[#This Row],[DISC 1-]]+NOTA[[#This Row],[DISC 2-]]+NOTA[[#This Row],[DISC 3-]])</f>
        <v>85680</v>
      </c>
      <c r="AC758" s="66">
        <f>IF(NOTA[[#This Row],[JUMLAH]]="","",NOTA[[#This Row],[JUMLAH]]-NOTA[[#This Row],[DISC]])</f>
        <v>418320</v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58" s="66" t="str">
        <f>IF(OR(NOTA[[#This Row],[QTY]]="",NOTA[[#This Row],[HARGA SATUAN]]="",),"",NOTA[[#This Row],[QTY]]*NOTA[[#This Row],[HARGA SATUAN]])</f>
        <v/>
      </c>
      <c r="AI758" s="60">
        <f ca="1">IF(NOTA[ID_H]="","",INDEX(NOTA[TANGGAL],MATCH(,INDIRECT(ADDRESS(ROW(NOTA[TANGGAL]),COLUMN(NOTA[TANGGAL]))&amp;":"&amp;ADDRESS(ROW(),COLUMN(NOTA[TANGGAL]))),-1)))</f>
        <v>45317</v>
      </c>
      <c r="AJ758" s="55" t="str">
        <f ca="1">IF(NOTA[[#This Row],[NAMA BARANG]]="","",INDEX(NOTA[SUPPLIER],MATCH(,INDIRECT(ADDRESS(ROW(NOTA[ID]),COLUMN(NOTA[ID]))&amp;":"&amp;ADDRESS(ROW(),COLUMN(NOTA[ID]))),-1)))</f>
        <v>KENKO SINAR INDONESIA</v>
      </c>
      <c r="AK758" s="55" t="str">
        <f ca="1">IF(NOTA[[#This Row],[ID_H]]="","",IF(NOTA[[#This Row],[FAKTUR]]="",INDIRECT(ADDRESS(ROW()-1,COLUMN())),NOTA[[#This Row],[FAKTUR]]))</f>
        <v>ARTO MORO</v>
      </c>
      <c r="AL758" s="56">
        <f ca="1">IF(NOTA[[#This Row],[ID]]="","",COUNTIF(NOTA[ID_H],NOTA[[#This Row],[ID_H]]))</f>
        <v>2</v>
      </c>
      <c r="AM758" s="56">
        <f>IF(NOTA[[#This Row],[TGL.NOTA]]="",IF(NOTA[[#This Row],[SUPPLIER_H]]="","",AM757),MONTH(NOTA[[#This Row],[TGL.NOTA]]))</f>
        <v>1</v>
      </c>
      <c r="AN758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MORO2401146245313kenkoheavydutystaplerhd12n13</v>
      </c>
      <c r="AR758" s="56" t="e">
        <f>IF(NOTA[[#This Row],[CONCAT4]]="","",_xlfn.IFNA(MATCH(NOTA[[#This Row],[CONCAT4]],[2]!RAW[CONCAT_H],0),FALSE))</f>
        <v>#REF!</v>
      </c>
      <c r="AS758" s="56">
        <f>IF(NOTA[[#This Row],[CONCAT1]]="","",MATCH(NOTA[[#This Row],[CONCAT1]],[3]!db[NB NOTA_C],0))</f>
        <v>1671</v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>6 PCS</v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758" s="56" t="e">
        <f ca="1">IF(NOTA[[#This Row],[ID_H]]="","",MATCH(NOTA[[#This Row],[NB NOTA_C_QTY]],[4]!db[NB NOTA_C_QTY+F],0))</f>
        <v>#REF!</v>
      </c>
      <c r="AX758" s="68">
        <f ca="1">IF(NOTA[[#This Row],[NB NOTA_C_QTY]]="","",ROW()-2)</f>
        <v>756</v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>
        <f ca="1">IF(NOTA[[#This Row],[NAMA BARANG]]="","",INDEX(NOTA[ID],MATCH(,INDIRECT(ADDRESS(ROW(NOTA[ID]),COLUMN(NOTA[ID]))&amp;":"&amp;ADDRESS(ROW(),COLUMN(NOTA[ID]))),-1)))</f>
        <v>129</v>
      </c>
      <c r="E759" s="57"/>
      <c r="F759" s="58"/>
      <c r="G759" s="58"/>
      <c r="H759" s="59"/>
      <c r="I759" s="58"/>
      <c r="J759" s="60"/>
      <c r="K759" s="58"/>
      <c r="L759" s="37" t="s">
        <v>523</v>
      </c>
      <c r="M759" s="61">
        <v>1</v>
      </c>
      <c r="N759" s="56"/>
      <c r="O759" s="58"/>
      <c r="P759" s="55"/>
      <c r="Q759" s="62">
        <v>3758400</v>
      </c>
      <c r="R759" s="63"/>
      <c r="S759" s="64">
        <v>0.17</v>
      </c>
      <c r="T759" s="65"/>
      <c r="U759" s="65"/>
      <c r="V759" s="66"/>
      <c r="W759" s="67"/>
      <c r="X759" s="66">
        <f>IF(NOTA[[#This Row],[HARGA/ CTN]]="",NOTA[[#This Row],[JUMLAH_H]],NOTA[[#This Row],[HARGA/ CTN]]*IF(NOTA[[#This Row],[C]]="",0,NOTA[[#This Row],[C]]))</f>
        <v>3758400</v>
      </c>
      <c r="Y759" s="66">
        <f>IF(NOTA[[#This Row],[JUMLAH]]="","",NOTA[[#This Row],[JUMLAH]]*NOTA[[#This Row],[DISC 1]])</f>
        <v>638928</v>
      </c>
      <c r="Z759" s="66">
        <f>IF(NOTA[[#This Row],[JUMLAH]]="","",(NOTA[[#This Row],[JUMLAH]]-NOTA[[#This Row],[DISC 1-]])*NOTA[[#This Row],[DISC 2]])</f>
        <v>0</v>
      </c>
      <c r="AA759" s="66">
        <f>IF(NOTA[[#This Row],[JUMLAH]]="","",(NOTA[[#This Row],[JUMLAH]]-NOTA[[#This Row],[DISC 1-]]-NOTA[[#This Row],[DISC 2-]])*NOTA[[#This Row],[DISC 3]])</f>
        <v>0</v>
      </c>
      <c r="AB759" s="66">
        <f>IF(NOTA[[#This Row],[JUMLAH]]="","",NOTA[[#This Row],[DISC 1-]]+NOTA[[#This Row],[DISC 2-]]+NOTA[[#This Row],[DISC 3-]])</f>
        <v>638928</v>
      </c>
      <c r="AC759" s="66">
        <f>IF(NOTA[[#This Row],[JUMLAH]]="","",NOTA[[#This Row],[JUMLAH]]-NOTA[[#This Row],[DISC]])</f>
        <v>3119472</v>
      </c>
      <c r="AD759" s="66"/>
      <c r="AE7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724608</v>
      </c>
      <c r="AF7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3537792</v>
      </c>
      <c r="AG759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759" s="66" t="str">
        <f>IF(OR(NOTA[[#This Row],[QTY]]="",NOTA[[#This Row],[HARGA SATUAN]]="",),"",NOTA[[#This Row],[QTY]]*NOTA[[#This Row],[HARGA SATUAN]])</f>
        <v/>
      </c>
      <c r="AI759" s="60">
        <f ca="1">IF(NOTA[ID_H]="","",INDEX(NOTA[TANGGAL],MATCH(,INDIRECT(ADDRESS(ROW(NOTA[TANGGAL]),COLUMN(NOTA[TANGGAL]))&amp;":"&amp;ADDRESS(ROW(),COLUMN(NOTA[TANGGAL]))),-1)))</f>
        <v>45317</v>
      </c>
      <c r="AJ759" s="55" t="str">
        <f ca="1">IF(NOTA[[#This Row],[NAMA BARANG]]="","",INDEX(NOTA[SUPPLIER],MATCH(,INDIRECT(ADDRESS(ROW(NOTA[ID]),COLUMN(NOTA[ID]))&amp;":"&amp;ADDRESS(ROW(),COLUMN(NOTA[ID]))),-1)))</f>
        <v>KENKO SINAR INDONESIA</v>
      </c>
      <c r="AK759" s="55" t="str">
        <f ca="1">IF(NOTA[[#This Row],[ID_H]]="","",IF(NOTA[[#This Row],[FAKTUR]]="",INDIRECT(ADDRESS(ROW()-1,COLUMN())),NOTA[[#This Row],[FAKTUR]]))</f>
        <v>ARTO MORO</v>
      </c>
      <c r="AL759" s="56" t="str">
        <f ca="1">IF(NOTA[[#This Row],[ID]]="","",COUNTIF(NOTA[ID_H],NOTA[[#This Row],[ID_H]]))</f>
        <v/>
      </c>
      <c r="AM759" s="56">
        <f ca="1">IF(NOTA[[#This Row],[TGL.NOTA]]="",IF(NOTA[[#This Row],[SUPPLIER_H]]="","",AM758),MONTH(NOTA[[#This Row],[TGL.NOTA]]))</f>
        <v>1</v>
      </c>
      <c r="AN759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>
        <f>IF(NOTA[[#This Row],[CONCAT1]]="","",MATCH(NOTA[[#This Row],[CONCAT1]],[3]!db[NB NOTA_C],0))</f>
        <v>1615</v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>144 LSN</v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759" s="56" t="e">
        <f ca="1">IF(NOTA[[#This Row],[ID_H]]="","",MATCH(NOTA[[#This Row],[NB NOTA_C_QTY]],[4]!db[NB NOTA_C_QTY+F],0))</f>
        <v>#REF!</v>
      </c>
      <c r="AX759" s="68">
        <f ca="1">IF(NOTA[[#This Row],[NB NOTA_C_QTY]]="","",ROW()-2)</f>
        <v>757</v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>
        <f ca="1">IF(INDIRECT(ADDRESS(ROW()-1,COLUMN(NOTA[[#Headers],[ID]])))="ID",1,IF(NOTA[[#This Row],[FAKTUR]]="","",COUNT(INDIRECT(ADDRESS(ROW(NOTA[ID]),COLUMN(NOTA[ID]))&amp;":"&amp;ADDRESS(ROW()-1,COLUMN(NOTA[ID]))))+1))</f>
        <v>130</v>
      </c>
      <c r="B76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PAR_3001_-2</v>
      </c>
      <c r="C761" s="56" t="e">
        <f ca="1">IF(NOTA[[#This Row],[ID_P]]="","",MATCH(NOTA[[#This Row],[ID_P]],[1]!B_MSK[N_ID],0))</f>
        <v>#REF!</v>
      </c>
      <c r="D761" s="56">
        <f ca="1">IF(NOTA[[#This Row],[NAMA BARANG]]="","",INDEX(NOTA[ID],MATCH(,INDIRECT(ADDRESS(ROW(NOTA[ID]),COLUMN(NOTA[ID]))&amp;":"&amp;ADDRESS(ROW(),COLUMN(NOTA[ID]))),-1)))</f>
        <v>130</v>
      </c>
      <c r="E761" s="57">
        <v>45321</v>
      </c>
      <c r="F761" s="37" t="s">
        <v>95</v>
      </c>
      <c r="G761" s="37" t="s">
        <v>23</v>
      </c>
      <c r="H761" s="59"/>
      <c r="I761" s="37" t="s">
        <v>844</v>
      </c>
      <c r="J761" s="60">
        <v>45318</v>
      </c>
      <c r="K761" s="37">
        <v>3</v>
      </c>
      <c r="L761" s="37" t="s">
        <v>845</v>
      </c>
      <c r="M761" s="61">
        <v>5</v>
      </c>
      <c r="N761" s="56">
        <v>4500</v>
      </c>
      <c r="O761" s="37" t="s">
        <v>115</v>
      </c>
      <c r="P761" s="55">
        <v>2200</v>
      </c>
      <c r="Q761" s="62"/>
      <c r="R761" s="48" t="s">
        <v>847</v>
      </c>
      <c r="S761" s="64">
        <v>0.1</v>
      </c>
      <c r="T761" s="65">
        <v>0.1</v>
      </c>
      <c r="U761" s="65"/>
      <c r="V761" s="66"/>
      <c r="W761" s="67"/>
      <c r="X761" s="66">
        <f>IF(NOTA[[#This Row],[HARGA/ CTN]]="",NOTA[[#This Row],[JUMLAH_H]],NOTA[[#This Row],[HARGA/ CTN]]*IF(NOTA[[#This Row],[C]]="",0,NOTA[[#This Row],[C]]))</f>
        <v>9900000</v>
      </c>
      <c r="Y761" s="66">
        <f>IF(NOTA[[#This Row],[JUMLAH]]="","",NOTA[[#This Row],[JUMLAH]]*NOTA[[#This Row],[DISC 1]])</f>
        <v>990000</v>
      </c>
      <c r="Z761" s="66">
        <f>IF(NOTA[[#This Row],[JUMLAH]]="","",(NOTA[[#This Row],[JUMLAH]]-NOTA[[#This Row],[DISC 1-]])*NOTA[[#This Row],[DISC 2]])</f>
        <v>891000</v>
      </c>
      <c r="AA761" s="66">
        <f>IF(NOTA[[#This Row],[JUMLAH]]="","",(NOTA[[#This Row],[JUMLAH]]-NOTA[[#This Row],[DISC 1-]]-NOTA[[#This Row],[DISC 2-]])*NOTA[[#This Row],[DISC 3]])</f>
        <v>0</v>
      </c>
      <c r="AB761" s="66">
        <f>IF(NOTA[[#This Row],[JUMLAH]]="","",NOTA[[#This Row],[DISC 1-]]+NOTA[[#This Row],[DISC 2-]]+NOTA[[#This Row],[DISC 3-]])</f>
        <v>1881000</v>
      </c>
      <c r="AC761" s="66">
        <f>IF(NOTA[[#This Row],[JUMLAH]]="","",NOTA[[#This Row],[JUMLAH]]-NOTA[[#This Row],[DISC]])</f>
        <v>8019000</v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761" s="66">
        <f>IF(OR(NOTA[[#This Row],[QTY]]="",NOTA[[#This Row],[HARGA SATUAN]]="",),"",NOTA[[#This Row],[QTY]]*NOTA[[#This Row],[HARGA SATUAN]])</f>
        <v>9900000</v>
      </c>
      <c r="AI761" s="60">
        <f ca="1">IF(NOTA[ID_H]="","",INDEX(NOTA[TANGGAL],MATCH(,INDIRECT(ADDRESS(ROW(NOTA[TANGGAL]),COLUMN(NOTA[TANGGAL]))&amp;":"&amp;ADDRESS(ROW(),COLUMN(NOTA[TANGGAL]))),-1)))</f>
        <v>45321</v>
      </c>
      <c r="AJ761" s="55" t="str">
        <f ca="1">IF(NOTA[[#This Row],[NAMA BARANG]]="","",INDEX(NOTA[SUPPLIER],MATCH(,INDIRECT(ADDRESS(ROW(NOTA[ID]),COLUMN(NOTA[ID]))&amp;":"&amp;ADDRESS(ROW(),COLUMN(NOTA[ID]))),-1)))</f>
        <v>PARAMA</v>
      </c>
      <c r="AK761" s="55" t="str">
        <f ca="1">IF(NOTA[[#This Row],[ID_H]]="","",IF(NOTA[[#This Row],[FAKTUR]]="",INDIRECT(ADDRESS(ROW()-1,COLUMN())),NOTA[[#This Row],[FAKTUR]]))</f>
        <v>ARTO MORO</v>
      </c>
      <c r="AL761" s="56">
        <f ca="1">IF(NOTA[[#This Row],[ID]]="","",COUNTIF(NOTA[ID_H],NOTA[[#This Row],[ID_H]]))</f>
        <v>2</v>
      </c>
      <c r="AM761" s="56">
        <f>IF(NOTA[[#This Row],[TGL.NOTA]]="",IF(NOTA[[#This Row],[SUPPLIER_H]]="","",AM760),MONTH(NOTA[[#This Row],[TGL.NOTA]]))</f>
        <v>1</v>
      </c>
      <c r="AN761" s="56" t="str">
        <f>LOWER(SUBSTITUTE(SUBSTITUTE(SUBSTITUTE(SUBSTITUTE(SUBSTITUTE(SUBSTITUTE(SUBSTITUTE(SUBSTITUTE(SUBSTITUTE(NOTA[NAMA BARANG]," ",),".",""),"-",""),"(",""),")",""),",",""),"/",""),"""",""),"+",""))</f>
        <v>origamifluorescentalfa14x14</v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origamifluorescentalfa14x1419800000.10.1</v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origamifluorescentalfa14x1419800000.10.1</v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MOROCV.3645318origamifluorescentalfa14x14</v>
      </c>
      <c r="AR761" s="56" t="e">
        <f>IF(NOTA[[#This Row],[CONCAT4]]="","",_xlfn.IFNA(MATCH(NOTA[[#This Row],[CONCAT4]],[2]!RAW[CONCAT_H],0),FALSE))</f>
        <v>#REF!</v>
      </c>
      <c r="AS761" s="56">
        <f>IF(NOTA[[#This Row],[CONCAT1]]="","",MATCH(NOTA[[#This Row],[CONCAT1]],[3]!db[NB NOTA_C],0))</f>
        <v>2193</v>
      </c>
      <c r="AT761" s="56" t="b">
        <f>IF(NOTA[[#This Row],[QTY/ CTN]]="","",TRUE)</f>
        <v>1</v>
      </c>
      <c r="AU761" s="56" t="str">
        <f ca="1">IF(NOTA[[#This Row],[ID_H]]="","",IF(NOTA[[#This Row],[Column3]]=TRUE,NOTA[[#This Row],[QTY/ CTN]],INDEX([3]!db[QTY/ CTN],NOTA[[#This Row],[//DB]])))</f>
        <v>900 PCS</v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origamifluorescentalfa14x14900pcsartomoro</v>
      </c>
      <c r="AW761" s="56" t="e">
        <f ca="1">IF(NOTA[[#This Row],[ID_H]]="","",MATCH(NOTA[[#This Row],[NB NOTA_C_QTY]],[4]!db[NB NOTA_C_QTY+F],0))</f>
        <v>#REF!</v>
      </c>
      <c r="AX761" s="68">
        <f ca="1">IF(NOTA[[#This Row],[NB NOTA_C_QTY]]="","",ROW()-2)</f>
        <v>759</v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>
        <f ca="1">IF(NOTA[[#This Row],[NAMA BARANG]]="","",INDEX(NOTA[ID],MATCH(,INDIRECT(ADDRESS(ROW(NOTA[ID]),COLUMN(NOTA[ID]))&amp;":"&amp;ADDRESS(ROW(),COLUMN(NOTA[ID]))),-1)))</f>
        <v>130</v>
      </c>
      <c r="E762" s="57"/>
      <c r="F762" s="58"/>
      <c r="G762" s="58"/>
      <c r="H762" s="59"/>
      <c r="I762" s="58"/>
      <c r="J762" s="60"/>
      <c r="K762" s="58">
        <v>2</v>
      </c>
      <c r="L762" s="37" t="s">
        <v>846</v>
      </c>
      <c r="M762" s="61">
        <v>5</v>
      </c>
      <c r="N762" s="56">
        <v>3750</v>
      </c>
      <c r="O762" s="37" t="s">
        <v>115</v>
      </c>
      <c r="P762" s="55">
        <v>2600</v>
      </c>
      <c r="Q762" s="62"/>
      <c r="R762" s="48" t="s">
        <v>848</v>
      </c>
      <c r="S762" s="64">
        <v>0.1</v>
      </c>
      <c r="T762" s="65">
        <v>0.1</v>
      </c>
      <c r="U762" s="65"/>
      <c r="V762" s="66">
        <v>318330</v>
      </c>
      <c r="W762" s="45" t="s">
        <v>849</v>
      </c>
      <c r="X762" s="66">
        <f>IF(NOTA[[#This Row],[HARGA/ CTN]]="",NOTA[[#This Row],[JUMLAH_H]],NOTA[[#This Row],[HARGA/ CTN]]*IF(NOTA[[#This Row],[C]]="",0,NOTA[[#This Row],[C]]))</f>
        <v>9750000</v>
      </c>
      <c r="Y762" s="66">
        <f>IF(NOTA[[#This Row],[JUMLAH]]="","",NOTA[[#This Row],[JUMLAH]]*NOTA[[#This Row],[DISC 1]])</f>
        <v>975000</v>
      </c>
      <c r="Z762" s="66">
        <f>IF(NOTA[[#This Row],[JUMLAH]]="","",(NOTA[[#This Row],[JUMLAH]]-NOTA[[#This Row],[DISC 1-]])*NOTA[[#This Row],[DISC 2]])</f>
        <v>877500</v>
      </c>
      <c r="AA762" s="66">
        <f>IF(NOTA[[#This Row],[JUMLAH]]="","",(NOTA[[#This Row],[JUMLAH]]-NOTA[[#This Row],[DISC 1-]]-NOTA[[#This Row],[DISC 2-]])*NOTA[[#This Row],[DISC 3]])</f>
        <v>0</v>
      </c>
      <c r="AB762" s="66">
        <f>IF(NOTA[[#This Row],[JUMLAH]]="","",NOTA[[#This Row],[DISC 1-]]+NOTA[[#This Row],[DISC 2-]]+NOTA[[#This Row],[DISC 3-]])</f>
        <v>1852500</v>
      </c>
      <c r="AC762" s="66">
        <f>IF(NOTA[[#This Row],[JUMLAH]]="","",NOTA[[#This Row],[JUMLAH]]-NOTA[[#This Row],[DISC]])</f>
        <v>7897500</v>
      </c>
      <c r="AD762" s="66"/>
      <c r="AE7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4051830</v>
      </c>
      <c r="AF7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15598170</v>
      </c>
      <c r="AG762" s="5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H762" s="66">
        <f>IF(OR(NOTA[[#This Row],[QTY]]="",NOTA[[#This Row],[HARGA SATUAN]]="",),"",NOTA[[#This Row],[QTY]]*NOTA[[#This Row],[HARGA SATUAN]])</f>
        <v>9750000</v>
      </c>
      <c r="AI762" s="60">
        <f ca="1">IF(NOTA[ID_H]="","",INDEX(NOTA[TANGGAL],MATCH(,INDIRECT(ADDRESS(ROW(NOTA[TANGGAL]),COLUMN(NOTA[TANGGAL]))&amp;":"&amp;ADDRESS(ROW(),COLUMN(NOTA[TANGGAL]))),-1)))</f>
        <v>45321</v>
      </c>
      <c r="AJ762" s="55" t="str">
        <f ca="1">IF(NOTA[[#This Row],[NAMA BARANG]]="","",INDEX(NOTA[SUPPLIER],MATCH(,INDIRECT(ADDRESS(ROW(NOTA[ID]),COLUMN(NOTA[ID]))&amp;":"&amp;ADDRESS(ROW(),COLUMN(NOTA[ID]))),-1)))</f>
        <v>PARAMA</v>
      </c>
      <c r="AK762" s="55" t="str">
        <f ca="1">IF(NOTA[[#This Row],[ID_H]]="","",IF(NOTA[[#This Row],[FAKTUR]]="",INDIRECT(ADDRESS(ROW()-1,COLUMN())),NOTA[[#This Row],[FAKTUR]]))</f>
        <v>ARTO MORO</v>
      </c>
      <c r="AL762" s="56" t="str">
        <f ca="1">IF(NOTA[[#This Row],[ID]]="","",COUNTIF(NOTA[ID_H],NOTA[[#This Row],[ID_H]]))</f>
        <v/>
      </c>
      <c r="AM762" s="56">
        <f ca="1">IF(NOTA[[#This Row],[TGL.NOTA]]="",IF(NOTA[[#This Row],[SUPPLIER_H]]="","",AM761),MONTH(NOTA[[#This Row],[TGL.NOTA]]))</f>
        <v>1</v>
      </c>
      <c r="AN762" s="56" t="str">
        <f>LOWER(SUBSTITUTE(SUBSTITUTE(SUBSTITUTE(SUBSTITUTE(SUBSTITUTE(SUBSTITUTE(SUBSTITUTE(SUBSTITUTE(SUBSTITUTE(NOTA[NAMA BARANG]," ",),".",""),"-",""),"(",""),")",""),",",""),"/",""),"""",""),"+",""))</f>
        <v>origamifluorescentalfa16x16</v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origamifluorescentalfa16x1619500000.10.1</v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origamifluorescentalfa16x1619500000.10.1</v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>
        <f>IF(NOTA[[#This Row],[CONCAT1]]="","",MATCH(NOTA[[#This Row],[CONCAT1]],[3]!db[NB NOTA_C],0))</f>
        <v>2194</v>
      </c>
      <c r="AT762" s="56" t="b">
        <f>IF(NOTA[[#This Row],[QTY/ CTN]]="","",TRUE)</f>
        <v>1</v>
      </c>
      <c r="AU762" s="56" t="str">
        <f ca="1">IF(NOTA[[#This Row],[ID_H]]="","",IF(NOTA[[#This Row],[Column3]]=TRUE,NOTA[[#This Row],[QTY/ CTN]],INDEX([3]!db[QTY/ CTN],NOTA[[#This Row],[//DB]])))</f>
        <v>750 PCS</v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origamifluorescentalfa16x16750pcsartomoro</v>
      </c>
      <c r="AW762" s="56" t="e">
        <f ca="1">IF(NOTA[[#This Row],[ID_H]]="","",MATCH(NOTA[[#This Row],[NB NOTA_C_QTY]],[4]!db[NB NOTA_C_QTY+F],0))</f>
        <v>#REF!</v>
      </c>
      <c r="AX762" s="68">
        <f ca="1">IF(NOTA[[#This Row],[NB NOTA_C_QTY]]="","",ROW()-2)</f>
        <v>760</v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>
        <f ca="1">IF(INDIRECT(ADDRESS(ROW()-1,COLUMN(NOTA[[#Headers],[ID]])))="ID",1,IF(NOTA[[#This Row],[FAKTUR]]="","",COUNT(INDIRECT(ADDRESS(ROW(NOTA[ID]),COLUMN(NOTA[ID]))&amp;":"&amp;ADDRESS(ROW()-1,COLUMN(NOTA[ID]))))+1))</f>
        <v>131</v>
      </c>
      <c r="B76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LAY_0102_032-2</v>
      </c>
      <c r="C764" s="56" t="e">
        <f ca="1">IF(NOTA[[#This Row],[ID_P]]="","",MATCH(NOTA[[#This Row],[ID_P]],[1]!B_MSK[N_ID],0))</f>
        <v>#REF!</v>
      </c>
      <c r="D764" s="56">
        <f ca="1">IF(NOTA[[#This Row],[NAMA BARANG]]="","",INDEX(NOTA[ID],MATCH(,INDIRECT(ADDRESS(ROW(NOTA[ID]),COLUMN(NOTA[ID]))&amp;":"&amp;ADDRESS(ROW(),COLUMN(NOTA[ID]))),-1)))</f>
        <v>131</v>
      </c>
      <c r="E764" s="57">
        <v>45323</v>
      </c>
      <c r="F764" s="37" t="s">
        <v>27</v>
      </c>
      <c r="G764" s="37" t="s">
        <v>23</v>
      </c>
      <c r="H764" s="47" t="s">
        <v>850</v>
      </c>
      <c r="I764" s="58"/>
      <c r="J764" s="60">
        <v>45316</v>
      </c>
      <c r="K764" s="58"/>
      <c r="L764" s="37" t="s">
        <v>851</v>
      </c>
      <c r="M764" s="61">
        <v>40</v>
      </c>
      <c r="N764" s="56">
        <v>4000</v>
      </c>
      <c r="O764" s="37" t="s">
        <v>135</v>
      </c>
      <c r="P764" s="55">
        <v>14000</v>
      </c>
      <c r="Q764" s="62"/>
      <c r="R764" s="48" t="s">
        <v>326</v>
      </c>
      <c r="S764" s="64">
        <v>0.1</v>
      </c>
      <c r="T764" s="65"/>
      <c r="U764" s="65"/>
      <c r="V764" s="66"/>
      <c r="W764" s="67"/>
      <c r="X764" s="66">
        <f>IF(NOTA[[#This Row],[HARGA/ CTN]]="",NOTA[[#This Row],[JUMLAH_H]],NOTA[[#This Row],[HARGA/ CTN]]*IF(NOTA[[#This Row],[C]]="",0,NOTA[[#This Row],[C]]))</f>
        <v>56000000</v>
      </c>
      <c r="Y764" s="66">
        <f>IF(NOTA[[#This Row],[JUMLAH]]="","",NOTA[[#This Row],[JUMLAH]]*NOTA[[#This Row],[DISC 1]])</f>
        <v>5600000</v>
      </c>
      <c r="Z764" s="66">
        <f>IF(NOTA[[#This Row],[JUMLAH]]="","",(NOTA[[#This Row],[JUMLAH]]-NOTA[[#This Row],[DISC 1-]])*NOTA[[#This Row],[DISC 2]])</f>
        <v>0</v>
      </c>
      <c r="AA764" s="66">
        <f>IF(NOTA[[#This Row],[JUMLAH]]="","",(NOTA[[#This Row],[JUMLAH]]-NOTA[[#This Row],[DISC 1-]]-NOTA[[#This Row],[DISC 2-]])*NOTA[[#This Row],[DISC 3]])</f>
        <v>0</v>
      </c>
      <c r="AB764" s="66">
        <f>IF(NOTA[[#This Row],[JUMLAH]]="","",NOTA[[#This Row],[DISC 1-]]+NOTA[[#This Row],[DISC 2-]]+NOTA[[#This Row],[DISC 3-]])</f>
        <v>5600000</v>
      </c>
      <c r="AC764" s="66">
        <f>IF(NOTA[[#This Row],[JUMLAH]]="","",NOTA[[#This Row],[JUMLAH]]-NOTA[[#This Row],[DISC]])</f>
        <v>50400000</v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764" s="66">
        <f>IF(OR(NOTA[[#This Row],[QTY]]="",NOTA[[#This Row],[HARGA SATUAN]]="",),"",NOTA[[#This Row],[QTY]]*NOTA[[#This Row],[HARGA SATUAN]])</f>
        <v>56000000</v>
      </c>
      <c r="AI764" s="60">
        <f ca="1">IF(NOTA[ID_H]="","",INDEX(NOTA[TANGGAL],MATCH(,INDIRECT(ADDRESS(ROW(NOTA[TANGGAL]),COLUMN(NOTA[TANGGAL]))&amp;":"&amp;ADDRESS(ROW(),COLUMN(NOTA[TANGGAL]))),-1)))</f>
        <v>45323</v>
      </c>
      <c r="AJ764" s="55" t="str">
        <f ca="1">IF(NOTA[[#This Row],[NAMA BARANG]]="","",INDEX(NOTA[SUPPLIER],MATCH(,INDIRECT(ADDRESS(ROW(NOTA[ID]),COLUMN(NOTA[ID]))&amp;":"&amp;ADDRESS(ROW(),COLUMN(NOTA[ID]))),-1)))</f>
        <v>LAYS</v>
      </c>
      <c r="AK764" s="55" t="str">
        <f ca="1">IF(NOTA[[#This Row],[ID_H]]="","",IF(NOTA[[#This Row],[FAKTUR]]="",INDIRECT(ADDRESS(ROW()-1,COLUMN())),NOTA[[#This Row],[FAKTUR]]))</f>
        <v>ARTO MORO</v>
      </c>
      <c r="AL764" s="56">
        <f ca="1">IF(NOTA[[#This Row],[ID]]="","",COUNTIF(NOTA[ID_H],NOTA[[#This Row],[ID_H]]))</f>
        <v>2</v>
      </c>
      <c r="AM764" s="56">
        <f>IF(NOTA[[#This Row],[TGL.NOTA]]="",IF(NOTA[[#This Row],[SUPPLIER_H]]="","",AM763),MONTH(NOTA[[#This Row],[TGL.NOTA]]))</f>
        <v>1</v>
      </c>
      <c r="AN764" s="56" t="str">
        <f>LOWER(SUBSTITUTE(SUBSTITUTE(SUBSTITUTE(SUBSTITUTE(SUBSTITUTE(SUBSTITUTE(SUBSTITUTE(SUBSTITUTE(SUBSTITUTE(NOTA[NAMA BARANG]," ",),".",""),"-",""),"(",""),")",""),",",""),"/",""),"""",""),"+",""))</f>
        <v>isigwno10</v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>LAYSARTO MOROL30103245316isigwno10</v>
      </c>
      <c r="AR764" s="56" t="e">
        <f>IF(NOTA[[#This Row],[CONCAT4]]="","",_xlfn.IFNA(MATCH(NOTA[[#This Row],[CONCAT4]],[2]!RAW[CONCAT_H],0),FALSE))</f>
        <v>#REF!</v>
      </c>
      <c r="AS764" s="56">
        <f>IF(NOTA[[#This Row],[CONCAT1]]="","",MATCH(NOTA[[#This Row],[CONCAT1]],[3]!db[NB NOTA_C],0))</f>
        <v>1431</v>
      </c>
      <c r="AT764" s="56" t="b">
        <f>IF(NOTA[[#This Row],[QTY/ CTN]]="","",TRUE)</f>
        <v>1</v>
      </c>
      <c r="AU764" s="56" t="str">
        <f ca="1">IF(NOTA[[#This Row],[ID_H]]="","",IF(NOTA[[#This Row],[Column3]]=TRUE,NOTA[[#This Row],[QTY/ CTN]],INDEX([3]!db[QTY/ CTN],NOTA[[#This Row],[//DB]])))</f>
        <v>100 PAK</v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764" s="56" t="e">
        <f ca="1">IF(NOTA[[#This Row],[ID_H]]="","",MATCH(NOTA[[#This Row],[NB NOTA_C_QTY]],[4]!db[NB NOTA_C_QTY+F],0))</f>
        <v>#REF!</v>
      </c>
      <c r="AX764" s="68">
        <f ca="1">IF(NOTA[[#This Row],[NB NOTA_C_QTY]]="","",ROW()-2)</f>
        <v>762</v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>
        <f ca="1">IF(NOTA[[#This Row],[NAMA BARANG]]="","",INDEX(NOTA[ID],MATCH(,INDIRECT(ADDRESS(ROW(NOTA[ID]),COLUMN(NOTA[ID]))&amp;":"&amp;ADDRESS(ROW(),COLUMN(NOTA[ID]))),-1)))</f>
        <v>131</v>
      </c>
      <c r="E765" s="57"/>
      <c r="F765" s="58"/>
      <c r="G765" s="58"/>
      <c r="H765" s="59"/>
      <c r="I765" s="58"/>
      <c r="J765" s="60"/>
      <c r="K765" s="58"/>
      <c r="L765" s="37" t="s">
        <v>852</v>
      </c>
      <c r="M765" s="61">
        <v>5</v>
      </c>
      <c r="N765" s="56">
        <v>250</v>
      </c>
      <c r="O765" s="37" t="s">
        <v>135</v>
      </c>
      <c r="P765" s="55">
        <v>24000</v>
      </c>
      <c r="Q765" s="62"/>
      <c r="R765" s="63"/>
      <c r="S765" s="64"/>
      <c r="T765" s="65"/>
      <c r="U765" s="65"/>
      <c r="V765" s="66"/>
      <c r="W765" s="67"/>
      <c r="X765" s="66">
        <f>IF(NOTA[[#This Row],[HARGA/ CTN]]="",NOTA[[#This Row],[JUMLAH_H]],NOTA[[#This Row],[HARGA/ CTN]]*IF(NOTA[[#This Row],[C]]="",0,NOTA[[#This Row],[C]]))</f>
        <v>6000000</v>
      </c>
      <c r="Y765" s="66">
        <f>IF(NOTA[[#This Row],[JUMLAH]]="","",NOTA[[#This Row],[JUMLAH]]*NOTA[[#This Row],[DISC 1]])</f>
        <v>0</v>
      </c>
      <c r="Z765" s="66">
        <f>IF(NOTA[[#This Row],[JUMLAH]]="","",(NOTA[[#This Row],[JUMLAH]]-NOTA[[#This Row],[DISC 1-]])*NOTA[[#This Row],[DISC 2]])</f>
        <v>0</v>
      </c>
      <c r="AA765" s="66">
        <f>IF(NOTA[[#This Row],[JUMLAH]]="","",(NOTA[[#This Row],[JUMLAH]]-NOTA[[#This Row],[DISC 1-]]-NOTA[[#This Row],[DISC 2-]])*NOTA[[#This Row],[DISC 3]])</f>
        <v>0</v>
      </c>
      <c r="AB765" s="66">
        <f>IF(NOTA[[#This Row],[JUMLAH]]="","",NOTA[[#This Row],[DISC 1-]]+NOTA[[#This Row],[DISC 2-]]+NOTA[[#This Row],[DISC 3-]])</f>
        <v>0</v>
      </c>
      <c r="AC765" s="66">
        <f>IF(NOTA[[#This Row],[JUMLAH]]="","",NOTA[[#This Row],[JUMLAH]]-NOTA[[#This Row],[DISC]])</f>
        <v>6000000</v>
      </c>
      <c r="AD765" s="66"/>
      <c r="AE76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5600000</v>
      </c>
      <c r="AF76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56400000</v>
      </c>
      <c r="AG765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765" s="66">
        <f>IF(OR(NOTA[[#This Row],[QTY]]="",NOTA[[#This Row],[HARGA SATUAN]]="",),"",NOTA[[#This Row],[QTY]]*NOTA[[#This Row],[HARGA SATUAN]])</f>
        <v>6000000</v>
      </c>
      <c r="AI765" s="60">
        <f ca="1">IF(NOTA[ID_H]="","",INDEX(NOTA[TANGGAL],MATCH(,INDIRECT(ADDRESS(ROW(NOTA[TANGGAL]),COLUMN(NOTA[TANGGAL]))&amp;":"&amp;ADDRESS(ROW(),COLUMN(NOTA[TANGGAL]))),-1)))</f>
        <v>45323</v>
      </c>
      <c r="AJ765" s="55" t="str">
        <f ca="1">IF(NOTA[[#This Row],[NAMA BARANG]]="","",INDEX(NOTA[SUPPLIER],MATCH(,INDIRECT(ADDRESS(ROW(NOTA[ID]),COLUMN(NOTA[ID]))&amp;":"&amp;ADDRESS(ROW(),COLUMN(NOTA[ID]))),-1)))</f>
        <v>LAYS</v>
      </c>
      <c r="AK765" s="55" t="str">
        <f ca="1">IF(NOTA[[#This Row],[ID_H]]="","",IF(NOTA[[#This Row],[FAKTUR]]="",INDIRECT(ADDRESS(ROW()-1,COLUMN())),NOTA[[#This Row],[FAKTUR]]))</f>
        <v>ARTO MORO</v>
      </c>
      <c r="AL765" s="56" t="str">
        <f ca="1">IF(NOTA[[#This Row],[ID]]="","",COUNTIF(NOTA[ID_H],NOTA[[#This Row],[ID_H]]))</f>
        <v/>
      </c>
      <c r="AM765" s="56">
        <f ca="1">IF(NOTA[[#This Row],[TGL.NOTA]]="",IF(NOTA[[#This Row],[SUPPLIER_H]]="","",AM764),MONTH(NOTA[[#This Row],[TGL.NOTA]]))</f>
        <v>1</v>
      </c>
      <c r="AN765" s="56" t="str">
        <f>LOWER(SUBSTITUTE(SUBSTITUTE(SUBSTITUTE(SUBSTITUTE(SUBSTITUTE(SUBSTITUTE(SUBSTITUTE(SUBSTITUTE(SUBSTITUTE(NOTA[NAMA BARANG]," ",),".",""),"-",""),"(",""),")",""),",",""),"/",""),"""",""),"+",""))</f>
        <v>isigwno369</v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>
        <f>IF(NOTA[[#This Row],[CONCAT1]]="","",MATCH(NOTA[[#This Row],[CONCAT1]],[3]!db[NB NOTA_C],0))</f>
        <v>1432</v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>50 PAK</v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765" s="56" t="e">
        <f ca="1">IF(NOTA[[#This Row],[ID_H]]="","",MATCH(NOTA[[#This Row],[NB NOTA_C_QTY]],[4]!db[NB NOTA_C_QTY+F],0))</f>
        <v>#REF!</v>
      </c>
      <c r="AX765" s="68">
        <f ca="1">IF(NOTA[[#This Row],[NB NOTA_C_QTY]]="","",ROW()-2)</f>
        <v>763</v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>
        <f ca="1">IF(INDIRECT(ADDRESS(ROW()-1,COLUMN(NOTA[[#Headers],[ID]])))="ID",1,IF(NOTA[[#This Row],[FAKTUR]]="","",COUNT(INDIRECT(ADDRESS(ROW(NOTA[ID]),COLUMN(NOTA[ID]))&amp;":"&amp;ADDRESS(ROW()-1,COLUMN(NOTA[ID]))))+1))</f>
        <v>132</v>
      </c>
      <c r="B76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ATA_2901_538-4</v>
      </c>
      <c r="C767" s="56" t="e">
        <f ca="1">IF(NOTA[[#This Row],[ID_P]]="","",MATCH(NOTA[[#This Row],[ID_P]],[1]!B_MSK[N_ID],0))</f>
        <v>#REF!</v>
      </c>
      <c r="D767" s="56">
        <f ca="1">IF(NOTA[[#This Row],[NAMA BARANG]]="","",INDEX(NOTA[ID],MATCH(,INDIRECT(ADDRESS(ROW(NOTA[ID]),COLUMN(NOTA[ID]))&amp;":"&amp;ADDRESS(ROW(),COLUMN(NOTA[ID]))),-1)))</f>
        <v>132</v>
      </c>
      <c r="E767" s="57">
        <v>45320</v>
      </c>
      <c r="F767" s="37" t="s">
        <v>24</v>
      </c>
      <c r="G767" s="37" t="s">
        <v>23</v>
      </c>
      <c r="H767" s="47" t="s">
        <v>853</v>
      </c>
      <c r="I767" s="58"/>
      <c r="J767" s="60">
        <v>45315</v>
      </c>
      <c r="K767" s="58">
        <v>0</v>
      </c>
      <c r="L767" s="37" t="s">
        <v>854</v>
      </c>
      <c r="M767" s="61"/>
      <c r="N767" s="56">
        <v>72</v>
      </c>
      <c r="O767" s="37" t="s">
        <v>115</v>
      </c>
      <c r="P767" s="55">
        <v>4800</v>
      </c>
      <c r="Q767" s="62"/>
      <c r="R767" s="63"/>
      <c r="S767" s="64">
        <v>0.125</v>
      </c>
      <c r="T767" s="65">
        <v>0.05</v>
      </c>
      <c r="U767" s="65"/>
      <c r="V767" s="66"/>
      <c r="W767" s="67"/>
      <c r="X767" s="66">
        <f>IF(NOTA[[#This Row],[HARGA/ CTN]]="",NOTA[[#This Row],[JUMLAH_H]],NOTA[[#This Row],[HARGA/ CTN]]*IF(NOTA[[#This Row],[C]]="",0,NOTA[[#This Row],[C]]))</f>
        <v>345600</v>
      </c>
      <c r="Y767" s="66">
        <f>IF(NOTA[[#This Row],[JUMLAH]]="","",NOTA[[#This Row],[JUMLAH]]*NOTA[[#This Row],[DISC 1]])</f>
        <v>43200</v>
      </c>
      <c r="Z767" s="66">
        <f>IF(NOTA[[#This Row],[JUMLAH]]="","",(NOTA[[#This Row],[JUMLAH]]-NOTA[[#This Row],[DISC 1-]])*NOTA[[#This Row],[DISC 2]])</f>
        <v>15120</v>
      </c>
      <c r="AA767" s="66">
        <f>IF(NOTA[[#This Row],[JUMLAH]]="","",(NOTA[[#This Row],[JUMLAH]]-NOTA[[#This Row],[DISC 1-]]-NOTA[[#This Row],[DISC 2-]])*NOTA[[#This Row],[DISC 3]])</f>
        <v>0</v>
      </c>
      <c r="AB767" s="66">
        <f>IF(NOTA[[#This Row],[JUMLAH]]="","",NOTA[[#This Row],[DISC 1-]]+NOTA[[#This Row],[DISC 2-]]+NOTA[[#This Row],[DISC 3-]])</f>
        <v>58320</v>
      </c>
      <c r="AC767" s="66">
        <f>IF(NOTA[[#This Row],[JUMLAH]]="","",NOTA[[#This Row],[JUMLAH]]-NOTA[[#This Row],[DISC]])</f>
        <v>287280</v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67" s="66">
        <f>IF(OR(NOTA[[#This Row],[QTY]]="",NOTA[[#This Row],[HARGA SATUAN]]="",),"",NOTA[[#This Row],[QTY]]*NOTA[[#This Row],[HARGA SATUAN]])</f>
        <v>345600</v>
      </c>
      <c r="AI767" s="60">
        <f ca="1">IF(NOTA[ID_H]="","",INDEX(NOTA[TANGGAL],MATCH(,INDIRECT(ADDRESS(ROW(NOTA[TANGGAL]),COLUMN(NOTA[TANGGAL]))&amp;":"&amp;ADDRESS(ROW(),COLUMN(NOTA[TANGGAL]))),-1)))</f>
        <v>45320</v>
      </c>
      <c r="AJ767" s="55" t="str">
        <f ca="1">IF(NOTA[[#This Row],[NAMA BARANG]]="","",INDEX(NOTA[SUPPLIER],MATCH(,INDIRECT(ADDRESS(ROW(NOTA[ID]),COLUMN(NOTA[ID]))&amp;":"&amp;ADDRESS(ROW(),COLUMN(NOTA[ID]))),-1)))</f>
        <v>ATALI MAKMUR</v>
      </c>
      <c r="AK767" s="55" t="str">
        <f ca="1">IF(NOTA[[#This Row],[ID_H]]="","",IF(NOTA[[#This Row],[FAKTUR]]="",INDIRECT(ADDRESS(ROW()-1,COLUMN())),NOTA[[#This Row],[FAKTUR]]))</f>
        <v>ARTO MORO</v>
      </c>
      <c r="AL767" s="56">
        <f ca="1">IF(NOTA[[#This Row],[ID]]="","",COUNTIF(NOTA[ID_H],NOTA[[#This Row],[ID_H]]))</f>
        <v>4</v>
      </c>
      <c r="AM767" s="56">
        <f>IF(NOTA[[#This Row],[TGL.NOTA]]="",IF(NOTA[[#This Row],[SUPPLIER_H]]="","",AM766),MONTH(NOTA[[#This Row],[TGL.NOTA]]))</f>
        <v>1</v>
      </c>
      <c r="AN767" s="56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MOROSA24010153845315pencilcasepc0719pl32redjk</v>
      </c>
      <c r="AR767" s="56" t="e">
        <f>IF(NOTA[[#This Row],[CONCAT4]]="","",_xlfn.IFNA(MATCH(NOTA[[#This Row],[CONCAT4]],[2]!RAW[CONCAT_H],0),FALSE))</f>
        <v>#REF!</v>
      </c>
      <c r="AS767" s="56">
        <f>IF(NOTA[[#This Row],[CONCAT1]]="","",MATCH(NOTA[[#This Row],[CONCAT1]],[3]!db[NB NOTA_C],0))</f>
        <v>2464</v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>288 PCS</v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pencilcasepc0719pl32redjk288pcsartomoro</v>
      </c>
      <c r="AW767" s="56" t="e">
        <f ca="1">IF(NOTA[[#This Row],[ID_H]]="","",MATCH(NOTA[[#This Row],[NB NOTA_C_QTY]],[4]!db[NB NOTA_C_QTY+F],0))</f>
        <v>#REF!</v>
      </c>
      <c r="AX767" s="68">
        <f ca="1">IF(NOTA[[#This Row],[NB NOTA_C_QTY]]="","",ROW()-2)</f>
        <v>765</v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>
        <f ca="1">IF(NOTA[[#This Row],[NAMA BARANG]]="","",INDEX(NOTA[ID],MATCH(,INDIRECT(ADDRESS(ROW(NOTA[ID]),COLUMN(NOTA[ID]))&amp;":"&amp;ADDRESS(ROW(),COLUMN(NOTA[ID]))),-1)))</f>
        <v>132</v>
      </c>
      <c r="E768" s="57"/>
      <c r="F768" s="58"/>
      <c r="G768" s="58"/>
      <c r="H768" s="59"/>
      <c r="I768" s="58"/>
      <c r="J768" s="60"/>
      <c r="K768" s="58">
        <v>0</v>
      </c>
      <c r="L768" s="37" t="s">
        <v>855</v>
      </c>
      <c r="M768" s="61"/>
      <c r="N768" s="56">
        <v>72</v>
      </c>
      <c r="O768" s="37" t="s">
        <v>115</v>
      </c>
      <c r="P768" s="55">
        <v>4800</v>
      </c>
      <c r="Q768" s="62"/>
      <c r="R768" s="63"/>
      <c r="S768" s="64">
        <v>0.125</v>
      </c>
      <c r="T768" s="65">
        <v>0.05</v>
      </c>
      <c r="U768" s="65"/>
      <c r="V768" s="66"/>
      <c r="W768" s="67"/>
      <c r="X768" s="66">
        <f>IF(NOTA[[#This Row],[HARGA/ CTN]]="",NOTA[[#This Row],[JUMLAH_H]],NOTA[[#This Row],[HARGA/ CTN]]*IF(NOTA[[#This Row],[C]]="",0,NOTA[[#This Row],[C]]))</f>
        <v>345600</v>
      </c>
      <c r="Y768" s="66">
        <f>IF(NOTA[[#This Row],[JUMLAH]]="","",NOTA[[#This Row],[JUMLAH]]*NOTA[[#This Row],[DISC 1]])</f>
        <v>43200</v>
      </c>
      <c r="Z768" s="66">
        <f>IF(NOTA[[#This Row],[JUMLAH]]="","",(NOTA[[#This Row],[JUMLAH]]-NOTA[[#This Row],[DISC 1-]])*NOTA[[#This Row],[DISC 2]])</f>
        <v>15120</v>
      </c>
      <c r="AA768" s="66">
        <f>IF(NOTA[[#This Row],[JUMLAH]]="","",(NOTA[[#This Row],[JUMLAH]]-NOTA[[#This Row],[DISC 1-]]-NOTA[[#This Row],[DISC 2-]])*NOTA[[#This Row],[DISC 3]])</f>
        <v>0</v>
      </c>
      <c r="AB768" s="66">
        <f>IF(NOTA[[#This Row],[JUMLAH]]="","",NOTA[[#This Row],[DISC 1-]]+NOTA[[#This Row],[DISC 2-]]+NOTA[[#This Row],[DISC 3-]])</f>
        <v>58320</v>
      </c>
      <c r="AC768" s="66">
        <f>IF(NOTA[[#This Row],[JUMLAH]]="","",NOTA[[#This Row],[JUMLAH]]-NOTA[[#This Row],[DISC]])</f>
        <v>287280</v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68" s="66">
        <f>IF(OR(NOTA[[#This Row],[QTY]]="",NOTA[[#This Row],[HARGA SATUAN]]="",),"",NOTA[[#This Row],[QTY]]*NOTA[[#This Row],[HARGA SATUAN]])</f>
        <v>345600</v>
      </c>
      <c r="AI768" s="60">
        <f ca="1">IF(NOTA[ID_H]="","",INDEX(NOTA[TANGGAL],MATCH(,INDIRECT(ADDRESS(ROW(NOTA[TANGGAL]),COLUMN(NOTA[TANGGAL]))&amp;":"&amp;ADDRESS(ROW(),COLUMN(NOTA[TANGGAL]))),-1)))</f>
        <v>45320</v>
      </c>
      <c r="AJ768" s="55" t="str">
        <f ca="1">IF(NOTA[[#This Row],[NAMA BARANG]]="","",INDEX(NOTA[SUPPLIER],MATCH(,INDIRECT(ADDRESS(ROW(NOTA[ID]),COLUMN(NOTA[ID]))&amp;":"&amp;ADDRESS(ROW(),COLUMN(NOTA[ID]))),-1)))</f>
        <v>ATALI MAKMUR</v>
      </c>
      <c r="AK768" s="55" t="str">
        <f ca="1">IF(NOTA[[#This Row],[ID_H]]="","",IF(NOTA[[#This Row],[FAKTUR]]="",INDIRECT(ADDRESS(ROW()-1,COLUMN())),NOTA[[#This Row],[FAKTUR]]))</f>
        <v>ARTO MORO</v>
      </c>
      <c r="AL768" s="56" t="str">
        <f ca="1">IF(NOTA[[#This Row],[ID]]="","",COUNTIF(NOTA[ID_H],NOTA[[#This Row],[ID_H]]))</f>
        <v/>
      </c>
      <c r="AM768" s="56">
        <f ca="1">IF(NOTA[[#This Row],[TGL.NOTA]]="",IF(NOTA[[#This Row],[SUPPLIER_H]]="","",AM767),MONTH(NOTA[[#This Row],[TGL.NOTA]]))</f>
        <v>1</v>
      </c>
      <c r="AN768" s="56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>
        <f>IF(NOTA[[#This Row],[CONCAT1]]="","",MATCH(NOTA[[#This Row],[CONCAT1]],[3]!db[NB NOTA_C],0))</f>
        <v>2463</v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>288 PCS</v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pencilcasepc0719pl32greenjk288pcsartomoro</v>
      </c>
      <c r="AW768" s="56" t="e">
        <f ca="1">IF(NOTA[[#This Row],[ID_H]]="","",MATCH(NOTA[[#This Row],[NB NOTA_C_QTY]],[4]!db[NB NOTA_C_QTY+F],0))</f>
        <v>#REF!</v>
      </c>
      <c r="AX768" s="68">
        <f ca="1">IF(NOTA[[#This Row],[NB NOTA_C_QTY]]="","",ROW()-2)</f>
        <v>766</v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>
        <f ca="1">IF(NOTA[[#This Row],[NAMA BARANG]]="","",INDEX(NOTA[ID],MATCH(,INDIRECT(ADDRESS(ROW(NOTA[ID]),COLUMN(NOTA[ID]))&amp;":"&amp;ADDRESS(ROW(),COLUMN(NOTA[ID]))),-1)))</f>
        <v>132</v>
      </c>
      <c r="E769" s="57"/>
      <c r="F769" s="58"/>
      <c r="G769" s="58"/>
      <c r="H769" s="59"/>
      <c r="I769" s="58"/>
      <c r="J769" s="60"/>
      <c r="K769" s="58">
        <v>0</v>
      </c>
      <c r="L769" s="37" t="s">
        <v>856</v>
      </c>
      <c r="M769" s="61"/>
      <c r="N769" s="56">
        <v>72</v>
      </c>
      <c r="O769" s="37" t="s">
        <v>115</v>
      </c>
      <c r="P769" s="55">
        <v>4800</v>
      </c>
      <c r="Q769" s="62"/>
      <c r="R769" s="63"/>
      <c r="S769" s="64">
        <v>0.125</v>
      </c>
      <c r="T769" s="65">
        <v>0.05</v>
      </c>
      <c r="U769" s="65"/>
      <c r="V769" s="66"/>
      <c r="W769" s="67"/>
      <c r="X769" s="66">
        <f>IF(NOTA[[#This Row],[HARGA/ CTN]]="",NOTA[[#This Row],[JUMLAH_H]],NOTA[[#This Row],[HARGA/ CTN]]*IF(NOTA[[#This Row],[C]]="",0,NOTA[[#This Row],[C]]))</f>
        <v>345600</v>
      </c>
      <c r="Y769" s="66">
        <f>IF(NOTA[[#This Row],[JUMLAH]]="","",NOTA[[#This Row],[JUMLAH]]*NOTA[[#This Row],[DISC 1]])</f>
        <v>43200</v>
      </c>
      <c r="Z769" s="66">
        <f>IF(NOTA[[#This Row],[JUMLAH]]="","",(NOTA[[#This Row],[JUMLAH]]-NOTA[[#This Row],[DISC 1-]])*NOTA[[#This Row],[DISC 2]])</f>
        <v>15120</v>
      </c>
      <c r="AA769" s="66">
        <f>IF(NOTA[[#This Row],[JUMLAH]]="","",(NOTA[[#This Row],[JUMLAH]]-NOTA[[#This Row],[DISC 1-]]-NOTA[[#This Row],[DISC 2-]])*NOTA[[#This Row],[DISC 3]])</f>
        <v>0</v>
      </c>
      <c r="AB769" s="66">
        <f>IF(NOTA[[#This Row],[JUMLAH]]="","",NOTA[[#This Row],[DISC 1-]]+NOTA[[#This Row],[DISC 2-]]+NOTA[[#This Row],[DISC 3-]])</f>
        <v>58320</v>
      </c>
      <c r="AC769" s="66">
        <f>IF(NOTA[[#This Row],[JUMLAH]]="","",NOTA[[#This Row],[JUMLAH]]-NOTA[[#This Row],[DISC]])</f>
        <v>287280</v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69" s="66">
        <f>IF(OR(NOTA[[#This Row],[QTY]]="",NOTA[[#This Row],[HARGA SATUAN]]="",),"",NOTA[[#This Row],[QTY]]*NOTA[[#This Row],[HARGA SATUAN]])</f>
        <v>345600</v>
      </c>
      <c r="AI769" s="60">
        <f ca="1">IF(NOTA[ID_H]="","",INDEX(NOTA[TANGGAL],MATCH(,INDIRECT(ADDRESS(ROW(NOTA[TANGGAL]),COLUMN(NOTA[TANGGAL]))&amp;":"&amp;ADDRESS(ROW(),COLUMN(NOTA[TANGGAL]))),-1)))</f>
        <v>45320</v>
      </c>
      <c r="AJ769" s="55" t="str">
        <f ca="1">IF(NOTA[[#This Row],[NAMA BARANG]]="","",INDEX(NOTA[SUPPLIER],MATCH(,INDIRECT(ADDRESS(ROW(NOTA[ID]),COLUMN(NOTA[ID]))&amp;":"&amp;ADDRESS(ROW(),COLUMN(NOTA[ID]))),-1)))</f>
        <v>ATALI MAKMUR</v>
      </c>
      <c r="AK769" s="55" t="str">
        <f ca="1">IF(NOTA[[#This Row],[ID_H]]="","",IF(NOTA[[#This Row],[FAKTUR]]="",INDIRECT(ADDRESS(ROW()-1,COLUMN())),NOTA[[#This Row],[FAKTUR]]))</f>
        <v>ARTO MORO</v>
      </c>
      <c r="AL769" s="56" t="str">
        <f ca="1">IF(NOTA[[#This Row],[ID]]="","",COUNTIF(NOTA[ID_H],NOTA[[#This Row],[ID_H]]))</f>
        <v/>
      </c>
      <c r="AM769" s="56">
        <f ca="1">IF(NOTA[[#This Row],[TGL.NOTA]]="",IF(NOTA[[#This Row],[SUPPLIER_H]]="","",AM768),MONTH(NOTA[[#This Row],[TGL.NOTA]]))</f>
        <v>1</v>
      </c>
      <c r="AN769" s="56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>
        <f>IF(NOTA[[#This Row],[CONCAT1]]="","",MATCH(NOTA[[#This Row],[CONCAT1]],[3]!db[NB NOTA_C],0))</f>
        <v>2462</v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>288 PCS</v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pencilcasepc0719pl32bluejk288pcsartomoro</v>
      </c>
      <c r="AW769" s="56" t="e">
        <f ca="1">IF(NOTA[[#This Row],[ID_H]]="","",MATCH(NOTA[[#This Row],[NB NOTA_C_QTY]],[4]!db[NB NOTA_C_QTY+F],0))</f>
        <v>#REF!</v>
      </c>
      <c r="AX769" s="68">
        <f ca="1">IF(NOTA[[#This Row],[NB NOTA_C_QTY]]="","",ROW()-2)</f>
        <v>767</v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>
        <f ca="1">IF(NOTA[[#This Row],[NAMA BARANG]]="","",INDEX(NOTA[ID],MATCH(,INDIRECT(ADDRESS(ROW(NOTA[ID]),COLUMN(NOTA[ID]))&amp;":"&amp;ADDRESS(ROW(),COLUMN(NOTA[ID]))),-1)))</f>
        <v>132</v>
      </c>
      <c r="E770" s="57"/>
      <c r="F770" s="58"/>
      <c r="G770" s="58"/>
      <c r="H770" s="59"/>
      <c r="I770" s="58"/>
      <c r="J770" s="60"/>
      <c r="K770" s="58">
        <v>0</v>
      </c>
      <c r="L770" s="37" t="s">
        <v>857</v>
      </c>
      <c r="M770" s="61"/>
      <c r="N770" s="56">
        <v>72</v>
      </c>
      <c r="O770" s="37" t="s">
        <v>115</v>
      </c>
      <c r="P770" s="55">
        <v>4800</v>
      </c>
      <c r="Q770" s="62"/>
      <c r="R770" s="63"/>
      <c r="S770" s="64">
        <v>0.125</v>
      </c>
      <c r="T770" s="65">
        <v>0.05</v>
      </c>
      <c r="U770" s="65"/>
      <c r="V770" s="66"/>
      <c r="W770" s="67"/>
      <c r="X770" s="66">
        <f>IF(NOTA[[#This Row],[HARGA/ CTN]]="",NOTA[[#This Row],[JUMLAH_H]],NOTA[[#This Row],[HARGA/ CTN]]*IF(NOTA[[#This Row],[C]]="",0,NOTA[[#This Row],[C]]))</f>
        <v>345600</v>
      </c>
      <c r="Y770" s="66">
        <f>IF(NOTA[[#This Row],[JUMLAH]]="","",NOTA[[#This Row],[JUMLAH]]*NOTA[[#This Row],[DISC 1]])</f>
        <v>43200</v>
      </c>
      <c r="Z770" s="66">
        <f>IF(NOTA[[#This Row],[JUMLAH]]="","",(NOTA[[#This Row],[JUMLAH]]-NOTA[[#This Row],[DISC 1-]])*NOTA[[#This Row],[DISC 2]])</f>
        <v>15120</v>
      </c>
      <c r="AA770" s="66">
        <f>IF(NOTA[[#This Row],[JUMLAH]]="","",(NOTA[[#This Row],[JUMLAH]]-NOTA[[#This Row],[DISC 1-]]-NOTA[[#This Row],[DISC 2-]])*NOTA[[#This Row],[DISC 3]])</f>
        <v>0</v>
      </c>
      <c r="AB770" s="66">
        <f>IF(NOTA[[#This Row],[JUMLAH]]="","",NOTA[[#This Row],[DISC 1-]]+NOTA[[#This Row],[DISC 2-]]+NOTA[[#This Row],[DISC 3-]])</f>
        <v>58320</v>
      </c>
      <c r="AC770" s="66">
        <f>IF(NOTA[[#This Row],[JUMLAH]]="","",NOTA[[#This Row],[JUMLAH]]-NOTA[[#This Row],[DISC]])</f>
        <v>287280</v>
      </c>
      <c r="AD770" s="66"/>
      <c r="AE77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233280</v>
      </c>
      <c r="AF77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1149120</v>
      </c>
      <c r="AG770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70" s="66">
        <f>IF(OR(NOTA[[#This Row],[QTY]]="",NOTA[[#This Row],[HARGA SATUAN]]="",),"",NOTA[[#This Row],[QTY]]*NOTA[[#This Row],[HARGA SATUAN]])</f>
        <v>345600</v>
      </c>
      <c r="AI770" s="60">
        <f ca="1">IF(NOTA[ID_H]="","",INDEX(NOTA[TANGGAL],MATCH(,INDIRECT(ADDRESS(ROW(NOTA[TANGGAL]),COLUMN(NOTA[TANGGAL]))&amp;":"&amp;ADDRESS(ROW(),COLUMN(NOTA[TANGGAL]))),-1)))</f>
        <v>45320</v>
      </c>
      <c r="AJ770" s="55" t="str">
        <f ca="1">IF(NOTA[[#This Row],[NAMA BARANG]]="","",INDEX(NOTA[SUPPLIER],MATCH(,INDIRECT(ADDRESS(ROW(NOTA[ID]),COLUMN(NOTA[ID]))&amp;":"&amp;ADDRESS(ROW(),COLUMN(NOTA[ID]))),-1)))</f>
        <v>ATALI MAKMUR</v>
      </c>
      <c r="AK770" s="55" t="str">
        <f ca="1">IF(NOTA[[#This Row],[ID_H]]="","",IF(NOTA[[#This Row],[FAKTUR]]="",INDIRECT(ADDRESS(ROW()-1,COLUMN())),NOTA[[#This Row],[FAKTUR]]))</f>
        <v>ARTO MORO</v>
      </c>
      <c r="AL770" s="56" t="str">
        <f ca="1">IF(NOTA[[#This Row],[ID]]="","",COUNTIF(NOTA[ID_H],NOTA[[#This Row],[ID_H]]))</f>
        <v/>
      </c>
      <c r="AM770" s="56">
        <f ca="1">IF(NOTA[[#This Row],[TGL.NOTA]]="",IF(NOTA[[#This Row],[SUPPLIER_H]]="","",AM769),MONTH(NOTA[[#This Row],[TGL.NOTA]]))</f>
        <v>1</v>
      </c>
      <c r="AN770" s="56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>
        <f>IF(NOTA[[#This Row],[CONCAT1]]="","",MATCH(NOTA[[#This Row],[CONCAT1]],[3]!db[NB NOTA_C],0))</f>
        <v>2465</v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>288 PCS</v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pencilcasepc0719pl32yellowjk288pcsartomoro</v>
      </c>
      <c r="AW770" s="56" t="e">
        <f ca="1">IF(NOTA[[#This Row],[ID_H]]="","",MATCH(NOTA[[#This Row],[NB NOTA_C_QTY]],[4]!db[NB NOTA_C_QTY+F],0))</f>
        <v>#REF!</v>
      </c>
      <c r="AX770" s="68">
        <f ca="1">IF(NOTA[[#This Row],[NB NOTA_C_QTY]]="","",ROW()-2)</f>
        <v>768</v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>
        <f ca="1">IF(INDIRECT(ADDRESS(ROW()-1,COLUMN(NOTA[[#Headers],[ID]])))="ID",1,IF(NOTA[[#This Row],[FAKTUR]]="","",COUNT(INDIRECT(ADDRESS(ROW(NOTA[ID]),COLUMN(NOTA[ID]))&amp;":"&amp;ADDRESS(ROW()-1,COLUMN(NOTA[ID]))))+1))</f>
        <v>133</v>
      </c>
      <c r="B77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KEN_2901_826-3</v>
      </c>
      <c r="C772" s="56" t="e">
        <f ca="1">IF(NOTA[[#This Row],[ID_P]]="","",MATCH(NOTA[[#This Row],[ID_P]],[1]!B_MSK[N_ID],0))</f>
        <v>#REF!</v>
      </c>
      <c r="D772" s="56">
        <f ca="1">IF(NOTA[[#This Row],[NAMA BARANG]]="","",INDEX(NOTA[ID],MATCH(,INDIRECT(ADDRESS(ROW(NOTA[ID]),COLUMN(NOTA[ID]))&amp;":"&amp;ADDRESS(ROW(),COLUMN(NOTA[ID]))),-1)))</f>
        <v>133</v>
      </c>
      <c r="E772" s="57">
        <v>45320</v>
      </c>
      <c r="F772" s="37" t="s">
        <v>22</v>
      </c>
      <c r="G772" s="37" t="s">
        <v>23</v>
      </c>
      <c r="H772" s="47" t="s">
        <v>858</v>
      </c>
      <c r="I772" s="58"/>
      <c r="J772" s="60">
        <v>45317</v>
      </c>
      <c r="K772" s="58">
        <v>0</v>
      </c>
      <c r="L772" s="37" t="s">
        <v>131</v>
      </c>
      <c r="M772" s="61">
        <v>1</v>
      </c>
      <c r="N772" s="56"/>
      <c r="O772" s="58"/>
      <c r="P772" s="55"/>
      <c r="Q772" s="62">
        <v>3110400</v>
      </c>
      <c r="R772" s="63"/>
      <c r="S772" s="64">
        <v>0.17</v>
      </c>
      <c r="T772" s="65"/>
      <c r="U772" s="65"/>
      <c r="V772" s="66"/>
      <c r="W772" s="67"/>
      <c r="X772" s="66">
        <f>IF(NOTA[[#This Row],[HARGA/ CTN]]="",NOTA[[#This Row],[JUMLAH_H]],NOTA[[#This Row],[HARGA/ CTN]]*IF(NOTA[[#This Row],[C]]="",0,NOTA[[#This Row],[C]]))</f>
        <v>3110400</v>
      </c>
      <c r="Y772" s="66">
        <f>IF(NOTA[[#This Row],[JUMLAH]]="","",NOTA[[#This Row],[JUMLAH]]*NOTA[[#This Row],[DISC 1]])</f>
        <v>528768</v>
      </c>
      <c r="Z772" s="66">
        <f>IF(NOTA[[#This Row],[JUMLAH]]="","",(NOTA[[#This Row],[JUMLAH]]-NOTA[[#This Row],[DISC 1-]])*NOTA[[#This Row],[DISC 2]])</f>
        <v>0</v>
      </c>
      <c r="AA772" s="66">
        <f>IF(NOTA[[#This Row],[JUMLAH]]="","",(NOTA[[#This Row],[JUMLAH]]-NOTA[[#This Row],[DISC 1-]]-NOTA[[#This Row],[DISC 2-]])*NOTA[[#This Row],[DISC 3]])</f>
        <v>0</v>
      </c>
      <c r="AB772" s="66">
        <f>IF(NOTA[[#This Row],[JUMLAH]]="","",NOTA[[#This Row],[DISC 1-]]+NOTA[[#This Row],[DISC 2-]]+NOTA[[#This Row],[DISC 3-]])</f>
        <v>528768</v>
      </c>
      <c r="AC772" s="66">
        <f>IF(NOTA[[#This Row],[JUMLAH]]="","",NOTA[[#This Row],[JUMLAH]]-NOTA[[#This Row],[DISC]])</f>
        <v>2581632</v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772" s="66" t="str">
        <f>IF(OR(NOTA[[#This Row],[QTY]]="",NOTA[[#This Row],[HARGA SATUAN]]="",),"",NOTA[[#This Row],[QTY]]*NOTA[[#This Row],[HARGA SATUAN]])</f>
        <v/>
      </c>
      <c r="AI772" s="60">
        <f ca="1">IF(NOTA[ID_H]="","",INDEX(NOTA[TANGGAL],MATCH(,INDIRECT(ADDRESS(ROW(NOTA[TANGGAL]),COLUMN(NOTA[TANGGAL]))&amp;":"&amp;ADDRESS(ROW(),COLUMN(NOTA[TANGGAL]))),-1)))</f>
        <v>45320</v>
      </c>
      <c r="AJ772" s="55" t="str">
        <f ca="1">IF(NOTA[[#This Row],[NAMA BARANG]]="","",INDEX(NOTA[SUPPLIER],MATCH(,INDIRECT(ADDRESS(ROW(NOTA[ID]),COLUMN(NOTA[ID]))&amp;":"&amp;ADDRESS(ROW(),COLUMN(NOTA[ID]))),-1)))</f>
        <v>KENKO SINAR INDONESIA</v>
      </c>
      <c r="AK772" s="55" t="str">
        <f ca="1">IF(NOTA[[#This Row],[ID_H]]="","",IF(NOTA[[#This Row],[FAKTUR]]="",INDIRECT(ADDRESS(ROW()-1,COLUMN())),NOTA[[#This Row],[FAKTUR]]))</f>
        <v>ARTO MORO</v>
      </c>
      <c r="AL772" s="56">
        <f ca="1">IF(NOTA[[#This Row],[ID]]="","",COUNTIF(NOTA[ID_H],NOTA[[#This Row],[ID_H]]))</f>
        <v>3</v>
      </c>
      <c r="AM772" s="56">
        <f>IF(NOTA[[#This Row],[TGL.NOTA]]="",IF(NOTA[[#This Row],[SUPPLIER_H]]="","",AM771),MONTH(NOTA[[#This Row],[TGL.NOTA]]))</f>
        <v>1</v>
      </c>
      <c r="AN772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MORO2401182645317kenkogelpenke303tgeltriangularblack</v>
      </c>
      <c r="AR772" s="56" t="e">
        <f>IF(NOTA[[#This Row],[CONCAT4]]="","",_xlfn.IFNA(MATCH(NOTA[[#This Row],[CONCAT4]],[2]!RAW[CONCAT_H],0),FALSE))</f>
        <v>#REF!</v>
      </c>
      <c r="AS772" s="56">
        <f>IF(NOTA[[#This Row],[CONCAT1]]="","",MATCH(NOTA[[#This Row],[CONCAT1]],[3]!db[NB NOTA_C],0))</f>
        <v>1644</v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>144 LSN</v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772" s="56" t="e">
        <f ca="1">IF(NOTA[[#This Row],[ID_H]]="","",MATCH(NOTA[[#This Row],[NB NOTA_C_QTY]],[4]!db[NB NOTA_C_QTY+F],0))</f>
        <v>#REF!</v>
      </c>
      <c r="AX772" s="68">
        <f ca="1">IF(NOTA[[#This Row],[NB NOTA_C_QTY]]="","",ROW()-2)</f>
        <v>770</v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>
        <f ca="1">IF(NOTA[[#This Row],[NAMA BARANG]]="","",INDEX(NOTA[ID],MATCH(,INDIRECT(ADDRESS(ROW(NOTA[ID]),COLUMN(NOTA[ID]))&amp;":"&amp;ADDRESS(ROW(),COLUMN(NOTA[ID]))),-1)))</f>
        <v>133</v>
      </c>
      <c r="E773" s="57"/>
      <c r="F773" s="58"/>
      <c r="G773" s="58"/>
      <c r="H773" s="59"/>
      <c r="I773" s="58"/>
      <c r="J773" s="60"/>
      <c r="K773" s="58">
        <v>0</v>
      </c>
      <c r="L773" s="37" t="s">
        <v>859</v>
      </c>
      <c r="M773" s="61">
        <v>3</v>
      </c>
      <c r="N773" s="56"/>
      <c r="O773" s="58"/>
      <c r="P773" s="55"/>
      <c r="Q773" s="62">
        <v>2980800</v>
      </c>
      <c r="R773" s="63"/>
      <c r="S773" s="64">
        <v>0.17</v>
      </c>
      <c r="T773" s="65"/>
      <c r="U773" s="65"/>
      <c r="V773" s="66"/>
      <c r="W773" s="67"/>
      <c r="X773" s="66">
        <f>IF(NOTA[[#This Row],[HARGA/ CTN]]="",NOTA[[#This Row],[JUMLAH_H]],NOTA[[#This Row],[HARGA/ CTN]]*IF(NOTA[[#This Row],[C]]="",0,NOTA[[#This Row],[C]]))</f>
        <v>8942400</v>
      </c>
      <c r="Y773" s="66">
        <f>IF(NOTA[[#This Row],[JUMLAH]]="","",NOTA[[#This Row],[JUMLAH]]*NOTA[[#This Row],[DISC 1]])</f>
        <v>1520208</v>
      </c>
      <c r="Z773" s="66">
        <f>IF(NOTA[[#This Row],[JUMLAH]]="","",(NOTA[[#This Row],[JUMLAH]]-NOTA[[#This Row],[DISC 1-]])*NOTA[[#This Row],[DISC 2]])</f>
        <v>0</v>
      </c>
      <c r="AA773" s="66">
        <f>IF(NOTA[[#This Row],[JUMLAH]]="","",(NOTA[[#This Row],[JUMLAH]]-NOTA[[#This Row],[DISC 1-]]-NOTA[[#This Row],[DISC 2-]])*NOTA[[#This Row],[DISC 3]])</f>
        <v>0</v>
      </c>
      <c r="AB773" s="66">
        <f>IF(NOTA[[#This Row],[JUMLAH]]="","",NOTA[[#This Row],[DISC 1-]]+NOTA[[#This Row],[DISC 2-]]+NOTA[[#This Row],[DISC 3-]])</f>
        <v>1520208</v>
      </c>
      <c r="AC773" s="66">
        <f>IF(NOTA[[#This Row],[JUMLAH]]="","",NOTA[[#This Row],[JUMLAH]]-NOTA[[#This Row],[DISC]])</f>
        <v>7422192</v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773" s="66" t="str">
        <f>IF(OR(NOTA[[#This Row],[QTY]]="",NOTA[[#This Row],[HARGA SATUAN]]="",),"",NOTA[[#This Row],[QTY]]*NOTA[[#This Row],[HARGA SATUAN]])</f>
        <v/>
      </c>
      <c r="AI773" s="60">
        <f ca="1">IF(NOTA[ID_H]="","",INDEX(NOTA[TANGGAL],MATCH(,INDIRECT(ADDRESS(ROW(NOTA[TANGGAL]),COLUMN(NOTA[TANGGAL]))&amp;":"&amp;ADDRESS(ROW(),COLUMN(NOTA[TANGGAL]))),-1)))</f>
        <v>45320</v>
      </c>
      <c r="AJ773" s="55" t="str">
        <f ca="1">IF(NOTA[[#This Row],[NAMA BARANG]]="","",INDEX(NOTA[SUPPLIER],MATCH(,INDIRECT(ADDRESS(ROW(NOTA[ID]),COLUMN(NOTA[ID]))&amp;":"&amp;ADDRESS(ROW(),COLUMN(NOTA[ID]))),-1)))</f>
        <v>KENKO SINAR INDONESIA</v>
      </c>
      <c r="AK773" s="55" t="str">
        <f ca="1">IF(NOTA[[#This Row],[ID_H]]="","",IF(NOTA[[#This Row],[FAKTUR]]="",INDIRECT(ADDRESS(ROW()-1,COLUMN())),NOTA[[#This Row],[FAKTUR]]))</f>
        <v>ARTO MORO</v>
      </c>
      <c r="AL773" s="56" t="str">
        <f ca="1">IF(NOTA[[#This Row],[ID]]="","",COUNTIF(NOTA[ID_H],NOTA[[#This Row],[ID_H]]))</f>
        <v/>
      </c>
      <c r="AM773" s="56">
        <f ca="1">IF(NOTA[[#This Row],[TGL.NOTA]]="",IF(NOTA[[#This Row],[SUPPLIER_H]]="","",AM772),MONTH(NOTA[[#This Row],[TGL.NOTA]]))</f>
        <v>1</v>
      </c>
      <c r="AN773" s="56" t="str">
        <f>LOWER(SUBSTITUTE(SUBSTITUTE(SUBSTITUTE(SUBSTITUTE(SUBSTITUTE(SUBSTITUTE(SUBSTITUTE(SUBSTITUTE(SUBSTITUTE(NOTA[NAMA BARANG]," ",),".",""),"-",""),"(",""),")",""),",",""),"/",""),"""",""),"+",""))</f>
        <v>kenko24colorpencilcp24fsandybear</v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kenko24colorpencilcp24fsandybear29808000.17</v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kenko24colorpencilcp24fsandybear29808000.17</v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e">
        <f>IF(NOTA[[#This Row],[CONCAT1]]="","",MATCH(NOTA[[#This Row],[CONCAT1]],[3]!db[NB NOTA_C],0))</f>
        <v>#N/A</v>
      </c>
      <c r="AT773" s="56" t="str">
        <f>IF(NOTA[[#This Row],[QTY/ CTN]]="","",TRUE)</f>
        <v/>
      </c>
      <c r="AU773" s="56" t="e">
        <f ca="1">IF(NOTA[[#This Row],[ID_H]]="","",IF(NOTA[[#This Row],[Column3]]=TRUE,NOTA[[#This Row],[QTY/ CTN]],INDEX([3]!db[QTY/ CTN],NOTA[[#This Row],[//DB]])))</f>
        <v>#N/A</v>
      </c>
      <c r="AV773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73" s="56" t="e">
        <f ca="1">IF(NOTA[[#This Row],[ID_H]]="","",MATCH(NOTA[[#This Row],[NB NOTA_C_QTY]],[4]!db[NB NOTA_C_QTY+F],0))</f>
        <v>#N/A</v>
      </c>
      <c r="AX773" s="68" t="e">
        <f ca="1">IF(NOTA[[#This Row],[NB NOTA_C_QTY]]="","",ROW()-2)</f>
        <v>#N/A</v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>
        <f ca="1">IF(NOTA[[#This Row],[NAMA BARANG]]="","",INDEX(NOTA[ID],MATCH(,INDIRECT(ADDRESS(ROW(NOTA[ID]),COLUMN(NOTA[ID]))&amp;":"&amp;ADDRESS(ROW(),COLUMN(NOTA[ID]))),-1)))</f>
        <v>133</v>
      </c>
      <c r="E774" s="57"/>
      <c r="F774" s="58"/>
      <c r="G774" s="58"/>
      <c r="H774" s="59"/>
      <c r="I774" s="58"/>
      <c r="J774" s="60"/>
      <c r="K774" s="58">
        <v>1</v>
      </c>
      <c r="L774" s="37" t="s">
        <v>860</v>
      </c>
      <c r="M774" s="61">
        <v>3</v>
      </c>
      <c r="N774" s="56"/>
      <c r="O774" s="58"/>
      <c r="P774" s="55"/>
      <c r="Q774" s="62">
        <v>1188000</v>
      </c>
      <c r="R774" s="63"/>
      <c r="S774" s="64">
        <v>0.17</v>
      </c>
      <c r="T774" s="65"/>
      <c r="U774" s="65"/>
      <c r="V774" s="66"/>
      <c r="W774" s="67"/>
      <c r="X774" s="66">
        <f>IF(NOTA[[#This Row],[HARGA/ CTN]]="",NOTA[[#This Row],[JUMLAH_H]],NOTA[[#This Row],[HARGA/ CTN]]*IF(NOTA[[#This Row],[C]]="",0,NOTA[[#This Row],[C]]))</f>
        <v>3564000</v>
      </c>
      <c r="Y774" s="66">
        <f>IF(NOTA[[#This Row],[JUMLAH]]="","",NOTA[[#This Row],[JUMLAH]]*NOTA[[#This Row],[DISC 1]])</f>
        <v>605880</v>
      </c>
      <c r="Z774" s="66">
        <f>IF(NOTA[[#This Row],[JUMLAH]]="","",(NOTA[[#This Row],[JUMLAH]]-NOTA[[#This Row],[DISC 1-]])*NOTA[[#This Row],[DISC 2]])</f>
        <v>0</v>
      </c>
      <c r="AA774" s="66">
        <f>IF(NOTA[[#This Row],[JUMLAH]]="","",(NOTA[[#This Row],[JUMLAH]]-NOTA[[#This Row],[DISC 1-]]-NOTA[[#This Row],[DISC 2-]])*NOTA[[#This Row],[DISC 3]])</f>
        <v>0</v>
      </c>
      <c r="AB774" s="66">
        <f>IF(NOTA[[#This Row],[JUMLAH]]="","",NOTA[[#This Row],[DISC 1-]]+NOTA[[#This Row],[DISC 2-]]+NOTA[[#This Row],[DISC 3-]])</f>
        <v>605880</v>
      </c>
      <c r="AC774" s="66">
        <f>IF(NOTA[[#This Row],[JUMLAH]]="","",NOTA[[#This Row],[JUMLAH]]-NOTA[[#This Row],[DISC]])</f>
        <v>2958120</v>
      </c>
      <c r="AD774" s="66"/>
      <c r="AE7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2654856</v>
      </c>
      <c r="AF7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12961944</v>
      </c>
      <c r="AG774" s="5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774" s="66" t="str">
        <f>IF(OR(NOTA[[#This Row],[QTY]]="",NOTA[[#This Row],[HARGA SATUAN]]="",),"",NOTA[[#This Row],[QTY]]*NOTA[[#This Row],[HARGA SATUAN]])</f>
        <v/>
      </c>
      <c r="AI774" s="60">
        <f ca="1">IF(NOTA[ID_H]="","",INDEX(NOTA[TANGGAL],MATCH(,INDIRECT(ADDRESS(ROW(NOTA[TANGGAL]),COLUMN(NOTA[TANGGAL]))&amp;":"&amp;ADDRESS(ROW(),COLUMN(NOTA[TANGGAL]))),-1)))</f>
        <v>45320</v>
      </c>
      <c r="AJ774" s="55" t="str">
        <f ca="1">IF(NOTA[[#This Row],[NAMA BARANG]]="","",INDEX(NOTA[SUPPLIER],MATCH(,INDIRECT(ADDRESS(ROW(NOTA[ID]),COLUMN(NOTA[ID]))&amp;":"&amp;ADDRESS(ROW(),COLUMN(NOTA[ID]))),-1)))</f>
        <v>KENKO SINAR INDONESIA</v>
      </c>
      <c r="AK774" s="55" t="str">
        <f ca="1">IF(NOTA[[#This Row],[ID_H]]="","",IF(NOTA[[#This Row],[FAKTUR]]="",INDIRECT(ADDRESS(ROW()-1,COLUMN())),NOTA[[#This Row],[FAKTUR]]))</f>
        <v>ARTO MORO</v>
      </c>
      <c r="AL774" s="56" t="str">
        <f ca="1">IF(NOTA[[#This Row],[ID]]="","",COUNTIF(NOTA[ID_H],NOTA[[#This Row],[ID_H]]))</f>
        <v/>
      </c>
      <c r="AM774" s="56">
        <f ca="1">IF(NOTA[[#This Row],[TGL.NOTA]]="",IF(NOTA[[#This Row],[SUPPLIER_H]]="","",AM773),MONTH(NOTA[[#This Row],[TGL.NOTA]]))</f>
        <v>1</v>
      </c>
      <c r="AN774" s="56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>
        <f>IF(NOTA[[#This Row],[CONCAT1]]="","",MATCH(NOTA[[#This Row],[CONCAT1]],[3]!db[NB NOTA_C],0))</f>
        <v>1758</v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>10 LSN</v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774" s="56" t="e">
        <f ca="1">IF(NOTA[[#This Row],[ID_H]]="","",MATCH(NOTA[[#This Row],[NB NOTA_C_QTY]],[4]!db[NB NOTA_C_QTY+F],0))</f>
        <v>#REF!</v>
      </c>
      <c r="AX774" s="68">
        <f ca="1">IF(NOTA[[#This Row],[NB NOTA_C_QTY]]="","",ROW()-2)</f>
        <v>772</v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>
        <f ca="1">IF(INDIRECT(ADDRESS(ROW()-1,COLUMN(NOTA[[#Headers],[ID]])))="ID",1,IF(NOTA[[#This Row],[FAKTUR]]="","",COUNT(INDIRECT(ADDRESS(ROW(NOTA[ID]),COLUMN(NOTA[ID]))&amp;":"&amp;ADDRESS(ROW()-1,COLUMN(NOTA[ID]))))+1))</f>
        <v>134</v>
      </c>
      <c r="B7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KEN_2901_770-2</v>
      </c>
      <c r="C776" s="56" t="e">
        <f ca="1">IF(NOTA[[#This Row],[ID_P]]="","",MATCH(NOTA[[#This Row],[ID_P]],[1]!B_MSK[N_ID],0))</f>
        <v>#REF!</v>
      </c>
      <c r="D776" s="56">
        <f ca="1">IF(NOTA[[#This Row],[NAMA BARANG]]="","",INDEX(NOTA[ID],MATCH(,INDIRECT(ADDRESS(ROW(NOTA[ID]),COLUMN(NOTA[ID]))&amp;":"&amp;ADDRESS(ROW(),COLUMN(NOTA[ID]))),-1)))</f>
        <v>134</v>
      </c>
      <c r="E776" s="57">
        <v>45320</v>
      </c>
      <c r="F776" s="37" t="s">
        <v>22</v>
      </c>
      <c r="G776" s="37" t="s">
        <v>23</v>
      </c>
      <c r="H776" s="47" t="s">
        <v>861</v>
      </c>
      <c r="I776" s="58"/>
      <c r="J776" s="60">
        <v>45316</v>
      </c>
      <c r="K776" s="58">
        <v>0</v>
      </c>
      <c r="L776" s="37" t="s">
        <v>862</v>
      </c>
      <c r="M776" s="61">
        <v>1</v>
      </c>
      <c r="N776" s="56"/>
      <c r="O776" s="58"/>
      <c r="P776" s="55"/>
      <c r="Q776" s="62">
        <v>1152000</v>
      </c>
      <c r="R776" s="63"/>
      <c r="S776" s="64">
        <v>0.17</v>
      </c>
      <c r="T776" s="65"/>
      <c r="U776" s="65"/>
      <c r="V776" s="66"/>
      <c r="W776" s="67"/>
      <c r="X776" s="66">
        <f>IF(NOTA[[#This Row],[HARGA/ CTN]]="",NOTA[[#This Row],[JUMLAH_H]],NOTA[[#This Row],[HARGA/ CTN]]*IF(NOTA[[#This Row],[C]]="",0,NOTA[[#This Row],[C]]))</f>
        <v>1152000</v>
      </c>
      <c r="Y776" s="66">
        <f>IF(NOTA[[#This Row],[JUMLAH]]="","",NOTA[[#This Row],[JUMLAH]]*NOTA[[#This Row],[DISC 1]])</f>
        <v>195840</v>
      </c>
      <c r="Z776" s="66">
        <f>IF(NOTA[[#This Row],[JUMLAH]]="","",(NOTA[[#This Row],[JUMLAH]]-NOTA[[#This Row],[DISC 1-]])*NOTA[[#This Row],[DISC 2]])</f>
        <v>0</v>
      </c>
      <c r="AA776" s="66">
        <f>IF(NOTA[[#This Row],[JUMLAH]]="","",(NOTA[[#This Row],[JUMLAH]]-NOTA[[#This Row],[DISC 1-]]-NOTA[[#This Row],[DISC 2-]])*NOTA[[#This Row],[DISC 3]])</f>
        <v>0</v>
      </c>
      <c r="AB776" s="66">
        <f>IF(NOTA[[#This Row],[JUMLAH]]="","",NOTA[[#This Row],[DISC 1-]]+NOTA[[#This Row],[DISC 2-]]+NOTA[[#This Row],[DISC 3-]])</f>
        <v>195840</v>
      </c>
      <c r="AC776" s="66">
        <f>IF(NOTA[[#This Row],[JUMLAH]]="","",NOTA[[#This Row],[JUMLAH]]-NOTA[[#This Row],[DISC]])</f>
        <v>956160</v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776" s="66" t="str">
        <f>IF(OR(NOTA[[#This Row],[QTY]]="",NOTA[[#This Row],[HARGA SATUAN]]="",),"",NOTA[[#This Row],[QTY]]*NOTA[[#This Row],[HARGA SATUAN]])</f>
        <v/>
      </c>
      <c r="AI776" s="60">
        <f ca="1">IF(NOTA[ID_H]="","",INDEX(NOTA[TANGGAL],MATCH(,INDIRECT(ADDRESS(ROW(NOTA[TANGGAL]),COLUMN(NOTA[TANGGAL]))&amp;":"&amp;ADDRESS(ROW(),COLUMN(NOTA[TANGGAL]))),-1)))</f>
        <v>45320</v>
      </c>
      <c r="AJ776" s="55" t="str">
        <f ca="1">IF(NOTA[[#This Row],[NAMA BARANG]]="","",INDEX(NOTA[SUPPLIER],MATCH(,INDIRECT(ADDRESS(ROW(NOTA[ID]),COLUMN(NOTA[ID]))&amp;":"&amp;ADDRESS(ROW(),COLUMN(NOTA[ID]))),-1)))</f>
        <v>KENKO SINAR INDONESIA</v>
      </c>
      <c r="AK776" s="55" t="str">
        <f ca="1">IF(NOTA[[#This Row],[ID_H]]="","",IF(NOTA[[#This Row],[FAKTUR]]="",INDIRECT(ADDRESS(ROW()-1,COLUMN())),NOTA[[#This Row],[FAKTUR]]))</f>
        <v>ARTO MORO</v>
      </c>
      <c r="AL776" s="56">
        <f ca="1">IF(NOTA[[#This Row],[ID]]="","",COUNTIF(NOTA[ID_H],NOTA[[#This Row],[ID_H]]))</f>
        <v>2</v>
      </c>
      <c r="AM776" s="56">
        <f>IF(NOTA[[#This Row],[TGL.NOTA]]="",IF(NOTA[[#This Row],[SUPPLIER_H]]="","",AM775),MONTH(NOTA[[#This Row],[TGL.NOTA]]))</f>
        <v>1</v>
      </c>
      <c r="AN776" s="56" t="str">
        <f>LOWER(SUBSTITUTE(SUBSTITUTE(SUBSTITUTE(SUBSTITUTE(SUBSTITUTE(SUBSTITUTE(SUBSTITUTE(SUBSTITUTE(SUBSTITUTE(NOTA[NAMA BARANG]," ",),".",""),"-",""),"(",""),")",""),",",""),"/",""),"""",""),"+",""))</f>
        <v>kenkosharpenersp711hole12pcsbox</v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MORO2401177045316kenkosharpenersp711hole12pcsbox</v>
      </c>
      <c r="AR776" s="56" t="e">
        <f>IF(NOTA[[#This Row],[CONCAT4]]="","",_xlfn.IFNA(MATCH(NOTA[[#This Row],[CONCAT4]],[2]!RAW[CONCAT_H],0),FALSE))</f>
        <v>#REF!</v>
      </c>
      <c r="AS776" s="56">
        <f>IF(NOTA[[#This Row],[CONCAT1]]="","",MATCH(NOTA[[#This Row],[CONCAT1]],[3]!db[NB NOTA_C],0))</f>
        <v>1761</v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>60 BOX (12 PCS)</v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kenkosharpenersp711hole12pcsbox60box12pcsartomoro</v>
      </c>
      <c r="AW776" s="56" t="e">
        <f ca="1">IF(NOTA[[#This Row],[ID_H]]="","",MATCH(NOTA[[#This Row],[NB NOTA_C_QTY]],[4]!db[NB NOTA_C_QTY+F],0))</f>
        <v>#REF!</v>
      </c>
      <c r="AX776" s="68">
        <f ca="1">IF(NOTA[[#This Row],[NB NOTA_C_QTY]]="","",ROW()-2)</f>
        <v>774</v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>
        <f ca="1">IF(NOTA[[#This Row],[NAMA BARANG]]="","",INDEX(NOTA[ID],MATCH(,INDIRECT(ADDRESS(ROW(NOTA[ID]),COLUMN(NOTA[ID]))&amp;":"&amp;ADDRESS(ROW(),COLUMN(NOTA[ID]))),-1)))</f>
        <v>134</v>
      </c>
      <c r="E777" s="57"/>
      <c r="F777" s="58"/>
      <c r="G777" s="58"/>
      <c r="H777" s="59"/>
      <c r="I777" s="58"/>
      <c r="J777" s="60"/>
      <c r="K777" s="58">
        <v>0</v>
      </c>
      <c r="L777" s="37" t="s">
        <v>221</v>
      </c>
      <c r="M777" s="61">
        <v>1</v>
      </c>
      <c r="N777" s="56"/>
      <c r="O777" s="58"/>
      <c r="P777" s="55"/>
      <c r="Q777" s="62">
        <v>2764800</v>
      </c>
      <c r="R777" s="63"/>
      <c r="S777" s="64">
        <v>0.17</v>
      </c>
      <c r="T777" s="65"/>
      <c r="U777" s="65"/>
      <c r="V777" s="66"/>
      <c r="W777" s="67"/>
      <c r="X777" s="66">
        <f>IF(NOTA[[#This Row],[HARGA/ CTN]]="",NOTA[[#This Row],[JUMLAH_H]],NOTA[[#This Row],[HARGA/ CTN]]*IF(NOTA[[#This Row],[C]]="",0,NOTA[[#This Row],[C]]))</f>
        <v>2764800</v>
      </c>
      <c r="Y777" s="66">
        <f>IF(NOTA[[#This Row],[JUMLAH]]="","",NOTA[[#This Row],[JUMLAH]]*NOTA[[#This Row],[DISC 1]])</f>
        <v>470016.00000000006</v>
      </c>
      <c r="Z777" s="66">
        <f>IF(NOTA[[#This Row],[JUMLAH]]="","",(NOTA[[#This Row],[JUMLAH]]-NOTA[[#This Row],[DISC 1-]])*NOTA[[#This Row],[DISC 2]])</f>
        <v>0</v>
      </c>
      <c r="AA777" s="66">
        <f>IF(NOTA[[#This Row],[JUMLAH]]="","",(NOTA[[#This Row],[JUMLAH]]-NOTA[[#This Row],[DISC 1-]]-NOTA[[#This Row],[DISC 2-]])*NOTA[[#This Row],[DISC 3]])</f>
        <v>0</v>
      </c>
      <c r="AB777" s="66">
        <f>IF(NOTA[[#This Row],[JUMLAH]]="","",NOTA[[#This Row],[DISC 1-]]+NOTA[[#This Row],[DISC 2-]]+NOTA[[#This Row],[DISC 3-]])</f>
        <v>470016.00000000006</v>
      </c>
      <c r="AC777" s="66">
        <f>IF(NOTA[[#This Row],[JUMLAH]]="","",NOTA[[#This Row],[JUMLAH]]-NOTA[[#This Row],[DISC]])</f>
        <v>2294784</v>
      </c>
      <c r="AD777" s="66"/>
      <c r="AE77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665856</v>
      </c>
      <c r="AF77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3250944</v>
      </c>
      <c r="AG777" s="5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777" s="66" t="str">
        <f>IF(OR(NOTA[[#This Row],[QTY]]="",NOTA[[#This Row],[HARGA SATUAN]]="",),"",NOTA[[#This Row],[QTY]]*NOTA[[#This Row],[HARGA SATUAN]])</f>
        <v/>
      </c>
      <c r="AI777" s="60">
        <f ca="1">IF(NOTA[ID_H]="","",INDEX(NOTA[TANGGAL],MATCH(,INDIRECT(ADDRESS(ROW(NOTA[TANGGAL]),COLUMN(NOTA[TANGGAL]))&amp;":"&amp;ADDRESS(ROW(),COLUMN(NOTA[TANGGAL]))),-1)))</f>
        <v>45320</v>
      </c>
      <c r="AJ777" s="55" t="str">
        <f ca="1">IF(NOTA[[#This Row],[NAMA BARANG]]="","",INDEX(NOTA[SUPPLIER],MATCH(,INDIRECT(ADDRESS(ROW(NOTA[ID]),COLUMN(NOTA[ID]))&amp;":"&amp;ADDRESS(ROW(),COLUMN(NOTA[ID]))),-1)))</f>
        <v>KENKO SINAR INDONESIA</v>
      </c>
      <c r="AK777" s="55" t="str">
        <f ca="1">IF(NOTA[[#This Row],[ID_H]]="","",IF(NOTA[[#This Row],[FAKTUR]]="",INDIRECT(ADDRESS(ROW()-1,COLUMN())),NOTA[[#This Row],[FAKTUR]]))</f>
        <v>ARTO MORO</v>
      </c>
      <c r="AL777" s="56" t="str">
        <f ca="1">IF(NOTA[[#This Row],[ID]]="","",COUNTIF(NOTA[ID_H],NOTA[[#This Row],[ID_H]]))</f>
        <v/>
      </c>
      <c r="AM777" s="56">
        <f ca="1">IF(NOTA[[#This Row],[TGL.NOTA]]="",IF(NOTA[[#This Row],[SUPPLIER_H]]="","",AM776),MONTH(NOTA[[#This Row],[TGL.NOTA]]))</f>
        <v>1</v>
      </c>
      <c r="AN777" s="5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>
        <f>IF(NOTA[[#This Row],[CONCAT1]]="","",MATCH(NOTA[[#This Row],[CONCAT1]],[3]!db[NB NOTA_C],0))</f>
        <v>1640</v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>144 LSN</v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777" s="56" t="e">
        <f ca="1">IF(NOTA[[#This Row],[ID_H]]="","",MATCH(NOTA[[#This Row],[NB NOTA_C_QTY]],[4]!db[NB NOTA_C_QTY+F],0))</f>
        <v>#REF!</v>
      </c>
      <c r="AX777" s="68">
        <f ca="1">IF(NOTA[[#This Row],[NB NOTA_C_QTY]]="","",ROW()-2)</f>
        <v>775</v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>
        <f ca="1">IF(INDIRECT(ADDRESS(ROW()-1,COLUMN(NOTA[[#Headers],[ID]])))="ID",1,IF(NOTA[[#This Row],[FAKTUR]]="","",COUNT(INDIRECT(ADDRESS(ROW(NOTA[ID]),COLUMN(NOTA[ID]))&amp;":"&amp;ADDRESS(ROW()-1,COLUMN(NOTA[ID]))))+1))</f>
        <v>135</v>
      </c>
      <c r="B77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KEN_2901_725-2</v>
      </c>
      <c r="C779" s="56" t="e">
        <f ca="1">IF(NOTA[[#This Row],[ID_P]]="","",MATCH(NOTA[[#This Row],[ID_P]],[1]!B_MSK[N_ID],0))</f>
        <v>#REF!</v>
      </c>
      <c r="D779" s="56">
        <f ca="1">IF(NOTA[[#This Row],[NAMA BARANG]]="","",INDEX(NOTA[ID],MATCH(,INDIRECT(ADDRESS(ROW(NOTA[ID]),COLUMN(NOTA[ID]))&amp;":"&amp;ADDRESS(ROW(),COLUMN(NOTA[ID]))),-1)))</f>
        <v>135</v>
      </c>
      <c r="E779" s="57">
        <v>45320</v>
      </c>
      <c r="F779" s="37" t="s">
        <v>22</v>
      </c>
      <c r="G779" s="37" t="s">
        <v>23</v>
      </c>
      <c r="H779" s="47" t="s">
        <v>863</v>
      </c>
      <c r="I779" s="58"/>
      <c r="J779" s="60">
        <v>45316</v>
      </c>
      <c r="K779" s="58">
        <v>4</v>
      </c>
      <c r="L779" s="37" t="s">
        <v>131</v>
      </c>
      <c r="M779" s="61">
        <v>5</v>
      </c>
      <c r="N779" s="56"/>
      <c r="O779" s="58"/>
      <c r="P779" s="55"/>
      <c r="Q779" s="62">
        <v>3110400</v>
      </c>
      <c r="R779" s="63"/>
      <c r="S779" s="64">
        <v>0.17</v>
      </c>
      <c r="T779" s="65"/>
      <c r="U779" s="65"/>
      <c r="V779" s="66"/>
      <c r="W779" s="67"/>
      <c r="X779" s="66">
        <f>IF(NOTA[[#This Row],[HARGA/ CTN]]="",NOTA[[#This Row],[JUMLAH_H]],NOTA[[#This Row],[HARGA/ CTN]]*IF(NOTA[[#This Row],[C]]="",0,NOTA[[#This Row],[C]]))</f>
        <v>15552000</v>
      </c>
      <c r="Y779" s="66">
        <f>IF(NOTA[[#This Row],[JUMLAH]]="","",NOTA[[#This Row],[JUMLAH]]*NOTA[[#This Row],[DISC 1]])</f>
        <v>2643840</v>
      </c>
      <c r="Z779" s="66">
        <f>IF(NOTA[[#This Row],[JUMLAH]]="","",(NOTA[[#This Row],[JUMLAH]]-NOTA[[#This Row],[DISC 1-]])*NOTA[[#This Row],[DISC 2]])</f>
        <v>0</v>
      </c>
      <c r="AA779" s="66">
        <f>IF(NOTA[[#This Row],[JUMLAH]]="","",(NOTA[[#This Row],[JUMLAH]]-NOTA[[#This Row],[DISC 1-]]-NOTA[[#This Row],[DISC 2-]])*NOTA[[#This Row],[DISC 3]])</f>
        <v>0</v>
      </c>
      <c r="AB779" s="66">
        <f>IF(NOTA[[#This Row],[JUMLAH]]="","",NOTA[[#This Row],[DISC 1-]]+NOTA[[#This Row],[DISC 2-]]+NOTA[[#This Row],[DISC 3-]])</f>
        <v>2643840</v>
      </c>
      <c r="AC779" s="66">
        <f>IF(NOTA[[#This Row],[JUMLAH]]="","",NOTA[[#This Row],[JUMLAH]]-NOTA[[#This Row],[DISC]])</f>
        <v>12908160</v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779" s="66" t="str">
        <f>IF(OR(NOTA[[#This Row],[QTY]]="",NOTA[[#This Row],[HARGA SATUAN]]="",),"",NOTA[[#This Row],[QTY]]*NOTA[[#This Row],[HARGA SATUAN]])</f>
        <v/>
      </c>
      <c r="AI779" s="60">
        <f ca="1">IF(NOTA[ID_H]="","",INDEX(NOTA[TANGGAL],MATCH(,INDIRECT(ADDRESS(ROW(NOTA[TANGGAL]),COLUMN(NOTA[TANGGAL]))&amp;":"&amp;ADDRESS(ROW(),COLUMN(NOTA[TANGGAL]))),-1)))</f>
        <v>45320</v>
      </c>
      <c r="AJ779" s="55" t="str">
        <f ca="1">IF(NOTA[[#This Row],[NAMA BARANG]]="","",INDEX(NOTA[SUPPLIER],MATCH(,INDIRECT(ADDRESS(ROW(NOTA[ID]),COLUMN(NOTA[ID]))&amp;":"&amp;ADDRESS(ROW(),COLUMN(NOTA[ID]))),-1)))</f>
        <v>KENKO SINAR INDONESIA</v>
      </c>
      <c r="AK779" s="55" t="str">
        <f ca="1">IF(NOTA[[#This Row],[ID_H]]="","",IF(NOTA[[#This Row],[FAKTUR]]="",INDIRECT(ADDRESS(ROW()-1,COLUMN())),NOTA[[#This Row],[FAKTUR]]))</f>
        <v>ARTO MORO</v>
      </c>
      <c r="AL779" s="56">
        <f ca="1">IF(NOTA[[#This Row],[ID]]="","",COUNTIF(NOTA[ID_H],NOTA[[#This Row],[ID_H]]))</f>
        <v>2</v>
      </c>
      <c r="AM779" s="56">
        <f>IF(NOTA[[#This Row],[TGL.NOTA]]="",IF(NOTA[[#This Row],[SUPPLIER_H]]="","",AM778),MONTH(NOTA[[#This Row],[TGL.NOTA]]))</f>
        <v>1</v>
      </c>
      <c r="AN779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MORO2401172545316kenkogelpenke303tgeltriangularblack</v>
      </c>
      <c r="AR779" s="56" t="e">
        <f>IF(NOTA[[#This Row],[CONCAT4]]="","",_xlfn.IFNA(MATCH(NOTA[[#This Row],[CONCAT4]],[2]!RAW[CONCAT_H],0),FALSE))</f>
        <v>#REF!</v>
      </c>
      <c r="AS779" s="56">
        <f>IF(NOTA[[#This Row],[CONCAT1]]="","",MATCH(NOTA[[#This Row],[CONCAT1]],[3]!db[NB NOTA_C],0))</f>
        <v>1644</v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>144 LSN</v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779" s="56" t="e">
        <f ca="1">IF(NOTA[[#This Row],[ID_H]]="","",MATCH(NOTA[[#This Row],[NB NOTA_C_QTY]],[4]!db[NB NOTA_C_QTY+F],0))</f>
        <v>#REF!</v>
      </c>
      <c r="AX779" s="68">
        <f ca="1">IF(NOTA[[#This Row],[NB NOTA_C_QTY]]="","",ROW()-2)</f>
        <v>777</v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>
        <f ca="1">IF(NOTA[[#This Row],[NAMA BARANG]]="","",INDEX(NOTA[ID],MATCH(,INDIRECT(ADDRESS(ROW(NOTA[ID]),COLUMN(NOTA[ID]))&amp;":"&amp;ADDRESS(ROW(),COLUMN(NOTA[ID]))),-1)))</f>
        <v>135</v>
      </c>
      <c r="E780" s="57"/>
      <c r="F780" s="58"/>
      <c r="G780" s="58"/>
      <c r="H780" s="59"/>
      <c r="I780" s="58"/>
      <c r="J780" s="60"/>
      <c r="K780" s="58"/>
      <c r="L780" s="37" t="s">
        <v>125</v>
      </c>
      <c r="M780" s="61">
        <v>2</v>
      </c>
      <c r="N780" s="56"/>
      <c r="O780" s="58"/>
      <c r="P780" s="55"/>
      <c r="Q780" s="62">
        <v>1954800</v>
      </c>
      <c r="R780" s="63"/>
      <c r="S780" s="64">
        <v>0.17</v>
      </c>
      <c r="T780" s="65"/>
      <c r="U780" s="65"/>
      <c r="V780" s="66"/>
      <c r="W780" s="67"/>
      <c r="X780" s="66">
        <f>IF(NOTA[[#This Row],[HARGA/ CTN]]="",NOTA[[#This Row],[JUMLAH_H]],NOTA[[#This Row],[HARGA/ CTN]]*IF(NOTA[[#This Row],[C]]="",0,NOTA[[#This Row],[C]]))</f>
        <v>3909600</v>
      </c>
      <c r="Y780" s="66">
        <f>IF(NOTA[[#This Row],[JUMLAH]]="","",NOTA[[#This Row],[JUMLAH]]*NOTA[[#This Row],[DISC 1]])</f>
        <v>664632</v>
      </c>
      <c r="Z780" s="66">
        <f>IF(NOTA[[#This Row],[JUMLAH]]="","",(NOTA[[#This Row],[JUMLAH]]-NOTA[[#This Row],[DISC 1-]])*NOTA[[#This Row],[DISC 2]])</f>
        <v>0</v>
      </c>
      <c r="AA780" s="66">
        <f>IF(NOTA[[#This Row],[JUMLAH]]="","",(NOTA[[#This Row],[JUMLAH]]-NOTA[[#This Row],[DISC 1-]]-NOTA[[#This Row],[DISC 2-]])*NOTA[[#This Row],[DISC 3]])</f>
        <v>0</v>
      </c>
      <c r="AB780" s="66">
        <f>IF(NOTA[[#This Row],[JUMLAH]]="","",NOTA[[#This Row],[DISC 1-]]+NOTA[[#This Row],[DISC 2-]]+NOTA[[#This Row],[DISC 3-]])</f>
        <v>664632</v>
      </c>
      <c r="AC780" s="66">
        <f>IF(NOTA[[#This Row],[JUMLAH]]="","",NOTA[[#This Row],[JUMLAH]]-NOTA[[#This Row],[DISC]])</f>
        <v>3244968</v>
      </c>
      <c r="AD780" s="66"/>
      <c r="AE7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3308472</v>
      </c>
      <c r="AF7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16153128</v>
      </c>
      <c r="AG780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80" s="66" t="str">
        <f>IF(OR(NOTA[[#This Row],[QTY]]="",NOTA[[#This Row],[HARGA SATUAN]]="",),"",NOTA[[#This Row],[QTY]]*NOTA[[#This Row],[HARGA SATUAN]])</f>
        <v/>
      </c>
      <c r="AI780" s="60">
        <f ca="1">IF(NOTA[ID_H]="","",INDEX(NOTA[TANGGAL],MATCH(,INDIRECT(ADDRESS(ROW(NOTA[TANGGAL]),COLUMN(NOTA[TANGGAL]))&amp;":"&amp;ADDRESS(ROW(),COLUMN(NOTA[TANGGAL]))),-1)))</f>
        <v>45320</v>
      </c>
      <c r="AJ780" s="55" t="str">
        <f ca="1">IF(NOTA[[#This Row],[NAMA BARANG]]="","",INDEX(NOTA[SUPPLIER],MATCH(,INDIRECT(ADDRESS(ROW(NOTA[ID]),COLUMN(NOTA[ID]))&amp;":"&amp;ADDRESS(ROW(),COLUMN(NOTA[ID]))),-1)))</f>
        <v>KENKO SINAR INDONESIA</v>
      </c>
      <c r="AK780" s="55" t="str">
        <f ca="1">IF(NOTA[[#This Row],[ID_H]]="","",IF(NOTA[[#This Row],[FAKTUR]]="",INDIRECT(ADDRESS(ROW()-1,COLUMN())),NOTA[[#This Row],[FAKTUR]]))</f>
        <v>ARTO MORO</v>
      </c>
      <c r="AL780" s="56" t="str">
        <f ca="1">IF(NOTA[[#This Row],[ID]]="","",COUNTIF(NOTA[ID_H],NOTA[[#This Row],[ID_H]]))</f>
        <v/>
      </c>
      <c r="AM780" s="56">
        <f ca="1">IF(NOTA[[#This Row],[TGL.NOTA]]="",IF(NOTA[[#This Row],[SUPPLIER_H]]="","",AM779),MONTH(NOTA[[#This Row],[TGL.NOTA]]))</f>
        <v>1</v>
      </c>
      <c r="AN780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>
        <f>IF(NOTA[[#This Row],[CONCAT1]]="","",MATCH(NOTA[[#This Row],[CONCAT1]],[3]!db[NB NOTA_C],0))</f>
        <v>1558</v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>36 LSN</v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780" s="56" t="e">
        <f ca="1">IF(NOTA[[#This Row],[ID_H]]="","",MATCH(NOTA[[#This Row],[NB NOTA_C_QTY]],[4]!db[NB NOTA_C_QTY+F],0))</f>
        <v>#REF!</v>
      </c>
      <c r="AX780" s="68">
        <f ca="1">IF(NOTA[[#This Row],[NB NOTA_C_QTY]]="","",ROW()-2)</f>
        <v>778</v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>
        <f ca="1">IF(INDIRECT(ADDRESS(ROW()-1,COLUMN(NOTA[[#Headers],[ID]])))="ID",1,IF(NOTA[[#This Row],[FAKTUR]]="","",COUNT(INDIRECT(ADDRESS(ROW(NOTA[ID]),COLUMN(NOTA[ID]))&amp;":"&amp;ADDRESS(ROW()-1,COLUMN(NOTA[ID]))))+1))</f>
        <v>136</v>
      </c>
      <c r="B78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KEN_2901_904-2</v>
      </c>
      <c r="C782" s="56" t="e">
        <f ca="1">IF(NOTA[[#This Row],[ID_P]]="","",MATCH(NOTA[[#This Row],[ID_P]],[1]!B_MSK[N_ID],0))</f>
        <v>#REF!</v>
      </c>
      <c r="D782" s="56">
        <f ca="1">IF(NOTA[[#This Row],[NAMA BARANG]]="","",INDEX(NOTA[ID],MATCH(,INDIRECT(ADDRESS(ROW(NOTA[ID]),COLUMN(NOTA[ID]))&amp;":"&amp;ADDRESS(ROW(),COLUMN(NOTA[ID]))),-1)))</f>
        <v>136</v>
      </c>
      <c r="E782" s="57">
        <v>45320</v>
      </c>
      <c r="F782" s="37" t="s">
        <v>22</v>
      </c>
      <c r="G782" s="37" t="s">
        <v>23</v>
      </c>
      <c r="H782" s="47" t="s">
        <v>864</v>
      </c>
      <c r="I782" s="58"/>
      <c r="J782" s="60">
        <v>45318</v>
      </c>
      <c r="K782" s="58"/>
      <c r="L782" s="37" t="s">
        <v>331</v>
      </c>
      <c r="M782" s="61">
        <v>1</v>
      </c>
      <c r="N782" s="56"/>
      <c r="O782" s="58"/>
      <c r="P782" s="55"/>
      <c r="Q782" s="62">
        <v>504000</v>
      </c>
      <c r="R782" s="63"/>
      <c r="S782" s="64">
        <v>0.17</v>
      </c>
      <c r="T782" s="65"/>
      <c r="U782" s="65"/>
      <c r="V782" s="66"/>
      <c r="W782" s="67"/>
      <c r="X782" s="66">
        <f>IF(NOTA[[#This Row],[HARGA/ CTN]]="",NOTA[[#This Row],[JUMLAH_H]],NOTA[[#This Row],[HARGA/ CTN]]*IF(NOTA[[#This Row],[C]]="",0,NOTA[[#This Row],[C]]))</f>
        <v>504000</v>
      </c>
      <c r="Y782" s="66">
        <f>IF(NOTA[[#This Row],[JUMLAH]]="","",NOTA[[#This Row],[JUMLAH]]*NOTA[[#This Row],[DISC 1]])</f>
        <v>85680</v>
      </c>
      <c r="Z782" s="66">
        <f>IF(NOTA[[#This Row],[JUMLAH]]="","",(NOTA[[#This Row],[JUMLAH]]-NOTA[[#This Row],[DISC 1-]])*NOTA[[#This Row],[DISC 2]])</f>
        <v>0</v>
      </c>
      <c r="AA782" s="66">
        <f>IF(NOTA[[#This Row],[JUMLAH]]="","",(NOTA[[#This Row],[JUMLAH]]-NOTA[[#This Row],[DISC 1-]]-NOTA[[#This Row],[DISC 2-]])*NOTA[[#This Row],[DISC 3]])</f>
        <v>0</v>
      </c>
      <c r="AB782" s="66">
        <f>IF(NOTA[[#This Row],[JUMLAH]]="","",NOTA[[#This Row],[DISC 1-]]+NOTA[[#This Row],[DISC 2-]]+NOTA[[#This Row],[DISC 3-]])</f>
        <v>85680</v>
      </c>
      <c r="AC782" s="66">
        <f>IF(NOTA[[#This Row],[JUMLAH]]="","",NOTA[[#This Row],[JUMLAH]]-NOTA[[#This Row],[DISC]])</f>
        <v>418320</v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82" s="66" t="str">
        <f>IF(OR(NOTA[[#This Row],[QTY]]="",NOTA[[#This Row],[HARGA SATUAN]]="",),"",NOTA[[#This Row],[QTY]]*NOTA[[#This Row],[HARGA SATUAN]])</f>
        <v/>
      </c>
      <c r="AI782" s="60">
        <f ca="1">IF(NOTA[ID_H]="","",INDEX(NOTA[TANGGAL],MATCH(,INDIRECT(ADDRESS(ROW(NOTA[TANGGAL]),COLUMN(NOTA[TANGGAL]))&amp;":"&amp;ADDRESS(ROW(),COLUMN(NOTA[TANGGAL]))),-1)))</f>
        <v>45320</v>
      </c>
      <c r="AJ782" s="55" t="str">
        <f ca="1">IF(NOTA[[#This Row],[NAMA BARANG]]="","",INDEX(NOTA[SUPPLIER],MATCH(,INDIRECT(ADDRESS(ROW(NOTA[ID]),COLUMN(NOTA[ID]))&amp;":"&amp;ADDRESS(ROW(),COLUMN(NOTA[ID]))),-1)))</f>
        <v>KENKO SINAR INDONESIA</v>
      </c>
      <c r="AK782" s="55" t="str">
        <f ca="1">IF(NOTA[[#This Row],[ID_H]]="","",IF(NOTA[[#This Row],[FAKTUR]]="",INDIRECT(ADDRESS(ROW()-1,COLUMN())),NOTA[[#This Row],[FAKTUR]]))</f>
        <v>ARTO MORO</v>
      </c>
      <c r="AL782" s="56">
        <f ca="1">IF(NOTA[[#This Row],[ID]]="","",COUNTIF(NOTA[ID_H],NOTA[[#This Row],[ID_H]]))</f>
        <v>2</v>
      </c>
      <c r="AM782" s="56">
        <f>IF(NOTA[[#This Row],[TGL.NOTA]]="",IF(NOTA[[#This Row],[SUPPLIER_H]]="","",AM781),MONTH(NOTA[[#This Row],[TGL.NOTA]]))</f>
        <v>1</v>
      </c>
      <c r="AN782" s="56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MORO2401190445318kenkoliquidgluelg5050ml</v>
      </c>
      <c r="AR782" s="56" t="e">
        <f>IF(NOTA[[#This Row],[CONCAT4]]="","",_xlfn.IFNA(MATCH(NOTA[[#This Row],[CONCAT4]],[2]!RAW[CONCAT_H],0),FALSE))</f>
        <v>#REF!</v>
      </c>
      <c r="AS782" s="56">
        <f>IF(NOTA[[#This Row],[CONCAT1]]="","",MATCH(NOTA[[#This Row],[CONCAT1]],[3]!db[NB NOTA_C],0))</f>
        <v>1689</v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>20 LSN</v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782" s="56" t="e">
        <f ca="1">IF(NOTA[[#This Row],[ID_H]]="","",MATCH(NOTA[[#This Row],[NB NOTA_C_QTY]],[4]!db[NB NOTA_C_QTY+F],0))</f>
        <v>#REF!</v>
      </c>
      <c r="AX782" s="68">
        <f ca="1">IF(NOTA[[#This Row],[NB NOTA_C_QTY]]="","",ROW()-2)</f>
        <v>780</v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>
        <f ca="1">IF(NOTA[[#This Row],[NAMA BARANG]]="","",INDEX(NOTA[ID],MATCH(,INDIRECT(ADDRESS(ROW(NOTA[ID]),COLUMN(NOTA[ID]))&amp;":"&amp;ADDRESS(ROW(),COLUMN(NOTA[ID]))),-1)))</f>
        <v>136</v>
      </c>
      <c r="E783" s="57"/>
      <c r="F783" s="58"/>
      <c r="G783" s="58"/>
      <c r="H783" s="59"/>
      <c r="I783" s="58"/>
      <c r="J783" s="60"/>
      <c r="K783" s="58">
        <v>0</v>
      </c>
      <c r="L783" s="37" t="s">
        <v>865</v>
      </c>
      <c r="M783" s="61">
        <v>1</v>
      </c>
      <c r="N783" s="56"/>
      <c r="O783" s="58"/>
      <c r="P783" s="55"/>
      <c r="Q783" s="62">
        <v>844800</v>
      </c>
      <c r="R783" s="63"/>
      <c r="S783" s="64">
        <v>0.17</v>
      </c>
      <c r="T783" s="65"/>
      <c r="U783" s="65"/>
      <c r="V783" s="66"/>
      <c r="W783" s="67"/>
      <c r="X783" s="66">
        <f>IF(NOTA[[#This Row],[HARGA/ CTN]]="",NOTA[[#This Row],[JUMLAH_H]],NOTA[[#This Row],[HARGA/ CTN]]*IF(NOTA[[#This Row],[C]]="",0,NOTA[[#This Row],[C]]))</f>
        <v>844800</v>
      </c>
      <c r="Y783" s="66">
        <f>IF(NOTA[[#This Row],[JUMLAH]]="","",NOTA[[#This Row],[JUMLAH]]*NOTA[[#This Row],[DISC 1]])</f>
        <v>143616</v>
      </c>
      <c r="Z783" s="66">
        <f>IF(NOTA[[#This Row],[JUMLAH]]="","",(NOTA[[#This Row],[JUMLAH]]-NOTA[[#This Row],[DISC 1-]])*NOTA[[#This Row],[DISC 2]])</f>
        <v>0</v>
      </c>
      <c r="AA783" s="66">
        <f>IF(NOTA[[#This Row],[JUMLAH]]="","",(NOTA[[#This Row],[JUMLAH]]-NOTA[[#This Row],[DISC 1-]]-NOTA[[#This Row],[DISC 2-]])*NOTA[[#This Row],[DISC 3]])</f>
        <v>0</v>
      </c>
      <c r="AB783" s="66">
        <f>IF(NOTA[[#This Row],[JUMLAH]]="","",NOTA[[#This Row],[DISC 1-]]+NOTA[[#This Row],[DISC 2-]]+NOTA[[#This Row],[DISC 3-]])</f>
        <v>143616</v>
      </c>
      <c r="AC783" s="66">
        <f>IF(NOTA[[#This Row],[JUMLAH]]="","",NOTA[[#This Row],[JUMLAH]]-NOTA[[#This Row],[DISC]])</f>
        <v>701184</v>
      </c>
      <c r="AD783" s="66"/>
      <c r="AE78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229296</v>
      </c>
      <c r="AF78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1119504</v>
      </c>
      <c r="AG783" s="5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783" s="66" t="str">
        <f>IF(OR(NOTA[[#This Row],[QTY]]="",NOTA[[#This Row],[HARGA SATUAN]]="",),"",NOTA[[#This Row],[QTY]]*NOTA[[#This Row],[HARGA SATUAN]])</f>
        <v/>
      </c>
      <c r="AI783" s="60">
        <f ca="1">IF(NOTA[ID_H]="","",INDEX(NOTA[TANGGAL],MATCH(,INDIRECT(ADDRESS(ROW(NOTA[TANGGAL]),COLUMN(NOTA[TANGGAL]))&amp;":"&amp;ADDRESS(ROW(),COLUMN(NOTA[TANGGAL]))),-1)))</f>
        <v>45320</v>
      </c>
      <c r="AJ783" s="55" t="str">
        <f ca="1">IF(NOTA[[#This Row],[NAMA BARANG]]="","",INDEX(NOTA[SUPPLIER],MATCH(,INDIRECT(ADDRESS(ROW(NOTA[ID]),COLUMN(NOTA[ID]))&amp;":"&amp;ADDRESS(ROW(),COLUMN(NOTA[ID]))),-1)))</f>
        <v>KENKO SINAR INDONESIA</v>
      </c>
      <c r="AK783" s="55" t="str">
        <f ca="1">IF(NOTA[[#This Row],[ID_H]]="","",IF(NOTA[[#This Row],[FAKTUR]]="",INDIRECT(ADDRESS(ROW()-1,COLUMN())),NOTA[[#This Row],[FAKTUR]]))</f>
        <v>ARTO MORO</v>
      </c>
      <c r="AL783" s="56" t="str">
        <f ca="1">IF(NOTA[[#This Row],[ID]]="","",COUNTIF(NOTA[ID_H],NOTA[[#This Row],[ID_H]]))</f>
        <v/>
      </c>
      <c r="AM783" s="56">
        <f ca="1">IF(NOTA[[#This Row],[TGL.NOTA]]="",IF(NOTA[[#This Row],[SUPPLIER_H]]="","",AM782),MONTH(NOTA[[#This Row],[TGL.NOTA]]))</f>
        <v>1</v>
      </c>
      <c r="AN783" s="56" t="str">
        <f>LOWER(SUBSTITUTE(SUBSTITUTE(SUBSTITUTE(SUBSTITUTE(SUBSTITUTE(SUBSTITUTE(SUBSTITUTE(SUBSTITUTE(SUBSTITUTE(NOTA[NAMA BARANG]," ",),".",""),"-",""),"(",""),")",""),",",""),"/",""),"""",""),"+",""))</f>
        <v>kenkolooseleafa5ll2070</v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kenkolooseleafa5ll20708448000.17</v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kenkolooseleafa5ll20708448000.17</v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e">
        <f>IF(NOTA[[#This Row],[CONCAT1]]="","",MATCH(NOTA[[#This Row],[CONCAT1]],[3]!db[NB NOTA_C],0))</f>
        <v>#N/A</v>
      </c>
      <c r="AT783" s="56" t="str">
        <f>IF(NOTA[[#This Row],[QTY/ CTN]]="","",TRUE)</f>
        <v/>
      </c>
      <c r="AU783" s="56" t="e">
        <f ca="1">IF(NOTA[[#This Row],[ID_H]]="","",IF(NOTA[[#This Row],[Column3]]=TRUE,NOTA[[#This Row],[QTY/ CTN]],INDEX([3]!db[QTY/ CTN],NOTA[[#This Row],[//DB]])))</f>
        <v>#N/A</v>
      </c>
      <c r="AV783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83" s="56" t="e">
        <f ca="1">IF(NOTA[[#This Row],[ID_H]]="","",MATCH(NOTA[[#This Row],[NB NOTA_C_QTY]],[4]!db[NB NOTA_C_QTY+F],0))</f>
        <v>#N/A</v>
      </c>
      <c r="AX783" s="68" t="e">
        <f ca="1">IF(NOTA[[#This Row],[NB NOTA_C_QTY]]="","",ROW()-2)</f>
        <v>#N/A</v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>
        <f ca="1">IF(INDIRECT(ADDRESS(ROW()-1,COLUMN(NOTA[[#Headers],[ID]])))="ID",1,IF(NOTA[[#This Row],[FAKTUR]]="","",COUNT(INDIRECT(ADDRESS(ROW(NOTA[ID]),COLUMN(NOTA[ID]))&amp;":"&amp;ADDRESS(ROW()-1,COLUMN(NOTA[ID]))))+1))</f>
        <v>137</v>
      </c>
      <c r="B78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GUN_2901_199-4</v>
      </c>
      <c r="C785" s="56" t="e">
        <f ca="1">IF(NOTA[[#This Row],[ID_P]]="","",MATCH(NOTA[[#This Row],[ID_P]],[1]!B_MSK[N_ID],0))</f>
        <v>#REF!</v>
      </c>
      <c r="D785" s="56">
        <f ca="1">IF(NOTA[[#This Row],[NAMA BARANG]]="","",INDEX(NOTA[ID],MATCH(,INDIRECT(ADDRESS(ROW(NOTA[ID]),COLUMN(NOTA[ID]))&amp;":"&amp;ADDRESS(ROW(),COLUMN(NOTA[ID]))),-1)))</f>
        <v>137</v>
      </c>
      <c r="E785" s="57">
        <v>45320</v>
      </c>
      <c r="F785" s="37" t="s">
        <v>693</v>
      </c>
      <c r="G785" s="37" t="s">
        <v>110</v>
      </c>
      <c r="H785" s="47" t="s">
        <v>866</v>
      </c>
      <c r="I785" s="58"/>
      <c r="J785" s="60">
        <v>45315</v>
      </c>
      <c r="K785" s="58">
        <v>1</v>
      </c>
      <c r="L785" s="37" t="s">
        <v>697</v>
      </c>
      <c r="M785" s="61">
        <v>2</v>
      </c>
      <c r="N785" s="56">
        <v>60</v>
      </c>
      <c r="O785" s="37" t="s">
        <v>111</v>
      </c>
      <c r="P785" s="55">
        <v>70000</v>
      </c>
      <c r="Q785" s="62"/>
      <c r="R785" s="48" t="s">
        <v>153</v>
      </c>
      <c r="S785" s="64">
        <v>0.05</v>
      </c>
      <c r="T785" s="65">
        <v>0.1</v>
      </c>
      <c r="U785" s="65"/>
      <c r="V785" s="66"/>
      <c r="W785" s="67"/>
      <c r="X785" s="66">
        <f>IF(NOTA[[#This Row],[HARGA/ CTN]]="",NOTA[[#This Row],[JUMLAH_H]],NOTA[[#This Row],[HARGA/ CTN]]*IF(NOTA[[#This Row],[C]]="",0,NOTA[[#This Row],[C]]))</f>
        <v>4200000</v>
      </c>
      <c r="Y785" s="66">
        <f>IF(NOTA[[#This Row],[JUMLAH]]="","",NOTA[[#This Row],[JUMLAH]]*NOTA[[#This Row],[DISC 1]])</f>
        <v>210000</v>
      </c>
      <c r="Z785" s="66">
        <f>IF(NOTA[[#This Row],[JUMLAH]]="","",(NOTA[[#This Row],[JUMLAH]]-NOTA[[#This Row],[DISC 1-]])*NOTA[[#This Row],[DISC 2]])</f>
        <v>399000</v>
      </c>
      <c r="AA785" s="66">
        <f>IF(NOTA[[#This Row],[JUMLAH]]="","",(NOTA[[#This Row],[JUMLAH]]-NOTA[[#This Row],[DISC 1-]]-NOTA[[#This Row],[DISC 2-]])*NOTA[[#This Row],[DISC 3]])</f>
        <v>0</v>
      </c>
      <c r="AB785" s="66">
        <f>IF(NOTA[[#This Row],[JUMLAH]]="","",NOTA[[#This Row],[DISC 1-]]+NOTA[[#This Row],[DISC 2-]]+NOTA[[#This Row],[DISC 3-]])</f>
        <v>609000</v>
      </c>
      <c r="AC785" s="66">
        <f>IF(NOTA[[#This Row],[JUMLAH]]="","",NOTA[[#This Row],[JUMLAH]]-NOTA[[#This Row],[DISC]])</f>
        <v>3591000</v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785" s="66">
        <f>IF(OR(NOTA[[#This Row],[QTY]]="",NOTA[[#This Row],[HARGA SATUAN]]="",),"",NOTA[[#This Row],[QTY]]*NOTA[[#This Row],[HARGA SATUAN]])</f>
        <v>4200000</v>
      </c>
      <c r="AI785" s="60">
        <f ca="1">IF(NOTA[ID_H]="","",INDEX(NOTA[TANGGAL],MATCH(,INDIRECT(ADDRESS(ROW(NOTA[TANGGAL]),COLUMN(NOTA[TANGGAL]))&amp;":"&amp;ADDRESS(ROW(),COLUMN(NOTA[TANGGAL]))),-1)))</f>
        <v>45320</v>
      </c>
      <c r="AJ785" s="55" t="str">
        <f ca="1">IF(NOTA[[#This Row],[NAMA BARANG]]="","",INDEX(NOTA[SUPPLIER],MATCH(,INDIRECT(ADDRESS(ROW(NOTA[ID]),COLUMN(NOTA[ID]))&amp;":"&amp;ADDRESS(ROW(),COLUMN(NOTA[ID]))),-1)))</f>
        <v>GUNINDO</v>
      </c>
      <c r="AK785" s="55" t="str">
        <f ca="1">IF(NOTA[[#This Row],[ID_H]]="","",IF(NOTA[[#This Row],[FAKTUR]]="",INDIRECT(ADDRESS(ROW()-1,COLUMN())),NOTA[[#This Row],[FAKTUR]]))</f>
        <v>UNTANA</v>
      </c>
      <c r="AL785" s="56">
        <f ca="1">IF(NOTA[[#This Row],[ID]]="","",COUNTIF(NOTA[ID_H],NOTA[[#This Row],[ID_H]]))</f>
        <v>4</v>
      </c>
      <c r="AM785" s="56">
        <f>IF(NOTA[[#This Row],[TGL.NOTA]]="",IF(NOTA[[#This Row],[SUPPLIER_H]]="","",AM784),MONTH(NOTA[[#This Row],[TGL.NOTA]]))</f>
        <v>1</v>
      </c>
      <c r="AN785" s="56" t="str">
        <f>LOWER(SUBSTITUTE(SUBSTITUTE(SUBSTITUTE(SUBSTITUTE(SUBSTITUTE(SUBSTITUTE(SUBSTITUTE(SUBSTITUTE(SUBSTITUTE(NOTA[NAMA BARANG]," ",),".",""),"-",""),"(",""),")",""),",",""),"/",""),"""",""),"+",""))</f>
        <v>ollgunindo</v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GUNINDOUNTANA240119945315ollgunindo</v>
      </c>
      <c r="AR785" s="56" t="e">
        <f>IF(NOTA[[#This Row],[CONCAT4]]="","",_xlfn.IFNA(MATCH(NOTA[[#This Row],[CONCAT4]],[2]!RAW[CONCAT_H],0),FALSE))</f>
        <v>#REF!</v>
      </c>
      <c r="AS785" s="56">
        <f>IF(NOTA[[#This Row],[CONCAT1]]="","",MATCH(NOTA[[#This Row],[CONCAT1]],[3]!db[NB NOTA_C],0))</f>
        <v>2181</v>
      </c>
      <c r="AT785" s="56" t="b">
        <f>IF(NOTA[[#This Row],[QTY/ CTN]]="","",TRUE)</f>
        <v>1</v>
      </c>
      <c r="AU785" s="56" t="str">
        <f ca="1">IF(NOTA[[#This Row],[ID_H]]="","",IF(NOTA[[#This Row],[Column3]]=TRUE,NOTA[[#This Row],[QTY/ CTN]],INDEX([3]!db[QTY/ CTN],NOTA[[#This Row],[//DB]])))</f>
        <v>60 LSN</v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ollgunindo60lsnuntana</v>
      </c>
      <c r="AW785" s="56" t="e">
        <f ca="1">IF(NOTA[[#This Row],[ID_H]]="","",MATCH(NOTA[[#This Row],[NB NOTA_C_QTY]],[4]!db[NB NOTA_C_QTY+F],0))</f>
        <v>#REF!</v>
      </c>
      <c r="AX785" s="68">
        <f ca="1">IF(NOTA[[#This Row],[NB NOTA_C_QTY]]="","",ROW()-2)</f>
        <v>783</v>
      </c>
    </row>
    <row r="786" spans="1:50" s="38" customFormat="1" ht="20.100000000000001" customHeight="1" x14ac:dyDescent="0.25">
      <c r="A7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38" t="str">
        <f>IF(NOTA[[#This Row],[ID_P]]="","",MATCH(NOTA[[#This Row],[ID_P]],[1]!B_MSK[N_ID],0))</f>
        <v/>
      </c>
      <c r="D786" s="38">
        <f ca="1">IF(NOTA[[#This Row],[NAMA BARANG]]="","",INDEX(NOTA[ID],MATCH(,INDIRECT(ADDRESS(ROW(NOTA[ID]),COLUMN(NOTA[ID]))&amp;":"&amp;ADDRESS(ROW(),COLUMN(NOTA[ID]))),-1)))</f>
        <v>137</v>
      </c>
      <c r="E786" s="46"/>
      <c r="F786" s="37"/>
      <c r="G786" s="37"/>
      <c r="H786" s="47"/>
      <c r="I786" s="37"/>
      <c r="J786" s="39"/>
      <c r="K786" s="37">
        <v>0</v>
      </c>
      <c r="L786" s="37" t="s">
        <v>698</v>
      </c>
      <c r="M786" s="40">
        <v>1</v>
      </c>
      <c r="N786" s="38">
        <v>30</v>
      </c>
      <c r="O786" s="37" t="s">
        <v>111</v>
      </c>
      <c r="P786" s="41">
        <v>90000</v>
      </c>
      <c r="Q786" s="42"/>
      <c r="R786" s="48" t="s">
        <v>113</v>
      </c>
      <c r="S786" s="49">
        <v>0.05</v>
      </c>
      <c r="T786" s="44">
        <v>0.1</v>
      </c>
      <c r="U786" s="44"/>
      <c r="V786" s="50"/>
      <c r="W786" s="45"/>
      <c r="X786" s="50">
        <f>IF(NOTA[[#This Row],[HARGA/ CTN]]="",NOTA[[#This Row],[JUMLAH_H]],NOTA[[#This Row],[HARGA/ CTN]]*IF(NOTA[[#This Row],[C]]="",0,NOTA[[#This Row],[C]]))</f>
        <v>2700000</v>
      </c>
      <c r="Y786" s="50">
        <f>IF(NOTA[[#This Row],[JUMLAH]]="","",NOTA[[#This Row],[JUMLAH]]*NOTA[[#This Row],[DISC 1]])</f>
        <v>135000</v>
      </c>
      <c r="Z786" s="50">
        <f>IF(NOTA[[#This Row],[JUMLAH]]="","",(NOTA[[#This Row],[JUMLAH]]-NOTA[[#This Row],[DISC 1-]])*NOTA[[#This Row],[DISC 2]])</f>
        <v>256500</v>
      </c>
      <c r="AA786" s="50">
        <f>IF(NOTA[[#This Row],[JUMLAH]]="","",(NOTA[[#This Row],[JUMLAH]]-NOTA[[#This Row],[DISC 1-]]-NOTA[[#This Row],[DISC 2-]])*NOTA[[#This Row],[DISC 3]])</f>
        <v>0</v>
      </c>
      <c r="AB786" s="50">
        <f>IF(NOTA[[#This Row],[JUMLAH]]="","",NOTA[[#This Row],[DISC 1-]]+NOTA[[#This Row],[DISC 2-]]+NOTA[[#This Row],[DISC 3-]])</f>
        <v>391500</v>
      </c>
      <c r="AC786" s="50">
        <f>IF(NOTA[[#This Row],[JUMLAH]]="","",NOTA[[#This Row],[JUMLAH]]-NOTA[[#This Row],[DISC]])</f>
        <v>2308500</v>
      </c>
      <c r="AD786" s="50"/>
      <c r="AE7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786" s="50">
        <f>IF(OR(NOTA[[#This Row],[QTY]]="",NOTA[[#This Row],[HARGA SATUAN]]="",),"",NOTA[[#This Row],[QTY]]*NOTA[[#This Row],[HARGA SATUAN]])</f>
        <v>2700000</v>
      </c>
      <c r="AI786" s="39">
        <f ca="1">IF(NOTA[ID_H]="","",INDEX(NOTA[TANGGAL],MATCH(,INDIRECT(ADDRESS(ROW(NOTA[TANGGAL]),COLUMN(NOTA[TANGGAL]))&amp;":"&amp;ADDRESS(ROW(),COLUMN(NOTA[TANGGAL]))),-1)))</f>
        <v>45320</v>
      </c>
      <c r="AJ786" s="41" t="str">
        <f ca="1">IF(NOTA[[#This Row],[NAMA BARANG]]="","",INDEX(NOTA[SUPPLIER],MATCH(,INDIRECT(ADDRESS(ROW(NOTA[ID]),COLUMN(NOTA[ID]))&amp;":"&amp;ADDRESS(ROW(),COLUMN(NOTA[ID]))),-1)))</f>
        <v>GUNINDO</v>
      </c>
      <c r="AK786" s="41" t="str">
        <f ca="1">IF(NOTA[[#This Row],[ID_H]]="","",IF(NOTA[[#This Row],[FAKTUR]]="",INDIRECT(ADDRESS(ROW()-1,COLUMN())),NOTA[[#This Row],[FAKTUR]]))</f>
        <v>UNTANA</v>
      </c>
      <c r="AL786" s="38" t="str">
        <f ca="1">IF(NOTA[[#This Row],[ID]]="","",COUNTIF(NOTA[ID_H],NOTA[[#This Row],[ID_H]]))</f>
        <v/>
      </c>
      <c r="AM786" s="38">
        <f ca="1">IF(NOTA[[#This Row],[TGL.NOTA]]="",IF(NOTA[[#This Row],[SUPPLIER_H]]="","",AM785),MONTH(NOTA[[#This Row],[TGL.NOTA]]))</f>
        <v>1</v>
      </c>
      <c r="AN786" s="38" t="str">
        <f>LOWER(SUBSTITUTE(SUBSTITUTE(SUBSTITUTE(SUBSTITUTE(SUBSTITUTE(SUBSTITUTE(SUBSTITUTE(SUBSTITUTE(SUBSTITUTE(NOTA[NAMA BARANG]," ",),".",""),"-",""),"(",""),")",""),",",""),"/",""),"""",""),"+",""))</f>
        <v>gunindofmcoklat</v>
      </c>
      <c r="AO7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P7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Q7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38" t="str">
        <f>IF(NOTA[[#This Row],[CONCAT4]]="","",_xlfn.IFNA(MATCH(NOTA[[#This Row],[CONCAT4]],[2]!RAW[CONCAT_H],0),FALSE))</f>
        <v/>
      </c>
      <c r="AS786" s="38">
        <f>IF(NOTA[[#This Row],[CONCAT1]]="","",MATCH(NOTA[[#This Row],[CONCAT1]],[3]!db[NB NOTA_C],0))</f>
        <v>1348</v>
      </c>
      <c r="AT786" s="38" t="b">
        <f>IF(NOTA[[#This Row],[QTY/ CTN]]="","",TRUE)</f>
        <v>1</v>
      </c>
      <c r="AU786" s="38" t="str">
        <f ca="1">IF(NOTA[[#This Row],[ID_H]]="","",IF(NOTA[[#This Row],[Column3]]=TRUE,NOTA[[#This Row],[QTY/ CTN]],INDEX([3]!db[QTY/ CTN],NOTA[[#This Row],[//DB]])))</f>
        <v>30 LSN</v>
      </c>
      <c r="AV7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W786" s="38" t="e">
        <f ca="1">IF(NOTA[[#This Row],[ID_H]]="","",MATCH(NOTA[[#This Row],[NB NOTA_C_QTY]],[4]!db[NB NOTA_C_QTY+F],0))</f>
        <v>#REF!</v>
      </c>
      <c r="AX786" s="53">
        <f ca="1">IF(NOTA[[#This Row],[NB NOTA_C_QTY]]="","",ROW()-2)</f>
        <v>784</v>
      </c>
    </row>
    <row r="787" spans="1:50" s="38" customFormat="1" ht="20.100000000000001" customHeight="1" x14ac:dyDescent="0.25">
      <c r="A7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38" t="str">
        <f>IF(NOTA[[#This Row],[ID_P]]="","",MATCH(NOTA[[#This Row],[ID_P]],[1]!B_MSK[N_ID],0))</f>
        <v/>
      </c>
      <c r="D787" s="38">
        <f ca="1">IF(NOTA[[#This Row],[NAMA BARANG]]="","",INDEX(NOTA[ID],MATCH(,INDIRECT(ADDRESS(ROW(NOTA[ID]),COLUMN(NOTA[ID]))&amp;":"&amp;ADDRESS(ROW(),COLUMN(NOTA[ID]))),-1)))</f>
        <v>137</v>
      </c>
      <c r="E787" s="46"/>
      <c r="F787" s="37"/>
      <c r="G787" s="37"/>
      <c r="H787" s="47"/>
      <c r="I787" s="37"/>
      <c r="J787" s="39"/>
      <c r="K787" s="37">
        <v>0</v>
      </c>
      <c r="L787" s="37" t="s">
        <v>701</v>
      </c>
      <c r="M787" s="40">
        <v>1</v>
      </c>
      <c r="N787" s="38">
        <v>20</v>
      </c>
      <c r="O787" s="37" t="s">
        <v>111</v>
      </c>
      <c r="P787" s="41">
        <v>120000</v>
      </c>
      <c r="Q787" s="42"/>
      <c r="R787" s="48" t="s">
        <v>792</v>
      </c>
      <c r="S787" s="49">
        <v>0.05</v>
      </c>
      <c r="T787" s="44">
        <v>0.1</v>
      </c>
      <c r="U787" s="44"/>
      <c r="V787" s="50"/>
      <c r="W787" s="45"/>
      <c r="X787" s="50">
        <f>IF(NOTA[[#This Row],[HARGA/ CTN]]="",NOTA[[#This Row],[JUMLAH_H]],NOTA[[#This Row],[HARGA/ CTN]]*IF(NOTA[[#This Row],[C]]="",0,NOTA[[#This Row],[C]]))</f>
        <v>2400000</v>
      </c>
      <c r="Y787" s="50">
        <f>IF(NOTA[[#This Row],[JUMLAH]]="","",NOTA[[#This Row],[JUMLAH]]*NOTA[[#This Row],[DISC 1]])</f>
        <v>120000</v>
      </c>
      <c r="Z787" s="50">
        <f>IF(NOTA[[#This Row],[JUMLAH]]="","",(NOTA[[#This Row],[JUMLAH]]-NOTA[[#This Row],[DISC 1-]])*NOTA[[#This Row],[DISC 2]])</f>
        <v>228000</v>
      </c>
      <c r="AA787" s="50">
        <f>IF(NOTA[[#This Row],[JUMLAH]]="","",(NOTA[[#This Row],[JUMLAH]]-NOTA[[#This Row],[DISC 1-]]-NOTA[[#This Row],[DISC 2-]])*NOTA[[#This Row],[DISC 3]])</f>
        <v>0</v>
      </c>
      <c r="AB787" s="50">
        <f>IF(NOTA[[#This Row],[JUMLAH]]="","",NOTA[[#This Row],[DISC 1-]]+NOTA[[#This Row],[DISC 2-]]+NOTA[[#This Row],[DISC 3-]])</f>
        <v>348000</v>
      </c>
      <c r="AC787" s="50">
        <f>IF(NOTA[[#This Row],[JUMLAH]]="","",NOTA[[#This Row],[JUMLAH]]-NOTA[[#This Row],[DISC]])</f>
        <v>2052000</v>
      </c>
      <c r="AD787" s="50"/>
      <c r="AE7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787" s="50">
        <f>IF(OR(NOTA[[#This Row],[QTY]]="",NOTA[[#This Row],[HARGA SATUAN]]="",),"",NOTA[[#This Row],[QTY]]*NOTA[[#This Row],[HARGA SATUAN]])</f>
        <v>2400000</v>
      </c>
      <c r="AI787" s="39">
        <f ca="1">IF(NOTA[ID_H]="","",INDEX(NOTA[TANGGAL],MATCH(,INDIRECT(ADDRESS(ROW(NOTA[TANGGAL]),COLUMN(NOTA[TANGGAL]))&amp;":"&amp;ADDRESS(ROW(),COLUMN(NOTA[TANGGAL]))),-1)))</f>
        <v>45320</v>
      </c>
      <c r="AJ787" s="41" t="str">
        <f ca="1">IF(NOTA[[#This Row],[NAMA BARANG]]="","",INDEX(NOTA[SUPPLIER],MATCH(,INDIRECT(ADDRESS(ROW(NOTA[ID]),COLUMN(NOTA[ID]))&amp;":"&amp;ADDRESS(ROW(),COLUMN(NOTA[ID]))),-1)))</f>
        <v>GUNINDO</v>
      </c>
      <c r="AK787" s="41" t="str">
        <f ca="1">IF(NOTA[[#This Row],[ID_H]]="","",IF(NOTA[[#This Row],[FAKTUR]]="",INDIRECT(ADDRESS(ROW()-1,COLUMN())),NOTA[[#This Row],[FAKTUR]]))</f>
        <v>UNTANA</v>
      </c>
      <c r="AL787" s="38" t="str">
        <f ca="1">IF(NOTA[[#This Row],[ID]]="","",COUNTIF(NOTA[ID_H],NOTA[[#This Row],[ID_H]]))</f>
        <v/>
      </c>
      <c r="AM787" s="38">
        <f ca="1">IF(NOTA[[#This Row],[TGL.NOTA]]="",IF(NOTA[[#This Row],[SUPPLIER_H]]="","",AM786),MONTH(NOTA[[#This Row],[TGL.NOTA]]))</f>
        <v>1</v>
      </c>
      <c r="AN787" s="38" t="str">
        <f>LOWER(SUBSTITUTE(SUBSTITUTE(SUBSTITUTE(SUBSTITUTE(SUBSTITUTE(SUBSTITUTE(SUBSTITUTE(SUBSTITUTE(SUBSTITUTE(NOTA[NAMA BARANG]," ",),".",""),"-",""),"(",""),")",""),",",""),"/",""),"""",""),"+",""))</f>
        <v>gunindoflcoklat</v>
      </c>
      <c r="AO7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P7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Q7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38" t="str">
        <f>IF(NOTA[[#This Row],[CONCAT4]]="","",_xlfn.IFNA(MATCH(NOTA[[#This Row],[CONCAT4]],[2]!RAW[CONCAT_H],0),FALSE))</f>
        <v/>
      </c>
      <c r="AS787" s="38">
        <f>IF(NOTA[[#This Row],[CONCAT1]]="","",MATCH(NOTA[[#This Row],[CONCAT1]],[3]!db[NB NOTA_C],0))</f>
        <v>1346</v>
      </c>
      <c r="AT787" s="38" t="b">
        <f>IF(NOTA[[#This Row],[QTY/ CTN]]="","",TRUE)</f>
        <v>1</v>
      </c>
      <c r="AU787" s="38" t="str">
        <f ca="1">IF(NOTA[[#This Row],[ID_H]]="","",IF(NOTA[[#This Row],[Column3]]=TRUE,NOTA[[#This Row],[QTY/ CTN]],INDEX([3]!db[QTY/ CTN],NOTA[[#This Row],[//DB]])))</f>
        <v>20 LSN</v>
      </c>
      <c r="AV7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W787" s="38" t="e">
        <f ca="1">IF(NOTA[[#This Row],[ID_H]]="","",MATCH(NOTA[[#This Row],[NB NOTA_C_QTY]],[4]!db[NB NOTA_C_QTY+F],0))</f>
        <v>#REF!</v>
      </c>
      <c r="AX787" s="53">
        <f ca="1">IF(NOTA[[#This Row],[NB NOTA_C_QTY]]="","",ROW()-2)</f>
        <v>785</v>
      </c>
    </row>
    <row r="788" spans="1:50" s="38" customFormat="1" ht="20.100000000000001" customHeight="1" x14ac:dyDescent="0.25">
      <c r="A7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38" t="str">
        <f>IF(NOTA[[#This Row],[ID_P]]="","",MATCH(NOTA[[#This Row],[ID_P]],[1]!B_MSK[N_ID],0))</f>
        <v/>
      </c>
      <c r="D788" s="38">
        <f ca="1">IF(NOTA[[#This Row],[NAMA BARANG]]="","",INDEX(NOTA[ID],MATCH(,INDIRECT(ADDRESS(ROW(NOTA[ID]),COLUMN(NOTA[ID]))&amp;":"&amp;ADDRESS(ROW(),COLUMN(NOTA[ID]))),-1)))</f>
        <v>137</v>
      </c>
      <c r="E788" s="46"/>
      <c r="F788" s="37"/>
      <c r="G788" s="37"/>
      <c r="H788" s="47"/>
      <c r="I788" s="37"/>
      <c r="J788" s="39"/>
      <c r="K788" s="37">
        <v>0</v>
      </c>
      <c r="L788" s="37" t="s">
        <v>871</v>
      </c>
      <c r="M788" s="40">
        <v>1</v>
      </c>
      <c r="N788" s="38">
        <v>20</v>
      </c>
      <c r="O788" s="37" t="s">
        <v>111</v>
      </c>
      <c r="P788" s="41">
        <v>137500</v>
      </c>
      <c r="Q788" s="42"/>
      <c r="R788" s="48" t="s">
        <v>792</v>
      </c>
      <c r="S788" s="49">
        <v>0.05</v>
      </c>
      <c r="T788" s="44">
        <v>0.1</v>
      </c>
      <c r="U788" s="44"/>
      <c r="V788" s="50"/>
      <c r="W788" s="45"/>
      <c r="X788" s="50">
        <f>IF(NOTA[[#This Row],[HARGA/ CTN]]="",NOTA[[#This Row],[JUMLAH_H]],NOTA[[#This Row],[HARGA/ CTN]]*IF(NOTA[[#This Row],[C]]="",0,NOTA[[#This Row],[C]]))</f>
        <v>2750000</v>
      </c>
      <c r="Y788" s="50">
        <f>IF(NOTA[[#This Row],[JUMLAH]]="","",NOTA[[#This Row],[JUMLAH]]*NOTA[[#This Row],[DISC 1]])</f>
        <v>137500</v>
      </c>
      <c r="Z788" s="50">
        <f>IF(NOTA[[#This Row],[JUMLAH]]="","",(NOTA[[#This Row],[JUMLAH]]-NOTA[[#This Row],[DISC 1-]])*NOTA[[#This Row],[DISC 2]])</f>
        <v>261250</v>
      </c>
      <c r="AA788" s="50">
        <f>IF(NOTA[[#This Row],[JUMLAH]]="","",(NOTA[[#This Row],[JUMLAH]]-NOTA[[#This Row],[DISC 1-]]-NOTA[[#This Row],[DISC 2-]])*NOTA[[#This Row],[DISC 3]])</f>
        <v>0</v>
      </c>
      <c r="AB788" s="50">
        <f>IF(NOTA[[#This Row],[JUMLAH]]="","",NOTA[[#This Row],[DISC 1-]]+NOTA[[#This Row],[DISC 2-]]+NOTA[[#This Row],[DISC 3-]])</f>
        <v>398750</v>
      </c>
      <c r="AC788" s="50">
        <f>IF(NOTA[[#This Row],[JUMLAH]]="","",NOTA[[#This Row],[JUMLAH]]-NOTA[[#This Row],[DISC]])</f>
        <v>2351250</v>
      </c>
      <c r="AD788" s="50"/>
      <c r="AE7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1747250</v>
      </c>
      <c r="AF7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10302750</v>
      </c>
      <c r="AG788" s="41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H788" s="50">
        <f>IF(OR(NOTA[[#This Row],[QTY]]="",NOTA[[#This Row],[HARGA SATUAN]]="",),"",NOTA[[#This Row],[QTY]]*NOTA[[#This Row],[HARGA SATUAN]])</f>
        <v>2750000</v>
      </c>
      <c r="AI788" s="39">
        <f ca="1">IF(NOTA[ID_H]="","",INDEX(NOTA[TANGGAL],MATCH(,INDIRECT(ADDRESS(ROW(NOTA[TANGGAL]),COLUMN(NOTA[TANGGAL]))&amp;":"&amp;ADDRESS(ROW(),COLUMN(NOTA[TANGGAL]))),-1)))</f>
        <v>45320</v>
      </c>
      <c r="AJ788" s="41" t="str">
        <f ca="1">IF(NOTA[[#This Row],[NAMA BARANG]]="","",INDEX(NOTA[SUPPLIER],MATCH(,INDIRECT(ADDRESS(ROW(NOTA[ID]),COLUMN(NOTA[ID]))&amp;":"&amp;ADDRESS(ROW(),COLUMN(NOTA[ID]))),-1)))</f>
        <v>GUNINDO</v>
      </c>
      <c r="AK788" s="41" t="str">
        <f ca="1">IF(NOTA[[#This Row],[ID_H]]="","",IF(NOTA[[#This Row],[FAKTUR]]="",INDIRECT(ADDRESS(ROW()-1,COLUMN())),NOTA[[#This Row],[FAKTUR]]))</f>
        <v>UNTANA</v>
      </c>
      <c r="AL788" s="38" t="str">
        <f ca="1">IF(NOTA[[#This Row],[ID]]="","",COUNTIF(NOTA[ID_H],NOTA[[#This Row],[ID_H]]))</f>
        <v/>
      </c>
      <c r="AM788" s="38">
        <f ca="1">IF(NOTA[[#This Row],[TGL.NOTA]]="",IF(NOTA[[#This Row],[SUPPLIER_H]]="","",AM787),MONTH(NOTA[[#This Row],[TGL.NOTA]]))</f>
        <v>1</v>
      </c>
      <c r="AN788" s="38" t="str">
        <f>LOWER(SUBSTITUTE(SUBSTITUTE(SUBSTITUTE(SUBSTITUTE(SUBSTITUTE(SUBSTITUTE(SUBSTITUTE(SUBSTITUTE(SUBSTITUTE(NOTA[NAMA BARANG]," ",),".",""),"-",""),"(",""),")",""),",",""),"/",""),"""",""),"+",""))</f>
        <v>hb85gunindo</v>
      </c>
      <c r="AO7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P7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Q7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38" t="str">
        <f>IF(NOTA[[#This Row],[CONCAT4]]="","",_xlfn.IFNA(MATCH(NOTA[[#This Row],[CONCAT4]],[2]!RAW[CONCAT_H],0),FALSE))</f>
        <v/>
      </c>
      <c r="AS788" s="38">
        <f>IF(NOTA[[#This Row],[CONCAT1]]="","",MATCH(NOTA[[#This Row],[CONCAT1]],[3]!db[NB NOTA_C],0))</f>
        <v>1384</v>
      </c>
      <c r="AT788" s="38" t="b">
        <f>IF(NOTA[[#This Row],[QTY/ CTN]]="","",TRUE)</f>
        <v>1</v>
      </c>
      <c r="AU788" s="38" t="str">
        <f ca="1">IF(NOTA[[#This Row],[ID_H]]="","",IF(NOTA[[#This Row],[Column3]]=TRUE,NOTA[[#This Row],[QTY/ CTN]],INDEX([3]!db[QTY/ CTN],NOTA[[#This Row],[//DB]])))</f>
        <v>20 LSN</v>
      </c>
      <c r="AV7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W788" s="38" t="e">
        <f ca="1">IF(NOTA[[#This Row],[ID_H]]="","",MATCH(NOTA[[#This Row],[NB NOTA_C_QTY]],[4]!db[NB NOTA_C_QTY+F],0))</f>
        <v>#REF!</v>
      </c>
      <c r="AX788" s="53">
        <f ca="1">IF(NOTA[[#This Row],[NB NOTA_C_QTY]]="","",ROW()-2)</f>
        <v>786</v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Row],[SUPPLIER_H]]="","",AM785),MONTH(NOTA[[#This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>
        <f ca="1">IF(INDIRECT(ADDRESS(ROW()-1,COLUMN(NOTA[[#Headers],[ID]])))="ID",1,IF(NOTA[[#This Row],[FAKTUR]]="","",COUNT(INDIRECT(ADDRESS(ROW(NOTA[ID]),COLUMN(NOTA[ID]))&amp;":"&amp;ADDRESS(ROW()-1,COLUMN(NOTA[ID]))))+1))</f>
        <v>138</v>
      </c>
      <c r="B79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DBS_2901_124-2</v>
      </c>
      <c r="C790" s="56" t="e">
        <f ca="1">IF(NOTA[[#This Row],[ID_P]]="","",MATCH(NOTA[[#This Row],[ID_P]],[1]!B_MSK[N_ID],0))</f>
        <v>#REF!</v>
      </c>
      <c r="D790" s="56">
        <f ca="1">IF(NOTA[[#This Row],[NAMA BARANG]]="","",INDEX(NOTA[ID],MATCH(,INDIRECT(ADDRESS(ROW(NOTA[ID]),COLUMN(NOTA[ID]))&amp;":"&amp;ADDRESS(ROW(),COLUMN(NOTA[ID]))),-1)))</f>
        <v>138</v>
      </c>
      <c r="E790" s="57">
        <v>45320</v>
      </c>
      <c r="F790" s="37" t="s">
        <v>112</v>
      </c>
      <c r="G790" s="37" t="s">
        <v>110</v>
      </c>
      <c r="H790" s="47" t="s">
        <v>867</v>
      </c>
      <c r="I790" s="58"/>
      <c r="J790" s="60">
        <v>45316</v>
      </c>
      <c r="K790" s="58"/>
      <c r="L790" s="37" t="s">
        <v>868</v>
      </c>
      <c r="M790" s="61">
        <v>1</v>
      </c>
      <c r="N790" s="56">
        <v>96</v>
      </c>
      <c r="O790" s="37" t="s">
        <v>111</v>
      </c>
      <c r="P790" s="55">
        <v>43500</v>
      </c>
      <c r="Q790" s="62"/>
      <c r="R790" s="48" t="s">
        <v>403</v>
      </c>
      <c r="S790" s="64"/>
      <c r="T790" s="65"/>
      <c r="U790" s="65"/>
      <c r="V790" s="66"/>
      <c r="W790" s="67"/>
      <c r="X790" s="66">
        <f>IF(NOTA[[#This Row],[HARGA/ CTN]]="",NOTA[[#This Row],[JUMLAH_H]],NOTA[[#This Row],[HARGA/ CTN]]*IF(NOTA[[#This Row],[C]]="",0,NOTA[[#This Row],[C]]))</f>
        <v>4176000</v>
      </c>
      <c r="Y790" s="66">
        <f>IF(NOTA[[#This Row],[JUMLAH]]="","",NOTA[[#This Row],[JUMLAH]]*NOTA[[#This Row],[DISC 1]])</f>
        <v>0</v>
      </c>
      <c r="Z790" s="66">
        <f>IF(NOTA[[#This Row],[JUMLAH]]="","",(NOTA[[#This Row],[JUMLAH]]-NOTA[[#This Row],[DISC 1-]])*NOTA[[#This Row],[DISC 2]])</f>
        <v>0</v>
      </c>
      <c r="AA790" s="66">
        <f>IF(NOTA[[#This Row],[JUMLAH]]="","",(NOTA[[#This Row],[JUMLAH]]-NOTA[[#This Row],[DISC 1-]]-NOTA[[#This Row],[DISC 2-]])*NOTA[[#This Row],[DISC 3]])</f>
        <v>0</v>
      </c>
      <c r="AB790" s="66">
        <f>IF(NOTA[[#This Row],[JUMLAH]]="","",NOTA[[#This Row],[DISC 1-]]+NOTA[[#This Row],[DISC 2-]]+NOTA[[#This Row],[DISC 3-]])</f>
        <v>0</v>
      </c>
      <c r="AC790" s="66">
        <f>IF(NOTA[[#This Row],[JUMLAH]]="","",NOTA[[#This Row],[JUMLAH]]-NOTA[[#This Row],[DISC]])</f>
        <v>4176000</v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790" s="66">
        <f>IF(OR(NOTA[[#This Row],[QTY]]="",NOTA[[#This Row],[HARGA SATUAN]]="",),"",NOTA[[#This Row],[QTY]]*NOTA[[#This Row],[HARGA SATUAN]])</f>
        <v>4176000</v>
      </c>
      <c r="AI790" s="60">
        <f ca="1">IF(NOTA[ID_H]="","",INDEX(NOTA[TANGGAL],MATCH(,INDIRECT(ADDRESS(ROW(NOTA[TANGGAL]),COLUMN(NOTA[TANGGAL]))&amp;":"&amp;ADDRESS(ROW(),COLUMN(NOTA[TANGGAL]))),-1)))</f>
        <v>45320</v>
      </c>
      <c r="AJ790" s="55" t="str">
        <f ca="1">IF(NOTA[[#This Row],[NAMA BARANG]]="","",INDEX(NOTA[SUPPLIER],MATCH(,INDIRECT(ADDRESS(ROW(NOTA[ID]),COLUMN(NOTA[ID]))&amp;":"&amp;ADDRESS(ROW(),COLUMN(NOTA[ID]))),-1)))</f>
        <v>DB STATIONERY</v>
      </c>
      <c r="AK790" s="55" t="str">
        <f ca="1">IF(NOTA[[#This Row],[ID_H]]="","",IF(NOTA[[#This Row],[FAKTUR]]="",INDIRECT(ADDRESS(ROW()-1,COLUMN())),NOTA[[#This Row],[FAKTUR]]))</f>
        <v>UNTANA</v>
      </c>
      <c r="AL790" s="56">
        <f ca="1">IF(NOTA[[#This Row],[ID]]="","",COUNTIF(NOTA[ID_H],NOTA[[#This Row],[ID_H]]))</f>
        <v>2</v>
      </c>
      <c r="AM790" s="56">
        <f>IF(NOTA[[#This Row],[TGL.NOTA]]="",IF(NOTA[[#This Row],[SUPPLIER_H]]="","",AM789),MONTH(NOTA[[#This Row],[TGL.NOTA]]))</f>
        <v>1</v>
      </c>
      <c r="AN790" s="56" t="str">
        <f>LOWER(SUBSTITUTE(SUBSTITUTE(SUBSTITUTE(SUBSTITUTE(SUBSTITUTE(SUBSTITUTE(SUBSTITUTE(SUBSTITUTE(SUBSTITUTE(NOTA[NAMA BARANG]," ",),".",""),"-",""),"(",""),")",""),",",""),"/",""),"""",""),"+",""))</f>
        <v>geltizoretrc05tg670</v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geltizoretrc05tg6704176000</v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geltizoretrc05tg6704176000</v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STATIONERYUNTANAJUA531/2445316geltizoretrc05tg670</v>
      </c>
      <c r="AR790" s="56" t="e">
        <f>IF(NOTA[[#This Row],[CONCAT4]]="","",_xlfn.IFNA(MATCH(NOTA[[#This Row],[CONCAT4]],[2]!RAW[CONCAT_H],0),FALSE))</f>
        <v>#REF!</v>
      </c>
      <c r="AS790" s="56">
        <f>IF(NOTA[[#This Row],[CONCAT1]]="","",MATCH(NOTA[[#This Row],[CONCAT1]],[3]!db[NB NOTA_C],0))</f>
        <v>1208</v>
      </c>
      <c r="AT790" s="56" t="b">
        <f>IF(NOTA[[#This Row],[QTY/ CTN]]="","",TRUE)</f>
        <v>1</v>
      </c>
      <c r="AU790" s="56" t="str">
        <f ca="1">IF(NOTA[[#This Row],[ID_H]]="","",IF(NOTA[[#This Row],[Column3]]=TRUE,NOTA[[#This Row],[QTY/ CTN]],INDEX([3]!db[QTY/ CTN],NOTA[[#This Row],[//DB]])))</f>
        <v>96 LSN</v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geltizoretrc05tg67096lsnuntana</v>
      </c>
      <c r="AW790" s="56" t="e">
        <f ca="1">IF(NOTA[[#This Row],[ID_H]]="","",MATCH(NOTA[[#This Row],[NB NOTA_C_QTY]],[4]!db[NB NOTA_C_QTY+F],0))</f>
        <v>#REF!</v>
      </c>
      <c r="AX790" s="68">
        <f ca="1">IF(NOTA[[#This Row],[NB NOTA_C_QTY]]="","",ROW()-2)</f>
        <v>788</v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>
        <f ca="1">IF(NOTA[[#This Row],[NAMA BARANG]]="","",INDEX(NOTA[ID],MATCH(,INDIRECT(ADDRESS(ROW(NOTA[ID]),COLUMN(NOTA[ID]))&amp;":"&amp;ADDRESS(ROW(),COLUMN(NOTA[ID]))),-1)))</f>
        <v>138</v>
      </c>
      <c r="E791" s="57"/>
      <c r="F791" s="58"/>
      <c r="G791" s="58"/>
      <c r="H791" s="59"/>
      <c r="I791" s="58"/>
      <c r="J791" s="60"/>
      <c r="K791" s="58"/>
      <c r="L791" s="37" t="s">
        <v>869</v>
      </c>
      <c r="M791" s="61">
        <v>1</v>
      </c>
      <c r="N791" s="56">
        <v>72</v>
      </c>
      <c r="O791" s="37" t="s">
        <v>111</v>
      </c>
      <c r="P791" s="55">
        <v>41000</v>
      </c>
      <c r="Q791" s="62"/>
      <c r="R791" s="48" t="s">
        <v>870</v>
      </c>
      <c r="S791" s="64"/>
      <c r="T791" s="65"/>
      <c r="U791" s="65"/>
      <c r="V791" s="66"/>
      <c r="W791" s="67"/>
      <c r="X791" s="66">
        <f>IF(NOTA[[#This Row],[HARGA/ CTN]]="",NOTA[[#This Row],[JUMLAH_H]],NOTA[[#This Row],[HARGA/ CTN]]*IF(NOTA[[#This Row],[C]]="",0,NOTA[[#This Row],[C]]))</f>
        <v>2952000</v>
      </c>
      <c r="Y791" s="66">
        <f>IF(NOTA[[#This Row],[JUMLAH]]="","",NOTA[[#This Row],[JUMLAH]]*NOTA[[#This Row],[DISC 1]])</f>
        <v>0</v>
      </c>
      <c r="Z791" s="66">
        <f>IF(NOTA[[#This Row],[JUMLAH]]="","",(NOTA[[#This Row],[JUMLAH]]-NOTA[[#This Row],[DISC 1-]])*NOTA[[#This Row],[DISC 2]])</f>
        <v>0</v>
      </c>
      <c r="AA791" s="66">
        <f>IF(NOTA[[#This Row],[JUMLAH]]="","",(NOTA[[#This Row],[JUMLAH]]-NOTA[[#This Row],[DISC 1-]]-NOTA[[#This Row],[DISC 2-]])*NOTA[[#This Row],[DISC 3]])</f>
        <v>0</v>
      </c>
      <c r="AB791" s="66">
        <f>IF(NOTA[[#This Row],[JUMLAH]]="","",NOTA[[#This Row],[DISC 1-]]+NOTA[[#This Row],[DISC 2-]]+NOTA[[#This Row],[DISC 3-]])</f>
        <v>0</v>
      </c>
      <c r="AC791" s="66">
        <f>IF(NOTA[[#This Row],[JUMLAH]]="","",NOTA[[#This Row],[JUMLAH]]-NOTA[[#This Row],[DISC]])</f>
        <v>2952000</v>
      </c>
      <c r="AD791" s="66"/>
      <c r="AE7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7128000</v>
      </c>
      <c r="AG791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791" s="66">
        <f>IF(OR(NOTA[[#This Row],[QTY]]="",NOTA[[#This Row],[HARGA SATUAN]]="",),"",NOTA[[#This Row],[QTY]]*NOTA[[#This Row],[HARGA SATUAN]])</f>
        <v>2952000</v>
      </c>
      <c r="AI791" s="60">
        <f ca="1">IF(NOTA[ID_H]="","",INDEX(NOTA[TANGGAL],MATCH(,INDIRECT(ADDRESS(ROW(NOTA[TANGGAL]),COLUMN(NOTA[TANGGAL]))&amp;":"&amp;ADDRESS(ROW(),COLUMN(NOTA[TANGGAL]))),-1)))</f>
        <v>45320</v>
      </c>
      <c r="AJ791" s="55" t="str">
        <f ca="1">IF(NOTA[[#This Row],[NAMA BARANG]]="","",INDEX(NOTA[SUPPLIER],MATCH(,INDIRECT(ADDRESS(ROW(NOTA[ID]),COLUMN(NOTA[ID]))&amp;":"&amp;ADDRESS(ROW(),COLUMN(NOTA[ID]))),-1)))</f>
        <v>DB STATIONERY</v>
      </c>
      <c r="AK791" s="55" t="str">
        <f ca="1">IF(NOTA[[#This Row],[ID_H]]="","",IF(NOTA[[#This Row],[FAKTUR]]="",INDIRECT(ADDRESS(ROW()-1,COLUMN())),NOTA[[#This Row],[FAKTUR]]))</f>
        <v>UNTANA</v>
      </c>
      <c r="AL791" s="56" t="str">
        <f ca="1">IF(NOTA[[#This Row],[ID]]="","",COUNTIF(NOTA[ID_H],NOTA[[#This Row],[ID_H]]))</f>
        <v/>
      </c>
      <c r="AM791" s="56">
        <f ca="1">IF(NOTA[[#This Row],[TGL.NOTA]]="",IF(NOTA[[#This Row],[SUPPLIER_H]]="","",AM790),MONTH(NOTA[[#This Row],[TGL.NOTA]]))</f>
        <v>1</v>
      </c>
      <c r="AN791" s="56" t="str">
        <f>LOWER(SUBSTITUTE(SUBSTITUTE(SUBSTITUTE(SUBSTITUTE(SUBSTITUTE(SUBSTITUTE(SUBSTITUTE(SUBSTITUTE(SUBSTITUTE(NOTA[NAMA BARANG]," ",),".",""),"-",""),"(",""),")",""),",",""),"/",""),"""",""),"+",""))</f>
        <v>geltizoretrc05tg690</v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geltizoretrc05tg6902952000</v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geltizoretrc05tg6902952000</v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>
        <f>IF(NOTA[[#This Row],[CONCAT1]]="","",MATCH(NOTA[[#This Row],[CONCAT1]],[3]!db[NB NOTA_C],0))</f>
        <v>1209</v>
      </c>
      <c r="AT791" s="56" t="b">
        <f>IF(NOTA[[#This Row],[QTY/ CTN]]="","",TRUE)</f>
        <v>1</v>
      </c>
      <c r="AU791" s="56" t="str">
        <f ca="1">IF(NOTA[[#This Row],[ID_H]]="","",IF(NOTA[[#This Row],[Column3]]=TRUE,NOTA[[#This Row],[QTY/ CTN]],INDEX([3]!db[QTY/ CTN],NOTA[[#This Row],[//DB]])))</f>
        <v>72 LSN</v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geltizoretrc05tg69072lsnuntana</v>
      </c>
      <c r="AW791" s="56" t="e">
        <f ca="1">IF(NOTA[[#This Row],[ID_H]]="","",MATCH(NOTA[[#This Row],[NB NOTA_C_QTY]],[4]!db[NB NOTA_C_QTY+F],0))</f>
        <v>#REF!</v>
      </c>
      <c r="AX791" s="68">
        <f ca="1">IF(NOTA[[#This Row],[NB NOTA_C_QTY]]="","",ROW()-2)</f>
        <v>789</v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>
        <f ca="1">IF(INDIRECT(ADDRESS(ROW()-1,COLUMN(NOTA[[#Headers],[ID]])))="ID",1,IF(NOTA[[#This Row],[FAKTUR]]="","",COUNT(INDIRECT(ADDRESS(ROW(NOTA[ID]),COLUMN(NOTA[ID]))&amp;":"&amp;ADDRESS(ROW()-1,COLUMN(NOTA[ID]))))+1))</f>
        <v>139</v>
      </c>
      <c r="B79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KEN_0102_989-5</v>
      </c>
      <c r="C793" s="56" t="e">
        <f ca="1">IF(NOTA[[#This Row],[ID_P]]="","",MATCH(NOTA[[#This Row],[ID_P]],[1]!B_MSK[N_ID],0))</f>
        <v>#REF!</v>
      </c>
      <c r="D793" s="56">
        <f ca="1">IF(NOTA[[#This Row],[NAMA BARANG]]="","",INDEX(NOTA[ID],MATCH(,INDIRECT(ADDRESS(ROW(NOTA[ID]),COLUMN(NOTA[ID]))&amp;":"&amp;ADDRESS(ROW(),COLUMN(NOTA[ID]))),-1)))</f>
        <v>139</v>
      </c>
      <c r="E793" s="57">
        <v>45323</v>
      </c>
      <c r="F793" s="37" t="s">
        <v>22</v>
      </c>
      <c r="G793" s="37" t="s">
        <v>23</v>
      </c>
      <c r="H793" s="47" t="s">
        <v>872</v>
      </c>
      <c r="I793" s="58"/>
      <c r="J793" s="60">
        <v>45320</v>
      </c>
      <c r="K793" s="58">
        <v>0</v>
      </c>
      <c r="L793" s="37" t="s">
        <v>873</v>
      </c>
      <c r="M793" s="61">
        <v>1</v>
      </c>
      <c r="N793" s="56"/>
      <c r="O793" s="58"/>
      <c r="P793" s="55"/>
      <c r="Q793" s="62">
        <v>1440000</v>
      </c>
      <c r="R793" s="63"/>
      <c r="S793" s="64">
        <v>0.17</v>
      </c>
      <c r="T793" s="65"/>
      <c r="U793" s="65"/>
      <c r="V793" s="66"/>
      <c r="W793" s="67"/>
      <c r="X793" s="66">
        <f>IF(NOTA[[#This Row],[HARGA/ CTN]]="",NOTA[[#This Row],[JUMLAH_H]],NOTA[[#This Row],[HARGA/ CTN]]*IF(NOTA[[#This Row],[C]]="",0,NOTA[[#This Row],[C]]))</f>
        <v>1440000</v>
      </c>
      <c r="Y793" s="66">
        <f>IF(NOTA[[#This Row],[JUMLAH]]="","",NOTA[[#This Row],[JUMLAH]]*NOTA[[#This Row],[DISC 1]])</f>
        <v>244800.00000000003</v>
      </c>
      <c r="Z793" s="66">
        <f>IF(NOTA[[#This Row],[JUMLAH]]="","",(NOTA[[#This Row],[JUMLAH]]-NOTA[[#This Row],[DISC 1-]])*NOTA[[#This Row],[DISC 2]])</f>
        <v>0</v>
      </c>
      <c r="AA793" s="66">
        <f>IF(NOTA[[#This Row],[JUMLAH]]="","",(NOTA[[#This Row],[JUMLAH]]-NOTA[[#This Row],[DISC 1-]]-NOTA[[#This Row],[DISC 2-]])*NOTA[[#This Row],[DISC 3]])</f>
        <v>0</v>
      </c>
      <c r="AB793" s="66">
        <f>IF(NOTA[[#This Row],[JUMLAH]]="","",NOTA[[#This Row],[DISC 1-]]+NOTA[[#This Row],[DISC 2-]]+NOTA[[#This Row],[DISC 3-]])</f>
        <v>244800.00000000003</v>
      </c>
      <c r="AC793" s="66">
        <f>IF(NOTA[[#This Row],[JUMLAH]]="","",NOTA[[#This Row],[JUMLAH]]-NOTA[[#This Row],[DISC]])</f>
        <v>1195200</v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793" s="66" t="str">
        <f>IF(OR(NOTA[[#This Row],[QTY]]="",NOTA[[#This Row],[HARGA SATUAN]]="",),"",NOTA[[#This Row],[QTY]]*NOTA[[#This Row],[HARGA SATUAN]])</f>
        <v/>
      </c>
      <c r="AI793" s="60">
        <f ca="1">IF(NOTA[ID_H]="","",INDEX(NOTA[TANGGAL],MATCH(,INDIRECT(ADDRESS(ROW(NOTA[TANGGAL]),COLUMN(NOTA[TANGGAL]))&amp;":"&amp;ADDRESS(ROW(),COLUMN(NOTA[TANGGAL]))),-1)))</f>
        <v>45323</v>
      </c>
      <c r="AJ793" s="55" t="str">
        <f ca="1">IF(NOTA[[#This Row],[NAMA BARANG]]="","",INDEX(NOTA[SUPPLIER],MATCH(,INDIRECT(ADDRESS(ROW(NOTA[ID]),COLUMN(NOTA[ID]))&amp;":"&amp;ADDRESS(ROW(),COLUMN(NOTA[ID]))),-1)))</f>
        <v>KENKO SINAR INDONESIA</v>
      </c>
      <c r="AK793" s="55" t="str">
        <f ca="1">IF(NOTA[[#This Row],[ID_H]]="","",IF(NOTA[[#This Row],[FAKTUR]]="",INDIRECT(ADDRESS(ROW()-1,COLUMN())),NOTA[[#This Row],[FAKTUR]]))</f>
        <v>ARTO MORO</v>
      </c>
      <c r="AL793" s="56">
        <f ca="1">IF(NOTA[[#This Row],[ID]]="","",COUNTIF(NOTA[ID_H],NOTA[[#This Row],[ID_H]]))</f>
        <v>5</v>
      </c>
      <c r="AM793" s="56">
        <f>IF(NOTA[[#This Row],[TGL.NOTA]]="",IF(NOTA[[#This Row],[SUPPLIER_H]]="","",AM792),MONTH(NOTA[[#This Row],[TGL.NOTA]]))</f>
        <v>1</v>
      </c>
      <c r="AN793" s="56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MORO2401198945320kenkobinderclipno105</v>
      </c>
      <c r="AR793" s="56" t="e">
        <f>IF(NOTA[[#This Row],[CONCAT4]]="","",_xlfn.IFNA(MATCH(NOTA[[#This Row],[CONCAT4]],[2]!RAW[CONCAT_H],0),FALSE))</f>
        <v>#REF!</v>
      </c>
      <c r="AS793" s="56">
        <f>IF(NOTA[[#This Row],[CONCAT1]]="","",MATCH(NOTA[[#This Row],[CONCAT1]],[3]!db[NB NOTA_C],0))</f>
        <v>1497</v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>50 GRS</v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W793" s="56" t="e">
        <f ca="1">IF(NOTA[[#This Row],[ID_H]]="","",MATCH(NOTA[[#This Row],[NB NOTA_C_QTY]],[4]!db[NB NOTA_C_QTY+F],0))</f>
        <v>#REF!</v>
      </c>
      <c r="AX793" s="68">
        <f ca="1">IF(NOTA[[#This Row],[NB NOTA_C_QTY]]="","",ROW()-2)</f>
        <v>791</v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>
        <f ca="1">IF(NOTA[[#This Row],[NAMA BARANG]]="","",INDEX(NOTA[ID],MATCH(,INDIRECT(ADDRESS(ROW(NOTA[ID]),COLUMN(NOTA[ID]))&amp;":"&amp;ADDRESS(ROW(),COLUMN(NOTA[ID]))),-1)))</f>
        <v>139</v>
      </c>
      <c r="E794" s="57"/>
      <c r="F794" s="58"/>
      <c r="G794" s="58"/>
      <c r="H794" s="59"/>
      <c r="I794" s="58"/>
      <c r="J794" s="60"/>
      <c r="K794" s="58">
        <v>0</v>
      </c>
      <c r="L794" s="37" t="s">
        <v>874</v>
      </c>
      <c r="M794" s="61">
        <v>1</v>
      </c>
      <c r="N794" s="56"/>
      <c r="O794" s="58"/>
      <c r="P794" s="55"/>
      <c r="Q794" s="62">
        <v>396000</v>
      </c>
      <c r="R794" s="63"/>
      <c r="S794" s="64">
        <v>0.17</v>
      </c>
      <c r="T794" s="65"/>
      <c r="U794" s="65"/>
      <c r="V794" s="66"/>
      <c r="W794" s="67"/>
      <c r="X794" s="66">
        <f>IF(NOTA[[#This Row],[HARGA/ CTN]]="",NOTA[[#This Row],[JUMLAH_H]],NOTA[[#This Row],[HARGA/ CTN]]*IF(NOTA[[#This Row],[C]]="",0,NOTA[[#This Row],[C]]))</f>
        <v>396000</v>
      </c>
      <c r="Y794" s="66">
        <f>IF(NOTA[[#This Row],[JUMLAH]]="","",NOTA[[#This Row],[JUMLAH]]*NOTA[[#This Row],[DISC 1]])</f>
        <v>67320</v>
      </c>
      <c r="Z794" s="66">
        <f>IF(NOTA[[#This Row],[JUMLAH]]="","",(NOTA[[#This Row],[JUMLAH]]-NOTA[[#This Row],[DISC 1-]])*NOTA[[#This Row],[DISC 2]])</f>
        <v>0</v>
      </c>
      <c r="AA794" s="66">
        <f>IF(NOTA[[#This Row],[JUMLAH]]="","",(NOTA[[#This Row],[JUMLAH]]-NOTA[[#This Row],[DISC 1-]]-NOTA[[#This Row],[DISC 2-]])*NOTA[[#This Row],[DISC 3]])</f>
        <v>0</v>
      </c>
      <c r="AB794" s="66">
        <f>IF(NOTA[[#This Row],[JUMLAH]]="","",NOTA[[#This Row],[DISC 1-]]+NOTA[[#This Row],[DISC 2-]]+NOTA[[#This Row],[DISC 3-]])</f>
        <v>67320</v>
      </c>
      <c r="AC794" s="66">
        <f>IF(NOTA[[#This Row],[JUMLAH]]="","",NOTA[[#This Row],[JUMLAH]]-NOTA[[#This Row],[DISC]])</f>
        <v>328680</v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794" s="66" t="str">
        <f>IF(OR(NOTA[[#This Row],[QTY]]="",NOTA[[#This Row],[HARGA SATUAN]]="",),"",NOTA[[#This Row],[QTY]]*NOTA[[#This Row],[HARGA SATUAN]])</f>
        <v/>
      </c>
      <c r="AI794" s="60">
        <f ca="1">IF(NOTA[ID_H]="","",INDEX(NOTA[TANGGAL],MATCH(,INDIRECT(ADDRESS(ROW(NOTA[TANGGAL]),COLUMN(NOTA[TANGGAL]))&amp;":"&amp;ADDRESS(ROW(),COLUMN(NOTA[TANGGAL]))),-1)))</f>
        <v>45323</v>
      </c>
      <c r="AJ794" s="55" t="str">
        <f ca="1">IF(NOTA[[#This Row],[NAMA BARANG]]="","",INDEX(NOTA[SUPPLIER],MATCH(,INDIRECT(ADDRESS(ROW(NOTA[ID]),COLUMN(NOTA[ID]))&amp;":"&amp;ADDRESS(ROW(),COLUMN(NOTA[ID]))),-1)))</f>
        <v>KENKO SINAR INDONESIA</v>
      </c>
      <c r="AK794" s="55" t="str">
        <f ca="1">IF(NOTA[[#This Row],[ID_H]]="","",IF(NOTA[[#This Row],[FAKTUR]]="",INDIRECT(ADDRESS(ROW()-1,COLUMN())),NOTA[[#This Row],[FAKTUR]]))</f>
        <v>ARTO MORO</v>
      </c>
      <c r="AL794" s="56" t="str">
        <f ca="1">IF(NOTA[[#This Row],[ID]]="","",COUNTIF(NOTA[ID_H],NOTA[[#This Row],[ID_H]]))</f>
        <v/>
      </c>
      <c r="AM794" s="56">
        <f ca="1">IF(NOTA[[#This Row],[TGL.NOTA]]="",IF(NOTA[[#This Row],[SUPPLIER_H]]="","",AM793),MONTH(NOTA[[#This Row],[TGL.NOTA]]))</f>
        <v>1</v>
      </c>
      <c r="AN794" s="56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>
        <f>IF(NOTA[[#This Row],[CONCAT1]]="","",MATCH(NOTA[[#This Row],[CONCAT1]],[3]!db[NB NOTA_C],0))</f>
        <v>1688</v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>20 LSN</v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794" s="56" t="e">
        <f ca="1">IF(NOTA[[#This Row],[ID_H]]="","",MATCH(NOTA[[#This Row],[NB NOTA_C_QTY]],[4]!db[NB NOTA_C_QTY+F],0))</f>
        <v>#REF!</v>
      </c>
      <c r="AX794" s="68">
        <f ca="1">IF(NOTA[[#This Row],[NB NOTA_C_QTY]]="","",ROW()-2)</f>
        <v>792</v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>
        <f ca="1">IF(NOTA[[#This Row],[NAMA BARANG]]="","",INDEX(NOTA[ID],MATCH(,INDIRECT(ADDRESS(ROW(NOTA[ID]),COLUMN(NOTA[ID]))&amp;":"&amp;ADDRESS(ROW(),COLUMN(NOTA[ID]))),-1)))</f>
        <v>139</v>
      </c>
      <c r="E795" s="57"/>
      <c r="F795" s="58"/>
      <c r="G795" s="58"/>
      <c r="H795" s="59"/>
      <c r="I795" s="58"/>
      <c r="J795" s="60"/>
      <c r="K795" s="58"/>
      <c r="L795" s="37" t="s">
        <v>125</v>
      </c>
      <c r="M795" s="61">
        <v>1</v>
      </c>
      <c r="N795" s="56"/>
      <c r="O795" s="58"/>
      <c r="P795" s="55"/>
      <c r="Q795" s="62">
        <v>1954800</v>
      </c>
      <c r="R795" s="63"/>
      <c r="S795" s="64">
        <v>0.17</v>
      </c>
      <c r="T795" s="65"/>
      <c r="U795" s="65"/>
      <c r="V795" s="66"/>
      <c r="W795" s="67"/>
      <c r="X795" s="66">
        <f>IF(NOTA[[#This Row],[HARGA/ CTN]]="",NOTA[[#This Row],[JUMLAH_H]],NOTA[[#This Row],[HARGA/ CTN]]*IF(NOTA[[#This Row],[C]]="",0,NOTA[[#This Row],[C]]))</f>
        <v>1954800</v>
      </c>
      <c r="Y795" s="66">
        <f>IF(NOTA[[#This Row],[JUMLAH]]="","",NOTA[[#This Row],[JUMLAH]]*NOTA[[#This Row],[DISC 1]])</f>
        <v>332316</v>
      </c>
      <c r="Z795" s="66">
        <f>IF(NOTA[[#This Row],[JUMLAH]]="","",(NOTA[[#This Row],[JUMLAH]]-NOTA[[#This Row],[DISC 1-]])*NOTA[[#This Row],[DISC 2]])</f>
        <v>0</v>
      </c>
      <c r="AA795" s="66">
        <f>IF(NOTA[[#This Row],[JUMLAH]]="","",(NOTA[[#This Row],[JUMLAH]]-NOTA[[#This Row],[DISC 1-]]-NOTA[[#This Row],[DISC 2-]])*NOTA[[#This Row],[DISC 3]])</f>
        <v>0</v>
      </c>
      <c r="AB795" s="66">
        <f>IF(NOTA[[#This Row],[JUMLAH]]="","",NOTA[[#This Row],[DISC 1-]]+NOTA[[#This Row],[DISC 2-]]+NOTA[[#This Row],[DISC 3-]])</f>
        <v>332316</v>
      </c>
      <c r="AC795" s="66">
        <f>IF(NOTA[[#This Row],[JUMLAH]]="","",NOTA[[#This Row],[JUMLAH]]-NOTA[[#This Row],[DISC]])</f>
        <v>1622484</v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95" s="66" t="str">
        <f>IF(OR(NOTA[[#This Row],[QTY]]="",NOTA[[#This Row],[HARGA SATUAN]]="",),"",NOTA[[#This Row],[QTY]]*NOTA[[#This Row],[HARGA SATUAN]])</f>
        <v/>
      </c>
      <c r="AI795" s="60">
        <f ca="1">IF(NOTA[ID_H]="","",INDEX(NOTA[TANGGAL],MATCH(,INDIRECT(ADDRESS(ROW(NOTA[TANGGAL]),COLUMN(NOTA[TANGGAL]))&amp;":"&amp;ADDRESS(ROW(),COLUMN(NOTA[TANGGAL]))),-1)))</f>
        <v>45323</v>
      </c>
      <c r="AJ795" s="55" t="str">
        <f ca="1">IF(NOTA[[#This Row],[NAMA BARANG]]="","",INDEX(NOTA[SUPPLIER],MATCH(,INDIRECT(ADDRESS(ROW(NOTA[ID]),COLUMN(NOTA[ID]))&amp;":"&amp;ADDRESS(ROW(),COLUMN(NOTA[ID]))),-1)))</f>
        <v>KENKO SINAR INDONESIA</v>
      </c>
      <c r="AK795" s="55" t="str">
        <f ca="1">IF(NOTA[[#This Row],[ID_H]]="","",IF(NOTA[[#This Row],[FAKTUR]]="",INDIRECT(ADDRESS(ROW()-1,COLUMN())),NOTA[[#This Row],[FAKTUR]]))</f>
        <v>ARTO MORO</v>
      </c>
      <c r="AL795" s="56" t="str">
        <f ca="1">IF(NOTA[[#This Row],[ID]]="","",COUNTIF(NOTA[ID_H],NOTA[[#This Row],[ID_H]]))</f>
        <v/>
      </c>
      <c r="AM795" s="56">
        <f ca="1">IF(NOTA[[#This Row],[TGL.NOTA]]="",IF(NOTA[[#This Row],[SUPPLIER_H]]="","",AM794),MONTH(NOTA[[#This Row],[TGL.NOTA]]))</f>
        <v>1</v>
      </c>
      <c r="AN795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>
        <f>IF(NOTA[[#This Row],[CONCAT1]]="","",MATCH(NOTA[[#This Row],[CONCAT1]],[3]!db[NB NOTA_C],0))</f>
        <v>1558</v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>36 LSN</v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795" s="56" t="e">
        <f ca="1">IF(NOTA[[#This Row],[ID_H]]="","",MATCH(NOTA[[#This Row],[NB NOTA_C_QTY]],[4]!db[NB NOTA_C_QTY+F],0))</f>
        <v>#REF!</v>
      </c>
      <c r="AX795" s="68">
        <f ca="1">IF(NOTA[[#This Row],[NB NOTA_C_QTY]]="","",ROW()-2)</f>
        <v>793</v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>
        <f ca="1">IF(NOTA[[#This Row],[NAMA BARANG]]="","",INDEX(NOTA[ID],MATCH(,INDIRECT(ADDRESS(ROW(NOTA[ID]),COLUMN(NOTA[ID]))&amp;":"&amp;ADDRESS(ROW(),COLUMN(NOTA[ID]))),-1)))</f>
        <v>139</v>
      </c>
      <c r="E796" s="57"/>
      <c r="F796" s="58"/>
      <c r="G796" s="58"/>
      <c r="H796" s="59"/>
      <c r="I796" s="58"/>
      <c r="J796" s="60"/>
      <c r="K796" s="58"/>
      <c r="L796" s="37" t="s">
        <v>875</v>
      </c>
      <c r="M796" s="61">
        <v>1</v>
      </c>
      <c r="N796" s="56"/>
      <c r="O796" s="58"/>
      <c r="P796" s="55"/>
      <c r="Q796" s="62">
        <v>850000</v>
      </c>
      <c r="R796" s="63"/>
      <c r="S796" s="64">
        <v>0.17</v>
      </c>
      <c r="T796" s="65"/>
      <c r="U796" s="65"/>
      <c r="V796" s="66"/>
      <c r="W796" s="67"/>
      <c r="X796" s="66">
        <f>IF(NOTA[[#This Row],[HARGA/ CTN]]="",NOTA[[#This Row],[JUMLAH_H]],NOTA[[#This Row],[HARGA/ CTN]]*IF(NOTA[[#This Row],[C]]="",0,NOTA[[#This Row],[C]]))</f>
        <v>850000</v>
      </c>
      <c r="Y796" s="66">
        <f>IF(NOTA[[#This Row],[JUMLAH]]="","",NOTA[[#This Row],[JUMLAH]]*NOTA[[#This Row],[DISC 1]])</f>
        <v>144500</v>
      </c>
      <c r="Z796" s="66">
        <f>IF(NOTA[[#This Row],[JUMLAH]]="","",(NOTA[[#This Row],[JUMLAH]]-NOTA[[#This Row],[DISC 1-]])*NOTA[[#This Row],[DISC 2]])</f>
        <v>0</v>
      </c>
      <c r="AA796" s="66">
        <f>IF(NOTA[[#This Row],[JUMLAH]]="","",(NOTA[[#This Row],[JUMLAH]]-NOTA[[#This Row],[DISC 1-]]-NOTA[[#This Row],[DISC 2-]])*NOTA[[#This Row],[DISC 3]])</f>
        <v>0</v>
      </c>
      <c r="AB796" s="66">
        <f>IF(NOTA[[#This Row],[JUMLAH]]="","",NOTA[[#This Row],[DISC 1-]]+NOTA[[#This Row],[DISC 2-]]+NOTA[[#This Row],[DISC 3-]])</f>
        <v>144500</v>
      </c>
      <c r="AC796" s="66">
        <f>IF(NOTA[[#This Row],[JUMLAH]]="","",NOTA[[#This Row],[JUMLAH]]-NOTA[[#This Row],[DISC]])</f>
        <v>705500</v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796" s="66" t="str">
        <f>IF(OR(NOTA[[#This Row],[QTY]]="",NOTA[[#This Row],[HARGA SATUAN]]="",),"",NOTA[[#This Row],[QTY]]*NOTA[[#This Row],[HARGA SATUAN]])</f>
        <v/>
      </c>
      <c r="AI796" s="60">
        <f ca="1">IF(NOTA[ID_H]="","",INDEX(NOTA[TANGGAL],MATCH(,INDIRECT(ADDRESS(ROW(NOTA[TANGGAL]),COLUMN(NOTA[TANGGAL]))&amp;":"&amp;ADDRESS(ROW(),COLUMN(NOTA[TANGGAL]))),-1)))</f>
        <v>45323</v>
      </c>
      <c r="AJ796" s="55" t="str">
        <f ca="1">IF(NOTA[[#This Row],[NAMA BARANG]]="","",INDEX(NOTA[SUPPLIER],MATCH(,INDIRECT(ADDRESS(ROW(NOTA[ID]),COLUMN(NOTA[ID]))&amp;":"&amp;ADDRESS(ROW(),COLUMN(NOTA[ID]))),-1)))</f>
        <v>KENKO SINAR INDONESIA</v>
      </c>
      <c r="AK796" s="55" t="str">
        <f ca="1">IF(NOTA[[#This Row],[ID_H]]="","",IF(NOTA[[#This Row],[FAKTUR]]="",INDIRECT(ADDRESS(ROW()-1,COLUMN())),NOTA[[#This Row],[FAKTUR]]))</f>
        <v>ARTO MORO</v>
      </c>
      <c r="AL796" s="56" t="str">
        <f ca="1">IF(NOTA[[#This Row],[ID]]="","",COUNTIF(NOTA[ID_H],NOTA[[#This Row],[ID_H]]))</f>
        <v/>
      </c>
      <c r="AM796" s="56">
        <f ca="1">IF(NOTA[[#This Row],[TGL.NOTA]]="",IF(NOTA[[#This Row],[SUPPLIER_H]]="","",AM795),MONTH(NOTA[[#This Row],[TGL.NOTA]]))</f>
        <v>1</v>
      </c>
      <c r="AN796" s="5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>
        <f>IF(NOTA[[#This Row],[CONCAT1]]="","",MATCH(NOTA[[#This Row],[CONCAT1]],[3]!db[NB NOTA_C],0))</f>
        <v>1802</v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>500 BOX</v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796" s="56" t="e">
        <f ca="1">IF(NOTA[[#This Row],[ID_H]]="","",MATCH(NOTA[[#This Row],[NB NOTA_C_QTY]],[4]!db[NB NOTA_C_QTY+F],0))</f>
        <v>#REF!</v>
      </c>
      <c r="AX796" s="68">
        <f ca="1">IF(NOTA[[#This Row],[NB NOTA_C_QTY]]="","",ROW()-2)</f>
        <v>794</v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>
        <f ca="1">IF(NOTA[[#This Row],[NAMA BARANG]]="","",INDEX(NOTA[ID],MATCH(,INDIRECT(ADDRESS(ROW(NOTA[ID]),COLUMN(NOTA[ID]))&amp;":"&amp;ADDRESS(ROW(),COLUMN(NOTA[ID]))),-1)))</f>
        <v>139</v>
      </c>
      <c r="E797" s="57"/>
      <c r="F797" s="58"/>
      <c r="G797" s="58"/>
      <c r="H797" s="59"/>
      <c r="I797" s="58"/>
      <c r="J797" s="60"/>
      <c r="K797" s="58"/>
      <c r="L797" s="37" t="s">
        <v>146</v>
      </c>
      <c r="M797" s="61">
        <v>1</v>
      </c>
      <c r="N797" s="56"/>
      <c r="O797" s="58"/>
      <c r="P797" s="55"/>
      <c r="Q797" s="62">
        <v>800000</v>
      </c>
      <c r="R797" s="63"/>
      <c r="S797" s="64">
        <v>0.17</v>
      </c>
      <c r="T797" s="65"/>
      <c r="U797" s="65"/>
      <c r="V797" s="66"/>
      <c r="W797" s="67"/>
      <c r="X797" s="66">
        <f>IF(NOTA[[#This Row],[HARGA/ CTN]]="",NOTA[[#This Row],[JUMLAH_H]],NOTA[[#This Row],[HARGA/ CTN]]*IF(NOTA[[#This Row],[C]]="",0,NOTA[[#This Row],[C]]))</f>
        <v>800000</v>
      </c>
      <c r="Y797" s="66">
        <f>IF(NOTA[[#This Row],[JUMLAH]]="","",NOTA[[#This Row],[JUMLAH]]*NOTA[[#This Row],[DISC 1]])</f>
        <v>136000</v>
      </c>
      <c r="Z797" s="66">
        <f>IF(NOTA[[#This Row],[JUMLAH]]="","",(NOTA[[#This Row],[JUMLAH]]-NOTA[[#This Row],[DISC 1-]])*NOTA[[#This Row],[DISC 2]])</f>
        <v>0</v>
      </c>
      <c r="AA797" s="66">
        <f>IF(NOTA[[#This Row],[JUMLAH]]="","",(NOTA[[#This Row],[JUMLAH]]-NOTA[[#This Row],[DISC 1-]]-NOTA[[#This Row],[DISC 2-]])*NOTA[[#This Row],[DISC 3]])</f>
        <v>0</v>
      </c>
      <c r="AB797" s="66">
        <f>IF(NOTA[[#This Row],[JUMLAH]]="","",NOTA[[#This Row],[DISC 1-]]+NOTA[[#This Row],[DISC 2-]]+NOTA[[#This Row],[DISC 3-]])</f>
        <v>136000</v>
      </c>
      <c r="AC797" s="66">
        <f>IF(NOTA[[#This Row],[JUMLAH]]="","",NOTA[[#This Row],[JUMLAH]]-NOTA[[#This Row],[DISC]])</f>
        <v>664000</v>
      </c>
      <c r="AD797" s="66"/>
      <c r="AE7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924936</v>
      </c>
      <c r="AF7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4515864</v>
      </c>
      <c r="AG797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797" s="66" t="str">
        <f>IF(OR(NOTA[[#This Row],[QTY]]="",NOTA[[#This Row],[HARGA SATUAN]]="",),"",NOTA[[#This Row],[QTY]]*NOTA[[#This Row],[HARGA SATUAN]])</f>
        <v/>
      </c>
      <c r="AI797" s="60">
        <f ca="1">IF(NOTA[ID_H]="","",INDEX(NOTA[TANGGAL],MATCH(,INDIRECT(ADDRESS(ROW(NOTA[TANGGAL]),COLUMN(NOTA[TANGGAL]))&amp;":"&amp;ADDRESS(ROW(),COLUMN(NOTA[TANGGAL]))),-1)))</f>
        <v>45323</v>
      </c>
      <c r="AJ797" s="55" t="str">
        <f ca="1">IF(NOTA[[#This Row],[NAMA BARANG]]="","",INDEX(NOTA[SUPPLIER],MATCH(,INDIRECT(ADDRESS(ROW(NOTA[ID]),COLUMN(NOTA[ID]))&amp;":"&amp;ADDRESS(ROW(),COLUMN(NOTA[ID]))),-1)))</f>
        <v>KENKO SINAR INDONESIA</v>
      </c>
      <c r="AK797" s="55" t="str">
        <f ca="1">IF(NOTA[[#This Row],[ID_H]]="","",IF(NOTA[[#This Row],[FAKTUR]]="",INDIRECT(ADDRESS(ROW()-1,COLUMN())),NOTA[[#This Row],[FAKTUR]]))</f>
        <v>ARTO MORO</v>
      </c>
      <c r="AL797" s="56" t="str">
        <f ca="1">IF(NOTA[[#This Row],[ID]]="","",COUNTIF(NOTA[ID_H],NOTA[[#This Row],[ID_H]]))</f>
        <v/>
      </c>
      <c r="AM797" s="56">
        <f ca="1">IF(NOTA[[#This Row],[TGL.NOTA]]="",IF(NOTA[[#This Row],[SUPPLIER_H]]="","",AM796),MONTH(NOTA[[#This Row],[TGL.NOTA]]))</f>
        <v>1</v>
      </c>
      <c r="AN797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>
        <f>IF(NOTA[[#This Row],[CONCAT1]]="","",MATCH(NOTA[[#This Row],[CONCAT1]],[3]!db[NB NOTA_C],0))</f>
        <v>1801</v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>500 BOX</v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797" s="56" t="e">
        <f ca="1">IF(NOTA[[#This Row],[ID_H]]="","",MATCH(NOTA[[#This Row],[NB NOTA_C_QTY]],[4]!db[NB NOTA_C_QTY+F],0))</f>
        <v>#REF!</v>
      </c>
      <c r="AX797" s="68">
        <f ca="1">IF(NOTA[[#This Row],[NB NOTA_C_QTY]]="","",ROW()-2)</f>
        <v>795</v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>
        <f ca="1">IF(INDIRECT(ADDRESS(ROW()-1,COLUMN(NOTA[[#Headers],[ID]])))="ID",1,IF(NOTA[[#This Row],[FAKTUR]]="","",COUNT(INDIRECT(ADDRESS(ROW(NOTA[ID]),COLUMN(NOTA[ID]))&amp;":"&amp;ADDRESS(ROW()-1,COLUMN(NOTA[ID]))))+1))</f>
        <v>140</v>
      </c>
      <c r="B79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COM_3101_126-1</v>
      </c>
      <c r="C799" s="56" t="e">
        <f ca="1">IF(NOTA[[#This Row],[ID_P]]="","",MATCH(NOTA[[#This Row],[ID_P]],[1]!B_MSK[N_ID],0))</f>
        <v>#REF!</v>
      </c>
      <c r="D799" s="56">
        <f ca="1">IF(NOTA[[#This Row],[NAMA BARANG]]="","",INDEX(NOTA[ID],MATCH(,INDIRECT(ADDRESS(ROW(NOTA[ID]),COLUMN(NOTA[ID]))&amp;":"&amp;ADDRESS(ROW(),COLUMN(NOTA[ID]))),-1)))</f>
        <v>140</v>
      </c>
      <c r="E799" s="57">
        <v>45322</v>
      </c>
      <c r="F799" s="37" t="s">
        <v>114</v>
      </c>
      <c r="G799" s="37" t="s">
        <v>110</v>
      </c>
      <c r="H799" s="47" t="s">
        <v>876</v>
      </c>
      <c r="I799" s="58"/>
      <c r="J799" s="60">
        <v>45322</v>
      </c>
      <c r="K799" s="58">
        <v>0</v>
      </c>
      <c r="L799" s="37" t="s">
        <v>877</v>
      </c>
      <c r="M799" s="61">
        <v>1</v>
      </c>
      <c r="N799" s="56">
        <v>8</v>
      </c>
      <c r="O799" s="37" t="s">
        <v>111</v>
      </c>
      <c r="P799" s="55">
        <v>213000</v>
      </c>
      <c r="Q799" s="62"/>
      <c r="R799" s="63"/>
      <c r="S799" s="64"/>
      <c r="T799" s="65"/>
      <c r="U799" s="65"/>
      <c r="V799" s="66"/>
      <c r="W799" s="67"/>
      <c r="X799" s="66">
        <f>IF(NOTA[[#This Row],[HARGA/ CTN]]="",NOTA[[#This Row],[JUMLAH_H]],NOTA[[#This Row],[HARGA/ CTN]]*IF(NOTA[[#This Row],[C]]="",0,NOTA[[#This Row],[C]]))</f>
        <v>1704000</v>
      </c>
      <c r="Y799" s="66">
        <f>IF(NOTA[[#This Row],[JUMLAH]]="","",NOTA[[#This Row],[JUMLAH]]*NOTA[[#This Row],[DISC 1]])</f>
        <v>0</v>
      </c>
      <c r="Z799" s="66">
        <f>IF(NOTA[[#This Row],[JUMLAH]]="","",(NOTA[[#This Row],[JUMLAH]]-NOTA[[#This Row],[DISC 1-]])*NOTA[[#This Row],[DISC 2]])</f>
        <v>0</v>
      </c>
      <c r="AA799" s="66">
        <f>IF(NOTA[[#This Row],[JUMLAH]]="","",(NOTA[[#This Row],[JUMLAH]]-NOTA[[#This Row],[DISC 1-]]-NOTA[[#This Row],[DISC 2-]])*NOTA[[#This Row],[DISC 3]])</f>
        <v>0</v>
      </c>
      <c r="AB799" s="66">
        <f>IF(NOTA[[#This Row],[JUMLAH]]="","",NOTA[[#This Row],[DISC 1-]]+NOTA[[#This Row],[DISC 2-]]+NOTA[[#This Row],[DISC 3-]])</f>
        <v>0</v>
      </c>
      <c r="AC799" s="66">
        <f>IF(NOTA[[#This Row],[JUMLAH]]="","",NOTA[[#This Row],[JUMLAH]]-NOTA[[#This Row],[DISC]])</f>
        <v>1704000</v>
      </c>
      <c r="AD799" s="66"/>
      <c r="AE79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9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1704000</v>
      </c>
      <c r="AG799" s="5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799" s="66">
        <f>IF(OR(NOTA[[#This Row],[QTY]]="",NOTA[[#This Row],[HARGA SATUAN]]="",),"",NOTA[[#This Row],[QTY]]*NOTA[[#This Row],[HARGA SATUAN]])</f>
        <v>1704000</v>
      </c>
      <c r="AI799" s="60">
        <f ca="1">IF(NOTA[ID_H]="","",INDEX(NOTA[TANGGAL],MATCH(,INDIRECT(ADDRESS(ROW(NOTA[TANGGAL]),COLUMN(NOTA[TANGGAL]))&amp;":"&amp;ADDRESS(ROW(),COLUMN(NOTA[TANGGAL]))),-1)))</f>
        <v>45322</v>
      </c>
      <c r="AJ799" s="55" t="str">
        <f ca="1">IF(NOTA[[#This Row],[NAMA BARANG]]="","",INDEX(NOTA[SUPPLIER],MATCH(,INDIRECT(ADDRESS(ROW(NOTA[ID]),COLUMN(NOTA[ID]))&amp;":"&amp;ADDRESS(ROW(),COLUMN(NOTA[ID]))),-1)))</f>
        <v>COMBI</v>
      </c>
      <c r="AK799" s="55" t="str">
        <f ca="1">IF(NOTA[[#This Row],[ID_H]]="","",IF(NOTA[[#This Row],[FAKTUR]]="",INDIRECT(ADDRESS(ROW()-1,COLUMN())),NOTA[[#This Row],[FAKTUR]]))</f>
        <v>UNTANA</v>
      </c>
      <c r="AL799" s="56">
        <f ca="1">IF(NOTA[[#This Row],[ID]]="","",COUNTIF(NOTA[ID_H],NOTA[[#This Row],[ID_H]]))</f>
        <v>1</v>
      </c>
      <c r="AM799" s="56">
        <f>IF(NOTA[[#This Row],[TGL.NOTA]]="",IF(NOTA[[#This Row],[SUPPLIER_H]]="","",AM798),MONTH(NOTA[[#This Row],[TGL.NOTA]]))</f>
        <v>1</v>
      </c>
      <c r="AN799" s="56" t="str">
        <f>LOWER(SUBSTITUTE(SUBSTITUTE(SUBSTITUTE(SUBSTITUTE(SUBSTITUTE(SUBSTITUTE(SUBSTITUTE(SUBSTITUTE(SUBSTITUTE(NOTA[NAMA BARANG]," ",),".",""),"-",""),"(",""),")",""),",",""),"/",""),"""",""),"+",""))</f>
        <v>docritbrilliant</v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COMBIUNTANA012645322docritbrilliant</v>
      </c>
      <c r="AR799" s="56" t="e">
        <f>IF(NOTA[[#This Row],[CONCAT4]]="","",_xlfn.IFNA(MATCH(NOTA[[#This Row],[CONCAT4]],[2]!RAW[CONCAT_H],0),FALSE))</f>
        <v>#REF!</v>
      </c>
      <c r="AS799" s="56">
        <f>IF(NOTA[[#This Row],[CONCAT1]]="","",MATCH(NOTA[[#This Row],[CONCAT1]],[3]!db[NB NOTA_C],0))</f>
        <v>837</v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>8 LSN</v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W799" s="56" t="e">
        <f ca="1">IF(NOTA[[#This Row],[ID_H]]="","",MATCH(NOTA[[#This Row],[NB NOTA_C_QTY]],[4]!db[NB NOTA_C_QTY+F],0))</f>
        <v>#REF!</v>
      </c>
      <c r="AX799" s="68">
        <f ca="1">IF(NOTA[[#This Row],[NB NOTA_C_QTY]]="","",ROW()-2)</f>
        <v>797</v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>
        <f ca="1">IF(INDIRECT(ADDRESS(ROW()-1,COLUMN(NOTA[[#Headers],[ID]])))="ID",1,IF(NOTA[[#This Row],[FAKTUR]]="","",COUNT(INDIRECT(ADDRESS(ROW(NOTA[ID]),COLUMN(NOTA[ID]))&amp;":"&amp;ADDRESS(ROW()-1,COLUMN(NOTA[ID]))))+1))</f>
        <v>141</v>
      </c>
      <c r="B80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HAN_3101_372-1</v>
      </c>
      <c r="C801" s="56" t="e">
        <f ca="1">IF(NOTA[[#This Row],[ID_P]]="","",MATCH(NOTA[[#This Row],[ID_P]],[1]!B_MSK[N_ID],0))</f>
        <v>#REF!</v>
      </c>
      <c r="D801" s="56">
        <f ca="1">IF(NOTA[[#This Row],[NAMA BARANG]]="","",INDEX(NOTA[ID],MATCH(,INDIRECT(ADDRESS(ROW(NOTA[ID]),COLUMN(NOTA[ID]))&amp;":"&amp;ADDRESS(ROW(),COLUMN(NOTA[ID]))),-1)))</f>
        <v>141</v>
      </c>
      <c r="E801" s="57">
        <v>45322</v>
      </c>
      <c r="F801" s="37" t="s">
        <v>797</v>
      </c>
      <c r="G801" s="37" t="s">
        <v>110</v>
      </c>
      <c r="H801" s="47" t="s">
        <v>878</v>
      </c>
      <c r="I801" s="58"/>
      <c r="J801" s="60">
        <v>45322</v>
      </c>
      <c r="K801" s="58"/>
      <c r="L801" s="37" t="s">
        <v>879</v>
      </c>
      <c r="M801" s="61">
        <v>1</v>
      </c>
      <c r="N801" s="56">
        <v>480</v>
      </c>
      <c r="O801" s="37" t="s">
        <v>115</v>
      </c>
      <c r="P801" s="55">
        <v>1600</v>
      </c>
      <c r="Q801" s="62"/>
      <c r="R801" s="63"/>
      <c r="S801" s="64"/>
      <c r="T801" s="65"/>
      <c r="U801" s="65"/>
      <c r="V801" s="66"/>
      <c r="W801" s="67"/>
      <c r="X801" s="66">
        <f>IF(NOTA[[#This Row],[HARGA/ CTN]]="",NOTA[[#This Row],[JUMLAH_H]],NOTA[[#This Row],[HARGA/ CTN]]*IF(NOTA[[#This Row],[C]]="",0,NOTA[[#This Row],[C]]))</f>
        <v>768000</v>
      </c>
      <c r="Y801" s="66">
        <f>IF(NOTA[[#This Row],[JUMLAH]]="","",NOTA[[#This Row],[JUMLAH]]*NOTA[[#This Row],[DISC 1]])</f>
        <v>0</v>
      </c>
      <c r="Z801" s="66">
        <f>IF(NOTA[[#This Row],[JUMLAH]]="","",(NOTA[[#This Row],[JUMLAH]]-NOTA[[#This Row],[DISC 1-]])*NOTA[[#This Row],[DISC 2]])</f>
        <v>0</v>
      </c>
      <c r="AA801" s="66">
        <f>IF(NOTA[[#This Row],[JUMLAH]]="","",(NOTA[[#This Row],[JUMLAH]]-NOTA[[#This Row],[DISC 1-]]-NOTA[[#This Row],[DISC 2-]])*NOTA[[#This Row],[DISC 3]])</f>
        <v>0</v>
      </c>
      <c r="AB801" s="66">
        <f>IF(NOTA[[#This Row],[JUMLAH]]="","",NOTA[[#This Row],[DISC 1-]]+NOTA[[#This Row],[DISC 2-]]+NOTA[[#This Row],[DISC 3-]])</f>
        <v>0</v>
      </c>
      <c r="AC801" s="66">
        <f>IF(NOTA[[#This Row],[JUMLAH]]="","",NOTA[[#This Row],[JUMLAH]]-NOTA[[#This Row],[DISC]])</f>
        <v>768000</v>
      </c>
      <c r="AD801" s="66"/>
      <c r="AE8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768000</v>
      </c>
      <c r="AG801" s="55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801" s="66">
        <f>IF(OR(NOTA[[#This Row],[QTY]]="",NOTA[[#This Row],[HARGA SATUAN]]="",),"",NOTA[[#This Row],[QTY]]*NOTA[[#This Row],[HARGA SATUAN]])</f>
        <v>768000</v>
      </c>
      <c r="AI801" s="60">
        <f ca="1">IF(NOTA[ID_H]="","",INDEX(NOTA[TANGGAL],MATCH(,INDIRECT(ADDRESS(ROW(NOTA[TANGGAL]),COLUMN(NOTA[TANGGAL]))&amp;":"&amp;ADDRESS(ROW(),COLUMN(NOTA[TANGGAL]))),-1)))</f>
        <v>45322</v>
      </c>
      <c r="AJ801" s="55" t="str">
        <f ca="1">IF(NOTA[[#This Row],[NAMA BARANG]]="","",INDEX(NOTA[SUPPLIER],MATCH(,INDIRECT(ADDRESS(ROW(NOTA[ID]),COLUMN(NOTA[ID]))&amp;":"&amp;ADDRESS(ROW(),COLUMN(NOTA[ID]))),-1)))</f>
        <v>HANSA</v>
      </c>
      <c r="AK801" s="55" t="str">
        <f ca="1">IF(NOTA[[#This Row],[ID_H]]="","",IF(NOTA[[#This Row],[FAKTUR]]="",INDIRECT(ADDRESS(ROW()-1,COLUMN())),NOTA[[#This Row],[FAKTUR]]))</f>
        <v>UNTANA</v>
      </c>
      <c r="AL801" s="56">
        <f ca="1">IF(NOTA[[#This Row],[ID]]="","",COUNTIF(NOTA[ID_H],NOTA[[#This Row],[ID_H]]))</f>
        <v>1</v>
      </c>
      <c r="AM801" s="56">
        <f>IF(NOTA[[#This Row],[TGL.NOTA]]="",IF(NOTA[[#This Row],[SUPPLIER_H]]="","",AM800),MONTH(NOTA[[#This Row],[TGL.NOTA]]))</f>
        <v>1</v>
      </c>
      <c r="AN801" s="56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HANSAUNTANAHN01202437245322malamshintoengk612w</v>
      </c>
      <c r="AR801" s="56" t="e">
        <f>IF(NOTA[[#This Row],[CONCAT4]]="","",_xlfn.IFNA(MATCH(NOTA[[#This Row],[CONCAT4]],[2]!RAW[CONCAT_H],0),FALSE))</f>
        <v>#REF!</v>
      </c>
      <c r="AS801" s="56">
        <f>IF(NOTA[[#This Row],[CONCAT1]]="","",MATCH(NOTA[[#This Row],[CONCAT1]],[3]!db[NB NOTA_C],0))</f>
        <v>1974</v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>480 PCS</v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801" s="56" t="e">
        <f ca="1">IF(NOTA[[#This Row],[ID_H]]="","",MATCH(NOTA[[#This Row],[NB NOTA_C_QTY]],[4]!db[NB NOTA_C_QTY+F],0))</f>
        <v>#REF!</v>
      </c>
      <c r="AX801" s="68">
        <f ca="1">IF(NOTA[[#This Row],[NB NOTA_C_QTY]]="","",ROW()-2)</f>
        <v>799</v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>
        <f ca="1">IF(INDIRECT(ADDRESS(ROW()-1,COLUMN(NOTA[[#Headers],[ID]])))="ID",1,IF(NOTA[[#This Row],[FAKTUR]]="","",COUNT(INDIRECT(ADDRESS(ROW(NOTA[ID]),COLUMN(NOTA[ID]))&amp;":"&amp;ADDRESS(ROW()-1,COLUMN(NOTA[ID]))))+1))</f>
        <v>142</v>
      </c>
      <c r="B80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DBS_3101_824-6</v>
      </c>
      <c r="C803" s="56" t="e">
        <f ca="1">IF(NOTA[[#This Row],[ID_P]]="","",MATCH(NOTA[[#This Row],[ID_P]],[1]!B_MSK[N_ID],0))</f>
        <v>#REF!</v>
      </c>
      <c r="D803" s="56">
        <f ca="1">IF(NOTA[[#This Row],[NAMA BARANG]]="","",INDEX(NOTA[ID],MATCH(,INDIRECT(ADDRESS(ROW(NOTA[ID]),COLUMN(NOTA[ID]))&amp;":"&amp;ADDRESS(ROW(),COLUMN(NOTA[ID]))),-1)))</f>
        <v>142</v>
      </c>
      <c r="E803" s="57">
        <v>45322</v>
      </c>
      <c r="F803" s="37" t="s">
        <v>112</v>
      </c>
      <c r="G803" s="37" t="s">
        <v>110</v>
      </c>
      <c r="H803" s="47" t="s">
        <v>880</v>
      </c>
      <c r="I803" s="58"/>
      <c r="J803" s="60">
        <v>45320</v>
      </c>
      <c r="K803" s="58"/>
      <c r="L803" s="37" t="s">
        <v>463</v>
      </c>
      <c r="M803" s="61">
        <v>7</v>
      </c>
      <c r="N803" s="56">
        <v>672</v>
      </c>
      <c r="O803" s="37" t="s">
        <v>111</v>
      </c>
      <c r="P803" s="55">
        <v>31500</v>
      </c>
      <c r="Q803" s="62"/>
      <c r="R803" s="63"/>
      <c r="S803" s="64"/>
      <c r="T803" s="65"/>
      <c r="U803" s="65"/>
      <c r="V803" s="66"/>
      <c r="W803" s="67"/>
      <c r="X803" s="66">
        <f>IF(NOTA[[#This Row],[HARGA/ CTN]]="",NOTA[[#This Row],[JUMLAH_H]],NOTA[[#This Row],[HARGA/ CTN]]*IF(NOTA[[#This Row],[C]]="",0,NOTA[[#This Row],[C]]))</f>
        <v>21168000</v>
      </c>
      <c r="Y803" s="66">
        <f>IF(NOTA[[#This Row],[JUMLAH]]="","",NOTA[[#This Row],[JUMLAH]]*NOTA[[#This Row],[DISC 1]])</f>
        <v>0</v>
      </c>
      <c r="Z803" s="66">
        <f>IF(NOTA[[#This Row],[JUMLAH]]="","",(NOTA[[#This Row],[JUMLAH]]-NOTA[[#This Row],[DISC 1-]])*NOTA[[#This Row],[DISC 2]])</f>
        <v>0</v>
      </c>
      <c r="AA803" s="66">
        <f>IF(NOTA[[#This Row],[JUMLAH]]="","",(NOTA[[#This Row],[JUMLAH]]-NOTA[[#This Row],[DISC 1-]]-NOTA[[#This Row],[DISC 2-]])*NOTA[[#This Row],[DISC 3]])</f>
        <v>0</v>
      </c>
      <c r="AB803" s="66">
        <f>IF(NOTA[[#This Row],[JUMLAH]]="","",NOTA[[#This Row],[DISC 1-]]+NOTA[[#This Row],[DISC 2-]]+NOTA[[#This Row],[DISC 3-]])</f>
        <v>0</v>
      </c>
      <c r="AC803" s="66">
        <f>IF(NOTA[[#This Row],[JUMLAH]]="","",NOTA[[#This Row],[JUMLAH]]-NOTA[[#This Row],[DISC]])</f>
        <v>21168000</v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803" s="66">
        <f>IF(OR(NOTA[[#This Row],[QTY]]="",NOTA[[#This Row],[HARGA SATUAN]]="",),"",NOTA[[#This Row],[QTY]]*NOTA[[#This Row],[HARGA SATUAN]])</f>
        <v>21168000</v>
      </c>
      <c r="AI803" s="60">
        <f ca="1">IF(NOTA[ID_H]="","",INDEX(NOTA[TANGGAL],MATCH(,INDIRECT(ADDRESS(ROW(NOTA[TANGGAL]),COLUMN(NOTA[TANGGAL]))&amp;":"&amp;ADDRESS(ROW(),COLUMN(NOTA[TANGGAL]))),-1)))</f>
        <v>45322</v>
      </c>
      <c r="AJ803" s="55" t="str">
        <f ca="1">IF(NOTA[[#This Row],[NAMA BARANG]]="","",INDEX(NOTA[SUPPLIER],MATCH(,INDIRECT(ADDRESS(ROW(NOTA[ID]),COLUMN(NOTA[ID]))&amp;":"&amp;ADDRESS(ROW(),COLUMN(NOTA[ID]))),-1)))</f>
        <v>DB STATIONERY</v>
      </c>
      <c r="AK803" s="55" t="str">
        <f ca="1">IF(NOTA[[#This Row],[ID_H]]="","",IF(NOTA[[#This Row],[FAKTUR]]="",INDIRECT(ADDRESS(ROW()-1,COLUMN())),NOTA[[#This Row],[FAKTUR]]))</f>
        <v>UNTANA</v>
      </c>
      <c r="AL803" s="56">
        <f ca="1">IF(NOTA[[#This Row],[ID]]="","",COUNTIF(NOTA[ID_H],NOTA[[#This Row],[ID_H]]))</f>
        <v>6</v>
      </c>
      <c r="AM803" s="56">
        <f>IF(NOTA[[#This Row],[TGL.NOTA]]="",IF(NOTA[[#This Row],[SUPPLIER_H]]="","",AM802),MONTH(NOTA[[#This Row],[TGL.NOTA]]))</f>
        <v>1</v>
      </c>
      <c r="AN803" s="56" t="str">
        <f>LOWER(SUBSTITUTE(SUBSTITUTE(SUBSTITUTE(SUBSTITUTE(SUBSTITUTE(SUBSTITUTE(SUBSTITUTE(SUBSTITUTE(SUBSTITUTE(NOTA[NAMA BARANG]," ",),".",""),"-",""),"(",""),")",""),",",""),"/",""),"""",""),"+",""))</f>
        <v>gelpentizo10tg340</v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 638/2445320gelpentizo10tg340</v>
      </c>
      <c r="AR803" s="56" t="e">
        <f>IF(NOTA[[#This Row],[CONCAT4]]="","",_xlfn.IFNA(MATCH(NOTA[[#This Row],[CONCAT4]],[2]!RAW[CONCAT_H],0),FALSE))</f>
        <v>#REF!</v>
      </c>
      <c r="AS803" s="56">
        <f>IF(NOTA[[#This Row],[CONCAT1]]="","",MATCH(NOTA[[#This Row],[CONCAT1]],[3]!db[NB NOTA_C],0))</f>
        <v>1088</v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>96 LSN</v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803" s="56" t="e">
        <f ca="1">IF(NOTA[[#This Row],[ID_H]]="","",MATCH(NOTA[[#This Row],[NB NOTA_C_QTY]],[4]!db[NB NOTA_C_QTY+F],0))</f>
        <v>#REF!</v>
      </c>
      <c r="AX803" s="68">
        <f ca="1">IF(NOTA[[#This Row],[NB NOTA_C_QTY]]="","",ROW()-2)</f>
        <v>801</v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>
        <f ca="1">IF(NOTA[[#This Row],[NAMA BARANG]]="","",INDEX(NOTA[ID],MATCH(,INDIRECT(ADDRESS(ROW(NOTA[ID]),COLUMN(NOTA[ID]))&amp;":"&amp;ADDRESS(ROW(),COLUMN(NOTA[ID]))),-1)))</f>
        <v>142</v>
      </c>
      <c r="E804" s="57"/>
      <c r="F804" s="58"/>
      <c r="G804" s="58"/>
      <c r="H804" s="59"/>
      <c r="I804" s="58"/>
      <c r="J804" s="60"/>
      <c r="K804" s="58">
        <v>2</v>
      </c>
      <c r="L804" s="37" t="s">
        <v>881</v>
      </c>
      <c r="M804" s="61">
        <v>3</v>
      </c>
      <c r="N804" s="56">
        <v>432</v>
      </c>
      <c r="O804" s="37" t="s">
        <v>111</v>
      </c>
      <c r="P804" s="55">
        <v>22500</v>
      </c>
      <c r="Q804" s="62"/>
      <c r="R804" s="63"/>
      <c r="S804" s="64"/>
      <c r="T804" s="65"/>
      <c r="U804" s="65"/>
      <c r="V804" s="66"/>
      <c r="W804" s="67"/>
      <c r="X804" s="66">
        <f>IF(NOTA[[#This Row],[HARGA/ CTN]]="",NOTA[[#This Row],[JUMLAH_H]],NOTA[[#This Row],[HARGA/ CTN]]*IF(NOTA[[#This Row],[C]]="",0,NOTA[[#This Row],[C]]))</f>
        <v>9720000</v>
      </c>
      <c r="Y804" s="66">
        <f>IF(NOTA[[#This Row],[JUMLAH]]="","",NOTA[[#This Row],[JUMLAH]]*NOTA[[#This Row],[DISC 1]])</f>
        <v>0</v>
      </c>
      <c r="Z804" s="66">
        <f>IF(NOTA[[#This Row],[JUMLAH]]="","",(NOTA[[#This Row],[JUMLAH]]-NOTA[[#This Row],[DISC 1-]])*NOTA[[#This Row],[DISC 2]])</f>
        <v>0</v>
      </c>
      <c r="AA804" s="66">
        <f>IF(NOTA[[#This Row],[JUMLAH]]="","",(NOTA[[#This Row],[JUMLAH]]-NOTA[[#This Row],[DISC 1-]]-NOTA[[#This Row],[DISC 2-]])*NOTA[[#This Row],[DISC 3]])</f>
        <v>0</v>
      </c>
      <c r="AB804" s="66">
        <f>IF(NOTA[[#This Row],[JUMLAH]]="","",NOTA[[#This Row],[DISC 1-]]+NOTA[[#This Row],[DISC 2-]]+NOTA[[#This Row],[DISC 3-]])</f>
        <v>0</v>
      </c>
      <c r="AC804" s="66">
        <f>IF(NOTA[[#This Row],[JUMLAH]]="","",NOTA[[#This Row],[JUMLAH]]-NOTA[[#This Row],[DISC]])</f>
        <v>9720000</v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804" s="66">
        <f>IF(OR(NOTA[[#This Row],[QTY]]="",NOTA[[#This Row],[HARGA SATUAN]]="",),"",NOTA[[#This Row],[QTY]]*NOTA[[#This Row],[HARGA SATUAN]])</f>
        <v>9720000</v>
      </c>
      <c r="AI804" s="60">
        <f ca="1">IF(NOTA[ID_H]="","",INDEX(NOTA[TANGGAL],MATCH(,INDIRECT(ADDRESS(ROW(NOTA[TANGGAL]),COLUMN(NOTA[TANGGAL]))&amp;":"&amp;ADDRESS(ROW(),COLUMN(NOTA[TANGGAL]))),-1)))</f>
        <v>45322</v>
      </c>
      <c r="AJ804" s="55" t="str">
        <f ca="1">IF(NOTA[[#This Row],[NAMA BARANG]]="","",INDEX(NOTA[SUPPLIER],MATCH(,INDIRECT(ADDRESS(ROW(NOTA[ID]),COLUMN(NOTA[ID]))&amp;":"&amp;ADDRESS(ROW(),COLUMN(NOTA[ID]))),-1)))</f>
        <v>DB STATIONERY</v>
      </c>
      <c r="AK804" s="55" t="str">
        <f ca="1">IF(NOTA[[#This Row],[ID_H]]="","",IF(NOTA[[#This Row],[FAKTUR]]="",INDIRECT(ADDRESS(ROW()-1,COLUMN())),NOTA[[#This Row],[FAKTUR]]))</f>
        <v>UNTANA</v>
      </c>
      <c r="AL804" s="56" t="str">
        <f ca="1">IF(NOTA[[#This Row],[ID]]="","",COUNTIF(NOTA[ID_H],NOTA[[#This Row],[ID_H]]))</f>
        <v/>
      </c>
      <c r="AM804" s="56">
        <f ca="1">IF(NOTA[[#This Row],[TGL.NOTA]]="",IF(NOTA[[#This Row],[SUPPLIER_H]]="","",AM803),MONTH(NOTA[[#This Row],[TGL.NOTA]]))</f>
        <v>1</v>
      </c>
      <c r="AN804" s="56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>
        <f>IF(NOTA[[#This Row],[CONCAT1]]="","",MATCH(NOTA[[#This Row],[CONCAT1]],[3]!db[NB NOTA_C],0))</f>
        <v>1031</v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>144 LSN</v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W804" s="56" t="e">
        <f ca="1">IF(NOTA[[#This Row],[ID_H]]="","",MATCH(NOTA[[#This Row],[NB NOTA_C_QTY]],[4]!db[NB NOTA_C_QTY+F],0))</f>
        <v>#REF!</v>
      </c>
      <c r="AX804" s="68">
        <f ca="1">IF(NOTA[[#This Row],[NB NOTA_C_QTY]]="","",ROW()-2)</f>
        <v>802</v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>
        <f ca="1">IF(NOTA[[#This Row],[NAMA BARANG]]="","",INDEX(NOTA[ID],MATCH(,INDIRECT(ADDRESS(ROW(NOTA[ID]),COLUMN(NOTA[ID]))&amp;":"&amp;ADDRESS(ROW(),COLUMN(NOTA[ID]))),-1)))</f>
        <v>142</v>
      </c>
      <c r="E805" s="57"/>
      <c r="F805" s="58"/>
      <c r="G805" s="58"/>
      <c r="H805" s="59"/>
      <c r="I805" s="58"/>
      <c r="J805" s="60"/>
      <c r="K805" s="58"/>
      <c r="L805" s="37" t="s">
        <v>882</v>
      </c>
      <c r="M805" s="61"/>
      <c r="N805" s="56">
        <v>12</v>
      </c>
      <c r="O805" s="37" t="s">
        <v>111</v>
      </c>
      <c r="P805" s="55"/>
      <c r="Q805" s="62"/>
      <c r="R805" s="63"/>
      <c r="S805" s="64"/>
      <c r="T805" s="65"/>
      <c r="U805" s="65"/>
      <c r="V805" s="66"/>
      <c r="W805" s="45" t="s">
        <v>250</v>
      </c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805" s="66" t="str">
        <f>IF(OR(NOTA[[#This Row],[QTY]]="",NOTA[[#This Row],[HARGA SATUAN]]="",),"",NOTA[[#This Row],[QTY]]*NOTA[[#This Row],[HARGA SATUAN]])</f>
        <v/>
      </c>
      <c r="AI805" s="60">
        <f ca="1">IF(NOTA[ID_H]="","",INDEX(NOTA[TANGGAL],MATCH(,INDIRECT(ADDRESS(ROW(NOTA[TANGGAL]),COLUMN(NOTA[TANGGAL]))&amp;":"&amp;ADDRESS(ROW(),COLUMN(NOTA[TANGGAL]))),-1)))</f>
        <v>45322</v>
      </c>
      <c r="AJ805" s="55" t="str">
        <f ca="1">IF(NOTA[[#This Row],[NAMA BARANG]]="","",INDEX(NOTA[SUPPLIER],MATCH(,INDIRECT(ADDRESS(ROW(NOTA[ID]),COLUMN(NOTA[ID]))&amp;":"&amp;ADDRESS(ROW(),COLUMN(NOTA[ID]))),-1)))</f>
        <v>DB STATIONERY</v>
      </c>
      <c r="AK805" s="55" t="str">
        <f ca="1">IF(NOTA[[#This Row],[ID_H]]="","",IF(NOTA[[#This Row],[FAKTUR]]="",INDIRECT(ADDRESS(ROW()-1,COLUMN())),NOTA[[#This Row],[FAKTUR]]))</f>
        <v>UNTANA</v>
      </c>
      <c r="AL805" s="56" t="str">
        <f ca="1">IF(NOTA[[#This Row],[ID]]="","",COUNTIF(NOTA[ID_H],NOTA[[#This Row],[ID_H]]))</f>
        <v/>
      </c>
      <c r="AM805" s="56">
        <f ca="1">IF(NOTA[[#This Row],[TGL.NOTA]]="",IF(NOTA[[#This Row],[SUPPLIER_H]]="","",AM804),MONTH(NOTA[[#This Row],[TGL.NOTA]]))</f>
        <v>1</v>
      </c>
      <c r="AN805" s="56" t="str">
        <f>LOWER(SUBSTITUTE(SUBSTITUTE(SUBSTITUTE(SUBSTITUTE(SUBSTITUTE(SUBSTITUTE(SUBSTITUTE(SUBSTITUTE(SUBSTITUTE(NOTA[NAMA BARANG]," ",),".",""),"-",""),"(",""),")",""),",",""),"/",""),"""",""),"+",""))</f>
        <v>pensil2bkayagikypf3051l</v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pensil2bkayagikypf3051l0</v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pensil2bkayagikypf3051l0</v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e">
        <f>IF(NOTA[[#This Row],[CONCAT1]]="","",MATCH(NOTA[[#This Row],[CONCAT1]],[3]!db[NB NOTA_C],0))</f>
        <v>#N/A</v>
      </c>
      <c r="AT805" s="56" t="str">
        <f>IF(NOTA[[#This Row],[QTY/ CTN]]="","",TRUE)</f>
        <v/>
      </c>
      <c r="AU805" s="56" t="e">
        <f ca="1">IF(NOTA[[#This Row],[ID_H]]="","",IF(NOTA[[#This Row],[Column3]]=TRUE,NOTA[[#This Row],[QTY/ CTN]],INDEX([3]!db[QTY/ CTN],NOTA[[#This Row],[//DB]])))</f>
        <v>#N/A</v>
      </c>
      <c r="AV805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05" s="56" t="e">
        <f ca="1">IF(NOTA[[#This Row],[ID_H]]="","",MATCH(NOTA[[#This Row],[NB NOTA_C_QTY]],[4]!db[NB NOTA_C_QTY+F],0))</f>
        <v>#N/A</v>
      </c>
      <c r="AX805" s="68" t="e">
        <f ca="1">IF(NOTA[[#This Row],[NB NOTA_C_QTY]]="","",ROW()-2)</f>
        <v>#N/A</v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>
        <f ca="1">IF(NOTA[[#This Row],[NAMA BARANG]]="","",INDEX(NOTA[ID],MATCH(,INDIRECT(ADDRESS(ROW(NOTA[ID]),COLUMN(NOTA[ID]))&amp;":"&amp;ADDRESS(ROW(),COLUMN(NOTA[ID]))),-1)))</f>
        <v>142</v>
      </c>
      <c r="E806" s="57"/>
      <c r="F806" s="58"/>
      <c r="G806" s="58"/>
      <c r="H806" s="59"/>
      <c r="I806" s="58"/>
      <c r="J806" s="60"/>
      <c r="K806" s="58">
        <v>1</v>
      </c>
      <c r="L806" s="37" t="s">
        <v>883</v>
      </c>
      <c r="M806" s="61">
        <v>3</v>
      </c>
      <c r="N806" s="56">
        <v>72</v>
      </c>
      <c r="O806" s="37" t="s">
        <v>115</v>
      </c>
      <c r="P806" s="55">
        <v>106000</v>
      </c>
      <c r="Q806" s="62"/>
      <c r="R806" s="63"/>
      <c r="S806" s="64"/>
      <c r="T806" s="65"/>
      <c r="U806" s="65"/>
      <c r="V806" s="66"/>
      <c r="W806" s="67"/>
      <c r="X806" s="66">
        <f>IF(NOTA[[#This Row],[HARGA/ CTN]]="",NOTA[[#This Row],[JUMLAH_H]],NOTA[[#This Row],[HARGA/ CTN]]*IF(NOTA[[#This Row],[C]]="",0,NOTA[[#This Row],[C]]))</f>
        <v>7632000</v>
      </c>
      <c r="Y806" s="66">
        <f>IF(NOTA[[#This Row],[JUMLAH]]="","",NOTA[[#This Row],[JUMLAH]]*NOTA[[#This Row],[DISC 1]])</f>
        <v>0</v>
      </c>
      <c r="Z806" s="66">
        <f>IF(NOTA[[#This Row],[JUMLAH]]="","",(NOTA[[#This Row],[JUMLAH]]-NOTA[[#This Row],[DISC 1-]])*NOTA[[#This Row],[DISC 2]])</f>
        <v>0</v>
      </c>
      <c r="AA806" s="66">
        <f>IF(NOTA[[#This Row],[JUMLAH]]="","",(NOTA[[#This Row],[JUMLAH]]-NOTA[[#This Row],[DISC 1-]]-NOTA[[#This Row],[DISC 2-]])*NOTA[[#This Row],[DISC 3]])</f>
        <v>0</v>
      </c>
      <c r="AB806" s="66">
        <f>IF(NOTA[[#This Row],[JUMLAH]]="","",NOTA[[#This Row],[DISC 1-]]+NOTA[[#This Row],[DISC 2-]]+NOTA[[#This Row],[DISC 3-]])</f>
        <v>0</v>
      </c>
      <c r="AC806" s="66">
        <f>IF(NOTA[[#This Row],[JUMLAH]]="","",NOTA[[#This Row],[JUMLAH]]-NOTA[[#This Row],[DISC]])</f>
        <v>7632000</v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806" s="66">
        <f>IF(OR(NOTA[[#This Row],[QTY]]="",NOTA[[#This Row],[HARGA SATUAN]]="",),"",NOTA[[#This Row],[QTY]]*NOTA[[#This Row],[HARGA SATUAN]])</f>
        <v>7632000</v>
      </c>
      <c r="AI806" s="60">
        <f ca="1">IF(NOTA[ID_H]="","",INDEX(NOTA[TANGGAL],MATCH(,INDIRECT(ADDRESS(ROW(NOTA[TANGGAL]),COLUMN(NOTA[TANGGAL]))&amp;":"&amp;ADDRESS(ROW(),COLUMN(NOTA[TANGGAL]))),-1)))</f>
        <v>45322</v>
      </c>
      <c r="AJ806" s="55" t="str">
        <f ca="1">IF(NOTA[[#This Row],[NAMA BARANG]]="","",INDEX(NOTA[SUPPLIER],MATCH(,INDIRECT(ADDRESS(ROW(NOTA[ID]),COLUMN(NOTA[ID]))&amp;":"&amp;ADDRESS(ROW(),COLUMN(NOTA[ID]))),-1)))</f>
        <v>DB STATIONERY</v>
      </c>
      <c r="AK806" s="55" t="str">
        <f ca="1">IF(NOTA[[#This Row],[ID_H]]="","",IF(NOTA[[#This Row],[FAKTUR]]="",INDIRECT(ADDRESS(ROW()-1,COLUMN())),NOTA[[#This Row],[FAKTUR]]))</f>
        <v>UNTANA</v>
      </c>
      <c r="AL806" s="56" t="str">
        <f ca="1">IF(NOTA[[#This Row],[ID]]="","",COUNTIF(NOTA[ID_H],NOTA[[#This Row],[ID_H]]))</f>
        <v/>
      </c>
      <c r="AM806" s="56">
        <f ca="1">IF(NOTA[[#This Row],[TGL.NOTA]]="",IF(NOTA[[#This Row],[SUPPLIER_H]]="","",AM805),MONTH(NOTA[[#This Row],[TGL.NOTA]]))</f>
        <v>1</v>
      </c>
      <c r="AN806" s="56" t="str">
        <f>LOWER(SUBSTITUTE(SUBSTITUTE(SUBSTITUTE(SUBSTITUTE(SUBSTITUTE(SUBSTITUTE(SUBSTITUTE(SUBSTITUTE(SUBSTITUTE(NOTA[NAMA BARANG]," ",),".",""),"-",""),"(",""),")",""),",",""),"/",""),"""",""),"+",""))</f>
        <v>stabillotizo54pctf610</v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stabillotizo54pctf6102544000</v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stabillotizo54pctf6102544000</v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>
        <f>IF(NOTA[[#This Row],[CONCAT1]]="","",MATCH(NOTA[[#This Row],[CONCAT1]],[3]!db[NB NOTA_C],0))</f>
        <v>2830</v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>24 PAK (54 PCS)</v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stabillotizo54pctf61024pak54pcsuntana</v>
      </c>
      <c r="AW806" s="56" t="e">
        <f ca="1">IF(NOTA[[#This Row],[ID_H]]="","",MATCH(NOTA[[#This Row],[NB NOTA_C_QTY]],[4]!db[NB NOTA_C_QTY+F],0))</f>
        <v>#REF!</v>
      </c>
      <c r="AX806" s="68">
        <f ca="1">IF(NOTA[[#This Row],[NB NOTA_C_QTY]]="","",ROW()-2)</f>
        <v>804</v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>
        <f ca="1">IF(NOTA[[#This Row],[NAMA BARANG]]="","",INDEX(NOTA[ID],MATCH(,INDIRECT(ADDRESS(ROW(NOTA[ID]),COLUMN(NOTA[ID]))&amp;":"&amp;ADDRESS(ROW(),COLUMN(NOTA[ID]))),-1)))</f>
        <v>142</v>
      </c>
      <c r="E807" s="57"/>
      <c r="F807" s="58"/>
      <c r="G807" s="58"/>
      <c r="H807" s="59"/>
      <c r="I807" s="58"/>
      <c r="J807" s="60"/>
      <c r="K807" s="58">
        <v>0</v>
      </c>
      <c r="L807" s="37" t="s">
        <v>884</v>
      </c>
      <c r="M807" s="61">
        <v>1</v>
      </c>
      <c r="N807" s="56">
        <v>72</v>
      </c>
      <c r="O807" s="37" t="s">
        <v>111</v>
      </c>
      <c r="P807" s="55">
        <v>43500</v>
      </c>
      <c r="Q807" s="62"/>
      <c r="R807" s="63"/>
      <c r="S807" s="64"/>
      <c r="T807" s="65"/>
      <c r="U807" s="65"/>
      <c r="V807" s="66"/>
      <c r="W807" s="67"/>
      <c r="X807" s="66">
        <f>IF(NOTA[[#This Row],[HARGA/ CTN]]="",NOTA[[#This Row],[JUMLAH_H]],NOTA[[#This Row],[HARGA/ CTN]]*IF(NOTA[[#This Row],[C]]="",0,NOTA[[#This Row],[C]]))</f>
        <v>3132000</v>
      </c>
      <c r="Y807" s="66">
        <f>IF(NOTA[[#This Row],[JUMLAH]]="","",NOTA[[#This Row],[JUMLAH]]*NOTA[[#This Row],[DISC 1]])</f>
        <v>0</v>
      </c>
      <c r="Z807" s="66">
        <f>IF(NOTA[[#This Row],[JUMLAH]]="","",(NOTA[[#This Row],[JUMLAH]]-NOTA[[#This Row],[DISC 1-]])*NOTA[[#This Row],[DISC 2]])</f>
        <v>0</v>
      </c>
      <c r="AA807" s="66">
        <f>IF(NOTA[[#This Row],[JUMLAH]]="","",(NOTA[[#This Row],[JUMLAH]]-NOTA[[#This Row],[DISC 1-]]-NOTA[[#This Row],[DISC 2-]])*NOTA[[#This Row],[DISC 3]])</f>
        <v>0</v>
      </c>
      <c r="AB807" s="66">
        <f>IF(NOTA[[#This Row],[JUMLAH]]="","",NOTA[[#This Row],[DISC 1-]]+NOTA[[#This Row],[DISC 2-]]+NOTA[[#This Row],[DISC 3-]])</f>
        <v>0</v>
      </c>
      <c r="AC807" s="66">
        <f>IF(NOTA[[#This Row],[JUMLAH]]="","",NOTA[[#This Row],[JUMLAH]]-NOTA[[#This Row],[DISC]])</f>
        <v>3132000</v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807" s="66">
        <f>IF(OR(NOTA[[#This Row],[QTY]]="",NOTA[[#This Row],[HARGA SATUAN]]="",),"",NOTA[[#This Row],[QTY]]*NOTA[[#This Row],[HARGA SATUAN]])</f>
        <v>3132000</v>
      </c>
      <c r="AI807" s="60">
        <f ca="1">IF(NOTA[ID_H]="","",INDEX(NOTA[TANGGAL],MATCH(,INDIRECT(ADDRESS(ROW(NOTA[TANGGAL]),COLUMN(NOTA[TANGGAL]))&amp;":"&amp;ADDRESS(ROW(),COLUMN(NOTA[TANGGAL]))),-1)))</f>
        <v>45322</v>
      </c>
      <c r="AJ807" s="55" t="str">
        <f ca="1">IF(NOTA[[#This Row],[NAMA BARANG]]="","",INDEX(NOTA[SUPPLIER],MATCH(,INDIRECT(ADDRESS(ROW(NOTA[ID]),COLUMN(NOTA[ID]))&amp;":"&amp;ADDRESS(ROW(),COLUMN(NOTA[ID]))),-1)))</f>
        <v>DB STATIONERY</v>
      </c>
      <c r="AK807" s="55" t="str">
        <f ca="1">IF(NOTA[[#This Row],[ID_H]]="","",IF(NOTA[[#This Row],[FAKTUR]]="",INDIRECT(ADDRESS(ROW()-1,COLUMN())),NOTA[[#This Row],[FAKTUR]]))</f>
        <v>UNTANA</v>
      </c>
      <c r="AL807" s="56" t="str">
        <f ca="1">IF(NOTA[[#This Row],[ID]]="","",COUNTIF(NOTA[ID_H],NOTA[[#This Row],[ID_H]]))</f>
        <v/>
      </c>
      <c r="AM807" s="56">
        <f ca="1">IF(NOTA[[#This Row],[TGL.NOTA]]="",IF(NOTA[[#This Row],[SUPPLIER_H]]="","",AM806),MONTH(NOTA[[#This Row],[TGL.NOTA]]))</f>
        <v>1</v>
      </c>
      <c r="AN807" s="56" t="str">
        <f>LOWER(SUBSTITUTE(SUBSTITUTE(SUBSTITUTE(SUBSTITUTE(SUBSTITUTE(SUBSTITUTE(SUBSTITUTE(SUBSTITUTE(SUBSTITUTE(NOTA[NAMA BARANG]," ",),".",""),"-",""),"(",""),")",""),",",""),"/",""),"""",""),"+",""))</f>
        <v>geltizo10tg630a</v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geltizo10tg630a3132000</v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geltizo10tg630a3132000</v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e">
        <f>IF(NOTA[[#This Row],[CONCAT1]]="","",MATCH(NOTA[[#This Row],[CONCAT1]],[3]!db[NB NOTA_C],0))</f>
        <v>#N/A</v>
      </c>
      <c r="AT807" s="56" t="str">
        <f>IF(NOTA[[#This Row],[QTY/ CTN]]="","",TRUE)</f>
        <v/>
      </c>
      <c r="AU807" s="56" t="e">
        <f ca="1">IF(NOTA[[#This Row],[ID_H]]="","",IF(NOTA[[#This Row],[Column3]]=TRUE,NOTA[[#This Row],[QTY/ CTN]],INDEX([3]!db[QTY/ CTN],NOTA[[#This Row],[//DB]])))</f>
        <v>#N/A</v>
      </c>
      <c r="AV80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07" s="56" t="e">
        <f ca="1">IF(NOTA[[#This Row],[ID_H]]="","",MATCH(NOTA[[#This Row],[NB NOTA_C_QTY]],[4]!db[NB NOTA_C_QTY+F],0))</f>
        <v>#N/A</v>
      </c>
      <c r="AX807" s="68" t="e">
        <f ca="1">IF(NOTA[[#This Row],[NB NOTA_C_QTY]]="","",ROW()-2)</f>
        <v>#N/A</v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>
        <f ca="1">IF(NOTA[[#This Row],[NAMA BARANG]]="","",INDEX(NOTA[ID],MATCH(,INDIRECT(ADDRESS(ROW(NOTA[ID]),COLUMN(NOTA[ID]))&amp;":"&amp;ADDRESS(ROW(),COLUMN(NOTA[ID]))),-1)))</f>
        <v>142</v>
      </c>
      <c r="E808" s="57"/>
      <c r="F808" s="58"/>
      <c r="G808" s="58"/>
      <c r="H808" s="59"/>
      <c r="I808" s="58"/>
      <c r="J808" s="60"/>
      <c r="K808" s="58">
        <v>0</v>
      </c>
      <c r="L808" s="37" t="s">
        <v>885</v>
      </c>
      <c r="M808" s="61">
        <v>1</v>
      </c>
      <c r="N808" s="56">
        <v>144</v>
      </c>
      <c r="O808" s="37" t="s">
        <v>111</v>
      </c>
      <c r="P808" s="55">
        <v>42000</v>
      </c>
      <c r="Q808" s="62"/>
      <c r="R808" s="63"/>
      <c r="S808" s="64"/>
      <c r="T808" s="65"/>
      <c r="U808" s="65"/>
      <c r="V808" s="66"/>
      <c r="W808" s="67"/>
      <c r="X808" s="66">
        <f>IF(NOTA[[#This Row],[HARGA/ CTN]]="",NOTA[[#This Row],[JUMLAH_H]],NOTA[[#This Row],[HARGA/ CTN]]*IF(NOTA[[#This Row],[C]]="",0,NOTA[[#This Row],[C]]))</f>
        <v>6048000</v>
      </c>
      <c r="Y808" s="66">
        <f>IF(NOTA[[#This Row],[JUMLAH]]="","",NOTA[[#This Row],[JUMLAH]]*NOTA[[#This Row],[DISC 1]])</f>
        <v>0</v>
      </c>
      <c r="Z808" s="66">
        <f>IF(NOTA[[#This Row],[JUMLAH]]="","",(NOTA[[#This Row],[JUMLAH]]-NOTA[[#This Row],[DISC 1-]])*NOTA[[#This Row],[DISC 2]])</f>
        <v>0</v>
      </c>
      <c r="AA808" s="66">
        <f>IF(NOTA[[#This Row],[JUMLAH]]="","",(NOTA[[#This Row],[JUMLAH]]-NOTA[[#This Row],[DISC 1-]]-NOTA[[#This Row],[DISC 2-]])*NOTA[[#This Row],[DISC 3]])</f>
        <v>0</v>
      </c>
      <c r="AB808" s="66">
        <f>IF(NOTA[[#This Row],[JUMLAH]]="","",NOTA[[#This Row],[DISC 1-]]+NOTA[[#This Row],[DISC 2-]]+NOTA[[#This Row],[DISC 3-]])</f>
        <v>0</v>
      </c>
      <c r="AC808" s="66">
        <f>IF(NOTA[[#This Row],[JUMLAH]]="","",NOTA[[#This Row],[JUMLAH]]-NOTA[[#This Row],[DISC]])</f>
        <v>6048000</v>
      </c>
      <c r="AD808" s="66"/>
      <c r="AE8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47700000</v>
      </c>
      <c r="AG808" s="55">
        <f>IF(NOTA[[#This Row],[NAMA BARANG]]="","",IF(NOTA[[#This Row],[JUMLAH_H]]="",NOTA[[#This Row],[HARGA/ CTN]],NOTA[[#This Row],[QTY]]*NOTA[[#This Row],[HARGA SATUAN]]/IF(ISNUMBER(NOTA[[#This Row],[C]]),NOTA[[#This Row],[C]],1)))</f>
        <v>6048000</v>
      </c>
      <c r="AH808" s="66">
        <f>IF(OR(NOTA[[#This Row],[QTY]]="",NOTA[[#This Row],[HARGA SATUAN]]="",),"",NOTA[[#This Row],[QTY]]*NOTA[[#This Row],[HARGA SATUAN]])</f>
        <v>6048000</v>
      </c>
      <c r="AI808" s="60">
        <f ca="1">IF(NOTA[ID_H]="","",INDEX(NOTA[TANGGAL],MATCH(,INDIRECT(ADDRESS(ROW(NOTA[TANGGAL]),COLUMN(NOTA[TANGGAL]))&amp;":"&amp;ADDRESS(ROW(),COLUMN(NOTA[TANGGAL]))),-1)))</f>
        <v>45322</v>
      </c>
      <c r="AJ808" s="55" t="str">
        <f ca="1">IF(NOTA[[#This Row],[NAMA BARANG]]="","",INDEX(NOTA[SUPPLIER],MATCH(,INDIRECT(ADDRESS(ROW(NOTA[ID]),COLUMN(NOTA[ID]))&amp;":"&amp;ADDRESS(ROW(),COLUMN(NOTA[ID]))),-1)))</f>
        <v>DB STATIONERY</v>
      </c>
      <c r="AK808" s="55" t="str">
        <f ca="1">IF(NOTA[[#This Row],[ID_H]]="","",IF(NOTA[[#This Row],[FAKTUR]]="",INDIRECT(ADDRESS(ROW()-1,COLUMN())),NOTA[[#This Row],[FAKTUR]]))</f>
        <v>UNTANA</v>
      </c>
      <c r="AL808" s="56" t="str">
        <f ca="1">IF(NOTA[[#This Row],[ID]]="","",COUNTIF(NOTA[ID_H],NOTA[[#This Row],[ID_H]]))</f>
        <v/>
      </c>
      <c r="AM808" s="56">
        <f ca="1">IF(NOTA[[#This Row],[TGL.NOTA]]="",IF(NOTA[[#This Row],[SUPPLIER_H]]="","",AM807),MONTH(NOTA[[#This Row],[TGL.NOTA]]))</f>
        <v>1</v>
      </c>
      <c r="AN808" s="56" t="str">
        <f>LOWER(SUBSTITUTE(SUBSTITUTE(SUBSTITUTE(SUBSTITUTE(SUBSTITUTE(SUBSTITUTE(SUBSTITUTE(SUBSTITUTE(SUBSTITUTE(NOTA[NAMA BARANG]," ",),".",""),"-",""),"(",""),")",""),",",""),"/",""),"""",""),"+",""))</f>
        <v>geltizo10tg31580</v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geltizo10tg315806048000</v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geltizo10tg315806048000</v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>
        <f>IF(NOTA[[#This Row],[CONCAT1]]="","",MATCH(NOTA[[#This Row],[CONCAT1]],[3]!db[NB NOTA_C],0))</f>
        <v>1119</v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>144 LSN</v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geltizo10tg31580144lsnuntana</v>
      </c>
      <c r="AW808" s="56" t="e">
        <f ca="1">IF(NOTA[[#This Row],[ID_H]]="","",MATCH(NOTA[[#This Row],[NB NOTA_C_QTY]],[4]!db[NB NOTA_C_QTY+F],0))</f>
        <v>#REF!</v>
      </c>
      <c r="AX808" s="68">
        <f ca="1">IF(NOTA[[#This Row],[NB NOTA_C_QTY]]="","",ROW()-2)</f>
        <v>806</v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>
        <f ca="1">IF(INDIRECT(ADDRESS(ROW()-1,COLUMN(NOTA[[#Headers],[ID]])))="ID",1,IF(NOTA[[#This Row],[FAKTUR]]="","",COUNT(INDIRECT(ADDRESS(ROW(NOTA[ID]),COLUMN(NOTA[ID]))&amp;":"&amp;ADDRESS(ROW()-1,COLUMN(NOTA[ID]))))+1))</f>
        <v>143</v>
      </c>
      <c r="B81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SBS_3101_3B1-3</v>
      </c>
      <c r="C810" s="56" t="e">
        <f ca="1">IF(NOTA[[#This Row],[ID_P]]="","",MATCH(NOTA[[#This Row],[ID_P]],[1]!B_MSK[N_ID],0))</f>
        <v>#REF!</v>
      </c>
      <c r="D810" s="56">
        <f ca="1">IF(NOTA[[#This Row],[NAMA BARANG]]="","",INDEX(NOTA[ID],MATCH(,INDIRECT(ADDRESS(ROW(NOTA[ID]),COLUMN(NOTA[ID]))&amp;":"&amp;ADDRESS(ROW(),COLUMN(NOTA[ID]))),-1)))</f>
        <v>143</v>
      </c>
      <c r="E810" s="57">
        <v>45322</v>
      </c>
      <c r="F810" s="37" t="s">
        <v>371</v>
      </c>
      <c r="G810" s="37" t="s">
        <v>110</v>
      </c>
      <c r="H810" s="47" t="s">
        <v>886</v>
      </c>
      <c r="I810" s="58"/>
      <c r="J810" s="60">
        <v>45316</v>
      </c>
      <c r="K810" s="58"/>
      <c r="L810" s="37" t="s">
        <v>887</v>
      </c>
      <c r="M810" s="61">
        <v>1</v>
      </c>
      <c r="N810" s="56">
        <v>60</v>
      </c>
      <c r="O810" s="37" t="s">
        <v>115</v>
      </c>
      <c r="P810" s="55">
        <v>30000</v>
      </c>
      <c r="Q810" s="62"/>
      <c r="R810" s="63"/>
      <c r="S810" s="64"/>
      <c r="T810" s="65"/>
      <c r="U810" s="65"/>
      <c r="V810" s="66"/>
      <c r="W810" s="67"/>
      <c r="X810" s="66">
        <f>IF(NOTA[[#This Row],[HARGA/ CTN]]="",NOTA[[#This Row],[JUMLAH_H]],NOTA[[#This Row],[HARGA/ CTN]]*IF(NOTA[[#This Row],[C]]="",0,NOTA[[#This Row],[C]]))</f>
        <v>1800000</v>
      </c>
      <c r="Y810" s="66">
        <f>IF(NOTA[[#This Row],[JUMLAH]]="","",NOTA[[#This Row],[JUMLAH]]*NOTA[[#This Row],[DISC 1]])</f>
        <v>0</v>
      </c>
      <c r="Z810" s="66">
        <f>IF(NOTA[[#This Row],[JUMLAH]]="","",(NOTA[[#This Row],[JUMLAH]]-NOTA[[#This Row],[DISC 1-]])*NOTA[[#This Row],[DISC 2]])</f>
        <v>0</v>
      </c>
      <c r="AA810" s="66">
        <f>IF(NOTA[[#This Row],[JUMLAH]]="","",(NOTA[[#This Row],[JUMLAH]]-NOTA[[#This Row],[DISC 1-]]-NOTA[[#This Row],[DISC 2-]])*NOTA[[#This Row],[DISC 3]])</f>
        <v>0</v>
      </c>
      <c r="AB810" s="66">
        <f>IF(NOTA[[#This Row],[JUMLAH]]="","",NOTA[[#This Row],[DISC 1-]]+NOTA[[#This Row],[DISC 2-]]+NOTA[[#This Row],[DISC 3-]])</f>
        <v>0</v>
      </c>
      <c r="AC810" s="66">
        <f>IF(NOTA[[#This Row],[JUMLAH]]="","",NOTA[[#This Row],[JUMLAH]]-NOTA[[#This Row],[DISC]])</f>
        <v>1800000</v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810" s="66">
        <f>IF(OR(NOTA[[#This Row],[QTY]]="",NOTA[[#This Row],[HARGA SATUAN]]="",),"",NOTA[[#This Row],[QTY]]*NOTA[[#This Row],[HARGA SATUAN]])</f>
        <v>1800000</v>
      </c>
      <c r="AI810" s="60">
        <f ca="1">IF(NOTA[ID_H]="","",INDEX(NOTA[TANGGAL],MATCH(,INDIRECT(ADDRESS(ROW(NOTA[TANGGAL]),COLUMN(NOTA[TANGGAL]))&amp;":"&amp;ADDRESS(ROW(),COLUMN(NOTA[TANGGAL]))),-1)))</f>
        <v>45322</v>
      </c>
      <c r="AJ810" s="55" t="str">
        <f ca="1">IF(NOTA[[#This Row],[NAMA BARANG]]="","",INDEX(NOTA[SUPPLIER],MATCH(,INDIRECT(ADDRESS(ROW(NOTA[ID]),COLUMN(NOTA[ID]))&amp;":"&amp;ADDRESS(ROW(),COLUMN(NOTA[ID]))),-1)))</f>
        <v>SBS</v>
      </c>
      <c r="AK810" s="55" t="str">
        <f ca="1">IF(NOTA[[#This Row],[ID_H]]="","",IF(NOTA[[#This Row],[FAKTUR]]="",INDIRECT(ADDRESS(ROW()-1,COLUMN())),NOTA[[#This Row],[FAKTUR]]))</f>
        <v>UNTANA</v>
      </c>
      <c r="AL810" s="56">
        <f ca="1">IF(NOTA[[#This Row],[ID]]="","",COUNTIF(NOTA[ID_H],NOTA[[#This Row],[ID_H]]))</f>
        <v>3</v>
      </c>
      <c r="AM810" s="56">
        <f>IF(NOTA[[#This Row],[TGL.NOTA]]="",IF(NOTA[[#This Row],[SUPPLIER_H]]="","",AM809),MONTH(NOTA[[#This Row],[TGL.NOTA]]))</f>
        <v>1</v>
      </c>
      <c r="AN810" s="56" t="str">
        <f>LOWER(SUBSTITUTE(SUBSTITUTE(SUBSTITUTE(SUBSTITUTE(SUBSTITUTE(SUBSTITUTE(SUBSTITUTE(SUBSTITUTE(SUBSTITUTE(NOTA[NAMA BARANG]," ",),".",""),"-",""),"(",""),")",""),",",""),"/",""),"""",""),"+",""))</f>
        <v>expandingfilemicrotopmt625folio</v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expandingfilemicrotopmt625folio1800000</v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expandingfilemicrotopmt625folio1800000</v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>SBSUNTANAWA0483B145316expandingfilemicrotopmt625folio</v>
      </c>
      <c r="AR810" s="56" t="e">
        <f>IF(NOTA[[#This Row],[CONCAT4]]="","",_xlfn.IFNA(MATCH(NOTA[[#This Row],[CONCAT4]],[2]!RAW[CONCAT_H],0),FALSE))</f>
        <v>#REF!</v>
      </c>
      <c r="AS810" s="56" t="e">
        <f>IF(NOTA[[#This Row],[CONCAT1]]="","",MATCH(NOTA[[#This Row],[CONCAT1]],[3]!db[NB NOTA_C],0))</f>
        <v>#N/A</v>
      </c>
      <c r="AT810" s="56" t="str">
        <f>IF(NOTA[[#This Row],[QTY/ CTN]]="","",TRUE)</f>
        <v/>
      </c>
      <c r="AU810" s="56" t="e">
        <f ca="1">IF(NOTA[[#This Row],[ID_H]]="","",IF(NOTA[[#This Row],[Column3]]=TRUE,NOTA[[#This Row],[QTY/ CTN]],INDEX([3]!db[QTY/ CTN],NOTA[[#This Row],[//DB]])))</f>
        <v>#N/A</v>
      </c>
      <c r="AV81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10" s="56" t="e">
        <f ca="1">IF(NOTA[[#This Row],[ID_H]]="","",MATCH(NOTA[[#This Row],[NB NOTA_C_QTY]],[4]!db[NB NOTA_C_QTY+F],0))</f>
        <v>#N/A</v>
      </c>
      <c r="AX810" s="68" t="e">
        <f ca="1">IF(NOTA[[#This Row],[NB NOTA_C_QTY]]="","",ROW()-2)</f>
        <v>#N/A</v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>
        <f ca="1">IF(NOTA[[#This Row],[NAMA BARANG]]="","",INDEX(NOTA[ID],MATCH(,INDIRECT(ADDRESS(ROW(NOTA[ID]),COLUMN(NOTA[ID]))&amp;":"&amp;ADDRESS(ROW(),COLUMN(NOTA[ID]))),-1)))</f>
        <v>143</v>
      </c>
      <c r="E811" s="57"/>
      <c r="F811" s="58"/>
      <c r="G811" s="58"/>
      <c r="H811" s="59"/>
      <c r="I811" s="58"/>
      <c r="J811" s="60"/>
      <c r="K811" s="58"/>
      <c r="L811" s="37" t="s">
        <v>888</v>
      </c>
      <c r="M811" s="61">
        <v>1</v>
      </c>
      <c r="N811" s="56">
        <v>60</v>
      </c>
      <c r="O811" s="37" t="s">
        <v>115</v>
      </c>
      <c r="P811" s="55">
        <v>34200</v>
      </c>
      <c r="Q811" s="62"/>
      <c r="R811" s="63"/>
      <c r="S811" s="64"/>
      <c r="T811" s="65"/>
      <c r="U811" s="65"/>
      <c r="V811" s="66"/>
      <c r="W811" s="67"/>
      <c r="X811" s="66">
        <f>IF(NOTA[[#This Row],[HARGA/ CTN]]="",NOTA[[#This Row],[JUMLAH_H]],NOTA[[#This Row],[HARGA/ CTN]]*IF(NOTA[[#This Row],[C]]="",0,NOTA[[#This Row],[C]]))</f>
        <v>2052000</v>
      </c>
      <c r="Y811" s="66">
        <f>IF(NOTA[[#This Row],[JUMLAH]]="","",NOTA[[#This Row],[JUMLAH]]*NOTA[[#This Row],[DISC 1]])</f>
        <v>0</v>
      </c>
      <c r="Z811" s="66">
        <f>IF(NOTA[[#This Row],[JUMLAH]]="","",(NOTA[[#This Row],[JUMLAH]]-NOTA[[#This Row],[DISC 1-]])*NOTA[[#This Row],[DISC 2]])</f>
        <v>0</v>
      </c>
      <c r="AA811" s="66">
        <f>IF(NOTA[[#This Row],[JUMLAH]]="","",(NOTA[[#This Row],[JUMLAH]]-NOTA[[#This Row],[DISC 1-]]-NOTA[[#This Row],[DISC 2-]])*NOTA[[#This Row],[DISC 3]])</f>
        <v>0</v>
      </c>
      <c r="AB811" s="66">
        <f>IF(NOTA[[#This Row],[JUMLAH]]="","",NOTA[[#This Row],[DISC 1-]]+NOTA[[#This Row],[DISC 2-]]+NOTA[[#This Row],[DISC 3-]])</f>
        <v>0</v>
      </c>
      <c r="AC811" s="66">
        <f>IF(NOTA[[#This Row],[JUMLAH]]="","",NOTA[[#This Row],[JUMLAH]]-NOTA[[#This Row],[DISC]])</f>
        <v>2052000</v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811" s="66">
        <f>IF(OR(NOTA[[#This Row],[QTY]]="",NOTA[[#This Row],[HARGA SATUAN]]="",),"",NOTA[[#This Row],[QTY]]*NOTA[[#This Row],[HARGA SATUAN]])</f>
        <v>2052000</v>
      </c>
      <c r="AI811" s="60">
        <f ca="1">IF(NOTA[ID_H]="","",INDEX(NOTA[TANGGAL],MATCH(,INDIRECT(ADDRESS(ROW(NOTA[TANGGAL]),COLUMN(NOTA[TANGGAL]))&amp;":"&amp;ADDRESS(ROW(),COLUMN(NOTA[TANGGAL]))),-1)))</f>
        <v>45322</v>
      </c>
      <c r="AJ811" s="55" t="str">
        <f ca="1">IF(NOTA[[#This Row],[NAMA BARANG]]="","",INDEX(NOTA[SUPPLIER],MATCH(,INDIRECT(ADDRESS(ROW(NOTA[ID]),COLUMN(NOTA[ID]))&amp;":"&amp;ADDRESS(ROW(),COLUMN(NOTA[ID]))),-1)))</f>
        <v>SBS</v>
      </c>
      <c r="AK811" s="55" t="str">
        <f ca="1">IF(NOTA[[#This Row],[ID_H]]="","",IF(NOTA[[#This Row],[FAKTUR]]="",INDIRECT(ADDRESS(ROW()-1,COLUMN())),NOTA[[#This Row],[FAKTUR]]))</f>
        <v>UNTANA</v>
      </c>
      <c r="AL811" s="56" t="str">
        <f ca="1">IF(NOTA[[#This Row],[ID]]="","",COUNTIF(NOTA[ID_H],NOTA[[#This Row],[ID_H]]))</f>
        <v/>
      </c>
      <c r="AM811" s="56">
        <f ca="1">IF(NOTA[[#This Row],[TGL.NOTA]]="",IF(NOTA[[#This Row],[SUPPLIER_H]]="","",AM810),MONTH(NOTA[[#This Row],[TGL.NOTA]]))</f>
        <v>1</v>
      </c>
      <c r="AN811" s="56" t="str">
        <f>LOWER(SUBSTITUTE(SUBSTITUTE(SUBSTITUTE(SUBSTITUTE(SUBSTITUTE(SUBSTITUTE(SUBSTITUTE(SUBSTITUTE(SUBSTITUTE(NOTA[NAMA BARANG]," ",),".",""),"-",""),"(",""),")",""),",",""),"/",""),"""",""),"+",""))</f>
        <v>expandingfilemicrotopmt631folio</v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expandingfilemicrotopmt631folio2052000</v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expandingfilemicrotopmt631folio2052000</v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e">
        <f>IF(NOTA[[#This Row],[CONCAT1]]="","",MATCH(NOTA[[#This Row],[CONCAT1]],[3]!db[NB NOTA_C],0))</f>
        <v>#N/A</v>
      </c>
      <c r="AT811" s="56" t="str">
        <f>IF(NOTA[[#This Row],[QTY/ CTN]]="","",TRUE)</f>
        <v/>
      </c>
      <c r="AU811" s="56" t="e">
        <f ca="1">IF(NOTA[[#This Row],[ID_H]]="","",IF(NOTA[[#This Row],[Column3]]=TRUE,NOTA[[#This Row],[QTY/ CTN]],INDEX([3]!db[QTY/ CTN],NOTA[[#This Row],[//DB]])))</f>
        <v>#N/A</v>
      </c>
      <c r="AV81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11" s="56" t="e">
        <f ca="1">IF(NOTA[[#This Row],[ID_H]]="","",MATCH(NOTA[[#This Row],[NB NOTA_C_QTY]],[4]!db[NB NOTA_C_QTY+F],0))</f>
        <v>#N/A</v>
      </c>
      <c r="AX811" s="68" t="e">
        <f ca="1">IF(NOTA[[#This Row],[NB NOTA_C_QTY]]="","",ROW()-2)</f>
        <v>#N/A</v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>
        <f ca="1">IF(NOTA[[#This Row],[NAMA BARANG]]="","",INDEX(NOTA[ID],MATCH(,INDIRECT(ADDRESS(ROW(NOTA[ID]),COLUMN(NOTA[ID]))&amp;":"&amp;ADDRESS(ROW(),COLUMN(NOTA[ID]))),-1)))</f>
        <v>143</v>
      </c>
      <c r="E812" s="57"/>
      <c r="F812" s="58"/>
      <c r="G812" s="58"/>
      <c r="H812" s="59"/>
      <c r="I812" s="58"/>
      <c r="J812" s="60"/>
      <c r="K812" s="58"/>
      <c r="L812" s="37" t="s">
        <v>889</v>
      </c>
      <c r="M812" s="61">
        <v>1</v>
      </c>
      <c r="N812" s="56">
        <v>80</v>
      </c>
      <c r="O812" s="37" t="s">
        <v>115</v>
      </c>
      <c r="P812" s="55">
        <v>27400</v>
      </c>
      <c r="Q812" s="62"/>
      <c r="R812" s="63"/>
      <c r="S812" s="64"/>
      <c r="T812" s="65"/>
      <c r="U812" s="65"/>
      <c r="V812" s="66"/>
      <c r="W812" s="67"/>
      <c r="X812" s="66">
        <f>IF(NOTA[[#This Row],[HARGA/ CTN]]="",NOTA[[#This Row],[JUMLAH_H]],NOTA[[#This Row],[HARGA/ CTN]]*IF(NOTA[[#This Row],[C]]="",0,NOTA[[#This Row],[C]]))</f>
        <v>2192000</v>
      </c>
      <c r="Y812" s="66">
        <f>IF(NOTA[[#This Row],[JUMLAH]]="","",NOTA[[#This Row],[JUMLAH]]*NOTA[[#This Row],[DISC 1]])</f>
        <v>0</v>
      </c>
      <c r="Z812" s="66">
        <f>IF(NOTA[[#This Row],[JUMLAH]]="","",(NOTA[[#This Row],[JUMLAH]]-NOTA[[#This Row],[DISC 1-]])*NOTA[[#This Row],[DISC 2]])</f>
        <v>0</v>
      </c>
      <c r="AA812" s="66">
        <f>IF(NOTA[[#This Row],[JUMLAH]]="","",(NOTA[[#This Row],[JUMLAH]]-NOTA[[#This Row],[DISC 1-]]-NOTA[[#This Row],[DISC 2-]])*NOTA[[#This Row],[DISC 3]])</f>
        <v>0</v>
      </c>
      <c r="AB812" s="66">
        <f>IF(NOTA[[#This Row],[JUMLAH]]="","",NOTA[[#This Row],[DISC 1-]]+NOTA[[#This Row],[DISC 2-]]+NOTA[[#This Row],[DISC 3-]])</f>
        <v>0</v>
      </c>
      <c r="AC812" s="66">
        <f>IF(NOTA[[#This Row],[JUMLAH]]="","",NOTA[[#This Row],[JUMLAH]]-NOTA[[#This Row],[DISC]])</f>
        <v>2192000</v>
      </c>
      <c r="AD812" s="66"/>
      <c r="AE8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6044000</v>
      </c>
      <c r="AG812" s="55">
        <f>IF(NOTA[[#This Row],[NAMA BARANG]]="","",IF(NOTA[[#This Row],[JUMLAH_H]]="",NOTA[[#This Row],[HARGA/ CTN]],NOTA[[#This Row],[QTY]]*NOTA[[#This Row],[HARGA SATUAN]]/IF(ISNUMBER(NOTA[[#This Row],[C]]),NOTA[[#This Row],[C]],1)))</f>
        <v>2192000</v>
      </c>
      <c r="AH812" s="66">
        <f>IF(OR(NOTA[[#This Row],[QTY]]="",NOTA[[#This Row],[HARGA SATUAN]]="",),"",NOTA[[#This Row],[QTY]]*NOTA[[#This Row],[HARGA SATUAN]])</f>
        <v>2192000</v>
      </c>
      <c r="AI812" s="60">
        <f ca="1">IF(NOTA[ID_H]="","",INDEX(NOTA[TANGGAL],MATCH(,INDIRECT(ADDRESS(ROW(NOTA[TANGGAL]),COLUMN(NOTA[TANGGAL]))&amp;":"&amp;ADDRESS(ROW(),COLUMN(NOTA[TANGGAL]))),-1)))</f>
        <v>45322</v>
      </c>
      <c r="AJ812" s="55" t="str">
        <f ca="1">IF(NOTA[[#This Row],[NAMA BARANG]]="","",INDEX(NOTA[SUPPLIER],MATCH(,INDIRECT(ADDRESS(ROW(NOTA[ID]),COLUMN(NOTA[ID]))&amp;":"&amp;ADDRESS(ROW(),COLUMN(NOTA[ID]))),-1)))</f>
        <v>SBS</v>
      </c>
      <c r="AK812" s="55" t="str">
        <f ca="1">IF(NOTA[[#This Row],[ID_H]]="","",IF(NOTA[[#This Row],[FAKTUR]]="",INDIRECT(ADDRESS(ROW()-1,COLUMN())),NOTA[[#This Row],[FAKTUR]]))</f>
        <v>UNTANA</v>
      </c>
      <c r="AL812" s="56" t="str">
        <f ca="1">IF(NOTA[[#This Row],[ID]]="","",COUNTIF(NOTA[ID_H],NOTA[[#This Row],[ID_H]]))</f>
        <v/>
      </c>
      <c r="AM812" s="56">
        <f ca="1">IF(NOTA[[#This Row],[TGL.NOTA]]="",IF(NOTA[[#This Row],[SUPPLIER_H]]="","",AM811),MONTH(NOTA[[#This Row],[TGL.NOTA]]))</f>
        <v>1</v>
      </c>
      <c r="AN812" s="56" t="str">
        <f>LOWER(SUBSTITUTE(SUBSTITUTE(SUBSTITUTE(SUBSTITUTE(SUBSTITUTE(SUBSTITUTE(SUBSTITUTE(SUBSTITUTE(SUBSTITUTE(NOTA[NAMA BARANG]," ",),".",""),"-",""),"(",""),")",""),",",""),"/",""),"""",""),"+",""))</f>
        <v>expandingfilemicrotopmt632f4</v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expandingfilemicrotopmt632f42192000</v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expandingfilemicrotopmt632f42192000</v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e">
        <f>IF(NOTA[[#This Row],[CONCAT1]]="","",MATCH(NOTA[[#This Row],[CONCAT1]],[3]!db[NB NOTA_C],0))</f>
        <v>#N/A</v>
      </c>
      <c r="AT812" s="56" t="str">
        <f>IF(NOTA[[#This Row],[QTY/ CTN]]="","",TRUE)</f>
        <v/>
      </c>
      <c r="AU812" s="56" t="e">
        <f ca="1">IF(NOTA[[#This Row],[ID_H]]="","",IF(NOTA[[#This Row],[Column3]]=TRUE,NOTA[[#This Row],[QTY/ CTN]],INDEX([3]!db[QTY/ CTN],NOTA[[#This Row],[//DB]])))</f>
        <v>#N/A</v>
      </c>
      <c r="AV81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12" s="56" t="e">
        <f ca="1">IF(NOTA[[#This Row],[ID_H]]="","",MATCH(NOTA[[#This Row],[NB NOTA_C_QTY]],[4]!db[NB NOTA_C_QTY+F],0))</f>
        <v>#N/A</v>
      </c>
      <c r="AX812" s="68" t="e">
        <f ca="1">IF(NOTA[[#This Row],[NB NOTA_C_QTY]]="","",ROW()-2)</f>
        <v>#N/A</v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>
        <f ca="1">IF(INDIRECT(ADDRESS(ROW()-1,COLUMN(NOTA[[#Headers],[ID]])))="ID",1,IF(NOTA[[#This Row],[FAKTUR]]="","",COUNT(INDIRECT(ADDRESS(ROW(NOTA[ID]),COLUMN(NOTA[ID]))&amp;":"&amp;ADDRESS(ROW()-1,COLUMN(NOTA[ID]))))+1))</f>
        <v>144</v>
      </c>
      <c r="B8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TEN_3101_5XX-1</v>
      </c>
      <c r="C814" s="56" t="e">
        <f ca="1">IF(NOTA[[#This Row],[ID_P]]="","",MATCH(NOTA[[#This Row],[ID_P]],[1]!B_MSK[N_ID],0))</f>
        <v>#REF!</v>
      </c>
      <c r="D814" s="56">
        <f ca="1">IF(NOTA[[#This Row],[NAMA BARANG]]="","",INDEX(NOTA[ID],MATCH(,INDIRECT(ADDRESS(ROW(NOTA[ID]),COLUMN(NOTA[ID]))&amp;":"&amp;ADDRESS(ROW(),COLUMN(NOTA[ID]))),-1)))</f>
        <v>144</v>
      </c>
      <c r="E814" s="57">
        <v>45322</v>
      </c>
      <c r="F814" s="37" t="s">
        <v>890</v>
      </c>
      <c r="G814" s="37" t="s">
        <v>110</v>
      </c>
      <c r="H814" s="47" t="s">
        <v>891</v>
      </c>
      <c r="I814" s="58"/>
      <c r="J814" s="60">
        <v>45318</v>
      </c>
      <c r="K814" s="58"/>
      <c r="L814" s="37" t="s">
        <v>892</v>
      </c>
      <c r="M814" s="61">
        <v>2</v>
      </c>
      <c r="N814" s="56">
        <v>5200</v>
      </c>
      <c r="O814" s="37" t="s">
        <v>135</v>
      </c>
      <c r="P814" s="55">
        <v>900</v>
      </c>
      <c r="Q814" s="62"/>
      <c r="R814" s="48" t="s">
        <v>893</v>
      </c>
      <c r="S814" s="64"/>
      <c r="T814" s="65"/>
      <c r="U814" s="65"/>
      <c r="V814" s="66"/>
      <c r="W814" s="67"/>
      <c r="X814" s="66">
        <f>IF(NOTA[[#This Row],[HARGA/ CTN]]="",NOTA[[#This Row],[JUMLAH_H]],NOTA[[#This Row],[HARGA/ CTN]]*IF(NOTA[[#This Row],[C]]="",0,NOTA[[#This Row],[C]]))</f>
        <v>4680000</v>
      </c>
      <c r="Y814" s="66">
        <f>IF(NOTA[[#This Row],[JUMLAH]]="","",NOTA[[#This Row],[JUMLAH]]*NOTA[[#This Row],[DISC 1]])</f>
        <v>0</v>
      </c>
      <c r="Z814" s="66">
        <f>IF(NOTA[[#This Row],[JUMLAH]]="","",(NOTA[[#This Row],[JUMLAH]]-NOTA[[#This Row],[DISC 1-]])*NOTA[[#This Row],[DISC 2]])</f>
        <v>0</v>
      </c>
      <c r="AA814" s="66">
        <f>IF(NOTA[[#This Row],[JUMLAH]]="","",(NOTA[[#This Row],[JUMLAH]]-NOTA[[#This Row],[DISC 1-]]-NOTA[[#This Row],[DISC 2-]])*NOTA[[#This Row],[DISC 3]])</f>
        <v>0</v>
      </c>
      <c r="AB814" s="66">
        <f>IF(NOTA[[#This Row],[JUMLAH]]="","",NOTA[[#This Row],[DISC 1-]]+NOTA[[#This Row],[DISC 2-]]+NOTA[[#This Row],[DISC 3-]])</f>
        <v>0</v>
      </c>
      <c r="AC814" s="66">
        <f>IF(NOTA[[#This Row],[JUMLAH]]="","",NOTA[[#This Row],[JUMLAH]]-NOTA[[#This Row],[DISC]])</f>
        <v>4680000</v>
      </c>
      <c r="AD814" s="66"/>
      <c r="AE8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4680000</v>
      </c>
      <c r="AG814" s="55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H814" s="66">
        <f>IF(OR(NOTA[[#This Row],[QTY]]="",NOTA[[#This Row],[HARGA SATUAN]]="",),"",NOTA[[#This Row],[QTY]]*NOTA[[#This Row],[HARGA SATUAN]])</f>
        <v>4680000</v>
      </c>
      <c r="AI814" s="60">
        <f ca="1">IF(NOTA[ID_H]="","",INDEX(NOTA[TANGGAL],MATCH(,INDIRECT(ADDRESS(ROW(NOTA[TANGGAL]),COLUMN(NOTA[TANGGAL]))&amp;":"&amp;ADDRESS(ROW(),COLUMN(NOTA[TANGGAL]))),-1)))</f>
        <v>45322</v>
      </c>
      <c r="AJ814" s="55" t="str">
        <f ca="1">IF(NOTA[[#This Row],[NAMA BARANG]]="","",INDEX(NOTA[SUPPLIER],MATCH(,INDIRECT(ADDRESS(ROW(NOTA[ID]),COLUMN(NOTA[ID]))&amp;":"&amp;ADDRESS(ROW(),COLUMN(NOTA[ID]))),-1)))</f>
        <v>TENAGA BARU</v>
      </c>
      <c r="AK814" s="55" t="str">
        <f ca="1">IF(NOTA[[#This Row],[ID_H]]="","",IF(NOTA[[#This Row],[FAKTUR]]="",INDIRECT(ADDRESS(ROW()-1,COLUMN())),NOTA[[#This Row],[FAKTUR]]))</f>
        <v>UNTANA</v>
      </c>
      <c r="AL814" s="56">
        <f ca="1">IF(NOTA[[#This Row],[ID]]="","",COUNTIF(NOTA[ID_H],NOTA[[#This Row],[ID_H]]))</f>
        <v>1</v>
      </c>
      <c r="AM814" s="56">
        <f>IF(NOTA[[#This Row],[TGL.NOTA]]="",IF(NOTA[[#This Row],[SUPPLIER_H]]="","",AM813),MONTH(NOTA[[#This Row],[TGL.NOTA]]))</f>
        <v>1</v>
      </c>
      <c r="AN814" s="56" t="str">
        <f>LOWER(SUBSTITUTE(SUBSTITUTE(SUBSTITUTE(SUBSTITUTE(SUBSTITUTE(SUBSTITUTE(SUBSTITUTE(SUBSTITUTE(SUBSTITUTE(NOTA[NAMA BARANG]," ",),".",""),"-",""),"(",""),")",""),",",""),"/",""),"""",""),"+",""))</f>
        <v>kundangananakanakb</v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kundangananakanakb2340000</v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kundangananakanakb2340000</v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BARUUNTANA002315/XX45318kundangananakanakb</v>
      </c>
      <c r="AR814" s="56" t="e">
        <f>IF(NOTA[[#This Row],[CONCAT4]]="","",_xlfn.IFNA(MATCH(NOTA[[#This Row],[CONCAT4]],[2]!RAW[CONCAT_H],0),FALSE))</f>
        <v>#REF!</v>
      </c>
      <c r="AS814" s="56" t="e">
        <f>IF(NOTA[[#This Row],[CONCAT1]]="","",MATCH(NOTA[[#This Row],[CONCAT1]],[3]!db[NB NOTA_C],0))</f>
        <v>#N/A</v>
      </c>
      <c r="AT814" s="56" t="b">
        <f>IF(NOTA[[#This Row],[QTY/ CTN]]="","",TRUE)</f>
        <v>1</v>
      </c>
      <c r="AU814" s="56" t="str">
        <f ca="1">IF(NOTA[[#This Row],[ID_H]]="","",IF(NOTA[[#This Row],[Column3]]=TRUE,NOTA[[#This Row],[QTY/ CTN]],INDEX([3]!db[QTY/ CTN],NOTA[[#This Row],[//DB]])))</f>
        <v>2600 PAK</v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kundangananakanakb2600pakuntana</v>
      </c>
      <c r="AW814" s="56" t="e">
        <f ca="1">IF(NOTA[[#This Row],[ID_H]]="","",MATCH(NOTA[[#This Row],[NB NOTA_C_QTY]],[4]!db[NB NOTA_C_QTY+F],0))</f>
        <v>#REF!</v>
      </c>
      <c r="AX814" s="68">
        <f ca="1">IF(NOTA[[#This Row],[NB NOTA_C_QTY]]="","",ROW()-2)</f>
        <v>812</v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>
        <f ca="1">IF(INDIRECT(ADDRESS(ROW()-1,COLUMN(NOTA[[#Headers],[ID]])))="ID",1,IF(NOTA[[#This Row],[FAKTUR]]="","",COUNT(INDIRECT(ADDRESS(ROW(NOTA[ID]),COLUMN(NOTA[ID]))&amp;":"&amp;ADDRESS(ROW()-1,COLUMN(NOTA[ID]))))+1))</f>
        <v>145</v>
      </c>
      <c r="B81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ETJ_3101_924-12</v>
      </c>
      <c r="C816" s="56" t="e">
        <f ca="1">IF(NOTA[[#This Row],[ID_P]]="","",MATCH(NOTA[[#This Row],[ID_P]],[1]!B_MSK[N_ID],0))</f>
        <v>#REF!</v>
      </c>
      <c r="D816" s="56">
        <f ca="1">IF(NOTA[[#This Row],[NAMA BARANG]]="","",INDEX(NOTA[ID],MATCH(,INDIRECT(ADDRESS(ROW(NOTA[ID]),COLUMN(NOTA[ID]))&amp;":"&amp;ADDRESS(ROW(),COLUMN(NOTA[ID]))),-1)))</f>
        <v>145</v>
      </c>
      <c r="E816" s="57">
        <v>45322</v>
      </c>
      <c r="F816" s="37" t="s">
        <v>406</v>
      </c>
      <c r="G816" s="37" t="s">
        <v>110</v>
      </c>
      <c r="H816" s="47" t="s">
        <v>894</v>
      </c>
      <c r="I816" s="58"/>
      <c r="J816" s="60">
        <v>45320</v>
      </c>
      <c r="K816" s="58"/>
      <c r="L816" s="37" t="s">
        <v>895</v>
      </c>
      <c r="M816" s="61">
        <v>1</v>
      </c>
      <c r="N816" s="56">
        <v>40</v>
      </c>
      <c r="O816" s="37" t="s">
        <v>111</v>
      </c>
      <c r="P816" s="55">
        <v>50000</v>
      </c>
      <c r="Q816" s="62"/>
      <c r="R816" s="63"/>
      <c r="S816" s="64"/>
      <c r="T816" s="65"/>
      <c r="U816" s="65"/>
      <c r="V816" s="66"/>
      <c r="W816" s="67"/>
      <c r="X816" s="66">
        <f>IF(NOTA[[#This Row],[HARGA/ CTN]]="",NOTA[[#This Row],[JUMLAH_H]],NOTA[[#This Row],[HARGA/ CTN]]*IF(NOTA[[#This Row],[C]]="",0,NOTA[[#This Row],[C]]))</f>
        <v>2000000</v>
      </c>
      <c r="Y816" s="66">
        <f>IF(NOTA[[#This Row],[JUMLAH]]="","",NOTA[[#This Row],[JUMLAH]]*NOTA[[#This Row],[DISC 1]])</f>
        <v>0</v>
      </c>
      <c r="Z816" s="66">
        <f>IF(NOTA[[#This Row],[JUMLAH]]="","",(NOTA[[#This Row],[JUMLAH]]-NOTA[[#This Row],[DISC 1-]])*NOTA[[#This Row],[DISC 2]])</f>
        <v>0</v>
      </c>
      <c r="AA816" s="66">
        <f>IF(NOTA[[#This Row],[JUMLAH]]="","",(NOTA[[#This Row],[JUMLAH]]-NOTA[[#This Row],[DISC 1-]]-NOTA[[#This Row],[DISC 2-]])*NOTA[[#This Row],[DISC 3]])</f>
        <v>0</v>
      </c>
      <c r="AB816" s="66">
        <f>IF(NOTA[[#This Row],[JUMLAH]]="","",NOTA[[#This Row],[DISC 1-]]+NOTA[[#This Row],[DISC 2-]]+NOTA[[#This Row],[DISC 3-]])</f>
        <v>0</v>
      </c>
      <c r="AC816" s="66">
        <f>IF(NOTA[[#This Row],[JUMLAH]]="","",NOTA[[#This Row],[JUMLAH]]-NOTA[[#This Row],[DISC]])</f>
        <v>2000000</v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H816" s="66">
        <f>IF(OR(NOTA[[#This Row],[QTY]]="",NOTA[[#This Row],[HARGA SATUAN]]="",),"",NOTA[[#This Row],[QTY]]*NOTA[[#This Row],[HARGA SATUAN]])</f>
        <v>2000000</v>
      </c>
      <c r="AI816" s="60">
        <f ca="1">IF(NOTA[ID_H]="","",INDEX(NOTA[TANGGAL],MATCH(,INDIRECT(ADDRESS(ROW(NOTA[TANGGAL]),COLUMN(NOTA[TANGGAL]))&amp;":"&amp;ADDRESS(ROW(),COLUMN(NOTA[TANGGAL]))),-1)))</f>
        <v>45322</v>
      </c>
      <c r="AJ816" s="55" t="str">
        <f ca="1">IF(NOTA[[#This Row],[NAMA BARANG]]="","",INDEX(NOTA[SUPPLIER],MATCH(,INDIRECT(ADDRESS(ROW(NOTA[ID]),COLUMN(NOTA[ID]))&amp;":"&amp;ADDRESS(ROW(),COLUMN(NOTA[ID]))),-1)))</f>
        <v>ETJ</v>
      </c>
      <c r="AK816" s="55" t="str">
        <f ca="1">IF(NOTA[[#This Row],[ID_H]]="","",IF(NOTA[[#This Row],[FAKTUR]]="",INDIRECT(ADDRESS(ROW()-1,COLUMN())),NOTA[[#This Row],[FAKTUR]]))</f>
        <v>UNTANA</v>
      </c>
      <c r="AL816" s="56">
        <f ca="1">IF(NOTA[[#This Row],[ID]]="","",COUNTIF(NOTA[ID_H],NOTA[[#This Row],[ID_H]]))</f>
        <v>12</v>
      </c>
      <c r="AM816" s="56">
        <f>IF(NOTA[[#This Row],[TGL.NOTA]]="",IF(NOTA[[#This Row],[SUPPLIER_H]]="","",AM815),MONTH(NOTA[[#This Row],[TGL.NOTA]]))</f>
        <v>1</v>
      </c>
      <c r="AN816" s="56" t="str">
        <f>LOWER(SUBSTITUTE(SUBSTITUTE(SUBSTITUTE(SUBSTITUTE(SUBSTITUTE(SUBSTITUTE(SUBSTITUTE(SUBSTITUTE(SUBSTITUTE(NOTA[NAMA BARANG]," ",),".",""),"-",""),"(",""),")",""),",",""),"/",""),"""",""),"+",""))</f>
        <v>enterspiral404</v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enterspiral4042000000</v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enterspiral4042000000</v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>ETJUNTANAAY 9.2445320enterspiral404</v>
      </c>
      <c r="AR816" s="56" t="e">
        <f>IF(NOTA[[#This Row],[CONCAT4]]="","",_xlfn.IFNA(MATCH(NOTA[[#This Row],[CONCAT4]],[2]!RAW[CONCAT_H],0),FALSE))</f>
        <v>#REF!</v>
      </c>
      <c r="AS816" s="56">
        <f>IF(NOTA[[#This Row],[CONCAT1]]="","",MATCH(NOTA[[#This Row],[CONCAT1]],[3]!db[NB NOTA_C],0))</f>
        <v>944</v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>40 LSN</v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enterspiral40440lsnuntana</v>
      </c>
      <c r="AW816" s="56" t="e">
        <f ca="1">IF(NOTA[[#This Row],[ID_H]]="","",MATCH(NOTA[[#This Row],[NB NOTA_C_QTY]],[4]!db[NB NOTA_C_QTY+F],0))</f>
        <v>#REF!</v>
      </c>
      <c r="AX816" s="68">
        <f ca="1">IF(NOTA[[#This Row],[NB NOTA_C_QTY]]="","",ROW()-2)</f>
        <v>814</v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>
        <f ca="1">IF(NOTA[[#This Row],[NAMA BARANG]]="","",INDEX(NOTA[ID],MATCH(,INDIRECT(ADDRESS(ROW(NOTA[ID]),COLUMN(NOTA[ID]))&amp;":"&amp;ADDRESS(ROW(),COLUMN(NOTA[ID]))),-1)))</f>
        <v>145</v>
      </c>
      <c r="E817" s="57"/>
      <c r="F817" s="58"/>
      <c r="G817" s="58"/>
      <c r="H817" s="59"/>
      <c r="I817" s="58"/>
      <c r="J817" s="60"/>
      <c r="K817" s="58"/>
      <c r="L817" s="37" t="s">
        <v>896</v>
      </c>
      <c r="M817" s="61">
        <v>1</v>
      </c>
      <c r="N817" s="56">
        <v>16</v>
      </c>
      <c r="O817" s="37" t="s">
        <v>111</v>
      </c>
      <c r="P817" s="55">
        <v>145000</v>
      </c>
      <c r="Q817" s="62"/>
      <c r="R817" s="63"/>
      <c r="S817" s="64"/>
      <c r="T817" s="65"/>
      <c r="U817" s="65"/>
      <c r="V817" s="66"/>
      <c r="W817" s="67"/>
      <c r="X817" s="66">
        <f>IF(NOTA[[#This Row],[HARGA/ CTN]]="",NOTA[[#This Row],[JUMLAH_H]],NOTA[[#This Row],[HARGA/ CTN]]*IF(NOTA[[#This Row],[C]]="",0,NOTA[[#This Row],[C]]))</f>
        <v>2320000</v>
      </c>
      <c r="Y817" s="66">
        <f>IF(NOTA[[#This Row],[JUMLAH]]="","",NOTA[[#This Row],[JUMLAH]]*NOTA[[#This Row],[DISC 1]])</f>
        <v>0</v>
      </c>
      <c r="Z817" s="66">
        <f>IF(NOTA[[#This Row],[JUMLAH]]="","",(NOTA[[#This Row],[JUMLAH]]-NOTA[[#This Row],[DISC 1-]])*NOTA[[#This Row],[DISC 2]])</f>
        <v>0</v>
      </c>
      <c r="AA817" s="66">
        <f>IF(NOTA[[#This Row],[JUMLAH]]="","",(NOTA[[#This Row],[JUMLAH]]-NOTA[[#This Row],[DISC 1-]]-NOTA[[#This Row],[DISC 2-]])*NOTA[[#This Row],[DISC 3]])</f>
        <v>0</v>
      </c>
      <c r="AB817" s="66">
        <f>IF(NOTA[[#This Row],[JUMLAH]]="","",NOTA[[#This Row],[DISC 1-]]+NOTA[[#This Row],[DISC 2-]]+NOTA[[#This Row],[DISC 3-]])</f>
        <v>0</v>
      </c>
      <c r="AC817" s="66">
        <f>IF(NOTA[[#This Row],[JUMLAH]]="","",NOTA[[#This Row],[JUMLAH]]-NOTA[[#This Row],[DISC]])</f>
        <v>2320000</v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>
        <f>IF(NOTA[[#This Row],[NAMA BARANG]]="","",IF(NOTA[[#This Row],[JUMLAH_H]]="",NOTA[[#This Row],[HARGA/ CTN]],NOTA[[#This Row],[QTY]]*NOTA[[#This Row],[HARGA SATUAN]]/IF(ISNUMBER(NOTA[[#This Row],[C]]),NOTA[[#This Row],[C]],1)))</f>
        <v>2320000</v>
      </c>
      <c r="AH817" s="66">
        <f>IF(OR(NOTA[[#This Row],[QTY]]="",NOTA[[#This Row],[HARGA SATUAN]]="",),"",NOTA[[#This Row],[QTY]]*NOTA[[#This Row],[HARGA SATUAN]])</f>
        <v>2320000</v>
      </c>
      <c r="AI817" s="60">
        <f ca="1">IF(NOTA[ID_H]="","",INDEX(NOTA[TANGGAL],MATCH(,INDIRECT(ADDRESS(ROW(NOTA[TANGGAL]),COLUMN(NOTA[TANGGAL]))&amp;":"&amp;ADDRESS(ROW(),COLUMN(NOTA[TANGGAL]))),-1)))</f>
        <v>45322</v>
      </c>
      <c r="AJ817" s="55" t="str">
        <f ca="1">IF(NOTA[[#This Row],[NAMA BARANG]]="","",INDEX(NOTA[SUPPLIER],MATCH(,INDIRECT(ADDRESS(ROW(NOTA[ID]),COLUMN(NOTA[ID]))&amp;":"&amp;ADDRESS(ROW(),COLUMN(NOTA[ID]))),-1)))</f>
        <v>ETJ</v>
      </c>
      <c r="AK817" s="55" t="str">
        <f ca="1">IF(NOTA[[#This Row],[ID_H]]="","",IF(NOTA[[#This Row],[FAKTUR]]="",INDIRECT(ADDRESS(ROW()-1,COLUMN())),NOTA[[#This Row],[FAKTUR]]))</f>
        <v>UNTANA</v>
      </c>
      <c r="AL817" s="56" t="str">
        <f ca="1">IF(NOTA[[#This Row],[ID]]="","",COUNTIF(NOTA[ID_H],NOTA[[#This Row],[ID_H]]))</f>
        <v/>
      </c>
      <c r="AM817" s="56">
        <f ca="1">IF(NOTA[[#This Row],[TGL.NOTA]]="",IF(NOTA[[#This Row],[SUPPLIER_H]]="","",AM816),MONTH(NOTA[[#This Row],[TGL.NOTA]]))</f>
        <v>1</v>
      </c>
      <c r="AN817" s="56" t="str">
        <f>LOWER(SUBSTITUTE(SUBSTITUTE(SUBSTITUTE(SUBSTITUTE(SUBSTITUTE(SUBSTITUTE(SUBSTITUTE(SUBSTITUTE(SUBSTITUTE(NOTA[NAMA BARANG]," ",),".",""),"-",""),"(",""),")",""),",",""),"/",""),"""",""),"+",""))</f>
        <v>enterspiral501</v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enterspiral5012320000</v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enterspiral5012320000</v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>
        <f>IF(NOTA[[#This Row],[CONCAT1]]="","",MATCH(NOTA[[#This Row],[CONCAT1]],[3]!db[NB NOTA_C],0))</f>
        <v>945</v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>16 LSN</v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enterspiral50116lsnuntana</v>
      </c>
      <c r="AW817" s="56" t="e">
        <f ca="1">IF(NOTA[[#This Row],[ID_H]]="","",MATCH(NOTA[[#This Row],[NB NOTA_C_QTY]],[4]!db[NB NOTA_C_QTY+F],0))</f>
        <v>#REF!</v>
      </c>
      <c r="AX817" s="68">
        <f ca="1">IF(NOTA[[#This Row],[NB NOTA_C_QTY]]="","",ROW()-2)</f>
        <v>815</v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>
        <f ca="1">IF(NOTA[[#This Row],[NAMA BARANG]]="","",INDEX(NOTA[ID],MATCH(,INDIRECT(ADDRESS(ROW(NOTA[ID]),COLUMN(NOTA[ID]))&amp;":"&amp;ADDRESS(ROW(),COLUMN(NOTA[ID]))),-1)))</f>
        <v>145</v>
      </c>
      <c r="E818" s="57"/>
      <c r="F818" s="58"/>
      <c r="G818" s="58"/>
      <c r="H818" s="59"/>
      <c r="I818" s="58"/>
      <c r="J818" s="60"/>
      <c r="K818" s="58">
        <v>0</v>
      </c>
      <c r="L818" s="37" t="s">
        <v>897</v>
      </c>
      <c r="M818" s="61">
        <v>1</v>
      </c>
      <c r="N818" s="56">
        <v>60</v>
      </c>
      <c r="O818" s="37" t="s">
        <v>111</v>
      </c>
      <c r="P818" s="55">
        <v>27500</v>
      </c>
      <c r="Q818" s="62"/>
      <c r="R818" s="63"/>
      <c r="S818" s="64"/>
      <c r="T818" s="65"/>
      <c r="U818" s="65"/>
      <c r="V818" s="66"/>
      <c r="W818" s="67"/>
      <c r="X818" s="66">
        <f>IF(NOTA[[#This Row],[HARGA/ CTN]]="",NOTA[[#This Row],[JUMLAH_H]],NOTA[[#This Row],[HARGA/ CTN]]*IF(NOTA[[#This Row],[C]]="",0,NOTA[[#This Row],[C]]))</f>
        <v>1650000</v>
      </c>
      <c r="Y818" s="66">
        <f>IF(NOTA[[#This Row],[JUMLAH]]="","",NOTA[[#This Row],[JUMLAH]]*NOTA[[#This Row],[DISC 1]])</f>
        <v>0</v>
      </c>
      <c r="Z818" s="66">
        <f>IF(NOTA[[#This Row],[JUMLAH]]="","",(NOTA[[#This Row],[JUMLAH]]-NOTA[[#This Row],[DISC 1-]])*NOTA[[#This Row],[DISC 2]])</f>
        <v>0</v>
      </c>
      <c r="AA818" s="66">
        <f>IF(NOTA[[#This Row],[JUMLAH]]="","",(NOTA[[#This Row],[JUMLAH]]-NOTA[[#This Row],[DISC 1-]]-NOTA[[#This Row],[DISC 2-]])*NOTA[[#This Row],[DISC 3]])</f>
        <v>0</v>
      </c>
      <c r="AB818" s="66">
        <f>IF(NOTA[[#This Row],[JUMLAH]]="","",NOTA[[#This Row],[DISC 1-]]+NOTA[[#This Row],[DISC 2-]]+NOTA[[#This Row],[DISC 3-]])</f>
        <v>0</v>
      </c>
      <c r="AC818" s="66">
        <f>IF(NOTA[[#This Row],[JUMLAH]]="","",NOTA[[#This Row],[JUMLAH]]-NOTA[[#This Row],[DISC]])</f>
        <v>1650000</v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H818" s="66">
        <f>IF(OR(NOTA[[#This Row],[QTY]]="",NOTA[[#This Row],[HARGA SATUAN]]="",),"",NOTA[[#This Row],[QTY]]*NOTA[[#This Row],[HARGA SATUAN]])</f>
        <v>1650000</v>
      </c>
      <c r="AI818" s="60">
        <f ca="1">IF(NOTA[ID_H]="","",INDEX(NOTA[TANGGAL],MATCH(,INDIRECT(ADDRESS(ROW(NOTA[TANGGAL]),COLUMN(NOTA[TANGGAL]))&amp;":"&amp;ADDRESS(ROW(),COLUMN(NOTA[TANGGAL]))),-1)))</f>
        <v>45322</v>
      </c>
      <c r="AJ818" s="55" t="str">
        <f ca="1">IF(NOTA[[#This Row],[NAMA BARANG]]="","",INDEX(NOTA[SUPPLIER],MATCH(,INDIRECT(ADDRESS(ROW(NOTA[ID]),COLUMN(NOTA[ID]))&amp;":"&amp;ADDRESS(ROW(),COLUMN(NOTA[ID]))),-1)))</f>
        <v>ETJ</v>
      </c>
      <c r="AK818" s="55" t="str">
        <f ca="1">IF(NOTA[[#This Row],[ID_H]]="","",IF(NOTA[[#This Row],[FAKTUR]]="",INDIRECT(ADDRESS(ROW()-1,COLUMN())),NOTA[[#This Row],[FAKTUR]]))</f>
        <v>UNTANA</v>
      </c>
      <c r="AL818" s="56" t="str">
        <f ca="1">IF(NOTA[[#This Row],[ID]]="","",COUNTIF(NOTA[ID_H],NOTA[[#This Row],[ID_H]]))</f>
        <v/>
      </c>
      <c r="AM818" s="56">
        <f ca="1">IF(NOTA[[#This Row],[TGL.NOTA]]="",IF(NOTA[[#This Row],[SUPPLIER_H]]="","",AM817),MONTH(NOTA[[#This Row],[TGL.NOTA]]))</f>
        <v>1</v>
      </c>
      <c r="AN818" s="56" t="str">
        <f>LOWER(SUBSTITUTE(SUBSTITUTE(SUBSTITUTE(SUBSTITUTE(SUBSTITUTE(SUBSTITUTE(SUBSTITUTE(SUBSTITUTE(SUBSTITUTE(NOTA[NAMA BARANG]," ",),".",""),"-",""),"(",""),")",""),",",""),"/",""),"""",""),"+",""))</f>
        <v>kojikosegitigano6</v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>
        <f>IF(NOTA[[#This Row],[CONCAT1]]="","",MATCH(NOTA[[#This Row],[CONCAT1]],[3]!db[NB NOTA_C],0))</f>
        <v>1832</v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>60 LSN</v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kojikosegitigano660lsnuntana</v>
      </c>
      <c r="AW818" s="56" t="e">
        <f ca="1">IF(NOTA[[#This Row],[ID_H]]="","",MATCH(NOTA[[#This Row],[NB NOTA_C_QTY]],[4]!db[NB NOTA_C_QTY+F],0))</f>
        <v>#REF!</v>
      </c>
      <c r="AX818" s="68">
        <f ca="1">IF(NOTA[[#This Row],[NB NOTA_C_QTY]]="","",ROW()-2)</f>
        <v>816</v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>
        <f ca="1">IF(NOTA[[#This Row],[NAMA BARANG]]="","",INDEX(NOTA[ID],MATCH(,INDIRECT(ADDRESS(ROW(NOTA[ID]),COLUMN(NOTA[ID]))&amp;":"&amp;ADDRESS(ROW(),COLUMN(NOTA[ID]))),-1)))</f>
        <v>145</v>
      </c>
      <c r="E819" s="57"/>
      <c r="F819" s="58"/>
      <c r="G819" s="58"/>
      <c r="H819" s="59"/>
      <c r="I819" s="58"/>
      <c r="J819" s="60"/>
      <c r="K819" s="58"/>
      <c r="L819" s="37" t="s">
        <v>898</v>
      </c>
      <c r="M819" s="61">
        <v>1</v>
      </c>
      <c r="N819" s="56">
        <v>16</v>
      </c>
      <c r="O819" s="37" t="s">
        <v>111</v>
      </c>
      <c r="P819" s="55">
        <v>85000</v>
      </c>
      <c r="Q819" s="62"/>
      <c r="R819" s="63"/>
      <c r="S819" s="64"/>
      <c r="T819" s="65"/>
      <c r="U819" s="65"/>
      <c r="V819" s="66"/>
      <c r="W819" s="67"/>
      <c r="X819" s="66">
        <f>IF(NOTA[[#This Row],[HARGA/ CTN]]="",NOTA[[#This Row],[JUMLAH_H]],NOTA[[#This Row],[HARGA/ CTN]]*IF(NOTA[[#This Row],[C]]="",0,NOTA[[#This Row],[C]]))</f>
        <v>1360000</v>
      </c>
      <c r="Y819" s="66">
        <f>IF(NOTA[[#This Row],[JUMLAH]]="","",NOTA[[#This Row],[JUMLAH]]*NOTA[[#This Row],[DISC 1]])</f>
        <v>0</v>
      </c>
      <c r="Z819" s="66">
        <f>IF(NOTA[[#This Row],[JUMLAH]]="","",(NOTA[[#This Row],[JUMLAH]]-NOTA[[#This Row],[DISC 1-]])*NOTA[[#This Row],[DISC 2]])</f>
        <v>0</v>
      </c>
      <c r="AA819" s="66">
        <f>IF(NOTA[[#This Row],[JUMLAH]]="","",(NOTA[[#This Row],[JUMLAH]]-NOTA[[#This Row],[DISC 1-]]-NOTA[[#This Row],[DISC 2-]])*NOTA[[#This Row],[DISC 3]])</f>
        <v>0</v>
      </c>
      <c r="AB819" s="66">
        <f>IF(NOTA[[#This Row],[JUMLAH]]="","",NOTA[[#This Row],[DISC 1-]]+NOTA[[#This Row],[DISC 2-]]+NOTA[[#This Row],[DISC 3-]])</f>
        <v>0</v>
      </c>
      <c r="AC819" s="66">
        <f>IF(NOTA[[#This Row],[JUMLAH]]="","",NOTA[[#This Row],[JUMLAH]]-NOTA[[#This Row],[DISC]])</f>
        <v>1360000</v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819" s="66">
        <f>IF(OR(NOTA[[#This Row],[QTY]]="",NOTA[[#This Row],[HARGA SATUAN]]="",),"",NOTA[[#This Row],[QTY]]*NOTA[[#This Row],[HARGA SATUAN]])</f>
        <v>1360000</v>
      </c>
      <c r="AI819" s="60">
        <f ca="1">IF(NOTA[ID_H]="","",INDEX(NOTA[TANGGAL],MATCH(,INDIRECT(ADDRESS(ROW(NOTA[TANGGAL]),COLUMN(NOTA[TANGGAL]))&amp;":"&amp;ADDRESS(ROW(),COLUMN(NOTA[TANGGAL]))),-1)))</f>
        <v>45322</v>
      </c>
      <c r="AJ819" s="55" t="str">
        <f ca="1">IF(NOTA[[#This Row],[NAMA BARANG]]="","",INDEX(NOTA[SUPPLIER],MATCH(,INDIRECT(ADDRESS(ROW(NOTA[ID]),COLUMN(NOTA[ID]))&amp;":"&amp;ADDRESS(ROW(),COLUMN(NOTA[ID]))),-1)))</f>
        <v>ETJ</v>
      </c>
      <c r="AK819" s="55" t="str">
        <f ca="1">IF(NOTA[[#This Row],[ID_H]]="","",IF(NOTA[[#This Row],[FAKTUR]]="",INDIRECT(ADDRESS(ROW()-1,COLUMN())),NOTA[[#This Row],[FAKTUR]]))</f>
        <v>UNTANA</v>
      </c>
      <c r="AL819" s="56" t="str">
        <f ca="1">IF(NOTA[[#This Row],[ID]]="","",COUNTIF(NOTA[ID_H],NOTA[[#This Row],[ID_H]]))</f>
        <v/>
      </c>
      <c r="AM819" s="56">
        <f ca="1">IF(NOTA[[#This Row],[TGL.NOTA]]="",IF(NOTA[[#This Row],[SUPPLIER_H]]="","",AM818),MONTH(NOTA[[#This Row],[TGL.NOTA]]))</f>
        <v>1</v>
      </c>
      <c r="AN819" s="56" t="str">
        <f>LOWER(SUBSTITUTE(SUBSTITUTE(SUBSTITUTE(SUBSTITUTE(SUBSTITUTE(SUBSTITUTE(SUBSTITUTE(SUBSTITUTE(SUBSTITUTE(NOTA[NAMA BARANG]," ",),".",""),"-",""),"(",""),")",""),",",""),"/",""),"""",""),"+",""))</f>
        <v>kojikosegitigano10</v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>
        <f>IF(NOTA[[#This Row],[CONCAT1]]="","",MATCH(NOTA[[#This Row],[CONCAT1]],[3]!db[NB NOTA_C],0))</f>
        <v>1834</v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>16 LSN</v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kojikosegitigano1016lsnuntana</v>
      </c>
      <c r="AW819" s="56" t="e">
        <f ca="1">IF(NOTA[[#This Row],[ID_H]]="","",MATCH(NOTA[[#This Row],[NB NOTA_C_QTY]],[4]!db[NB NOTA_C_QTY+F],0))</f>
        <v>#REF!</v>
      </c>
      <c r="AX819" s="68">
        <f ca="1">IF(NOTA[[#This Row],[NB NOTA_C_QTY]]="","",ROW()-2)</f>
        <v>817</v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>
        <f ca="1">IF(NOTA[[#This Row],[NAMA BARANG]]="","",INDEX(NOTA[ID],MATCH(,INDIRECT(ADDRESS(ROW(NOTA[ID]),COLUMN(NOTA[ID]))&amp;":"&amp;ADDRESS(ROW(),COLUMN(NOTA[ID]))),-1)))</f>
        <v>145</v>
      </c>
      <c r="E820" s="57"/>
      <c r="F820" s="58"/>
      <c r="G820" s="58"/>
      <c r="H820" s="59"/>
      <c r="I820" s="58"/>
      <c r="J820" s="60"/>
      <c r="K820" s="58"/>
      <c r="L820" s="37" t="s">
        <v>899</v>
      </c>
      <c r="M820" s="61">
        <v>1</v>
      </c>
      <c r="N820" s="56">
        <v>800</v>
      </c>
      <c r="O820" s="37" t="s">
        <v>135</v>
      </c>
      <c r="P820" s="55">
        <v>2100</v>
      </c>
      <c r="Q820" s="62"/>
      <c r="R820" s="63"/>
      <c r="S820" s="64"/>
      <c r="T820" s="65"/>
      <c r="U820" s="65"/>
      <c r="V820" s="66"/>
      <c r="W820" s="67"/>
      <c r="X820" s="66">
        <f>IF(NOTA[[#This Row],[HARGA/ CTN]]="",NOTA[[#This Row],[JUMLAH_H]],NOTA[[#This Row],[HARGA/ CTN]]*IF(NOTA[[#This Row],[C]]="",0,NOTA[[#This Row],[C]]))</f>
        <v>1680000</v>
      </c>
      <c r="Y820" s="66">
        <f>IF(NOTA[[#This Row],[JUMLAH]]="","",NOTA[[#This Row],[JUMLAH]]*NOTA[[#This Row],[DISC 1]])</f>
        <v>0</v>
      </c>
      <c r="Z820" s="66">
        <f>IF(NOTA[[#This Row],[JUMLAH]]="","",(NOTA[[#This Row],[JUMLAH]]-NOTA[[#This Row],[DISC 1-]])*NOTA[[#This Row],[DISC 2]])</f>
        <v>0</v>
      </c>
      <c r="AA820" s="66">
        <f>IF(NOTA[[#This Row],[JUMLAH]]="","",(NOTA[[#This Row],[JUMLAH]]-NOTA[[#This Row],[DISC 1-]]-NOTA[[#This Row],[DISC 2-]])*NOTA[[#This Row],[DISC 3]])</f>
        <v>0</v>
      </c>
      <c r="AB820" s="66">
        <f>IF(NOTA[[#This Row],[JUMLAH]]="","",NOTA[[#This Row],[DISC 1-]]+NOTA[[#This Row],[DISC 2-]]+NOTA[[#This Row],[DISC 3-]])</f>
        <v>0</v>
      </c>
      <c r="AC820" s="66">
        <f>IF(NOTA[[#This Row],[JUMLAH]]="","",NOTA[[#This Row],[JUMLAH]]-NOTA[[#This Row],[DISC]])</f>
        <v>1680000</v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0" s="66">
        <f>IF(OR(NOTA[[#This Row],[QTY]]="",NOTA[[#This Row],[HARGA SATUAN]]="",),"",NOTA[[#This Row],[QTY]]*NOTA[[#This Row],[HARGA SATUAN]])</f>
        <v>1680000</v>
      </c>
      <c r="AI820" s="60">
        <f ca="1">IF(NOTA[ID_H]="","",INDEX(NOTA[TANGGAL],MATCH(,INDIRECT(ADDRESS(ROW(NOTA[TANGGAL]),COLUMN(NOTA[TANGGAL]))&amp;":"&amp;ADDRESS(ROW(),COLUMN(NOTA[TANGGAL]))),-1)))</f>
        <v>45322</v>
      </c>
      <c r="AJ820" s="55" t="str">
        <f ca="1">IF(NOTA[[#This Row],[NAMA BARANG]]="","",INDEX(NOTA[SUPPLIER],MATCH(,INDIRECT(ADDRESS(ROW(NOTA[ID]),COLUMN(NOTA[ID]))&amp;":"&amp;ADDRESS(ROW(),COLUMN(NOTA[ID]))),-1)))</f>
        <v>ETJ</v>
      </c>
      <c r="AK820" s="55" t="str">
        <f ca="1">IF(NOTA[[#This Row],[ID_H]]="","",IF(NOTA[[#This Row],[FAKTUR]]="",INDIRECT(ADDRESS(ROW()-1,COLUMN())),NOTA[[#This Row],[FAKTUR]]))</f>
        <v>UNTANA</v>
      </c>
      <c r="AL820" s="56" t="str">
        <f ca="1">IF(NOTA[[#This Row],[ID]]="","",COUNTIF(NOTA[ID_H],NOTA[[#This Row],[ID_H]]))</f>
        <v/>
      </c>
      <c r="AM820" s="56">
        <f ca="1">IF(NOTA[[#This Row],[TGL.NOTA]]="",IF(NOTA[[#This Row],[SUPPLIER_H]]="","",AM819),MONTH(NOTA[[#This Row],[TGL.NOTA]]))</f>
        <v>1</v>
      </c>
      <c r="AN820" s="56" t="str">
        <f>LOWER(SUBSTITUTE(SUBSTITUTE(SUBSTITUTE(SUBSTITUTE(SUBSTITUTE(SUBSTITUTE(SUBSTITUTE(SUBSTITUTE(SUBSTITUTE(NOTA[NAMA BARANG]," ",),".",""),"-",""),"(",""),")",""),",",""),"/",""),"""",""),"+",""))</f>
        <v>kojikolabel113</v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kojikolabel1131680000</v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kojikolabel1131680000</v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e">
        <f>IF(NOTA[[#This Row],[CONCAT1]]="","",MATCH(NOTA[[#This Row],[CONCAT1]],[3]!db[NB NOTA_C],0))</f>
        <v>#N/A</v>
      </c>
      <c r="AT820" s="56" t="str">
        <f>IF(NOTA[[#This Row],[QTY/ CTN]]="","",TRUE)</f>
        <v/>
      </c>
      <c r="AU820" s="56" t="e">
        <f ca="1">IF(NOTA[[#This Row],[ID_H]]="","",IF(NOTA[[#This Row],[Column3]]=TRUE,NOTA[[#This Row],[QTY/ CTN]],INDEX([3]!db[QTY/ CTN],NOTA[[#This Row],[//DB]])))</f>
        <v>#N/A</v>
      </c>
      <c r="AV82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0" s="56" t="e">
        <f ca="1">IF(NOTA[[#This Row],[ID_H]]="","",MATCH(NOTA[[#This Row],[NB NOTA_C_QTY]],[4]!db[NB NOTA_C_QTY+F],0))</f>
        <v>#N/A</v>
      </c>
      <c r="AX820" s="68" t="e">
        <f ca="1">IF(NOTA[[#This Row],[NB NOTA_C_QTY]]="","",ROW()-2)</f>
        <v>#N/A</v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>
        <f ca="1">IF(NOTA[[#This Row],[NAMA BARANG]]="","",INDEX(NOTA[ID],MATCH(,INDIRECT(ADDRESS(ROW(NOTA[ID]),COLUMN(NOTA[ID]))&amp;":"&amp;ADDRESS(ROW(),COLUMN(NOTA[ID]))),-1)))</f>
        <v>145</v>
      </c>
      <c r="E821" s="57"/>
      <c r="F821" s="58"/>
      <c r="G821" s="58"/>
      <c r="H821" s="59"/>
      <c r="I821" s="58"/>
      <c r="J821" s="60"/>
      <c r="K821" s="58"/>
      <c r="L821" s="37" t="s">
        <v>900</v>
      </c>
      <c r="M821" s="61">
        <v>1</v>
      </c>
      <c r="N821" s="56">
        <v>800</v>
      </c>
      <c r="O821" s="37" t="s">
        <v>135</v>
      </c>
      <c r="P821" s="55">
        <v>2100</v>
      </c>
      <c r="Q821" s="62"/>
      <c r="R821" s="63"/>
      <c r="S821" s="64"/>
      <c r="T821" s="65"/>
      <c r="U821" s="65"/>
      <c r="V821" s="66"/>
      <c r="W821" s="67"/>
      <c r="X821" s="66">
        <f>IF(NOTA[[#This Row],[HARGA/ CTN]]="",NOTA[[#This Row],[JUMLAH_H]],NOTA[[#This Row],[HARGA/ CTN]]*IF(NOTA[[#This Row],[C]]="",0,NOTA[[#This Row],[C]]))</f>
        <v>1680000</v>
      </c>
      <c r="Y821" s="66">
        <f>IF(NOTA[[#This Row],[JUMLAH]]="","",NOTA[[#This Row],[JUMLAH]]*NOTA[[#This Row],[DISC 1]])</f>
        <v>0</v>
      </c>
      <c r="Z821" s="66">
        <f>IF(NOTA[[#This Row],[JUMLAH]]="","",(NOTA[[#This Row],[JUMLAH]]-NOTA[[#This Row],[DISC 1-]])*NOTA[[#This Row],[DISC 2]])</f>
        <v>0</v>
      </c>
      <c r="AA821" s="66">
        <f>IF(NOTA[[#This Row],[JUMLAH]]="","",(NOTA[[#This Row],[JUMLAH]]-NOTA[[#This Row],[DISC 1-]]-NOTA[[#This Row],[DISC 2-]])*NOTA[[#This Row],[DISC 3]])</f>
        <v>0</v>
      </c>
      <c r="AB821" s="66">
        <f>IF(NOTA[[#This Row],[JUMLAH]]="","",NOTA[[#This Row],[DISC 1-]]+NOTA[[#This Row],[DISC 2-]]+NOTA[[#This Row],[DISC 3-]])</f>
        <v>0</v>
      </c>
      <c r="AC821" s="66">
        <f>IF(NOTA[[#This Row],[JUMLAH]]="","",NOTA[[#This Row],[JUMLAH]]-NOTA[[#This Row],[DISC]])</f>
        <v>1680000</v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1" s="66">
        <f>IF(OR(NOTA[[#This Row],[QTY]]="",NOTA[[#This Row],[HARGA SATUAN]]="",),"",NOTA[[#This Row],[QTY]]*NOTA[[#This Row],[HARGA SATUAN]])</f>
        <v>1680000</v>
      </c>
      <c r="AI821" s="60">
        <f ca="1">IF(NOTA[ID_H]="","",INDEX(NOTA[TANGGAL],MATCH(,INDIRECT(ADDRESS(ROW(NOTA[TANGGAL]),COLUMN(NOTA[TANGGAL]))&amp;":"&amp;ADDRESS(ROW(),COLUMN(NOTA[TANGGAL]))),-1)))</f>
        <v>45322</v>
      </c>
      <c r="AJ821" s="55" t="str">
        <f ca="1">IF(NOTA[[#This Row],[NAMA BARANG]]="","",INDEX(NOTA[SUPPLIER],MATCH(,INDIRECT(ADDRESS(ROW(NOTA[ID]),COLUMN(NOTA[ID]))&amp;":"&amp;ADDRESS(ROW(),COLUMN(NOTA[ID]))),-1)))</f>
        <v>ETJ</v>
      </c>
      <c r="AK821" s="55" t="str">
        <f ca="1">IF(NOTA[[#This Row],[ID_H]]="","",IF(NOTA[[#This Row],[FAKTUR]]="",INDIRECT(ADDRESS(ROW()-1,COLUMN())),NOTA[[#This Row],[FAKTUR]]))</f>
        <v>UNTANA</v>
      </c>
      <c r="AL821" s="56" t="str">
        <f ca="1">IF(NOTA[[#This Row],[ID]]="","",COUNTIF(NOTA[ID_H],NOTA[[#This Row],[ID_H]]))</f>
        <v/>
      </c>
      <c r="AM821" s="56">
        <f ca="1">IF(NOTA[[#This Row],[TGL.NOTA]]="",IF(NOTA[[#This Row],[SUPPLIER_H]]="","",AM820),MONTH(NOTA[[#This Row],[TGL.NOTA]]))</f>
        <v>1</v>
      </c>
      <c r="AN821" s="56" t="str">
        <f>LOWER(SUBSTITUTE(SUBSTITUTE(SUBSTITUTE(SUBSTITUTE(SUBSTITUTE(SUBSTITUTE(SUBSTITUTE(SUBSTITUTE(SUBSTITUTE(NOTA[NAMA BARANG]," ",),".",""),"-",""),"(",""),")",""),",",""),"/",""),"""",""),"+",""))</f>
        <v>kojikolabel111</v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kojikolabel1111680000</v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kojikolabel1111680000</v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e">
        <f>IF(NOTA[[#This Row],[CONCAT1]]="","",MATCH(NOTA[[#This Row],[CONCAT1]],[3]!db[NB NOTA_C],0))</f>
        <v>#N/A</v>
      </c>
      <c r="AT821" s="56" t="str">
        <f>IF(NOTA[[#This Row],[QTY/ CTN]]="","",TRUE)</f>
        <v/>
      </c>
      <c r="AU821" s="56" t="e">
        <f ca="1">IF(NOTA[[#This Row],[ID_H]]="","",IF(NOTA[[#This Row],[Column3]]=TRUE,NOTA[[#This Row],[QTY/ CTN]],INDEX([3]!db[QTY/ CTN],NOTA[[#This Row],[//DB]])))</f>
        <v>#N/A</v>
      </c>
      <c r="AV82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1" s="56" t="e">
        <f ca="1">IF(NOTA[[#This Row],[ID_H]]="","",MATCH(NOTA[[#This Row],[NB NOTA_C_QTY]],[4]!db[NB NOTA_C_QTY+F],0))</f>
        <v>#N/A</v>
      </c>
      <c r="AX821" s="68" t="e">
        <f ca="1">IF(NOTA[[#This Row],[NB NOTA_C_QTY]]="","",ROW()-2)</f>
        <v>#N/A</v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>
        <f ca="1">IF(NOTA[[#This Row],[NAMA BARANG]]="","",INDEX(NOTA[ID],MATCH(,INDIRECT(ADDRESS(ROW(NOTA[ID]),COLUMN(NOTA[ID]))&amp;":"&amp;ADDRESS(ROW(),COLUMN(NOTA[ID]))),-1)))</f>
        <v>145</v>
      </c>
      <c r="E822" s="57"/>
      <c r="F822" s="58"/>
      <c r="G822" s="58"/>
      <c r="H822" s="59"/>
      <c r="I822" s="58"/>
      <c r="J822" s="60"/>
      <c r="K822" s="58"/>
      <c r="L822" s="37" t="s">
        <v>901</v>
      </c>
      <c r="M822" s="61">
        <v>2</v>
      </c>
      <c r="N822" s="56">
        <v>1600</v>
      </c>
      <c r="O822" s="37" t="s">
        <v>135</v>
      </c>
      <c r="P822" s="55">
        <v>2100</v>
      </c>
      <c r="Q822" s="62"/>
      <c r="R822" s="63"/>
      <c r="S822" s="64"/>
      <c r="T822" s="65"/>
      <c r="U822" s="65"/>
      <c r="V822" s="66"/>
      <c r="W822" s="67"/>
      <c r="X822" s="66">
        <f>IF(NOTA[[#This Row],[HARGA/ CTN]]="",NOTA[[#This Row],[JUMLAH_H]],NOTA[[#This Row],[HARGA/ CTN]]*IF(NOTA[[#This Row],[C]]="",0,NOTA[[#This Row],[C]]))</f>
        <v>3360000</v>
      </c>
      <c r="Y822" s="66">
        <f>IF(NOTA[[#This Row],[JUMLAH]]="","",NOTA[[#This Row],[JUMLAH]]*NOTA[[#This Row],[DISC 1]])</f>
        <v>0</v>
      </c>
      <c r="Z822" s="66">
        <f>IF(NOTA[[#This Row],[JUMLAH]]="","",(NOTA[[#This Row],[JUMLAH]]-NOTA[[#This Row],[DISC 1-]])*NOTA[[#This Row],[DISC 2]])</f>
        <v>0</v>
      </c>
      <c r="AA822" s="66">
        <f>IF(NOTA[[#This Row],[JUMLAH]]="","",(NOTA[[#This Row],[JUMLAH]]-NOTA[[#This Row],[DISC 1-]]-NOTA[[#This Row],[DISC 2-]])*NOTA[[#This Row],[DISC 3]])</f>
        <v>0</v>
      </c>
      <c r="AB822" s="66">
        <f>IF(NOTA[[#This Row],[JUMLAH]]="","",NOTA[[#This Row],[DISC 1-]]+NOTA[[#This Row],[DISC 2-]]+NOTA[[#This Row],[DISC 3-]])</f>
        <v>0</v>
      </c>
      <c r="AC822" s="66">
        <f>IF(NOTA[[#This Row],[JUMLAH]]="","",NOTA[[#This Row],[JUMLAH]]-NOTA[[#This Row],[DISC]])</f>
        <v>3360000</v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2" s="66">
        <f>IF(OR(NOTA[[#This Row],[QTY]]="",NOTA[[#This Row],[HARGA SATUAN]]="",),"",NOTA[[#This Row],[QTY]]*NOTA[[#This Row],[HARGA SATUAN]])</f>
        <v>3360000</v>
      </c>
      <c r="AI822" s="60">
        <f ca="1">IF(NOTA[ID_H]="","",INDEX(NOTA[TANGGAL],MATCH(,INDIRECT(ADDRESS(ROW(NOTA[TANGGAL]),COLUMN(NOTA[TANGGAL]))&amp;":"&amp;ADDRESS(ROW(),COLUMN(NOTA[TANGGAL]))),-1)))</f>
        <v>45322</v>
      </c>
      <c r="AJ822" s="55" t="str">
        <f ca="1">IF(NOTA[[#This Row],[NAMA BARANG]]="","",INDEX(NOTA[SUPPLIER],MATCH(,INDIRECT(ADDRESS(ROW(NOTA[ID]),COLUMN(NOTA[ID]))&amp;":"&amp;ADDRESS(ROW(),COLUMN(NOTA[ID]))),-1)))</f>
        <v>ETJ</v>
      </c>
      <c r="AK822" s="55" t="str">
        <f ca="1">IF(NOTA[[#This Row],[ID_H]]="","",IF(NOTA[[#This Row],[FAKTUR]]="",INDIRECT(ADDRESS(ROW()-1,COLUMN())),NOTA[[#This Row],[FAKTUR]]))</f>
        <v>UNTANA</v>
      </c>
      <c r="AL822" s="56" t="str">
        <f ca="1">IF(NOTA[[#This Row],[ID]]="","",COUNTIF(NOTA[ID_H],NOTA[[#This Row],[ID_H]]))</f>
        <v/>
      </c>
      <c r="AM822" s="56">
        <f ca="1">IF(NOTA[[#This Row],[TGL.NOTA]]="",IF(NOTA[[#This Row],[SUPPLIER_H]]="","",AM821),MONTH(NOTA[[#This Row],[TGL.NOTA]]))</f>
        <v>1</v>
      </c>
      <c r="AN822" s="56" t="str">
        <f>LOWER(SUBSTITUTE(SUBSTITUTE(SUBSTITUTE(SUBSTITUTE(SUBSTITUTE(SUBSTITUTE(SUBSTITUTE(SUBSTITUTE(SUBSTITUTE(NOTA[NAMA BARANG]," ",),".",""),"-",""),"(",""),")",""),",",""),"/",""),"""",""),"+",""))</f>
        <v>kojikolabel99</v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kojikolabel991680000</v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kojikolabel991680000</v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>
        <f>IF(NOTA[[#This Row],[CONCAT1]]="","",MATCH(NOTA[[#This Row],[CONCAT1]],[3]!db[NB NOTA_C],0))</f>
        <v>1830</v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>800 PAK</v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kojikolabel99800pakuntana</v>
      </c>
      <c r="AW822" s="56" t="e">
        <f ca="1">IF(NOTA[[#This Row],[ID_H]]="","",MATCH(NOTA[[#This Row],[NB NOTA_C_QTY]],[4]!db[NB NOTA_C_QTY+F],0))</f>
        <v>#REF!</v>
      </c>
      <c r="AX822" s="68">
        <f ca="1">IF(NOTA[[#This Row],[NB NOTA_C_QTY]]="","",ROW()-2)</f>
        <v>820</v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>
        <f ca="1">IF(NOTA[[#This Row],[NAMA BARANG]]="","",INDEX(NOTA[ID],MATCH(,INDIRECT(ADDRESS(ROW(NOTA[ID]),COLUMN(NOTA[ID]))&amp;":"&amp;ADDRESS(ROW(),COLUMN(NOTA[ID]))),-1)))</f>
        <v>145</v>
      </c>
      <c r="E823" s="57"/>
      <c r="F823" s="58"/>
      <c r="G823" s="58"/>
      <c r="H823" s="59"/>
      <c r="I823" s="58"/>
      <c r="J823" s="60"/>
      <c r="K823" s="58"/>
      <c r="L823" s="37" t="s">
        <v>902</v>
      </c>
      <c r="M823" s="61">
        <v>2</v>
      </c>
      <c r="N823" s="56">
        <v>1600</v>
      </c>
      <c r="O823" s="37" t="s">
        <v>135</v>
      </c>
      <c r="P823" s="55">
        <v>2100</v>
      </c>
      <c r="Q823" s="62"/>
      <c r="R823" s="63"/>
      <c r="S823" s="64"/>
      <c r="T823" s="65"/>
      <c r="U823" s="65"/>
      <c r="V823" s="66"/>
      <c r="W823" s="67"/>
      <c r="X823" s="66">
        <f>IF(NOTA[[#This Row],[HARGA/ CTN]]="",NOTA[[#This Row],[JUMLAH_H]],NOTA[[#This Row],[HARGA/ CTN]]*IF(NOTA[[#This Row],[C]]="",0,NOTA[[#This Row],[C]]))</f>
        <v>3360000</v>
      </c>
      <c r="Y823" s="66">
        <f>IF(NOTA[[#This Row],[JUMLAH]]="","",NOTA[[#This Row],[JUMLAH]]*NOTA[[#This Row],[DISC 1]])</f>
        <v>0</v>
      </c>
      <c r="Z823" s="66">
        <f>IF(NOTA[[#This Row],[JUMLAH]]="","",(NOTA[[#This Row],[JUMLAH]]-NOTA[[#This Row],[DISC 1-]])*NOTA[[#This Row],[DISC 2]])</f>
        <v>0</v>
      </c>
      <c r="AA823" s="66">
        <f>IF(NOTA[[#This Row],[JUMLAH]]="","",(NOTA[[#This Row],[JUMLAH]]-NOTA[[#This Row],[DISC 1-]]-NOTA[[#This Row],[DISC 2-]])*NOTA[[#This Row],[DISC 3]])</f>
        <v>0</v>
      </c>
      <c r="AB823" s="66">
        <f>IF(NOTA[[#This Row],[JUMLAH]]="","",NOTA[[#This Row],[DISC 1-]]+NOTA[[#This Row],[DISC 2-]]+NOTA[[#This Row],[DISC 3-]])</f>
        <v>0</v>
      </c>
      <c r="AC823" s="66">
        <f>IF(NOTA[[#This Row],[JUMLAH]]="","",NOTA[[#This Row],[JUMLAH]]-NOTA[[#This Row],[DISC]])</f>
        <v>3360000</v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3" s="66">
        <f>IF(OR(NOTA[[#This Row],[QTY]]="",NOTA[[#This Row],[HARGA SATUAN]]="",),"",NOTA[[#This Row],[QTY]]*NOTA[[#This Row],[HARGA SATUAN]])</f>
        <v>3360000</v>
      </c>
      <c r="AI823" s="60">
        <f ca="1">IF(NOTA[ID_H]="","",INDEX(NOTA[TANGGAL],MATCH(,INDIRECT(ADDRESS(ROW(NOTA[TANGGAL]),COLUMN(NOTA[TANGGAL]))&amp;":"&amp;ADDRESS(ROW(),COLUMN(NOTA[TANGGAL]))),-1)))</f>
        <v>45322</v>
      </c>
      <c r="AJ823" s="55" t="str">
        <f ca="1">IF(NOTA[[#This Row],[NAMA BARANG]]="","",INDEX(NOTA[SUPPLIER],MATCH(,INDIRECT(ADDRESS(ROW(NOTA[ID]),COLUMN(NOTA[ID]))&amp;":"&amp;ADDRESS(ROW(),COLUMN(NOTA[ID]))),-1)))</f>
        <v>ETJ</v>
      </c>
      <c r="AK823" s="55" t="str">
        <f ca="1">IF(NOTA[[#This Row],[ID_H]]="","",IF(NOTA[[#This Row],[FAKTUR]]="",INDIRECT(ADDRESS(ROW()-1,COLUMN())),NOTA[[#This Row],[FAKTUR]]))</f>
        <v>UNTANA</v>
      </c>
      <c r="AL823" s="56" t="str">
        <f ca="1">IF(NOTA[[#This Row],[ID]]="","",COUNTIF(NOTA[ID_H],NOTA[[#This Row],[ID_H]]))</f>
        <v/>
      </c>
      <c r="AM823" s="56">
        <f ca="1">IF(NOTA[[#This Row],[TGL.NOTA]]="",IF(NOTA[[#This Row],[SUPPLIER_H]]="","",AM822),MONTH(NOTA[[#This Row],[TGL.NOTA]]))</f>
        <v>1</v>
      </c>
      <c r="AN823" s="56" t="str">
        <f>LOWER(SUBSTITUTE(SUBSTITUTE(SUBSTITUTE(SUBSTITUTE(SUBSTITUTE(SUBSTITUTE(SUBSTITUTE(SUBSTITUTE(SUBSTITUTE(NOTA[NAMA BARANG]," ",),".",""),"-",""),"(",""),")",""),",",""),"/",""),"""",""),"+",""))</f>
        <v>kojikolabel103p</v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kojikolabel103p1680000</v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kojikolabel103p1680000</v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e">
        <f>IF(NOTA[[#This Row],[CONCAT1]]="","",MATCH(NOTA[[#This Row],[CONCAT1]],[3]!db[NB NOTA_C],0))</f>
        <v>#N/A</v>
      </c>
      <c r="AT823" s="56" t="str">
        <f>IF(NOTA[[#This Row],[QTY/ CTN]]="","",TRUE)</f>
        <v/>
      </c>
      <c r="AU823" s="56" t="e">
        <f ca="1">IF(NOTA[[#This Row],[ID_H]]="","",IF(NOTA[[#This Row],[Column3]]=TRUE,NOTA[[#This Row],[QTY/ CTN]],INDEX([3]!db[QTY/ CTN],NOTA[[#This Row],[//DB]])))</f>
        <v>#N/A</v>
      </c>
      <c r="AV823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3" s="56" t="e">
        <f ca="1">IF(NOTA[[#This Row],[ID_H]]="","",MATCH(NOTA[[#This Row],[NB NOTA_C_QTY]],[4]!db[NB NOTA_C_QTY+F],0))</f>
        <v>#N/A</v>
      </c>
      <c r="AX823" s="68" t="e">
        <f ca="1">IF(NOTA[[#This Row],[NB NOTA_C_QTY]]="","",ROW()-2)</f>
        <v>#N/A</v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>
        <f ca="1">IF(NOTA[[#This Row],[NAMA BARANG]]="","",INDEX(NOTA[ID],MATCH(,INDIRECT(ADDRESS(ROW(NOTA[ID]),COLUMN(NOTA[ID]))&amp;":"&amp;ADDRESS(ROW(),COLUMN(NOTA[ID]))),-1)))</f>
        <v>145</v>
      </c>
      <c r="E824" s="57"/>
      <c r="F824" s="58"/>
      <c r="G824" s="58"/>
      <c r="H824" s="59"/>
      <c r="I824" s="58"/>
      <c r="J824" s="60"/>
      <c r="K824" s="58"/>
      <c r="L824" s="37" t="s">
        <v>903</v>
      </c>
      <c r="M824" s="61">
        <v>5</v>
      </c>
      <c r="N824" s="56">
        <v>500</v>
      </c>
      <c r="O824" s="37" t="s">
        <v>115</v>
      </c>
      <c r="P824" s="55">
        <v>7000</v>
      </c>
      <c r="Q824" s="62"/>
      <c r="R824" s="63"/>
      <c r="S824" s="64"/>
      <c r="T824" s="65"/>
      <c r="U824" s="65"/>
      <c r="V824" s="66"/>
      <c r="W824" s="67"/>
      <c r="X824" s="66">
        <f>IF(NOTA[[#This Row],[HARGA/ CTN]]="",NOTA[[#This Row],[JUMLAH_H]],NOTA[[#This Row],[HARGA/ CTN]]*IF(NOTA[[#This Row],[C]]="",0,NOTA[[#This Row],[C]]))</f>
        <v>3500000</v>
      </c>
      <c r="Y824" s="66">
        <f>IF(NOTA[[#This Row],[JUMLAH]]="","",NOTA[[#This Row],[JUMLAH]]*NOTA[[#This Row],[DISC 1]])</f>
        <v>0</v>
      </c>
      <c r="Z824" s="66">
        <f>IF(NOTA[[#This Row],[JUMLAH]]="","",(NOTA[[#This Row],[JUMLAH]]-NOTA[[#This Row],[DISC 1-]])*NOTA[[#This Row],[DISC 2]])</f>
        <v>0</v>
      </c>
      <c r="AA824" s="66">
        <f>IF(NOTA[[#This Row],[JUMLAH]]="","",(NOTA[[#This Row],[JUMLAH]]-NOTA[[#This Row],[DISC 1-]]-NOTA[[#This Row],[DISC 2-]])*NOTA[[#This Row],[DISC 3]])</f>
        <v>0</v>
      </c>
      <c r="AB824" s="66">
        <f>IF(NOTA[[#This Row],[JUMLAH]]="","",NOTA[[#This Row],[DISC 1-]]+NOTA[[#This Row],[DISC 2-]]+NOTA[[#This Row],[DISC 3-]])</f>
        <v>0</v>
      </c>
      <c r="AC824" s="66">
        <f>IF(NOTA[[#This Row],[JUMLAH]]="","",NOTA[[#This Row],[JUMLAH]]-NOTA[[#This Row],[DISC]])</f>
        <v>3500000</v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824" s="66">
        <f>IF(OR(NOTA[[#This Row],[QTY]]="",NOTA[[#This Row],[HARGA SATUAN]]="",),"",NOTA[[#This Row],[QTY]]*NOTA[[#This Row],[HARGA SATUAN]])</f>
        <v>3500000</v>
      </c>
      <c r="AI824" s="60">
        <f ca="1">IF(NOTA[ID_H]="","",INDEX(NOTA[TANGGAL],MATCH(,INDIRECT(ADDRESS(ROW(NOTA[TANGGAL]),COLUMN(NOTA[TANGGAL]))&amp;":"&amp;ADDRESS(ROW(),COLUMN(NOTA[TANGGAL]))),-1)))</f>
        <v>45322</v>
      </c>
      <c r="AJ824" s="55" t="str">
        <f ca="1">IF(NOTA[[#This Row],[NAMA BARANG]]="","",INDEX(NOTA[SUPPLIER],MATCH(,INDIRECT(ADDRESS(ROW(NOTA[ID]),COLUMN(NOTA[ID]))&amp;":"&amp;ADDRESS(ROW(),COLUMN(NOTA[ID]))),-1)))</f>
        <v>ETJ</v>
      </c>
      <c r="AK824" s="55" t="str">
        <f ca="1">IF(NOTA[[#This Row],[ID_H]]="","",IF(NOTA[[#This Row],[FAKTUR]]="",INDIRECT(ADDRESS(ROW()-1,COLUMN())),NOTA[[#This Row],[FAKTUR]]))</f>
        <v>UNTANA</v>
      </c>
      <c r="AL824" s="56" t="str">
        <f ca="1">IF(NOTA[[#This Row],[ID]]="","",COUNTIF(NOTA[ID_H],NOTA[[#This Row],[ID_H]]))</f>
        <v/>
      </c>
      <c r="AM824" s="56">
        <f ca="1">IF(NOTA[[#This Row],[TGL.NOTA]]="",IF(NOTA[[#This Row],[SUPPLIER_H]]="","",AM823),MONTH(NOTA[[#This Row],[TGL.NOTA]]))</f>
        <v>1</v>
      </c>
      <c r="AN824" s="56" t="str">
        <f>LOWER(SUBSTITUTE(SUBSTITUTE(SUBSTITUTE(SUBSTITUTE(SUBSTITUTE(SUBSTITUTE(SUBSTITUTE(SUBSTITUTE(SUBSTITUTE(NOTA[NAMA BARANG]," ",),".",""),"-",""),"(",""),")",""),",",""),"/",""),"""",""),"+",""))</f>
        <v>entergrs1mkayu</v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entergrs1mkayu700000</v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entergrs1mkayu700000</v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>
        <f>IF(NOTA[[#This Row],[CONCAT1]]="","",MATCH(NOTA[[#This Row],[CONCAT1]],[3]!db[NB NOTA_C],0))</f>
        <v>937</v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>100 PCS</v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entergrs1mkayu100pcsuntana</v>
      </c>
      <c r="AW824" s="56" t="e">
        <f ca="1">IF(NOTA[[#This Row],[ID_H]]="","",MATCH(NOTA[[#This Row],[NB NOTA_C_QTY]],[4]!db[NB NOTA_C_QTY+F],0))</f>
        <v>#REF!</v>
      </c>
      <c r="AX824" s="68">
        <f ca="1">IF(NOTA[[#This Row],[NB NOTA_C_QTY]]="","",ROW()-2)</f>
        <v>822</v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>
        <f ca="1">IF(NOTA[[#This Row],[NAMA BARANG]]="","",INDEX(NOTA[ID],MATCH(,INDIRECT(ADDRESS(ROW(NOTA[ID]),COLUMN(NOTA[ID]))&amp;":"&amp;ADDRESS(ROW(),COLUMN(NOTA[ID]))),-1)))</f>
        <v>145</v>
      </c>
      <c r="E825" s="57"/>
      <c r="F825" s="58"/>
      <c r="G825" s="58"/>
      <c r="H825" s="59"/>
      <c r="I825" s="58"/>
      <c r="J825" s="60"/>
      <c r="K825" s="58">
        <v>0</v>
      </c>
      <c r="L825" s="37" t="s">
        <v>904</v>
      </c>
      <c r="M825" s="61">
        <v>1</v>
      </c>
      <c r="N825" s="56">
        <v>150</v>
      </c>
      <c r="O825" s="37" t="s">
        <v>117</v>
      </c>
      <c r="P825" s="55">
        <v>16500</v>
      </c>
      <c r="Q825" s="62"/>
      <c r="R825" s="63"/>
      <c r="S825" s="64"/>
      <c r="T825" s="65"/>
      <c r="U825" s="65"/>
      <c r="V825" s="66"/>
      <c r="W825" s="67"/>
      <c r="X825" s="66">
        <f>IF(NOTA[[#This Row],[HARGA/ CTN]]="",NOTA[[#This Row],[JUMLAH_H]],NOTA[[#This Row],[HARGA/ CTN]]*IF(NOTA[[#This Row],[C]]="",0,NOTA[[#This Row],[C]]))</f>
        <v>2475000</v>
      </c>
      <c r="Y825" s="66">
        <f>IF(NOTA[[#This Row],[JUMLAH]]="","",NOTA[[#This Row],[JUMLAH]]*NOTA[[#This Row],[DISC 1]])</f>
        <v>0</v>
      </c>
      <c r="Z825" s="66">
        <f>IF(NOTA[[#This Row],[JUMLAH]]="","",(NOTA[[#This Row],[JUMLAH]]-NOTA[[#This Row],[DISC 1-]])*NOTA[[#This Row],[DISC 2]])</f>
        <v>0</v>
      </c>
      <c r="AA825" s="66">
        <f>IF(NOTA[[#This Row],[JUMLAH]]="","",(NOTA[[#This Row],[JUMLAH]]-NOTA[[#This Row],[DISC 1-]]-NOTA[[#This Row],[DISC 2-]])*NOTA[[#This Row],[DISC 3]])</f>
        <v>0</v>
      </c>
      <c r="AB825" s="66">
        <f>IF(NOTA[[#This Row],[JUMLAH]]="","",NOTA[[#This Row],[DISC 1-]]+NOTA[[#This Row],[DISC 2-]]+NOTA[[#This Row],[DISC 3-]])</f>
        <v>0</v>
      </c>
      <c r="AC825" s="66">
        <f>IF(NOTA[[#This Row],[JUMLAH]]="","",NOTA[[#This Row],[JUMLAH]]-NOTA[[#This Row],[DISC]])</f>
        <v>2475000</v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>
        <f>IF(NOTA[[#This Row],[NAMA BARANG]]="","",IF(NOTA[[#This Row],[JUMLAH_H]]="",NOTA[[#This Row],[HARGA/ CTN]],NOTA[[#This Row],[QTY]]*NOTA[[#This Row],[HARGA SATUAN]]/IF(ISNUMBER(NOTA[[#This Row],[C]]),NOTA[[#This Row],[C]],1)))</f>
        <v>2475000</v>
      </c>
      <c r="AH825" s="66">
        <f>IF(OR(NOTA[[#This Row],[QTY]]="",NOTA[[#This Row],[HARGA SATUAN]]="",),"",NOTA[[#This Row],[QTY]]*NOTA[[#This Row],[HARGA SATUAN]])</f>
        <v>2475000</v>
      </c>
      <c r="AI825" s="60">
        <f ca="1">IF(NOTA[ID_H]="","",INDEX(NOTA[TANGGAL],MATCH(,INDIRECT(ADDRESS(ROW(NOTA[TANGGAL]),COLUMN(NOTA[TANGGAL]))&amp;":"&amp;ADDRESS(ROW(),COLUMN(NOTA[TANGGAL]))),-1)))</f>
        <v>45322</v>
      </c>
      <c r="AJ825" s="55" t="str">
        <f ca="1">IF(NOTA[[#This Row],[NAMA BARANG]]="","",INDEX(NOTA[SUPPLIER],MATCH(,INDIRECT(ADDRESS(ROW(NOTA[ID]),COLUMN(NOTA[ID]))&amp;":"&amp;ADDRESS(ROW(),COLUMN(NOTA[ID]))),-1)))</f>
        <v>ETJ</v>
      </c>
      <c r="AK825" s="55" t="str">
        <f ca="1">IF(NOTA[[#This Row],[ID_H]]="","",IF(NOTA[[#This Row],[FAKTUR]]="",INDIRECT(ADDRESS(ROW()-1,COLUMN())),NOTA[[#This Row],[FAKTUR]]))</f>
        <v>UNTANA</v>
      </c>
      <c r="AL825" s="56" t="str">
        <f ca="1">IF(NOTA[[#This Row],[ID]]="","",COUNTIF(NOTA[ID_H],NOTA[[#This Row],[ID_H]]))</f>
        <v/>
      </c>
      <c r="AM825" s="56">
        <f ca="1">IF(NOTA[[#This Row],[TGL.NOTA]]="",IF(NOTA[[#This Row],[SUPPLIER_H]]="","",AM824),MONTH(NOTA[[#This Row],[TGL.NOTA]]))</f>
        <v>1</v>
      </c>
      <c r="AN825" s="56" t="str">
        <f>LOWER(SUBSTITUTE(SUBSTITUTE(SUBSTITUTE(SUBSTITUTE(SUBSTITUTE(SUBSTITUTE(SUBSTITUTE(SUBSTITUTE(SUBSTITUTE(NOTA[NAMA BARANG]," ",),".",""),"-",""),"(",""),")",""),",",""),"/",""),"""",""),"+",""))</f>
        <v>kojikodfoam2</v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kojikodfoam22475000</v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kojikodfoam22475000</v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>
        <f>IF(NOTA[[#This Row],[CONCAT1]]="","",MATCH(NOTA[[#This Row],[CONCAT1]],[3]!db[NB NOTA_C],0))</f>
        <v>1828</v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>150 ROL</v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kojikodfoam2150roluntana</v>
      </c>
      <c r="AW825" s="56" t="e">
        <f ca="1">IF(NOTA[[#This Row],[ID_H]]="","",MATCH(NOTA[[#This Row],[NB NOTA_C_QTY]],[4]!db[NB NOTA_C_QTY+F],0))</f>
        <v>#REF!</v>
      </c>
      <c r="AX825" s="68">
        <f ca="1">IF(NOTA[[#This Row],[NB NOTA_C_QTY]]="","",ROW()-2)</f>
        <v>823</v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>
        <f ca="1">IF(NOTA[[#This Row],[NAMA BARANG]]="","",INDEX(NOTA[ID],MATCH(,INDIRECT(ADDRESS(ROW(NOTA[ID]),COLUMN(NOTA[ID]))&amp;":"&amp;ADDRESS(ROW(),COLUMN(NOTA[ID]))),-1)))</f>
        <v>145</v>
      </c>
      <c r="E826" s="57"/>
      <c r="F826" s="58"/>
      <c r="G826" s="58"/>
      <c r="H826" s="59"/>
      <c r="I826" s="58"/>
      <c r="J826" s="60"/>
      <c r="K826" s="58"/>
      <c r="L826" s="37" t="s">
        <v>905</v>
      </c>
      <c r="M826" s="61">
        <v>1</v>
      </c>
      <c r="N826" s="56">
        <v>1500</v>
      </c>
      <c r="O826" s="37" t="s">
        <v>111</v>
      </c>
      <c r="P826" s="55">
        <v>5000</v>
      </c>
      <c r="Q826" s="62"/>
      <c r="R826" s="63"/>
      <c r="S826" s="64"/>
      <c r="T826" s="65"/>
      <c r="U826" s="65"/>
      <c r="V826" s="66"/>
      <c r="W826" s="67"/>
      <c r="X826" s="66">
        <f>IF(NOTA[[#This Row],[HARGA/ CTN]]="",NOTA[[#This Row],[JUMLAH_H]],NOTA[[#This Row],[HARGA/ CTN]]*IF(NOTA[[#This Row],[C]]="",0,NOTA[[#This Row],[C]]))</f>
        <v>7500000</v>
      </c>
      <c r="Y826" s="66">
        <f>IF(NOTA[[#This Row],[JUMLAH]]="","",NOTA[[#This Row],[JUMLAH]]*NOTA[[#This Row],[DISC 1]])</f>
        <v>0</v>
      </c>
      <c r="Z826" s="66">
        <f>IF(NOTA[[#This Row],[JUMLAH]]="","",(NOTA[[#This Row],[JUMLAH]]-NOTA[[#This Row],[DISC 1-]])*NOTA[[#This Row],[DISC 2]])</f>
        <v>0</v>
      </c>
      <c r="AA826" s="66">
        <f>IF(NOTA[[#This Row],[JUMLAH]]="","",(NOTA[[#This Row],[JUMLAH]]-NOTA[[#This Row],[DISC 1-]]-NOTA[[#This Row],[DISC 2-]])*NOTA[[#This Row],[DISC 3]])</f>
        <v>0</v>
      </c>
      <c r="AB826" s="66">
        <f>IF(NOTA[[#This Row],[JUMLAH]]="","",NOTA[[#This Row],[DISC 1-]]+NOTA[[#This Row],[DISC 2-]]+NOTA[[#This Row],[DISC 3-]])</f>
        <v>0</v>
      </c>
      <c r="AC826" s="66">
        <f>IF(NOTA[[#This Row],[JUMLAH]]="","",NOTA[[#This Row],[JUMLAH]]-NOTA[[#This Row],[DISC]])</f>
        <v>7500000</v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H826" s="66">
        <f>IF(OR(NOTA[[#This Row],[QTY]]="",NOTA[[#This Row],[HARGA SATUAN]]="",),"",NOTA[[#This Row],[QTY]]*NOTA[[#This Row],[HARGA SATUAN]])</f>
        <v>7500000</v>
      </c>
      <c r="AI826" s="60">
        <f ca="1">IF(NOTA[ID_H]="","",INDEX(NOTA[TANGGAL],MATCH(,INDIRECT(ADDRESS(ROW(NOTA[TANGGAL]),COLUMN(NOTA[TANGGAL]))&amp;":"&amp;ADDRESS(ROW(),COLUMN(NOTA[TANGGAL]))),-1)))</f>
        <v>45322</v>
      </c>
      <c r="AJ826" s="55" t="str">
        <f ca="1">IF(NOTA[[#This Row],[NAMA BARANG]]="","",INDEX(NOTA[SUPPLIER],MATCH(,INDIRECT(ADDRESS(ROW(NOTA[ID]),COLUMN(NOTA[ID]))&amp;":"&amp;ADDRESS(ROW(),COLUMN(NOTA[ID]))),-1)))</f>
        <v>ETJ</v>
      </c>
      <c r="AK826" s="55" t="str">
        <f ca="1">IF(NOTA[[#This Row],[ID_H]]="","",IF(NOTA[[#This Row],[FAKTUR]]="",INDIRECT(ADDRESS(ROW()-1,COLUMN())),NOTA[[#This Row],[FAKTUR]]))</f>
        <v>UNTANA</v>
      </c>
      <c r="AL826" s="56" t="str">
        <f ca="1">IF(NOTA[[#This Row],[ID]]="","",COUNTIF(NOTA[ID_H],NOTA[[#This Row],[ID_H]]))</f>
        <v/>
      </c>
      <c r="AM826" s="56">
        <f ca="1">IF(NOTA[[#This Row],[TGL.NOTA]]="",IF(NOTA[[#This Row],[SUPPLIER_H]]="","",AM825),MONTH(NOTA[[#This Row],[TGL.NOTA]]))</f>
        <v>1</v>
      </c>
      <c r="AN826" s="56" t="str">
        <f>LOWER(SUBSTITUTE(SUBSTITUTE(SUBSTITUTE(SUBSTITUTE(SUBSTITUTE(SUBSTITUTE(SUBSTITUTE(SUBSTITUTE(SUBSTITUTE(NOTA[NAMA BARANG]," ",),".",""),"-",""),"(",""),")",""),",",""),"/",""),"""",""),"+",""))</f>
        <v>enterbusur312mika</v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enterbusur312mika7500000</v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enterbusur312mika7500000</v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e">
        <f>IF(NOTA[[#This Row],[CONCAT1]]="","",MATCH(NOTA[[#This Row],[CONCAT1]],[3]!db[NB NOTA_C],0))</f>
        <v>#N/A</v>
      </c>
      <c r="AT826" s="56" t="str">
        <f>IF(NOTA[[#This Row],[QTY/ CTN]]="","",TRUE)</f>
        <v/>
      </c>
      <c r="AU826" s="56" t="e">
        <f ca="1">IF(NOTA[[#This Row],[ID_H]]="","",IF(NOTA[[#This Row],[Column3]]=TRUE,NOTA[[#This Row],[QTY/ CTN]],INDEX([3]!db[QTY/ CTN],NOTA[[#This Row],[//DB]])))</f>
        <v>#N/A</v>
      </c>
      <c r="AV826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6" s="56" t="e">
        <f ca="1">IF(NOTA[[#This Row],[ID_H]]="","",MATCH(NOTA[[#This Row],[NB NOTA_C_QTY]],[4]!db[NB NOTA_C_QTY+F],0))</f>
        <v>#N/A</v>
      </c>
      <c r="AX826" s="68" t="e">
        <f ca="1">IF(NOTA[[#This Row],[NB NOTA_C_QTY]]="","",ROW()-2)</f>
        <v>#N/A</v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>
        <f ca="1">IF(NOTA[[#This Row],[NAMA BARANG]]="","",INDEX(NOTA[ID],MATCH(,INDIRECT(ADDRESS(ROW(NOTA[ID]),COLUMN(NOTA[ID]))&amp;":"&amp;ADDRESS(ROW(),COLUMN(NOTA[ID]))),-1)))</f>
        <v>145</v>
      </c>
      <c r="E827" s="57"/>
      <c r="F827" s="58"/>
      <c r="G827" s="58"/>
      <c r="H827" s="59"/>
      <c r="I827" s="58"/>
      <c r="J827" s="60"/>
      <c r="K827" s="58"/>
      <c r="L827" s="37" t="s">
        <v>906</v>
      </c>
      <c r="M827" s="61">
        <v>2</v>
      </c>
      <c r="N827" s="56">
        <v>600</v>
      </c>
      <c r="O827" s="37" t="s">
        <v>117</v>
      </c>
      <c r="P827" s="55">
        <v>7750</v>
      </c>
      <c r="Q827" s="62"/>
      <c r="R827" s="63"/>
      <c r="S827" s="64"/>
      <c r="T827" s="65"/>
      <c r="U827" s="65"/>
      <c r="V827" s="66"/>
      <c r="W827" s="67"/>
      <c r="X827" s="66">
        <f>IF(NOTA[[#This Row],[HARGA/ CTN]]="",NOTA[[#This Row],[JUMLAH_H]],NOTA[[#This Row],[HARGA/ CTN]]*IF(NOTA[[#This Row],[C]]="",0,NOTA[[#This Row],[C]]))</f>
        <v>4650000</v>
      </c>
      <c r="Y827" s="66">
        <f>IF(NOTA[[#This Row],[JUMLAH]]="","",NOTA[[#This Row],[JUMLAH]]*NOTA[[#This Row],[DISC 1]])</f>
        <v>0</v>
      </c>
      <c r="Z827" s="66">
        <f>IF(NOTA[[#This Row],[JUMLAH]]="","",(NOTA[[#This Row],[JUMLAH]]-NOTA[[#This Row],[DISC 1-]])*NOTA[[#This Row],[DISC 2]])</f>
        <v>0</v>
      </c>
      <c r="AA827" s="66">
        <f>IF(NOTA[[#This Row],[JUMLAH]]="","",(NOTA[[#This Row],[JUMLAH]]-NOTA[[#This Row],[DISC 1-]]-NOTA[[#This Row],[DISC 2-]])*NOTA[[#This Row],[DISC 3]])</f>
        <v>0</v>
      </c>
      <c r="AB827" s="66">
        <f>IF(NOTA[[#This Row],[JUMLAH]]="","",NOTA[[#This Row],[DISC 1-]]+NOTA[[#This Row],[DISC 2-]]+NOTA[[#This Row],[DISC 3-]])</f>
        <v>0</v>
      </c>
      <c r="AC827" s="66">
        <f>IF(NOTA[[#This Row],[JUMLAH]]="","",NOTA[[#This Row],[JUMLAH]]-NOTA[[#This Row],[DISC]])</f>
        <v>4650000</v>
      </c>
      <c r="AD827" s="66"/>
      <c r="AE8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35535000</v>
      </c>
      <c r="AG827" s="55">
        <f>IF(NOTA[[#This Row],[NAMA BARANG]]="","",IF(NOTA[[#This Row],[JUMLAH_H]]="",NOTA[[#This Row],[HARGA/ CTN]],NOTA[[#This Row],[QTY]]*NOTA[[#This Row],[HARGA SATUAN]]/IF(ISNUMBER(NOTA[[#This Row],[C]]),NOTA[[#This Row],[C]],1)))</f>
        <v>2325000</v>
      </c>
      <c r="AH827" s="66">
        <f>IF(OR(NOTA[[#This Row],[QTY]]="",NOTA[[#This Row],[HARGA SATUAN]]="",),"",NOTA[[#This Row],[QTY]]*NOTA[[#This Row],[HARGA SATUAN]])</f>
        <v>4650000</v>
      </c>
      <c r="AI827" s="60">
        <f ca="1">IF(NOTA[ID_H]="","",INDEX(NOTA[TANGGAL],MATCH(,INDIRECT(ADDRESS(ROW(NOTA[TANGGAL]),COLUMN(NOTA[TANGGAL]))&amp;":"&amp;ADDRESS(ROW(),COLUMN(NOTA[TANGGAL]))),-1)))</f>
        <v>45322</v>
      </c>
      <c r="AJ827" s="55" t="str">
        <f ca="1">IF(NOTA[[#This Row],[NAMA BARANG]]="","",INDEX(NOTA[SUPPLIER],MATCH(,INDIRECT(ADDRESS(ROW(NOTA[ID]),COLUMN(NOTA[ID]))&amp;":"&amp;ADDRESS(ROW(),COLUMN(NOTA[ID]))),-1)))</f>
        <v>ETJ</v>
      </c>
      <c r="AK827" s="55" t="str">
        <f ca="1">IF(NOTA[[#This Row],[ID_H]]="","",IF(NOTA[[#This Row],[FAKTUR]]="",INDIRECT(ADDRESS(ROW()-1,COLUMN())),NOTA[[#This Row],[FAKTUR]]))</f>
        <v>UNTANA</v>
      </c>
      <c r="AL827" s="56" t="str">
        <f ca="1">IF(NOTA[[#This Row],[ID]]="","",COUNTIF(NOTA[ID_H],NOTA[[#This Row],[ID_H]]))</f>
        <v/>
      </c>
      <c r="AM827" s="56">
        <f ca="1">IF(NOTA[[#This Row],[TGL.NOTA]]="",IF(NOTA[[#This Row],[SUPPLIER_H]]="","",AM826),MONTH(NOTA[[#This Row],[TGL.NOTA]]))</f>
        <v>1</v>
      </c>
      <c r="AN827" s="56" t="str">
        <f>LOWER(SUBSTITUTE(SUBSTITUTE(SUBSTITUTE(SUBSTITUTE(SUBSTITUTE(SUBSTITUTE(SUBSTITUTE(SUBSTITUTE(SUBSTITUTE(NOTA[NAMA BARANG]," ",),".",""),"-",""),"(",""),")",""),",",""),"/",""),"""",""),"+",""))</f>
        <v>dust454</v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dust4542325000</v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dust4542325000</v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>
        <f>IF(NOTA[[#This Row],[CONCAT1]]="","",MATCH(NOTA[[#This Row],[CONCAT1]],[3]!db[NB NOTA_C],0))</f>
        <v>905</v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>300 ROL</v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dust454300roluntana</v>
      </c>
      <c r="AW827" s="56" t="e">
        <f ca="1">IF(NOTA[[#This Row],[ID_H]]="","",MATCH(NOTA[[#This Row],[NB NOTA_C_QTY]],[4]!db[NB NOTA_C_QTY+F],0))</f>
        <v>#REF!</v>
      </c>
      <c r="AX827" s="68">
        <f ca="1">IF(NOTA[[#This Row],[NB NOTA_C_QTY]]="","",ROW()-2)</f>
        <v>825</v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>
        <f ca="1">IF(INDIRECT(ADDRESS(ROW()-1,COLUMN(NOTA[[#Headers],[ID]])))="ID",1,IF(NOTA[[#This Row],[FAKTUR]]="","",COUNT(INDIRECT(ADDRESS(ROW(NOTA[ID]),COLUMN(NOTA[ID]))&amp;":"&amp;ADDRESS(ROW()-1,COLUMN(NOTA[ID]))))+1))</f>
        <v>146</v>
      </c>
      <c r="B82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GUN_3101_222-2</v>
      </c>
      <c r="C829" s="56" t="e">
        <f ca="1">IF(NOTA[[#This Row],[ID_P]]="","",MATCH(NOTA[[#This Row],[ID_P]],[1]!B_MSK[N_ID],0))</f>
        <v>#REF!</v>
      </c>
      <c r="D829" s="56">
        <f ca="1">IF(NOTA[[#This Row],[NAMA BARANG]]="","",INDEX(NOTA[ID],MATCH(,INDIRECT(ADDRESS(ROW(NOTA[ID]),COLUMN(NOTA[ID]))&amp;":"&amp;ADDRESS(ROW(),COLUMN(NOTA[ID]))),-1)))</f>
        <v>146</v>
      </c>
      <c r="E829" s="57">
        <v>45322</v>
      </c>
      <c r="F829" s="37" t="s">
        <v>693</v>
      </c>
      <c r="G829" s="37" t="s">
        <v>110</v>
      </c>
      <c r="H829" s="47" t="s">
        <v>907</v>
      </c>
      <c r="I829" s="58"/>
      <c r="J829" s="60">
        <v>45317</v>
      </c>
      <c r="K829" s="58"/>
      <c r="L829" s="37" t="s">
        <v>908</v>
      </c>
      <c r="M829" s="61">
        <v>1</v>
      </c>
      <c r="N829" s="56">
        <v>60</v>
      </c>
      <c r="O829" s="37" t="s">
        <v>111</v>
      </c>
      <c r="P829" s="55">
        <v>46000</v>
      </c>
      <c r="Q829" s="62"/>
      <c r="R829" s="48" t="s">
        <v>153</v>
      </c>
      <c r="S829" s="64">
        <v>0.05</v>
      </c>
      <c r="T829" s="65">
        <v>0.1</v>
      </c>
      <c r="U829" s="65"/>
      <c r="V829" s="66"/>
      <c r="W829" s="67"/>
      <c r="X829" s="66">
        <f>IF(NOTA[[#This Row],[HARGA/ CTN]]="",NOTA[[#This Row],[JUMLAH_H]],NOTA[[#This Row],[HARGA/ CTN]]*IF(NOTA[[#This Row],[C]]="",0,NOTA[[#This Row],[C]]))</f>
        <v>2760000</v>
      </c>
      <c r="Y829" s="66">
        <f>IF(NOTA[[#This Row],[JUMLAH]]="","",NOTA[[#This Row],[JUMLAH]]*NOTA[[#This Row],[DISC 1]])</f>
        <v>138000</v>
      </c>
      <c r="Z829" s="66">
        <f>IF(NOTA[[#This Row],[JUMLAH]]="","",(NOTA[[#This Row],[JUMLAH]]-NOTA[[#This Row],[DISC 1-]])*NOTA[[#This Row],[DISC 2]])</f>
        <v>262200</v>
      </c>
      <c r="AA829" s="66">
        <f>IF(NOTA[[#This Row],[JUMLAH]]="","",(NOTA[[#This Row],[JUMLAH]]-NOTA[[#This Row],[DISC 1-]]-NOTA[[#This Row],[DISC 2-]])*NOTA[[#This Row],[DISC 3]])</f>
        <v>0</v>
      </c>
      <c r="AB829" s="66">
        <f>IF(NOTA[[#This Row],[JUMLAH]]="","",NOTA[[#This Row],[DISC 1-]]+NOTA[[#This Row],[DISC 2-]]+NOTA[[#This Row],[DISC 3-]])</f>
        <v>400200</v>
      </c>
      <c r="AC829" s="66">
        <f>IF(NOTA[[#This Row],[JUMLAH]]="","",NOTA[[#This Row],[JUMLAH]]-NOTA[[#This Row],[DISC]])</f>
        <v>2359800</v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>
        <f>IF(NOTA[[#This Row],[NAMA BARANG]]="","",IF(NOTA[[#This Row],[JUMLAH_H]]="",NOTA[[#This Row],[HARGA/ CTN]],NOTA[[#This Row],[QTY]]*NOTA[[#This Row],[HARGA SATUAN]]/IF(ISNUMBER(NOTA[[#This Row],[C]]),NOTA[[#This Row],[C]],1)))</f>
        <v>2760000</v>
      </c>
      <c r="AH829" s="66">
        <f>IF(OR(NOTA[[#This Row],[QTY]]="",NOTA[[#This Row],[HARGA SATUAN]]="",),"",NOTA[[#This Row],[QTY]]*NOTA[[#This Row],[HARGA SATUAN]])</f>
        <v>2760000</v>
      </c>
      <c r="AI829" s="60">
        <f ca="1">IF(NOTA[ID_H]="","",INDEX(NOTA[TANGGAL],MATCH(,INDIRECT(ADDRESS(ROW(NOTA[TANGGAL]),COLUMN(NOTA[TANGGAL]))&amp;":"&amp;ADDRESS(ROW(),COLUMN(NOTA[TANGGAL]))),-1)))</f>
        <v>45322</v>
      </c>
      <c r="AJ829" s="55" t="str">
        <f ca="1">IF(NOTA[[#This Row],[NAMA BARANG]]="","",INDEX(NOTA[SUPPLIER],MATCH(,INDIRECT(ADDRESS(ROW(NOTA[ID]),COLUMN(NOTA[ID]))&amp;":"&amp;ADDRESS(ROW(),COLUMN(NOTA[ID]))),-1)))</f>
        <v>GUNINDO</v>
      </c>
      <c r="AK829" s="55" t="str">
        <f ca="1">IF(NOTA[[#This Row],[ID_H]]="","",IF(NOTA[[#This Row],[FAKTUR]]="",INDIRECT(ADDRESS(ROW()-1,COLUMN())),NOTA[[#This Row],[FAKTUR]]))</f>
        <v>UNTANA</v>
      </c>
      <c r="AL829" s="56">
        <f ca="1">IF(NOTA[[#This Row],[ID]]="","",COUNTIF(NOTA[ID_H],NOTA[[#This Row],[ID_H]]))</f>
        <v>2</v>
      </c>
      <c r="AM829" s="56">
        <f>IF(NOTA[[#This Row],[TGL.NOTA]]="",IF(NOTA[[#This Row],[SUPPLIER_H]]="","",AM828),MONTH(NOTA[[#This Row],[TGL.NOTA]]))</f>
        <v>1</v>
      </c>
      <c r="AN829" s="56" t="str">
        <f>LOWER(SUBSTITUTE(SUBSTITUTE(SUBSTITUTE(SUBSTITUTE(SUBSTITUTE(SUBSTITUTE(SUBSTITUTE(SUBSTITUTE(SUBSTITUTE(NOTA[NAMA BARANG]," ",),".",""),"-",""),"(",""),")",""),",",""),"/",""),"""",""),"+",""))</f>
        <v>gunindomm</v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gunindomm27600000.050.1</v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gunindomm27600000.050.1</v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GUNINDOUNTANA240122245317gunindomm</v>
      </c>
      <c r="AR829" s="56" t="e">
        <f>IF(NOTA[[#This Row],[CONCAT4]]="","",_xlfn.IFNA(MATCH(NOTA[[#This Row],[CONCAT4]],[2]!RAW[CONCAT_H],0),FALSE))</f>
        <v>#REF!</v>
      </c>
      <c r="AS829" s="56" t="e">
        <f>IF(NOTA[[#This Row],[CONCAT1]]="","",MATCH(NOTA[[#This Row],[CONCAT1]],[3]!db[NB NOTA_C],0))</f>
        <v>#N/A</v>
      </c>
      <c r="AT829" s="56" t="b">
        <f>IF(NOTA[[#This Row],[QTY/ CTN]]="","",TRUE)</f>
        <v>1</v>
      </c>
      <c r="AU829" s="56" t="str">
        <f ca="1">IF(NOTA[[#This Row],[ID_H]]="","",IF(NOTA[[#This Row],[Column3]]=TRUE,NOTA[[#This Row],[QTY/ CTN]],INDEX([3]!db[QTY/ CTN],NOTA[[#This Row],[//DB]])))</f>
        <v>60 LSN</v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gunindomm60lsnuntana</v>
      </c>
      <c r="AW829" s="56" t="e">
        <f ca="1">IF(NOTA[[#This Row],[ID_H]]="","",MATCH(NOTA[[#This Row],[NB NOTA_C_QTY]],[4]!db[NB NOTA_C_QTY+F],0))</f>
        <v>#REF!</v>
      </c>
      <c r="AX829" s="68">
        <f ca="1">IF(NOTA[[#This Row],[NB NOTA_C_QTY]]="","",ROW()-2)</f>
        <v>827</v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>
        <f ca="1">IF(NOTA[[#This Row],[NAMA BARANG]]="","",INDEX(NOTA[ID],MATCH(,INDIRECT(ADDRESS(ROW(NOTA[ID]),COLUMN(NOTA[ID]))&amp;":"&amp;ADDRESS(ROW(),COLUMN(NOTA[ID]))),-1)))</f>
        <v>146</v>
      </c>
      <c r="E830" s="57"/>
      <c r="F830" s="58"/>
      <c r="G830" s="58"/>
      <c r="H830" s="59"/>
      <c r="I830" s="58"/>
      <c r="J830" s="60"/>
      <c r="K830" s="58">
        <v>0</v>
      </c>
      <c r="L830" s="37" t="s">
        <v>909</v>
      </c>
      <c r="M830" s="61">
        <v>1</v>
      </c>
      <c r="N830" s="56">
        <v>60</v>
      </c>
      <c r="O830" s="37" t="s">
        <v>111</v>
      </c>
      <c r="P830" s="55">
        <v>33000</v>
      </c>
      <c r="Q830" s="62"/>
      <c r="R830" s="48" t="s">
        <v>153</v>
      </c>
      <c r="S830" s="64">
        <v>0.05</v>
      </c>
      <c r="T830" s="65">
        <v>0.1</v>
      </c>
      <c r="U830" s="65"/>
      <c r="V830" s="66"/>
      <c r="W830" s="67"/>
      <c r="X830" s="66">
        <f>IF(NOTA[[#This Row],[HARGA/ CTN]]="",NOTA[[#This Row],[JUMLAH_H]],NOTA[[#This Row],[HARGA/ CTN]]*IF(NOTA[[#This Row],[C]]="",0,NOTA[[#This Row],[C]]))</f>
        <v>1980000</v>
      </c>
      <c r="Y830" s="66">
        <f>IF(NOTA[[#This Row],[JUMLAH]]="","",NOTA[[#This Row],[JUMLAH]]*NOTA[[#This Row],[DISC 1]])</f>
        <v>99000</v>
      </c>
      <c r="Z830" s="66">
        <f>IF(NOTA[[#This Row],[JUMLAH]]="","",(NOTA[[#This Row],[JUMLAH]]-NOTA[[#This Row],[DISC 1-]])*NOTA[[#This Row],[DISC 2]])</f>
        <v>188100</v>
      </c>
      <c r="AA830" s="66">
        <f>IF(NOTA[[#This Row],[JUMLAH]]="","",(NOTA[[#This Row],[JUMLAH]]-NOTA[[#This Row],[DISC 1-]]-NOTA[[#This Row],[DISC 2-]])*NOTA[[#This Row],[DISC 3]])</f>
        <v>0</v>
      </c>
      <c r="AB830" s="66">
        <f>IF(NOTA[[#This Row],[JUMLAH]]="","",NOTA[[#This Row],[DISC 1-]]+NOTA[[#This Row],[DISC 2-]]+NOTA[[#This Row],[DISC 3-]])</f>
        <v>287100</v>
      </c>
      <c r="AC830" s="66">
        <f>IF(NOTA[[#This Row],[JUMLAH]]="","",NOTA[[#This Row],[JUMLAH]]-NOTA[[#This Row],[DISC]])</f>
        <v>1692900</v>
      </c>
      <c r="AD830" s="66"/>
      <c r="AE8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687300</v>
      </c>
      <c r="AF8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4052700</v>
      </c>
      <c r="AG830" s="5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830" s="66">
        <f>IF(OR(NOTA[[#This Row],[QTY]]="",NOTA[[#This Row],[HARGA SATUAN]]="",),"",NOTA[[#This Row],[QTY]]*NOTA[[#This Row],[HARGA SATUAN]])</f>
        <v>1980000</v>
      </c>
      <c r="AI830" s="60">
        <f ca="1">IF(NOTA[ID_H]="","",INDEX(NOTA[TANGGAL],MATCH(,INDIRECT(ADDRESS(ROW(NOTA[TANGGAL]),COLUMN(NOTA[TANGGAL]))&amp;":"&amp;ADDRESS(ROW(),COLUMN(NOTA[TANGGAL]))),-1)))</f>
        <v>45322</v>
      </c>
      <c r="AJ830" s="55" t="str">
        <f ca="1">IF(NOTA[[#This Row],[NAMA BARANG]]="","",INDEX(NOTA[SUPPLIER],MATCH(,INDIRECT(ADDRESS(ROW(NOTA[ID]),COLUMN(NOTA[ID]))&amp;":"&amp;ADDRESS(ROW(),COLUMN(NOTA[ID]))),-1)))</f>
        <v>GUNINDO</v>
      </c>
      <c r="AK830" s="55" t="str">
        <f ca="1">IF(NOTA[[#This Row],[ID_H]]="","",IF(NOTA[[#This Row],[FAKTUR]]="",INDIRECT(ADDRESS(ROW()-1,COLUMN())),NOTA[[#This Row],[FAKTUR]]))</f>
        <v>UNTANA</v>
      </c>
      <c r="AL830" s="56" t="str">
        <f ca="1">IF(NOTA[[#This Row],[ID]]="","",COUNTIF(NOTA[ID_H],NOTA[[#This Row],[ID_H]]))</f>
        <v/>
      </c>
      <c r="AM830" s="56">
        <f ca="1">IF(NOTA[[#This Row],[TGL.NOTA]]="",IF(NOTA[[#This Row],[SUPPLIER_H]]="","",AM829),MONTH(NOTA[[#This Row],[TGL.NOTA]]))</f>
        <v>1</v>
      </c>
      <c r="AN830" s="56" t="str">
        <f>LOWER(SUBSTITUTE(SUBSTITUTE(SUBSTITUTE(SUBSTITUTE(SUBSTITUTE(SUBSTITUTE(SUBSTITUTE(SUBSTITUTE(SUBSTITUTE(NOTA[NAMA BARANG]," ",),".",""),"-",""),"(",""),")",""),",",""),"/",""),"""",""),"+",""))</f>
        <v>ccuttersc9aputih</v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ccuttersc9aputih19800000.050.1</v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ccuttersc9aputih19800000.050.1</v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e">
        <f>IF(NOTA[[#This Row],[CONCAT1]]="","",MATCH(NOTA[[#This Row],[CONCAT1]],[3]!db[NB NOTA_C],0))</f>
        <v>#N/A</v>
      </c>
      <c r="AT830" s="56" t="b">
        <f>IF(NOTA[[#This Row],[QTY/ CTN]]="","",TRUE)</f>
        <v>1</v>
      </c>
      <c r="AU830" s="56" t="str">
        <f ca="1">IF(NOTA[[#This Row],[ID_H]]="","",IF(NOTA[[#This Row],[Column3]]=TRUE,NOTA[[#This Row],[QTY/ CTN]],INDEX([3]!db[QTY/ CTN],NOTA[[#This Row],[//DB]])))</f>
        <v>60 LSN</v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ccuttersc9aputih60lsnuntana</v>
      </c>
      <c r="AW830" s="56" t="e">
        <f ca="1">IF(NOTA[[#This Row],[ID_H]]="","",MATCH(NOTA[[#This Row],[NB NOTA_C_QTY]],[4]!db[NB NOTA_C_QTY+F],0))</f>
        <v>#REF!</v>
      </c>
      <c r="AX830" s="68">
        <f ca="1">IF(NOTA[[#This Row],[NB NOTA_C_QTY]]="","",ROW()-2)</f>
        <v>828</v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>
        <f ca="1">IF(INDIRECT(ADDRESS(ROW()-1,COLUMN(NOTA[[#Headers],[ID]])))="ID",1,IF(NOTA[[#This Row],[FAKTUR]]="","",COUNT(INDIRECT(ADDRESS(ROW(NOTA[ID]),COLUMN(NOTA[ID]))&amp;":"&amp;ADDRESS(ROW()-1,COLUMN(NOTA[ID]))))+1))</f>
        <v>147</v>
      </c>
      <c r="B8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PPW_0102_I24-1</v>
      </c>
      <c r="C832" s="56" t="e">
        <f ca="1">IF(NOTA[[#This Row],[ID_P]]="","",MATCH(NOTA[[#This Row],[ID_P]],[1]!B_MSK[N_ID],0))</f>
        <v>#REF!</v>
      </c>
      <c r="D832" s="56">
        <f ca="1">IF(NOTA[[#This Row],[NAMA BARANG]]="","",INDEX(NOTA[ID],MATCH(,INDIRECT(ADDRESS(ROW(NOTA[ID]),COLUMN(NOTA[ID]))&amp;":"&amp;ADDRESS(ROW(),COLUMN(NOTA[ID]))),-1)))</f>
        <v>147</v>
      </c>
      <c r="E832" s="57">
        <v>45323</v>
      </c>
      <c r="F832" s="37" t="s">
        <v>367</v>
      </c>
      <c r="G832" s="37" t="s">
        <v>110</v>
      </c>
      <c r="H832" s="47" t="s">
        <v>910</v>
      </c>
      <c r="I832" s="58"/>
      <c r="J832" s="60">
        <v>45318</v>
      </c>
      <c r="K832" s="58"/>
      <c r="L832" s="37" t="s">
        <v>911</v>
      </c>
      <c r="M832" s="61">
        <v>2</v>
      </c>
      <c r="N832" s="56">
        <v>200</v>
      </c>
      <c r="O832" s="37" t="s">
        <v>111</v>
      </c>
      <c r="P832" s="55">
        <v>21380</v>
      </c>
      <c r="Q832" s="62"/>
      <c r="R832" s="48" t="s">
        <v>370</v>
      </c>
      <c r="S832" s="64">
        <v>0.2</v>
      </c>
      <c r="T832" s="65">
        <v>0.04</v>
      </c>
      <c r="U832" s="65"/>
      <c r="V832" s="66"/>
      <c r="W832" s="67"/>
      <c r="X832" s="66">
        <f>IF(NOTA[[#This Row],[HARGA/ CTN]]="",NOTA[[#This Row],[JUMLAH_H]],NOTA[[#This Row],[HARGA/ CTN]]*IF(NOTA[[#This Row],[C]]="",0,NOTA[[#This Row],[C]]))</f>
        <v>4276000</v>
      </c>
      <c r="Y832" s="66">
        <f>IF(NOTA[[#This Row],[JUMLAH]]="","",NOTA[[#This Row],[JUMLAH]]*NOTA[[#This Row],[DISC 1]])</f>
        <v>855200</v>
      </c>
      <c r="Z832" s="66">
        <f>IF(NOTA[[#This Row],[JUMLAH]]="","",(NOTA[[#This Row],[JUMLAH]]-NOTA[[#This Row],[DISC 1-]])*NOTA[[#This Row],[DISC 2]])</f>
        <v>136832</v>
      </c>
      <c r="AA832" s="66">
        <f>IF(NOTA[[#This Row],[JUMLAH]]="","",(NOTA[[#This Row],[JUMLAH]]-NOTA[[#This Row],[DISC 1-]]-NOTA[[#This Row],[DISC 2-]])*NOTA[[#This Row],[DISC 3]])</f>
        <v>0</v>
      </c>
      <c r="AB832" s="66">
        <f>IF(NOTA[[#This Row],[JUMLAH]]="","",NOTA[[#This Row],[DISC 1-]]+NOTA[[#This Row],[DISC 2-]]+NOTA[[#This Row],[DISC 3-]])</f>
        <v>992032</v>
      </c>
      <c r="AC832" s="66">
        <f>IF(NOTA[[#This Row],[JUMLAH]]="","",NOTA[[#This Row],[JUMLAH]]-NOTA[[#This Row],[DISC]])</f>
        <v>3283968</v>
      </c>
      <c r="AD832" s="66"/>
      <c r="AE8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992032</v>
      </c>
      <c r="AF8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3283968</v>
      </c>
      <c r="AG832" s="55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H832" s="66">
        <f>IF(OR(NOTA[[#This Row],[QTY]]="",NOTA[[#This Row],[HARGA SATUAN]]="",),"",NOTA[[#This Row],[QTY]]*NOTA[[#This Row],[HARGA SATUAN]])</f>
        <v>4276000</v>
      </c>
      <c r="AI832" s="60">
        <f ca="1">IF(NOTA[ID_H]="","",INDEX(NOTA[TANGGAL],MATCH(,INDIRECT(ADDRESS(ROW(NOTA[TANGGAL]),COLUMN(NOTA[TANGGAL]))&amp;":"&amp;ADDRESS(ROW(),COLUMN(NOTA[TANGGAL]))),-1)))</f>
        <v>45323</v>
      </c>
      <c r="AJ832" s="55" t="str">
        <f ca="1">IF(NOTA[[#This Row],[NAMA BARANG]]="","",INDEX(NOTA[SUPPLIER],MATCH(,INDIRECT(ADDRESS(ROW(NOTA[ID]),COLUMN(NOTA[ID]))&amp;":"&amp;ADDRESS(ROW(),COLUMN(NOTA[ID]))),-1)))</f>
        <v>PPW</v>
      </c>
      <c r="AK832" s="55" t="str">
        <f ca="1">IF(NOTA[[#This Row],[ID_H]]="","",IF(NOTA[[#This Row],[FAKTUR]]="",INDIRECT(ADDRESS(ROW()-1,COLUMN())),NOTA[[#This Row],[FAKTUR]]))</f>
        <v>UNTANA</v>
      </c>
      <c r="AL832" s="56">
        <f ca="1">IF(NOTA[[#This Row],[ID]]="","",COUNTIF(NOTA[ID_H],NOTA[[#This Row],[ID_H]]))</f>
        <v>1</v>
      </c>
      <c r="AM832" s="56">
        <f>IF(NOTA[[#This Row],[TGL.NOTA]]="",IF(NOTA[[#This Row],[SUPPLIER_H]]="","",AM831),MONTH(NOTA[[#This Row],[TGL.NOTA]]))</f>
        <v>1</v>
      </c>
      <c r="AN832" s="56" t="str">
        <f>LOWER(SUBSTITUTE(SUBSTITUTE(SUBSTITUTE(SUBSTITUTE(SUBSTITUTE(SUBSTITUTE(SUBSTITUTE(SUBSTITUTE(SUBSTITUTE(NOTA[NAMA BARANG]," ",),".",""),"-",""),"(",""),")",""),",",""),"/",""),"""",""),"+",""))</f>
        <v>bt20cm</v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>PPWUNTANA0425/HW/I/2445318bt20cm</v>
      </c>
      <c r="AR832" s="56" t="e">
        <f>IF(NOTA[[#This Row],[CONCAT4]]="","",_xlfn.IFNA(MATCH(NOTA[[#This Row],[CONCAT4]],[2]!RAW[CONCAT_H],0),FALSE))</f>
        <v>#REF!</v>
      </c>
      <c r="AS832" s="56">
        <f>IF(NOTA[[#This Row],[CONCAT1]]="","",MATCH(NOTA[[#This Row],[CONCAT1]],[3]!db[NB NOTA_C],0))</f>
        <v>498</v>
      </c>
      <c r="AT832" s="56" t="b">
        <f>IF(NOTA[[#This Row],[QTY/ CTN]]="","",TRUE)</f>
        <v>1</v>
      </c>
      <c r="AU832" s="56" t="str">
        <f ca="1">IF(NOTA[[#This Row],[ID_H]]="","",IF(NOTA[[#This Row],[Column3]]=TRUE,NOTA[[#This Row],[QTY/ CTN]],INDEX([3]!db[QTY/ CTN],NOTA[[#This Row],[//DB]])))</f>
        <v>100 LSN</v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bt20cm100lsnuntana</v>
      </c>
      <c r="AW832" s="56" t="e">
        <f ca="1">IF(NOTA[[#This Row],[ID_H]]="","",MATCH(NOTA[[#This Row],[NB NOTA_C_QTY]],[4]!db[NB NOTA_C_QTY+F],0))</f>
        <v>#REF!</v>
      </c>
      <c r="AX832" s="68">
        <f ca="1">IF(NOTA[[#This Row],[NB NOTA_C_QTY]]="","",ROW()-2)</f>
        <v>830</v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>
        <f ca="1">IF(INDIRECT(ADDRESS(ROW()-1,COLUMN(NOTA[[#Headers],[ID]])))="ID",1,IF(NOTA[[#This Row],[FAKTUR]]="","",COUNT(INDIRECT(ADDRESS(ROW(NOTA[ID]),COLUMN(NOTA[ID]))&amp;":"&amp;ADDRESS(ROW()-1,COLUMN(NOTA[ID]))))+1))</f>
        <v>148</v>
      </c>
      <c r="B83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ALP_0102_-3</v>
      </c>
      <c r="C834" s="56" t="e">
        <f ca="1">IF(NOTA[[#This Row],[ID_P]]="","",MATCH(NOTA[[#This Row],[ID_P]],[1]!B_MSK[N_ID],0))</f>
        <v>#REF!</v>
      </c>
      <c r="D834" s="56">
        <f ca="1">IF(NOTA[[#This Row],[NAMA BARANG]]="","",INDEX(NOTA[ID],MATCH(,INDIRECT(ADDRESS(ROW(NOTA[ID]),COLUMN(NOTA[ID]))&amp;":"&amp;ADDRESS(ROW(),COLUMN(NOTA[ID]))),-1)))</f>
        <v>148</v>
      </c>
      <c r="E834" s="57">
        <v>45323</v>
      </c>
      <c r="F834" s="37" t="s">
        <v>912</v>
      </c>
      <c r="G834" s="37" t="s">
        <v>110</v>
      </c>
      <c r="H834" s="59"/>
      <c r="I834" s="58"/>
      <c r="J834" s="60">
        <v>45316</v>
      </c>
      <c r="K834" s="58"/>
      <c r="L834" s="37" t="s">
        <v>914</v>
      </c>
      <c r="M834" s="61">
        <v>10</v>
      </c>
      <c r="N834" s="56">
        <v>500</v>
      </c>
      <c r="O834" s="37" t="s">
        <v>111</v>
      </c>
      <c r="P834" s="55">
        <v>15250</v>
      </c>
      <c r="Q834" s="62"/>
      <c r="R834" s="48" t="s">
        <v>240</v>
      </c>
      <c r="S834" s="64"/>
      <c r="T834" s="65"/>
      <c r="U834" s="65"/>
      <c r="V834" s="66"/>
      <c r="W834" s="67"/>
      <c r="X834" s="66">
        <f>IF(NOTA[[#This Row],[HARGA/ CTN]]="",NOTA[[#This Row],[JUMLAH_H]],NOTA[[#This Row],[HARGA/ CTN]]*IF(NOTA[[#This Row],[C]]="",0,NOTA[[#This Row],[C]]))</f>
        <v>7625000</v>
      </c>
      <c r="Y834" s="66">
        <f>IF(NOTA[[#This Row],[JUMLAH]]="","",NOTA[[#This Row],[JUMLAH]]*NOTA[[#This Row],[DISC 1]])</f>
        <v>0</v>
      </c>
      <c r="Z834" s="66">
        <f>IF(NOTA[[#This Row],[JUMLAH]]="","",(NOTA[[#This Row],[JUMLAH]]-NOTA[[#This Row],[DISC 1-]])*NOTA[[#This Row],[DISC 2]])</f>
        <v>0</v>
      </c>
      <c r="AA834" s="66">
        <f>IF(NOTA[[#This Row],[JUMLAH]]="","",(NOTA[[#This Row],[JUMLAH]]-NOTA[[#This Row],[DISC 1-]]-NOTA[[#This Row],[DISC 2-]])*NOTA[[#This Row],[DISC 3]])</f>
        <v>0</v>
      </c>
      <c r="AB834" s="66">
        <f>IF(NOTA[[#This Row],[JUMLAH]]="","",NOTA[[#This Row],[DISC 1-]]+NOTA[[#This Row],[DISC 2-]]+NOTA[[#This Row],[DISC 3-]])</f>
        <v>0</v>
      </c>
      <c r="AC834" s="66">
        <f>IF(NOTA[[#This Row],[JUMLAH]]="","",NOTA[[#This Row],[JUMLAH]]-NOTA[[#This Row],[DISC]])</f>
        <v>7625000</v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834" s="66">
        <f>IF(OR(NOTA[[#This Row],[QTY]]="",NOTA[[#This Row],[HARGA SATUAN]]="",),"",NOTA[[#This Row],[QTY]]*NOTA[[#This Row],[HARGA SATUAN]])</f>
        <v>7625000</v>
      </c>
      <c r="AI834" s="60">
        <f ca="1">IF(NOTA[ID_H]="","",INDEX(NOTA[TANGGAL],MATCH(,INDIRECT(ADDRESS(ROW(NOTA[TANGGAL]),COLUMN(NOTA[TANGGAL]))&amp;":"&amp;ADDRESS(ROW(),COLUMN(NOTA[TANGGAL]))),-1)))</f>
        <v>45323</v>
      </c>
      <c r="AJ834" s="55" t="str">
        <f ca="1">IF(NOTA[[#This Row],[NAMA BARANG]]="","",INDEX(NOTA[SUPPLIER],MATCH(,INDIRECT(ADDRESS(ROW(NOTA[ID]),COLUMN(NOTA[ID]))&amp;":"&amp;ADDRESS(ROW(),COLUMN(NOTA[ID]))),-1)))</f>
        <v>ALPINDO</v>
      </c>
      <c r="AK834" s="55" t="str">
        <f ca="1">IF(NOTA[[#This Row],[ID_H]]="","",IF(NOTA[[#This Row],[FAKTUR]]="",INDIRECT(ADDRESS(ROW()-1,COLUMN())),NOTA[[#This Row],[FAKTUR]]))</f>
        <v>UNTANA</v>
      </c>
      <c r="AL834" s="56">
        <f ca="1">IF(NOTA[[#This Row],[ID]]="","",COUNTIF(NOTA[ID_H],NOTA[[#This Row],[ID_H]]))</f>
        <v>3</v>
      </c>
      <c r="AM834" s="56">
        <f>IF(NOTA[[#This Row],[TGL.NOTA]]="",IF(NOTA[[#This Row],[SUPPLIER_H]]="","",AM833),MONTH(NOTA[[#This Row],[TGL.NOTA]]))</f>
        <v>1</v>
      </c>
      <c r="AN834" s="56" t="str">
        <f>LOWER(SUBSTITUTE(SUBSTITUTE(SUBSTITUTE(SUBSTITUTE(SUBSTITUTE(SUBSTITUTE(SUBSTITUTE(SUBSTITUTE(SUBSTITUTE(NOTA[NAMA BARANG]," ",),".",""),"-",""),"(",""),")",""),",",""),"/",""),"""",""),"+",""))</f>
        <v>bagfoldersikaac05putih</v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bagfoldersikaac05putih762500</v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bagfoldersikaac05putih762500</v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>ALPINDOUNTANA45316bagfoldersikaac05putih</v>
      </c>
      <c r="AR834" s="56" t="e">
        <f>IF(NOTA[[#This Row],[CONCAT4]]="","",_xlfn.IFNA(MATCH(NOTA[[#This Row],[CONCAT4]],[2]!RAW[CONCAT_H],0),FALSE))</f>
        <v>#REF!</v>
      </c>
      <c r="AS834" s="56" t="e">
        <f>IF(NOTA[[#This Row],[CONCAT1]]="","",MATCH(NOTA[[#This Row],[CONCAT1]],[3]!db[NB NOTA_C],0))</f>
        <v>#N/A</v>
      </c>
      <c r="AT834" s="56" t="b">
        <f>IF(NOTA[[#This Row],[QTY/ CTN]]="","",TRUE)</f>
        <v>1</v>
      </c>
      <c r="AU834" s="56" t="str">
        <f ca="1">IF(NOTA[[#This Row],[ID_H]]="","",IF(NOTA[[#This Row],[Column3]]=TRUE,NOTA[[#This Row],[QTY/ CTN]],INDEX([3]!db[QTY/ CTN],NOTA[[#This Row],[//DB]])))</f>
        <v>50 LSN</v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bagfoldersikaac05putih50lsnuntana</v>
      </c>
      <c r="AW834" s="56" t="e">
        <f ca="1">IF(NOTA[[#This Row],[ID_H]]="","",MATCH(NOTA[[#This Row],[NB NOTA_C_QTY]],[4]!db[NB NOTA_C_QTY+F],0))</f>
        <v>#REF!</v>
      </c>
      <c r="AX834" s="68">
        <f ca="1">IF(NOTA[[#This Row],[NB NOTA_C_QTY]]="","",ROW()-2)</f>
        <v>832</v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>
        <f ca="1">IF(NOTA[[#This Row],[NAMA BARANG]]="","",INDEX(NOTA[ID],MATCH(,INDIRECT(ADDRESS(ROW(NOTA[ID]),COLUMN(NOTA[ID]))&amp;":"&amp;ADDRESS(ROW(),COLUMN(NOTA[ID]))),-1)))</f>
        <v>148</v>
      </c>
      <c r="E835" s="57"/>
      <c r="F835" s="58"/>
      <c r="G835" s="58"/>
      <c r="H835" s="59"/>
      <c r="I835" s="58"/>
      <c r="J835" s="60"/>
      <c r="K835" s="58"/>
      <c r="L835" s="37" t="s">
        <v>913</v>
      </c>
      <c r="M835" s="61">
        <v>7</v>
      </c>
      <c r="N835" s="56">
        <v>350</v>
      </c>
      <c r="O835" s="37" t="s">
        <v>111</v>
      </c>
      <c r="P835" s="55">
        <v>15250</v>
      </c>
      <c r="Q835" s="62"/>
      <c r="R835" s="48" t="s">
        <v>240</v>
      </c>
      <c r="S835" s="64"/>
      <c r="T835" s="65"/>
      <c r="U835" s="65"/>
      <c r="V835" s="66"/>
      <c r="W835" s="67"/>
      <c r="X835" s="66">
        <f>IF(NOTA[[#This Row],[HARGA/ CTN]]="",NOTA[[#This Row],[JUMLAH_H]],NOTA[[#This Row],[HARGA/ CTN]]*IF(NOTA[[#This Row],[C]]="",0,NOTA[[#This Row],[C]]))</f>
        <v>5337500</v>
      </c>
      <c r="Y835" s="66">
        <f>IF(NOTA[[#This Row],[JUMLAH]]="","",NOTA[[#This Row],[JUMLAH]]*NOTA[[#This Row],[DISC 1]])</f>
        <v>0</v>
      </c>
      <c r="Z835" s="66">
        <f>IF(NOTA[[#This Row],[JUMLAH]]="","",(NOTA[[#This Row],[JUMLAH]]-NOTA[[#This Row],[DISC 1-]])*NOTA[[#This Row],[DISC 2]])</f>
        <v>0</v>
      </c>
      <c r="AA835" s="66">
        <f>IF(NOTA[[#This Row],[JUMLAH]]="","",(NOTA[[#This Row],[JUMLAH]]-NOTA[[#This Row],[DISC 1-]]-NOTA[[#This Row],[DISC 2-]])*NOTA[[#This Row],[DISC 3]])</f>
        <v>0</v>
      </c>
      <c r="AB835" s="66">
        <f>IF(NOTA[[#This Row],[JUMLAH]]="","",NOTA[[#This Row],[DISC 1-]]+NOTA[[#This Row],[DISC 2-]]+NOTA[[#This Row],[DISC 3-]])</f>
        <v>0</v>
      </c>
      <c r="AC835" s="66">
        <f>IF(NOTA[[#This Row],[JUMLAH]]="","",NOTA[[#This Row],[JUMLAH]]-NOTA[[#This Row],[DISC]])</f>
        <v>5337500</v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835" s="66">
        <f>IF(OR(NOTA[[#This Row],[QTY]]="",NOTA[[#This Row],[HARGA SATUAN]]="",),"",NOTA[[#This Row],[QTY]]*NOTA[[#This Row],[HARGA SATUAN]])</f>
        <v>5337500</v>
      </c>
      <c r="AI835" s="60">
        <f ca="1">IF(NOTA[ID_H]="","",INDEX(NOTA[TANGGAL],MATCH(,INDIRECT(ADDRESS(ROW(NOTA[TANGGAL]),COLUMN(NOTA[TANGGAL]))&amp;":"&amp;ADDRESS(ROW(),COLUMN(NOTA[TANGGAL]))),-1)))</f>
        <v>45323</v>
      </c>
      <c r="AJ835" s="55" t="str">
        <f ca="1">IF(NOTA[[#This Row],[NAMA BARANG]]="","",INDEX(NOTA[SUPPLIER],MATCH(,INDIRECT(ADDRESS(ROW(NOTA[ID]),COLUMN(NOTA[ID]))&amp;":"&amp;ADDRESS(ROW(),COLUMN(NOTA[ID]))),-1)))</f>
        <v>ALPINDO</v>
      </c>
      <c r="AK835" s="55" t="str">
        <f ca="1">IF(NOTA[[#This Row],[ID_H]]="","",IF(NOTA[[#This Row],[FAKTUR]]="",INDIRECT(ADDRESS(ROW()-1,COLUMN())),NOTA[[#This Row],[FAKTUR]]))</f>
        <v>UNTANA</v>
      </c>
      <c r="AL835" s="56" t="str">
        <f ca="1">IF(NOTA[[#This Row],[ID]]="","",COUNTIF(NOTA[ID_H],NOTA[[#This Row],[ID_H]]))</f>
        <v/>
      </c>
      <c r="AM835" s="56">
        <f ca="1">IF(NOTA[[#This Row],[TGL.NOTA]]="",IF(NOTA[[#This Row],[SUPPLIER_H]]="","",AM834),MONTH(NOTA[[#This Row],[TGL.NOTA]]))</f>
        <v>1</v>
      </c>
      <c r="AN835" s="56" t="str">
        <f>LOWER(SUBSTITUTE(SUBSTITUTE(SUBSTITUTE(SUBSTITUTE(SUBSTITUTE(SUBSTITUTE(SUBSTITUTE(SUBSTITUTE(SUBSTITUTE(NOTA[NAMA BARANG]," ",),".",""),"-",""),"(",""),")",""),",",""),"/",""),"""",""),"+",""))</f>
        <v>bagfoldersikaac05kuning</v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bagfoldersikaac05kuning762500</v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bagfoldersikaac05kuning762500</v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e">
        <f>IF(NOTA[[#This Row],[CONCAT1]]="","",MATCH(NOTA[[#This Row],[CONCAT1]],[3]!db[NB NOTA_C],0))</f>
        <v>#N/A</v>
      </c>
      <c r="AT835" s="56" t="b">
        <f>IF(NOTA[[#This Row],[QTY/ CTN]]="","",TRUE)</f>
        <v>1</v>
      </c>
      <c r="AU835" s="56" t="str">
        <f ca="1">IF(NOTA[[#This Row],[ID_H]]="","",IF(NOTA[[#This Row],[Column3]]=TRUE,NOTA[[#This Row],[QTY/ CTN]],INDEX([3]!db[QTY/ CTN],NOTA[[#This Row],[//DB]])))</f>
        <v>50 LSN</v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bagfoldersikaac05kuning50lsnuntana</v>
      </c>
      <c r="AW835" s="56" t="e">
        <f ca="1">IF(NOTA[[#This Row],[ID_H]]="","",MATCH(NOTA[[#This Row],[NB NOTA_C_QTY]],[4]!db[NB NOTA_C_QTY+F],0))</f>
        <v>#REF!</v>
      </c>
      <c r="AX835" s="68">
        <f ca="1">IF(NOTA[[#This Row],[NB NOTA_C_QTY]]="","",ROW()-2)</f>
        <v>833</v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>
        <f ca="1">IF(NOTA[[#This Row],[NAMA BARANG]]="","",INDEX(NOTA[ID],MATCH(,INDIRECT(ADDRESS(ROW(NOTA[ID]),COLUMN(NOTA[ID]))&amp;":"&amp;ADDRESS(ROW(),COLUMN(NOTA[ID]))),-1)))</f>
        <v>148</v>
      </c>
      <c r="E836" s="57"/>
      <c r="F836" s="58"/>
      <c r="G836" s="58"/>
      <c r="H836" s="59"/>
      <c r="I836" s="58"/>
      <c r="J836" s="60"/>
      <c r="K836" s="58"/>
      <c r="L836" s="37" t="s">
        <v>915</v>
      </c>
      <c r="M836" s="61">
        <v>3</v>
      </c>
      <c r="N836" s="56">
        <v>150</v>
      </c>
      <c r="O836" s="37" t="s">
        <v>111</v>
      </c>
      <c r="P836" s="55">
        <v>15250</v>
      </c>
      <c r="Q836" s="62"/>
      <c r="R836" s="48" t="s">
        <v>240</v>
      </c>
      <c r="S836" s="64"/>
      <c r="T836" s="65"/>
      <c r="U836" s="65"/>
      <c r="V836" s="66"/>
      <c r="W836" s="67"/>
      <c r="X836" s="66">
        <f>IF(NOTA[[#This Row],[HARGA/ CTN]]="",NOTA[[#This Row],[JUMLAH_H]],NOTA[[#This Row],[HARGA/ CTN]]*IF(NOTA[[#This Row],[C]]="",0,NOTA[[#This Row],[C]]))</f>
        <v>2287500</v>
      </c>
      <c r="Y836" s="66">
        <f>IF(NOTA[[#This Row],[JUMLAH]]="","",NOTA[[#This Row],[JUMLAH]]*NOTA[[#This Row],[DISC 1]])</f>
        <v>0</v>
      </c>
      <c r="Z836" s="66">
        <f>IF(NOTA[[#This Row],[JUMLAH]]="","",(NOTA[[#This Row],[JUMLAH]]-NOTA[[#This Row],[DISC 1-]])*NOTA[[#This Row],[DISC 2]])</f>
        <v>0</v>
      </c>
      <c r="AA836" s="66">
        <f>IF(NOTA[[#This Row],[JUMLAH]]="","",(NOTA[[#This Row],[JUMLAH]]-NOTA[[#This Row],[DISC 1-]]-NOTA[[#This Row],[DISC 2-]])*NOTA[[#This Row],[DISC 3]])</f>
        <v>0</v>
      </c>
      <c r="AB836" s="66">
        <f>IF(NOTA[[#This Row],[JUMLAH]]="","",NOTA[[#This Row],[DISC 1-]]+NOTA[[#This Row],[DISC 2-]]+NOTA[[#This Row],[DISC 3-]])</f>
        <v>0</v>
      </c>
      <c r="AC836" s="66">
        <f>IF(NOTA[[#This Row],[JUMLAH]]="","",NOTA[[#This Row],[JUMLAH]]-NOTA[[#This Row],[DISC]])</f>
        <v>2287500</v>
      </c>
      <c r="AD836" s="66"/>
      <c r="AE83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3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15250000</v>
      </c>
      <c r="AG836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836" s="66">
        <f>IF(OR(NOTA[[#This Row],[QTY]]="",NOTA[[#This Row],[HARGA SATUAN]]="",),"",NOTA[[#This Row],[QTY]]*NOTA[[#This Row],[HARGA SATUAN]])</f>
        <v>2287500</v>
      </c>
      <c r="AI836" s="60">
        <f ca="1">IF(NOTA[ID_H]="","",INDEX(NOTA[TANGGAL],MATCH(,INDIRECT(ADDRESS(ROW(NOTA[TANGGAL]),COLUMN(NOTA[TANGGAL]))&amp;":"&amp;ADDRESS(ROW(),COLUMN(NOTA[TANGGAL]))),-1)))</f>
        <v>45323</v>
      </c>
      <c r="AJ836" s="55" t="str">
        <f ca="1">IF(NOTA[[#This Row],[NAMA BARANG]]="","",INDEX(NOTA[SUPPLIER],MATCH(,INDIRECT(ADDRESS(ROW(NOTA[ID]),COLUMN(NOTA[ID]))&amp;":"&amp;ADDRESS(ROW(),COLUMN(NOTA[ID]))),-1)))</f>
        <v>ALPINDO</v>
      </c>
      <c r="AK836" s="55" t="str">
        <f ca="1">IF(NOTA[[#This Row],[ID_H]]="","",IF(NOTA[[#This Row],[FAKTUR]]="",INDIRECT(ADDRESS(ROW()-1,COLUMN())),NOTA[[#This Row],[FAKTUR]]))</f>
        <v>UNTANA</v>
      </c>
      <c r="AL836" s="56" t="str">
        <f ca="1">IF(NOTA[[#This Row],[ID]]="","",COUNTIF(NOTA[ID_H],NOTA[[#This Row],[ID_H]]))</f>
        <v/>
      </c>
      <c r="AM836" s="56">
        <f ca="1">IF(NOTA[[#This Row],[TGL.NOTA]]="",IF(NOTA[[#This Row],[SUPPLIER_H]]="","",AM835),MONTH(NOTA[[#This Row],[TGL.NOTA]]))</f>
        <v>1</v>
      </c>
      <c r="AN836" s="56" t="str">
        <f>LOWER(SUBSTITUTE(SUBSTITUTE(SUBSTITUTE(SUBSTITUTE(SUBSTITUTE(SUBSTITUTE(SUBSTITUTE(SUBSTITUTE(SUBSTITUTE(NOTA[NAMA BARANG]," ",),".",""),"-",""),"(",""),")",""),",",""),"/",""),"""",""),"+",""))</f>
        <v>bagfoldersikaac05merah</v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bagfoldersikaac05merah762500</v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bagfoldersikaac05merah762500</v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e">
        <f>IF(NOTA[[#This Row],[CONCAT1]]="","",MATCH(NOTA[[#This Row],[CONCAT1]],[3]!db[NB NOTA_C],0))</f>
        <v>#N/A</v>
      </c>
      <c r="AT836" s="56" t="b">
        <f>IF(NOTA[[#This Row],[QTY/ CTN]]="","",TRUE)</f>
        <v>1</v>
      </c>
      <c r="AU836" s="56" t="str">
        <f ca="1">IF(NOTA[[#This Row],[ID_H]]="","",IF(NOTA[[#This Row],[Column3]]=TRUE,NOTA[[#This Row],[QTY/ CTN]],INDEX([3]!db[QTY/ CTN],NOTA[[#This Row],[//DB]])))</f>
        <v>50 LSN</v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bagfoldersikaac05merah50lsnuntana</v>
      </c>
      <c r="AW836" s="56" t="e">
        <f ca="1">IF(NOTA[[#This Row],[ID_H]]="","",MATCH(NOTA[[#This Row],[NB NOTA_C_QTY]],[4]!db[NB NOTA_C_QTY+F],0))</f>
        <v>#REF!</v>
      </c>
      <c r="AX836" s="68">
        <f ca="1">IF(NOTA[[#This Row],[NB NOTA_C_QTY]]="","",ROW()-2)</f>
        <v>834</v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>
        <f ca="1">IF(INDIRECT(ADDRESS(ROW()-1,COLUMN(NOTA[[#Headers],[ID]])))="ID",1,IF(NOTA[[#This Row],[FAKTUR]]="","",COUNT(INDIRECT(ADDRESS(ROW(NOTA[ID]),COLUMN(NOTA[ID]))&amp;":"&amp;ADDRESS(ROW()-1,COLUMN(NOTA[ID]))))+1))</f>
        <v>149</v>
      </c>
      <c r="B83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WIN_0502_217-6</v>
      </c>
      <c r="C838" s="56" t="e">
        <f ca="1">IF(NOTA[[#This Row],[ID_P]]="","",MATCH(NOTA[[#This Row],[ID_P]],[1]!B_MSK[N_ID],0))</f>
        <v>#REF!</v>
      </c>
      <c r="D838" s="56">
        <f ca="1">IF(NOTA[[#This Row],[NAMA BARANG]]="","",INDEX(NOTA[ID],MATCH(,INDIRECT(ADDRESS(ROW(NOTA[ID]),COLUMN(NOTA[ID]))&amp;":"&amp;ADDRESS(ROW(),COLUMN(NOTA[ID]))),-1)))</f>
        <v>149</v>
      </c>
      <c r="E838" s="57">
        <v>45327</v>
      </c>
      <c r="F838" s="37" t="s">
        <v>807</v>
      </c>
      <c r="G838" s="37" t="s">
        <v>110</v>
      </c>
      <c r="H838" s="47" t="s">
        <v>916</v>
      </c>
      <c r="I838" s="58"/>
      <c r="J838" s="60">
        <v>45311</v>
      </c>
      <c r="K838" s="58"/>
      <c r="L838" s="37" t="s">
        <v>809</v>
      </c>
      <c r="M838" s="61">
        <v>8</v>
      </c>
      <c r="N838" s="56">
        <f>120*8</f>
        <v>960</v>
      </c>
      <c r="O838" s="37" t="s">
        <v>115</v>
      </c>
      <c r="P838" s="55">
        <v>11500</v>
      </c>
      <c r="Q838" s="62"/>
      <c r="R838" s="48" t="s">
        <v>784</v>
      </c>
      <c r="S838" s="64"/>
      <c r="T838" s="65"/>
      <c r="U838" s="65"/>
      <c r="V838" s="66"/>
      <c r="W838" s="67"/>
      <c r="X838" s="66">
        <f>IF(NOTA[[#This Row],[HARGA/ CTN]]="",NOTA[[#This Row],[JUMLAH_H]],NOTA[[#This Row],[HARGA/ CTN]]*IF(NOTA[[#This Row],[C]]="",0,NOTA[[#This Row],[C]]))</f>
        <v>11040000</v>
      </c>
      <c r="Y838" s="66">
        <f>IF(NOTA[[#This Row],[JUMLAH]]="","",NOTA[[#This Row],[JUMLAH]]*NOTA[[#This Row],[DISC 1]])</f>
        <v>0</v>
      </c>
      <c r="Z838" s="66">
        <f>IF(NOTA[[#This Row],[JUMLAH]]="","",(NOTA[[#This Row],[JUMLAH]]-NOTA[[#This Row],[DISC 1-]])*NOTA[[#This Row],[DISC 2]])</f>
        <v>0</v>
      </c>
      <c r="AA838" s="66">
        <f>IF(NOTA[[#This Row],[JUMLAH]]="","",(NOTA[[#This Row],[JUMLAH]]-NOTA[[#This Row],[DISC 1-]]-NOTA[[#This Row],[DISC 2-]])*NOTA[[#This Row],[DISC 3]])</f>
        <v>0</v>
      </c>
      <c r="AB838" s="66">
        <f>IF(NOTA[[#This Row],[JUMLAH]]="","",NOTA[[#This Row],[DISC 1-]]+NOTA[[#This Row],[DISC 2-]]+NOTA[[#This Row],[DISC 3-]])</f>
        <v>0</v>
      </c>
      <c r="AC838" s="66">
        <f>IF(NOTA[[#This Row],[JUMLAH]]="","",NOTA[[#This Row],[JUMLAH]]-NOTA[[#This Row],[DISC]])</f>
        <v>11040000</v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838" s="66">
        <f>IF(OR(NOTA[[#This Row],[QTY]]="",NOTA[[#This Row],[HARGA SATUAN]]="",),"",NOTA[[#This Row],[QTY]]*NOTA[[#This Row],[HARGA SATUAN]])</f>
        <v>11040000</v>
      </c>
      <c r="AI838" s="60">
        <f ca="1">IF(NOTA[ID_H]="","",INDEX(NOTA[TANGGAL],MATCH(,INDIRECT(ADDRESS(ROW(NOTA[TANGGAL]),COLUMN(NOTA[TANGGAL]))&amp;":"&amp;ADDRESS(ROW(),COLUMN(NOTA[TANGGAL]))),-1)))</f>
        <v>45327</v>
      </c>
      <c r="AJ838" s="55" t="str">
        <f ca="1">IF(NOTA[[#This Row],[NAMA BARANG]]="","",INDEX(NOTA[SUPPLIER],MATCH(,INDIRECT(ADDRESS(ROW(NOTA[ID]),COLUMN(NOTA[ID]))&amp;":"&amp;ADDRESS(ROW(),COLUMN(NOTA[ID]))),-1)))</f>
        <v>WIN'S SENTOSA</v>
      </c>
      <c r="AK838" s="55" t="str">
        <f ca="1">IF(NOTA[[#This Row],[ID_H]]="","",IF(NOTA[[#This Row],[FAKTUR]]="",INDIRECT(ADDRESS(ROW()-1,COLUMN())),NOTA[[#This Row],[FAKTUR]]))</f>
        <v>UNTANA</v>
      </c>
      <c r="AL838" s="56">
        <f ca="1">IF(NOTA[[#This Row],[ID]]="","",COUNTIF(NOTA[ID_H],NOTA[[#This Row],[ID_H]]))</f>
        <v>6</v>
      </c>
      <c r="AM838" s="56">
        <f>IF(NOTA[[#This Row],[TGL.NOTA]]="",IF(NOTA[[#This Row],[SUPPLIER_H]]="","",AM837),MONTH(NOTA[[#This Row],[TGL.NOTA]]))</f>
        <v>1</v>
      </c>
      <c r="AN838" s="56" t="str">
        <f>LOWER(SUBSTITUTE(SUBSTITUTE(SUBSTITUTE(SUBSTITUTE(SUBSTITUTE(SUBSTITUTE(SUBSTITUTE(SUBSTITUTE(SUBSTITUTE(NOTA[NAMA BARANG]," ",),".",""),"-",""),"(",""),")",""),",",""),"/",""),"""",""),"+",""))</f>
        <v>taskarung45x50</v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taskarung45x501380000</v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taskarung45x501380000</v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SENTOSAUNTANASI-2024/01-021745311taskarung45x50</v>
      </c>
      <c r="AR838" s="56" t="e">
        <f>IF(NOTA[[#This Row],[CONCAT4]]="","",_xlfn.IFNA(MATCH(NOTA[[#This Row],[CONCAT4]],[2]!RAW[CONCAT_H],0),FALSE))</f>
        <v>#REF!</v>
      </c>
      <c r="AS838" s="56">
        <f>IF(NOTA[[#This Row],[CONCAT1]]="","",MATCH(NOTA[[#This Row],[CONCAT1]],[3]!db[NB NOTA_C],0))</f>
        <v>2946</v>
      </c>
      <c r="AT838" s="56" t="b">
        <f>IF(NOTA[[#This Row],[QTY/ CTN]]="","",TRUE)</f>
        <v>1</v>
      </c>
      <c r="AU838" s="56" t="str">
        <f ca="1">IF(NOTA[[#This Row],[ID_H]]="","",IF(NOTA[[#This Row],[Column3]]=TRUE,NOTA[[#This Row],[QTY/ CTN]],INDEX([3]!db[QTY/ CTN],NOTA[[#This Row],[//DB]])))</f>
        <v>120 PCS</v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taskarung45x50120pcsuntana</v>
      </c>
      <c r="AW838" s="56" t="e">
        <f ca="1">IF(NOTA[[#This Row],[ID_H]]="","",MATCH(NOTA[[#This Row],[NB NOTA_C_QTY]],[4]!db[NB NOTA_C_QTY+F],0))</f>
        <v>#REF!</v>
      </c>
      <c r="AX838" s="68">
        <f ca="1">IF(NOTA[[#This Row],[NB NOTA_C_QTY]]="","",ROW()-2)</f>
        <v>836</v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>
        <f ca="1">IF(NOTA[[#This Row],[NAMA BARANG]]="","",INDEX(NOTA[ID],MATCH(,INDIRECT(ADDRESS(ROW(NOTA[ID]),COLUMN(NOTA[ID]))&amp;":"&amp;ADDRESS(ROW(),COLUMN(NOTA[ID]))),-1)))</f>
        <v>149</v>
      </c>
      <c r="E839" s="57"/>
      <c r="F839" s="58"/>
      <c r="G839" s="58"/>
      <c r="H839" s="59"/>
      <c r="I839" s="58"/>
      <c r="J839" s="60"/>
      <c r="K839" s="58"/>
      <c r="L839" s="37" t="s">
        <v>809</v>
      </c>
      <c r="M839" s="61">
        <v>1</v>
      </c>
      <c r="N839" s="56">
        <v>120</v>
      </c>
      <c r="O839" s="37" t="s">
        <v>115</v>
      </c>
      <c r="P839" s="55">
        <f>1380000/120</f>
        <v>11500</v>
      </c>
      <c r="Q839" s="62"/>
      <c r="R839" s="63">
        <v>120</v>
      </c>
      <c r="S839" s="64"/>
      <c r="T839" s="65"/>
      <c r="U839" s="65"/>
      <c r="V839" s="66"/>
      <c r="W839" s="67"/>
      <c r="X839" s="66">
        <f>IF(NOTA[[#This Row],[HARGA/ CTN]]="",NOTA[[#This Row],[JUMLAH_H]],NOTA[[#This Row],[HARGA/ CTN]]*IF(NOTA[[#This Row],[C]]="",0,NOTA[[#This Row],[C]]))</f>
        <v>1380000</v>
      </c>
      <c r="Y839" s="66">
        <f>IF(NOTA[[#This Row],[JUMLAH]]="","",NOTA[[#This Row],[JUMLAH]]*NOTA[[#This Row],[DISC 1]])</f>
        <v>0</v>
      </c>
      <c r="Z839" s="66">
        <f>IF(NOTA[[#This Row],[JUMLAH]]="","",(NOTA[[#This Row],[JUMLAH]]-NOTA[[#This Row],[DISC 1-]])*NOTA[[#This Row],[DISC 2]])</f>
        <v>0</v>
      </c>
      <c r="AA839" s="66">
        <f>IF(NOTA[[#This Row],[JUMLAH]]="","",(NOTA[[#This Row],[JUMLAH]]-NOTA[[#This Row],[DISC 1-]]-NOTA[[#This Row],[DISC 2-]])*NOTA[[#This Row],[DISC 3]])</f>
        <v>0</v>
      </c>
      <c r="AB839" s="66">
        <f>IF(NOTA[[#This Row],[JUMLAH]]="","",NOTA[[#This Row],[DISC 1-]]+NOTA[[#This Row],[DISC 2-]]+NOTA[[#This Row],[DISC 3-]])</f>
        <v>0</v>
      </c>
      <c r="AC839" s="66">
        <f>IF(NOTA[[#This Row],[JUMLAH]]="","",NOTA[[#This Row],[JUMLAH]]-NOTA[[#This Row],[DISC]])</f>
        <v>1380000</v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839" s="66">
        <f>IF(OR(NOTA[[#This Row],[QTY]]="",NOTA[[#This Row],[HARGA SATUAN]]="",),"",NOTA[[#This Row],[QTY]]*NOTA[[#This Row],[HARGA SATUAN]])</f>
        <v>1380000</v>
      </c>
      <c r="AI839" s="60">
        <f ca="1">IF(NOTA[ID_H]="","",INDEX(NOTA[TANGGAL],MATCH(,INDIRECT(ADDRESS(ROW(NOTA[TANGGAL]),COLUMN(NOTA[TANGGAL]))&amp;":"&amp;ADDRESS(ROW(),COLUMN(NOTA[TANGGAL]))),-1)))</f>
        <v>45327</v>
      </c>
      <c r="AJ839" s="55" t="str">
        <f ca="1">IF(NOTA[[#This Row],[NAMA BARANG]]="","",INDEX(NOTA[SUPPLIER],MATCH(,INDIRECT(ADDRESS(ROW(NOTA[ID]),COLUMN(NOTA[ID]))&amp;":"&amp;ADDRESS(ROW(),COLUMN(NOTA[ID]))),-1)))</f>
        <v>WIN'S SENTOSA</v>
      </c>
      <c r="AK839" s="55" t="str">
        <f ca="1">IF(NOTA[[#This Row],[ID_H]]="","",IF(NOTA[[#This Row],[FAKTUR]]="",INDIRECT(ADDRESS(ROW()-1,COLUMN())),NOTA[[#This Row],[FAKTUR]]))</f>
        <v>UNTANA</v>
      </c>
      <c r="AL839" s="56" t="str">
        <f ca="1">IF(NOTA[[#This Row],[ID]]="","",COUNTIF(NOTA[ID_H],NOTA[[#This Row],[ID_H]]))</f>
        <v/>
      </c>
      <c r="AM839" s="56">
        <f ca="1">IF(NOTA[[#This Row],[TGL.NOTA]]="",IF(NOTA[[#This Row],[SUPPLIER_H]]="","",AM838),MONTH(NOTA[[#This Row],[TGL.NOTA]]))</f>
        <v>1</v>
      </c>
      <c r="AN839" s="56" t="str">
        <f>LOWER(SUBSTITUTE(SUBSTITUTE(SUBSTITUTE(SUBSTITUTE(SUBSTITUTE(SUBSTITUTE(SUBSTITUTE(SUBSTITUTE(SUBSTITUTE(NOTA[NAMA BARANG]," ",),".",""),"-",""),"(",""),")",""),",",""),"/",""),"""",""),"+",""))</f>
        <v>taskarung45x50</v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taskarung45x501380000</v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taskarung45x501380000</v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>
        <f>IF(NOTA[[#This Row],[CONCAT1]]="","",MATCH(NOTA[[#This Row],[CONCAT1]],[3]!db[NB NOTA_C],0))</f>
        <v>2946</v>
      </c>
      <c r="AT839" s="56" t="b">
        <f>IF(NOTA[[#This Row],[QTY/ CTN]]="","",TRUE)</f>
        <v>1</v>
      </c>
      <c r="AU839" s="56">
        <f ca="1">IF(NOTA[[#This Row],[ID_H]]="","",IF(NOTA[[#This Row],[Column3]]=TRUE,NOTA[[#This Row],[QTY/ CTN]],INDEX([3]!db[QTY/ CTN],NOTA[[#This Row],[//DB]])))</f>
        <v>120</v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taskarung45x50120untana</v>
      </c>
      <c r="AW839" s="56" t="e">
        <f ca="1">IF(NOTA[[#This Row],[ID_H]]="","",MATCH(NOTA[[#This Row],[NB NOTA_C_QTY]],[4]!db[NB NOTA_C_QTY+F],0))</f>
        <v>#REF!</v>
      </c>
      <c r="AX839" s="68">
        <f ca="1">IF(NOTA[[#This Row],[NB NOTA_C_QTY]]="","",ROW()-2)</f>
        <v>837</v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>
        <f ca="1">IF(NOTA[[#This Row],[NAMA BARANG]]="","",INDEX(NOTA[ID],MATCH(,INDIRECT(ADDRESS(ROW(NOTA[ID]),COLUMN(NOTA[ID]))&amp;":"&amp;ADDRESS(ROW(),COLUMN(NOTA[ID]))),-1)))</f>
        <v>149</v>
      </c>
      <c r="E840" s="57"/>
      <c r="F840" s="58"/>
      <c r="G840" s="58"/>
      <c r="H840" s="59"/>
      <c r="I840" s="58"/>
      <c r="J840" s="60"/>
      <c r="K840" s="58"/>
      <c r="L840" s="37" t="s">
        <v>810</v>
      </c>
      <c r="M840" s="61">
        <v>10</v>
      </c>
      <c r="N840" s="38">
        <v>1200</v>
      </c>
      <c r="O840" s="37" t="s">
        <v>115</v>
      </c>
      <c r="P840" s="55">
        <v>13000</v>
      </c>
      <c r="Q840" s="62"/>
      <c r="R840" s="63">
        <v>120</v>
      </c>
      <c r="S840" s="64"/>
      <c r="T840" s="65"/>
      <c r="U840" s="65"/>
      <c r="V840" s="66"/>
      <c r="W840" s="67"/>
      <c r="X840" s="66">
        <f>IF(NOTA[[#This Row],[HARGA/ CTN]]="",NOTA[[#This Row],[JUMLAH_H]],NOTA[[#This Row],[HARGA/ CTN]]*IF(NOTA[[#This Row],[C]]="",0,NOTA[[#This Row],[C]]))</f>
        <v>15600000</v>
      </c>
      <c r="Y840" s="66">
        <f>IF(NOTA[[#This Row],[JUMLAH]]="","",NOTA[[#This Row],[JUMLAH]]*NOTA[[#This Row],[DISC 1]])</f>
        <v>0</v>
      </c>
      <c r="Z840" s="66">
        <f>IF(NOTA[[#This Row],[JUMLAH]]="","",(NOTA[[#This Row],[JUMLAH]]-NOTA[[#This Row],[DISC 1-]])*NOTA[[#This Row],[DISC 2]])</f>
        <v>0</v>
      </c>
      <c r="AA840" s="66">
        <f>IF(NOTA[[#This Row],[JUMLAH]]="","",(NOTA[[#This Row],[JUMLAH]]-NOTA[[#This Row],[DISC 1-]]-NOTA[[#This Row],[DISC 2-]])*NOTA[[#This Row],[DISC 3]])</f>
        <v>0</v>
      </c>
      <c r="AB840" s="66">
        <f>IF(NOTA[[#This Row],[JUMLAH]]="","",NOTA[[#This Row],[DISC 1-]]+NOTA[[#This Row],[DISC 2-]]+NOTA[[#This Row],[DISC 3-]])</f>
        <v>0</v>
      </c>
      <c r="AC840" s="66">
        <f>IF(NOTA[[#This Row],[JUMLAH]]="","",NOTA[[#This Row],[JUMLAH]]-NOTA[[#This Row],[DISC]])</f>
        <v>15600000</v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840" s="66">
        <f>IF(OR(NOTA[[#This Row],[QTY]]="",NOTA[[#This Row],[HARGA SATUAN]]="",),"",NOTA[[#This Row],[QTY]]*NOTA[[#This Row],[HARGA SATUAN]])</f>
        <v>15600000</v>
      </c>
      <c r="AI840" s="60">
        <f ca="1">IF(NOTA[ID_H]="","",INDEX(NOTA[TANGGAL],MATCH(,INDIRECT(ADDRESS(ROW(NOTA[TANGGAL]),COLUMN(NOTA[TANGGAL]))&amp;":"&amp;ADDRESS(ROW(),COLUMN(NOTA[TANGGAL]))),-1)))</f>
        <v>45327</v>
      </c>
      <c r="AJ840" s="55" t="str">
        <f ca="1">IF(NOTA[[#This Row],[NAMA BARANG]]="","",INDEX(NOTA[SUPPLIER],MATCH(,INDIRECT(ADDRESS(ROW(NOTA[ID]),COLUMN(NOTA[ID]))&amp;":"&amp;ADDRESS(ROW(),COLUMN(NOTA[ID]))),-1)))</f>
        <v>WIN'S SENTOSA</v>
      </c>
      <c r="AK840" s="55" t="str">
        <f ca="1">IF(NOTA[[#This Row],[ID_H]]="","",IF(NOTA[[#This Row],[FAKTUR]]="",INDIRECT(ADDRESS(ROW()-1,COLUMN())),NOTA[[#This Row],[FAKTUR]]))</f>
        <v>UNTANA</v>
      </c>
      <c r="AL840" s="56" t="str">
        <f ca="1">IF(NOTA[[#This Row],[ID]]="","",COUNTIF(NOTA[ID_H],NOTA[[#This Row],[ID_H]]))</f>
        <v/>
      </c>
      <c r="AM840" s="56">
        <f ca="1">IF(NOTA[[#This Row],[TGL.NOTA]]="",IF(NOTA[[#This Row],[SUPPLIER_H]]="","",AM839),MONTH(NOTA[[#This Row],[TGL.NOTA]]))</f>
        <v>1</v>
      </c>
      <c r="AN840" s="56" t="str">
        <f>LOWER(SUBSTITUTE(SUBSTITUTE(SUBSTITUTE(SUBSTITUTE(SUBSTITUTE(SUBSTITUTE(SUBSTITUTE(SUBSTITUTE(SUBSTITUTE(NOTA[NAMA BARANG]," ",),".",""),"-",""),"(",""),")",""),",",""),"/",""),"""",""),"+",""))</f>
        <v>taskarung50x55</v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taskarung50x551560000</v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taskarung50x551560000</v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>
        <f>IF(NOTA[[#This Row],[CONCAT1]]="","",MATCH(NOTA[[#This Row],[CONCAT1]],[3]!db[NB NOTA_C],0))</f>
        <v>2947</v>
      </c>
      <c r="AT840" s="56" t="b">
        <f>IF(NOTA[[#This Row],[QTY/ CTN]]="","",TRUE)</f>
        <v>1</v>
      </c>
      <c r="AU840" s="56">
        <f ca="1">IF(NOTA[[#This Row],[ID_H]]="","",IF(NOTA[[#This Row],[Column3]]=TRUE,NOTA[[#This Row],[QTY/ CTN]],INDEX([3]!db[QTY/ CTN],NOTA[[#This Row],[//DB]])))</f>
        <v>120</v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taskarung50x55120untana</v>
      </c>
      <c r="AW840" s="56" t="e">
        <f ca="1">IF(NOTA[[#This Row],[ID_H]]="","",MATCH(NOTA[[#This Row],[NB NOTA_C_QTY]],[4]!db[NB NOTA_C_QTY+F],0))</f>
        <v>#REF!</v>
      </c>
      <c r="AX840" s="68">
        <f ca="1">IF(NOTA[[#This Row],[NB NOTA_C_QTY]]="","",ROW()-2)</f>
        <v>838</v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>
        <f ca="1">IF(NOTA[[#This Row],[NAMA BARANG]]="","",INDEX(NOTA[ID],MATCH(,INDIRECT(ADDRESS(ROW(NOTA[ID]),COLUMN(NOTA[ID]))&amp;":"&amp;ADDRESS(ROW(),COLUMN(NOTA[ID]))),-1)))</f>
        <v>149</v>
      </c>
      <c r="E841" s="57"/>
      <c r="F841" s="58"/>
      <c r="G841" s="58"/>
      <c r="H841" s="59"/>
      <c r="I841" s="58"/>
      <c r="J841" s="60"/>
      <c r="K841" s="58"/>
      <c r="L841" s="37" t="s">
        <v>810</v>
      </c>
      <c r="M841" s="61">
        <v>1</v>
      </c>
      <c r="N841" s="56">
        <v>120</v>
      </c>
      <c r="O841" s="37" t="s">
        <v>115</v>
      </c>
      <c r="P841" s="55">
        <v>13000</v>
      </c>
      <c r="Q841" s="62"/>
      <c r="R841" s="63">
        <v>120</v>
      </c>
      <c r="S841" s="64"/>
      <c r="T841" s="65"/>
      <c r="U841" s="65"/>
      <c r="V841" s="66"/>
      <c r="W841" s="67"/>
      <c r="X841" s="66">
        <f>IF(NOTA[[#This Row],[HARGA/ CTN]]="",NOTA[[#This Row],[JUMLAH_H]],NOTA[[#This Row],[HARGA/ CTN]]*IF(NOTA[[#This Row],[C]]="",0,NOTA[[#This Row],[C]]))</f>
        <v>1560000</v>
      </c>
      <c r="Y841" s="66">
        <f>IF(NOTA[[#This Row],[JUMLAH]]="","",NOTA[[#This Row],[JUMLAH]]*NOTA[[#This Row],[DISC 1]])</f>
        <v>0</v>
      </c>
      <c r="Z841" s="66">
        <f>IF(NOTA[[#This Row],[JUMLAH]]="","",(NOTA[[#This Row],[JUMLAH]]-NOTA[[#This Row],[DISC 1-]])*NOTA[[#This Row],[DISC 2]])</f>
        <v>0</v>
      </c>
      <c r="AA841" s="66">
        <f>IF(NOTA[[#This Row],[JUMLAH]]="","",(NOTA[[#This Row],[JUMLAH]]-NOTA[[#This Row],[DISC 1-]]-NOTA[[#This Row],[DISC 2-]])*NOTA[[#This Row],[DISC 3]])</f>
        <v>0</v>
      </c>
      <c r="AB841" s="66">
        <f>IF(NOTA[[#This Row],[JUMLAH]]="","",NOTA[[#This Row],[DISC 1-]]+NOTA[[#This Row],[DISC 2-]]+NOTA[[#This Row],[DISC 3-]])</f>
        <v>0</v>
      </c>
      <c r="AC841" s="66">
        <f>IF(NOTA[[#This Row],[JUMLAH]]="","",NOTA[[#This Row],[JUMLAH]]-NOTA[[#This Row],[DISC]])</f>
        <v>1560000</v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841" s="66">
        <f>IF(OR(NOTA[[#This Row],[QTY]]="",NOTA[[#This Row],[HARGA SATUAN]]="",),"",NOTA[[#This Row],[QTY]]*NOTA[[#This Row],[HARGA SATUAN]])</f>
        <v>1560000</v>
      </c>
      <c r="AI841" s="60">
        <f ca="1">IF(NOTA[ID_H]="","",INDEX(NOTA[TANGGAL],MATCH(,INDIRECT(ADDRESS(ROW(NOTA[TANGGAL]),COLUMN(NOTA[TANGGAL]))&amp;":"&amp;ADDRESS(ROW(),COLUMN(NOTA[TANGGAL]))),-1)))</f>
        <v>45327</v>
      </c>
      <c r="AJ841" s="55" t="str">
        <f ca="1">IF(NOTA[[#This Row],[NAMA BARANG]]="","",INDEX(NOTA[SUPPLIER],MATCH(,INDIRECT(ADDRESS(ROW(NOTA[ID]),COLUMN(NOTA[ID]))&amp;":"&amp;ADDRESS(ROW(),COLUMN(NOTA[ID]))),-1)))</f>
        <v>WIN'S SENTOSA</v>
      </c>
      <c r="AK841" s="55" t="str">
        <f ca="1">IF(NOTA[[#This Row],[ID_H]]="","",IF(NOTA[[#This Row],[FAKTUR]]="",INDIRECT(ADDRESS(ROW()-1,COLUMN())),NOTA[[#This Row],[FAKTUR]]))</f>
        <v>UNTANA</v>
      </c>
      <c r="AL841" s="56" t="str">
        <f ca="1">IF(NOTA[[#This Row],[ID]]="","",COUNTIF(NOTA[ID_H],NOTA[[#This Row],[ID_H]]))</f>
        <v/>
      </c>
      <c r="AM841" s="56">
        <f ca="1">IF(NOTA[[#This Row],[TGL.NOTA]]="",IF(NOTA[[#This Row],[SUPPLIER_H]]="","",AM840),MONTH(NOTA[[#This Row],[TGL.NOTA]]))</f>
        <v>1</v>
      </c>
      <c r="AN841" s="56" t="str">
        <f>LOWER(SUBSTITUTE(SUBSTITUTE(SUBSTITUTE(SUBSTITUTE(SUBSTITUTE(SUBSTITUTE(SUBSTITUTE(SUBSTITUTE(SUBSTITUTE(NOTA[NAMA BARANG]," ",),".",""),"-",""),"(",""),")",""),",",""),"/",""),"""",""),"+",""))</f>
        <v>taskarung50x55</v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taskarung50x551560000</v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taskarung50x551560000</v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>
        <f>IF(NOTA[[#This Row],[CONCAT1]]="","",MATCH(NOTA[[#This Row],[CONCAT1]],[3]!db[NB NOTA_C],0))</f>
        <v>2947</v>
      </c>
      <c r="AT841" s="56" t="b">
        <f>IF(NOTA[[#This Row],[QTY/ CTN]]="","",TRUE)</f>
        <v>1</v>
      </c>
      <c r="AU841" s="56">
        <f ca="1">IF(NOTA[[#This Row],[ID_H]]="","",IF(NOTA[[#This Row],[Column3]]=TRUE,NOTA[[#This Row],[QTY/ CTN]],INDEX([3]!db[QTY/ CTN],NOTA[[#This Row],[//DB]])))</f>
        <v>120</v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taskarung50x55120untana</v>
      </c>
      <c r="AW841" s="56" t="e">
        <f ca="1">IF(NOTA[[#This Row],[ID_H]]="","",MATCH(NOTA[[#This Row],[NB NOTA_C_QTY]],[4]!db[NB NOTA_C_QTY+F],0))</f>
        <v>#REF!</v>
      </c>
      <c r="AX841" s="68">
        <f ca="1">IF(NOTA[[#This Row],[NB NOTA_C_QTY]]="","",ROW()-2)</f>
        <v>839</v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>
        <f ca="1">IF(NOTA[[#This Row],[NAMA BARANG]]="","",INDEX(NOTA[ID],MATCH(,INDIRECT(ADDRESS(ROW(NOTA[ID]),COLUMN(NOTA[ID]))&amp;":"&amp;ADDRESS(ROW(),COLUMN(NOTA[ID]))),-1)))</f>
        <v>149</v>
      </c>
      <c r="E842" s="57"/>
      <c r="F842" s="58"/>
      <c r="G842" s="58"/>
      <c r="H842" s="59"/>
      <c r="I842" s="58"/>
      <c r="J842" s="60"/>
      <c r="K842" s="58"/>
      <c r="L842" s="37" t="s">
        <v>811</v>
      </c>
      <c r="M842" s="61">
        <v>5</v>
      </c>
      <c r="N842" s="56">
        <v>600</v>
      </c>
      <c r="O842" s="37" t="s">
        <v>115</v>
      </c>
      <c r="P842" s="55">
        <v>18000</v>
      </c>
      <c r="Q842" s="62"/>
      <c r="R842" s="63">
        <v>120</v>
      </c>
      <c r="S842" s="64"/>
      <c r="T842" s="65"/>
      <c r="U842" s="65"/>
      <c r="V842" s="66"/>
      <c r="W842" s="67"/>
      <c r="X842" s="66">
        <f>IF(NOTA[[#This Row],[HARGA/ CTN]]="",NOTA[[#This Row],[JUMLAH_H]],NOTA[[#This Row],[HARGA/ CTN]]*IF(NOTA[[#This Row],[C]]="",0,NOTA[[#This Row],[C]]))</f>
        <v>10800000</v>
      </c>
      <c r="Y842" s="66">
        <f>IF(NOTA[[#This Row],[JUMLAH]]="","",NOTA[[#This Row],[JUMLAH]]*NOTA[[#This Row],[DISC 1]])</f>
        <v>0</v>
      </c>
      <c r="Z842" s="66">
        <f>IF(NOTA[[#This Row],[JUMLAH]]="","",(NOTA[[#This Row],[JUMLAH]]-NOTA[[#This Row],[DISC 1-]])*NOTA[[#This Row],[DISC 2]])</f>
        <v>0</v>
      </c>
      <c r="AA842" s="66">
        <f>IF(NOTA[[#This Row],[JUMLAH]]="","",(NOTA[[#This Row],[JUMLAH]]-NOTA[[#This Row],[DISC 1-]]-NOTA[[#This Row],[DISC 2-]])*NOTA[[#This Row],[DISC 3]])</f>
        <v>0</v>
      </c>
      <c r="AB842" s="66">
        <f>IF(NOTA[[#This Row],[JUMLAH]]="","",NOTA[[#This Row],[DISC 1-]]+NOTA[[#This Row],[DISC 2-]]+NOTA[[#This Row],[DISC 3-]])</f>
        <v>0</v>
      </c>
      <c r="AC842" s="66">
        <f>IF(NOTA[[#This Row],[JUMLAH]]="","",NOTA[[#This Row],[JUMLAH]]-NOTA[[#This Row],[DISC]])</f>
        <v>10800000</v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842" s="66">
        <f>IF(OR(NOTA[[#This Row],[QTY]]="",NOTA[[#This Row],[HARGA SATUAN]]="",),"",NOTA[[#This Row],[QTY]]*NOTA[[#This Row],[HARGA SATUAN]])</f>
        <v>10800000</v>
      </c>
      <c r="AI842" s="60">
        <f ca="1">IF(NOTA[ID_H]="","",INDEX(NOTA[TANGGAL],MATCH(,INDIRECT(ADDRESS(ROW(NOTA[TANGGAL]),COLUMN(NOTA[TANGGAL]))&amp;":"&amp;ADDRESS(ROW(),COLUMN(NOTA[TANGGAL]))),-1)))</f>
        <v>45327</v>
      </c>
      <c r="AJ842" s="55" t="str">
        <f ca="1">IF(NOTA[[#This Row],[NAMA BARANG]]="","",INDEX(NOTA[SUPPLIER],MATCH(,INDIRECT(ADDRESS(ROW(NOTA[ID]),COLUMN(NOTA[ID]))&amp;":"&amp;ADDRESS(ROW(),COLUMN(NOTA[ID]))),-1)))</f>
        <v>WIN'S SENTOSA</v>
      </c>
      <c r="AK842" s="55" t="str">
        <f ca="1">IF(NOTA[[#This Row],[ID_H]]="","",IF(NOTA[[#This Row],[FAKTUR]]="",INDIRECT(ADDRESS(ROW()-1,COLUMN())),NOTA[[#This Row],[FAKTUR]]))</f>
        <v>UNTANA</v>
      </c>
      <c r="AL842" s="56" t="str">
        <f ca="1">IF(NOTA[[#This Row],[ID]]="","",COUNTIF(NOTA[ID_H],NOTA[[#This Row],[ID_H]]))</f>
        <v/>
      </c>
      <c r="AM842" s="56">
        <f ca="1">IF(NOTA[[#This Row],[TGL.NOTA]]="",IF(NOTA[[#This Row],[SUPPLIER_H]]="","",AM841),MONTH(NOTA[[#This Row],[TGL.NOTA]]))</f>
        <v>1</v>
      </c>
      <c r="AN842" s="56" t="str">
        <f>LOWER(SUBSTITUTE(SUBSTITUTE(SUBSTITUTE(SUBSTITUTE(SUBSTITUTE(SUBSTITUTE(SUBSTITUTE(SUBSTITUTE(SUBSTITUTE(NOTA[NAMA BARANG]," ",),".",""),"-",""),"(",""),")",""),",",""),"/",""),"""",""),"+",""))</f>
        <v>taskarung60x70x25</v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taskarung60x70x252160000</v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taskarung60x70x252160000</v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e">
        <f>IF(NOTA[[#This Row],[CONCAT1]]="","",MATCH(NOTA[[#This Row],[CONCAT1]],[3]!db[NB NOTA_C],0))</f>
        <v>#N/A</v>
      </c>
      <c r="AT842" s="56" t="b">
        <f>IF(NOTA[[#This Row],[QTY/ CTN]]="","",TRUE)</f>
        <v>1</v>
      </c>
      <c r="AU842" s="56">
        <f ca="1">IF(NOTA[[#This Row],[ID_H]]="","",IF(NOTA[[#This Row],[Column3]]=TRUE,NOTA[[#This Row],[QTY/ CTN]],INDEX([3]!db[QTY/ CTN],NOTA[[#This Row],[//DB]])))</f>
        <v>120</v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taskarung60x70x25120untana</v>
      </c>
      <c r="AW842" s="56" t="e">
        <f ca="1">IF(NOTA[[#This Row],[ID_H]]="","",MATCH(NOTA[[#This Row],[NB NOTA_C_QTY]],[4]!db[NB NOTA_C_QTY+F],0))</f>
        <v>#REF!</v>
      </c>
      <c r="AX842" s="68">
        <f ca="1">IF(NOTA[[#This Row],[NB NOTA_C_QTY]]="","",ROW()-2)</f>
        <v>840</v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>
        <f ca="1">IF(NOTA[[#This Row],[NAMA BARANG]]="","",INDEX(NOTA[ID],MATCH(,INDIRECT(ADDRESS(ROW(NOTA[ID]),COLUMN(NOTA[ID]))&amp;":"&amp;ADDRESS(ROW(),COLUMN(NOTA[ID]))),-1)))</f>
        <v>149</v>
      </c>
      <c r="E843" s="57"/>
      <c r="F843" s="58"/>
      <c r="G843" s="58"/>
      <c r="H843" s="59"/>
      <c r="I843" s="58"/>
      <c r="J843" s="60"/>
      <c r="K843" s="58">
        <v>0</v>
      </c>
      <c r="L843" s="37" t="s">
        <v>811</v>
      </c>
      <c r="M843" s="61">
        <v>1</v>
      </c>
      <c r="N843" s="56">
        <v>120</v>
      </c>
      <c r="O843" s="37" t="s">
        <v>115</v>
      </c>
      <c r="P843" s="55">
        <v>18000</v>
      </c>
      <c r="Q843" s="62"/>
      <c r="R843" s="63">
        <v>120</v>
      </c>
      <c r="S843" s="64"/>
      <c r="T843" s="65"/>
      <c r="U843" s="65"/>
      <c r="V843" s="66"/>
      <c r="W843" s="67"/>
      <c r="X843" s="66">
        <f>IF(NOTA[[#This Row],[HARGA/ CTN]]="",NOTA[[#This Row],[JUMLAH_H]],NOTA[[#This Row],[HARGA/ CTN]]*IF(NOTA[[#This Row],[C]]="",0,NOTA[[#This Row],[C]]))</f>
        <v>2160000</v>
      </c>
      <c r="Y843" s="66">
        <f>IF(NOTA[[#This Row],[JUMLAH]]="","",NOTA[[#This Row],[JUMLAH]]*NOTA[[#This Row],[DISC 1]])</f>
        <v>0</v>
      </c>
      <c r="Z843" s="66">
        <f>IF(NOTA[[#This Row],[JUMLAH]]="","",(NOTA[[#This Row],[JUMLAH]]-NOTA[[#This Row],[DISC 1-]])*NOTA[[#This Row],[DISC 2]])</f>
        <v>0</v>
      </c>
      <c r="AA843" s="66">
        <f>IF(NOTA[[#This Row],[JUMLAH]]="","",(NOTA[[#This Row],[JUMLAH]]-NOTA[[#This Row],[DISC 1-]]-NOTA[[#This Row],[DISC 2-]])*NOTA[[#This Row],[DISC 3]])</f>
        <v>0</v>
      </c>
      <c r="AB843" s="66">
        <f>IF(NOTA[[#This Row],[JUMLAH]]="","",NOTA[[#This Row],[DISC 1-]]+NOTA[[#This Row],[DISC 2-]]+NOTA[[#This Row],[DISC 3-]])</f>
        <v>0</v>
      </c>
      <c r="AC843" s="66">
        <f>IF(NOTA[[#This Row],[JUMLAH]]="","",NOTA[[#This Row],[JUMLAH]]-NOTA[[#This Row],[DISC]])</f>
        <v>2160000</v>
      </c>
      <c r="AD843" s="66"/>
      <c r="AE8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42540000</v>
      </c>
      <c r="AG843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843" s="66">
        <f>IF(OR(NOTA[[#This Row],[QTY]]="",NOTA[[#This Row],[HARGA SATUAN]]="",),"",NOTA[[#This Row],[QTY]]*NOTA[[#This Row],[HARGA SATUAN]])</f>
        <v>2160000</v>
      </c>
      <c r="AI843" s="60">
        <f ca="1">IF(NOTA[ID_H]="","",INDEX(NOTA[TANGGAL],MATCH(,INDIRECT(ADDRESS(ROW(NOTA[TANGGAL]),COLUMN(NOTA[TANGGAL]))&amp;":"&amp;ADDRESS(ROW(),COLUMN(NOTA[TANGGAL]))),-1)))</f>
        <v>45327</v>
      </c>
      <c r="AJ843" s="55" t="str">
        <f ca="1">IF(NOTA[[#This Row],[NAMA BARANG]]="","",INDEX(NOTA[SUPPLIER],MATCH(,INDIRECT(ADDRESS(ROW(NOTA[ID]),COLUMN(NOTA[ID]))&amp;":"&amp;ADDRESS(ROW(),COLUMN(NOTA[ID]))),-1)))</f>
        <v>WIN'S SENTOSA</v>
      </c>
      <c r="AK843" s="55" t="str">
        <f ca="1">IF(NOTA[[#This Row],[ID_H]]="","",IF(NOTA[[#This Row],[FAKTUR]]="",INDIRECT(ADDRESS(ROW()-1,COLUMN())),NOTA[[#This Row],[FAKTUR]]))</f>
        <v>UNTANA</v>
      </c>
      <c r="AL843" s="56" t="str">
        <f ca="1">IF(NOTA[[#This Row],[ID]]="","",COUNTIF(NOTA[ID_H],NOTA[[#This Row],[ID_H]]))</f>
        <v/>
      </c>
      <c r="AM843" s="56">
        <f ca="1">IF(NOTA[[#This Row],[TGL.NOTA]]="",IF(NOTA[[#This Row],[SUPPLIER_H]]="","",AM842),MONTH(NOTA[[#This Row],[TGL.NOTA]]))</f>
        <v>1</v>
      </c>
      <c r="AN843" s="56" t="str">
        <f>LOWER(SUBSTITUTE(SUBSTITUTE(SUBSTITUTE(SUBSTITUTE(SUBSTITUTE(SUBSTITUTE(SUBSTITUTE(SUBSTITUTE(SUBSTITUTE(NOTA[NAMA BARANG]," ",),".",""),"-",""),"(",""),")",""),",",""),"/",""),"""",""),"+",""))</f>
        <v>taskarung60x70x25</v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taskarung60x70x252160000</v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taskarung60x70x252160000</v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e">
        <f>IF(NOTA[[#This Row],[CONCAT1]]="","",MATCH(NOTA[[#This Row],[CONCAT1]],[3]!db[NB NOTA_C],0))</f>
        <v>#N/A</v>
      </c>
      <c r="AT843" s="56" t="b">
        <f>IF(NOTA[[#This Row],[QTY/ CTN]]="","",TRUE)</f>
        <v>1</v>
      </c>
      <c r="AU843" s="56">
        <f ca="1">IF(NOTA[[#This Row],[ID_H]]="","",IF(NOTA[[#This Row],[Column3]]=TRUE,NOTA[[#This Row],[QTY/ CTN]],INDEX([3]!db[QTY/ CTN],NOTA[[#This Row],[//DB]])))</f>
        <v>120</v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taskarung60x70x25120untana</v>
      </c>
      <c r="AW843" s="56" t="e">
        <f ca="1">IF(NOTA[[#This Row],[ID_H]]="","",MATCH(NOTA[[#This Row],[NB NOTA_C_QTY]],[4]!db[NB NOTA_C_QTY+F],0))</f>
        <v>#REF!</v>
      </c>
      <c r="AX843" s="68">
        <f ca="1">IF(NOTA[[#This Row],[NB NOTA_C_QTY]]="","",ROW()-2)</f>
        <v>841</v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>
        <f ca="1">IF(INDIRECT(ADDRESS(ROW()-1,COLUMN(NOTA[[#Headers],[ID]])))="ID",1,IF(NOTA[[#This Row],[FAKTUR]]="","",COUNT(INDIRECT(ADDRESS(ROW(NOTA[ID]),COLUMN(NOTA[ID]))&amp;":"&amp;ADDRESS(ROW()-1,COLUMN(NOTA[ID]))))+1))</f>
        <v>150</v>
      </c>
      <c r="B84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WIN_0502_219-2</v>
      </c>
      <c r="C845" s="56" t="e">
        <f ca="1">IF(NOTA[[#This Row],[ID_P]]="","",MATCH(NOTA[[#This Row],[ID_P]],[1]!B_MSK[N_ID],0))</f>
        <v>#REF!</v>
      </c>
      <c r="D845" s="56">
        <f ca="1">IF(NOTA[[#This Row],[NAMA BARANG]]="","",INDEX(NOTA[ID],MATCH(,INDIRECT(ADDRESS(ROW(NOTA[ID]),COLUMN(NOTA[ID]))&amp;":"&amp;ADDRESS(ROW(),COLUMN(NOTA[ID]))),-1)))</f>
        <v>150</v>
      </c>
      <c r="E845" s="57">
        <v>45327</v>
      </c>
      <c r="F845" s="37" t="s">
        <v>807</v>
      </c>
      <c r="G845" s="37" t="s">
        <v>110</v>
      </c>
      <c r="H845" s="47" t="s">
        <v>917</v>
      </c>
      <c r="I845" s="58"/>
      <c r="J845" s="60">
        <v>45311</v>
      </c>
      <c r="K845" s="58"/>
      <c r="L845" s="37" t="s">
        <v>918</v>
      </c>
      <c r="M845" s="61">
        <v>25</v>
      </c>
      <c r="N845" s="38">
        <f>25*25</f>
        <v>625</v>
      </c>
      <c r="O845" s="37" t="s">
        <v>115</v>
      </c>
      <c r="P845" s="55">
        <v>38500</v>
      </c>
      <c r="Q845" s="62"/>
      <c r="R845" s="63">
        <v>25</v>
      </c>
      <c r="S845" s="64"/>
      <c r="T845" s="65"/>
      <c r="U845" s="65"/>
      <c r="V845" s="66"/>
      <c r="W845" s="67"/>
      <c r="X845" s="66">
        <f>IF(NOTA[[#This Row],[HARGA/ CTN]]="",NOTA[[#This Row],[JUMLAH_H]],NOTA[[#This Row],[HARGA/ CTN]]*IF(NOTA[[#This Row],[C]]="",0,NOTA[[#This Row],[C]]))</f>
        <v>24062500</v>
      </c>
      <c r="Y845" s="66">
        <f>IF(NOTA[[#This Row],[JUMLAH]]="","",NOTA[[#This Row],[JUMLAH]]*NOTA[[#This Row],[DISC 1]])</f>
        <v>0</v>
      </c>
      <c r="Z845" s="66">
        <f>IF(NOTA[[#This Row],[JUMLAH]]="","",(NOTA[[#This Row],[JUMLAH]]-NOTA[[#This Row],[DISC 1-]])*NOTA[[#This Row],[DISC 2]])</f>
        <v>0</v>
      </c>
      <c r="AA845" s="66">
        <f>IF(NOTA[[#This Row],[JUMLAH]]="","",(NOTA[[#This Row],[JUMLAH]]-NOTA[[#This Row],[DISC 1-]]-NOTA[[#This Row],[DISC 2-]])*NOTA[[#This Row],[DISC 3]])</f>
        <v>0</v>
      </c>
      <c r="AB845" s="66">
        <f>IF(NOTA[[#This Row],[JUMLAH]]="","",NOTA[[#This Row],[DISC 1-]]+NOTA[[#This Row],[DISC 2-]]+NOTA[[#This Row],[DISC 3-]])</f>
        <v>0</v>
      </c>
      <c r="AC845" s="66">
        <f>IF(NOTA[[#This Row],[JUMLAH]]="","",NOTA[[#This Row],[JUMLAH]]-NOTA[[#This Row],[DISC]])</f>
        <v>24062500</v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>
        <f>IF(NOTA[[#This Row],[NAMA BARANG]]="","",IF(NOTA[[#This Row],[JUMLAH_H]]="",NOTA[[#This Row],[HARGA/ CTN]],NOTA[[#This Row],[QTY]]*NOTA[[#This Row],[HARGA SATUAN]]/IF(ISNUMBER(NOTA[[#This Row],[C]]),NOTA[[#This Row],[C]],1)))</f>
        <v>962500</v>
      </c>
      <c r="AH845" s="66">
        <f>IF(OR(NOTA[[#This Row],[QTY]]="",NOTA[[#This Row],[HARGA SATUAN]]="",),"",NOTA[[#This Row],[QTY]]*NOTA[[#This Row],[HARGA SATUAN]])</f>
        <v>24062500</v>
      </c>
      <c r="AI845" s="60">
        <f ca="1">IF(NOTA[ID_H]="","",INDEX(NOTA[TANGGAL],MATCH(,INDIRECT(ADDRESS(ROW(NOTA[TANGGAL]),COLUMN(NOTA[TANGGAL]))&amp;":"&amp;ADDRESS(ROW(),COLUMN(NOTA[TANGGAL]))),-1)))</f>
        <v>45327</v>
      </c>
      <c r="AJ845" s="55" t="str">
        <f ca="1">IF(NOTA[[#This Row],[NAMA BARANG]]="","",INDEX(NOTA[SUPPLIER],MATCH(,INDIRECT(ADDRESS(ROW(NOTA[ID]),COLUMN(NOTA[ID]))&amp;":"&amp;ADDRESS(ROW(),COLUMN(NOTA[ID]))),-1)))</f>
        <v>WIN'S SENTOSA</v>
      </c>
      <c r="AK845" s="55" t="str">
        <f ca="1">IF(NOTA[[#This Row],[ID_H]]="","",IF(NOTA[[#This Row],[FAKTUR]]="",INDIRECT(ADDRESS(ROW()-1,COLUMN())),NOTA[[#This Row],[FAKTUR]]))</f>
        <v>UNTANA</v>
      </c>
      <c r="AL845" s="56">
        <f ca="1">IF(NOTA[[#This Row],[ID]]="","",COUNTIF(NOTA[ID_H],NOTA[[#This Row],[ID_H]]))</f>
        <v>2</v>
      </c>
      <c r="AM845" s="56">
        <f>IF(NOTA[[#This Row],[TGL.NOTA]]="",IF(NOTA[[#This Row],[SUPPLIER_H]]="","",AM844),MONTH(NOTA[[#This Row],[TGL.NOTA]]))</f>
        <v>1</v>
      </c>
      <c r="AN845" s="56" t="str">
        <f>LOWER(SUBSTITUTE(SUBSTITUTE(SUBSTITUTE(SUBSTITUTE(SUBSTITUTE(SUBSTITUTE(SUBSTITUTE(SUBSTITUTE(SUBSTITUTE(NOTA[NAMA BARANG]," ",),".",""),"-",""),"(",""),")",""),",",""),"/",""),"""",""),"+",""))</f>
        <v>gluestick7x30</v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gluestick7x30962500</v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gluestick7x30962500</v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SENTOSAUNTANASI-2024/01-021945311gluestick7x30</v>
      </c>
      <c r="AR845" s="56" t="e">
        <f>IF(NOTA[[#This Row],[CONCAT4]]="","",_xlfn.IFNA(MATCH(NOTA[[#This Row],[CONCAT4]],[2]!RAW[CONCAT_H],0),FALSE))</f>
        <v>#REF!</v>
      </c>
      <c r="AS845" s="56">
        <f>IF(NOTA[[#This Row],[CONCAT1]]="","",MATCH(NOTA[[#This Row],[CONCAT1]],[3]!db[NB NOTA_C],0))</f>
        <v>1326</v>
      </c>
      <c r="AT845" s="56" t="b">
        <f>IF(NOTA[[#This Row],[QTY/ CTN]]="","",TRUE)</f>
        <v>1</v>
      </c>
      <c r="AU845" s="56">
        <f ca="1">IF(NOTA[[#This Row],[ID_H]]="","",IF(NOTA[[#This Row],[Column3]]=TRUE,NOTA[[#This Row],[QTY/ CTN]],INDEX([3]!db[QTY/ CTN],NOTA[[#This Row],[//DB]])))</f>
        <v>25</v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gluestick7x3025untana</v>
      </c>
      <c r="AW845" s="56" t="e">
        <f ca="1">IF(NOTA[[#This Row],[ID_H]]="","",MATCH(NOTA[[#This Row],[NB NOTA_C_QTY]],[4]!db[NB NOTA_C_QTY+F],0))</f>
        <v>#REF!</v>
      </c>
      <c r="AX845" s="68">
        <f ca="1">IF(NOTA[[#This Row],[NB NOTA_C_QTY]]="","",ROW()-2)</f>
        <v>843</v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>
        <f ca="1">IF(NOTA[[#This Row],[NAMA BARANG]]="","",INDEX(NOTA[ID],MATCH(,INDIRECT(ADDRESS(ROW(NOTA[ID]),COLUMN(NOTA[ID]))&amp;":"&amp;ADDRESS(ROW(),COLUMN(NOTA[ID]))),-1)))</f>
        <v>150</v>
      </c>
      <c r="E846" s="57"/>
      <c r="F846" s="58"/>
      <c r="G846" s="58"/>
      <c r="H846" s="59"/>
      <c r="I846" s="58"/>
      <c r="J846" s="60"/>
      <c r="K846" s="58"/>
      <c r="L846" s="37" t="s">
        <v>919</v>
      </c>
      <c r="M846" s="61">
        <v>25</v>
      </c>
      <c r="N846" s="56">
        <v>250</v>
      </c>
      <c r="O846" s="37" t="s">
        <v>115</v>
      </c>
      <c r="P846" s="41">
        <v>38500</v>
      </c>
      <c r="Q846" s="62"/>
      <c r="R846" s="63">
        <v>25</v>
      </c>
      <c r="S846" s="64"/>
      <c r="T846" s="65"/>
      <c r="U846" s="65"/>
      <c r="V846" s="66"/>
      <c r="W846" s="67"/>
      <c r="X846" s="66">
        <f>IF(NOTA[[#This Row],[HARGA/ CTN]]="",NOTA[[#This Row],[JUMLAH_H]],NOTA[[#This Row],[HARGA/ CTN]]*IF(NOTA[[#This Row],[C]]="",0,NOTA[[#This Row],[C]]))</f>
        <v>9625000</v>
      </c>
      <c r="Y846" s="66">
        <f>IF(NOTA[[#This Row],[JUMLAH]]="","",NOTA[[#This Row],[JUMLAH]]*NOTA[[#This Row],[DISC 1]])</f>
        <v>0</v>
      </c>
      <c r="Z846" s="66">
        <f>IF(NOTA[[#This Row],[JUMLAH]]="","",(NOTA[[#This Row],[JUMLAH]]-NOTA[[#This Row],[DISC 1-]])*NOTA[[#This Row],[DISC 2]])</f>
        <v>0</v>
      </c>
      <c r="AA846" s="66">
        <f>IF(NOTA[[#This Row],[JUMLAH]]="","",(NOTA[[#This Row],[JUMLAH]]-NOTA[[#This Row],[DISC 1-]]-NOTA[[#This Row],[DISC 2-]])*NOTA[[#This Row],[DISC 3]])</f>
        <v>0</v>
      </c>
      <c r="AB846" s="66">
        <f>IF(NOTA[[#This Row],[JUMLAH]]="","",NOTA[[#This Row],[DISC 1-]]+NOTA[[#This Row],[DISC 2-]]+NOTA[[#This Row],[DISC 3-]])</f>
        <v>0</v>
      </c>
      <c r="AC846" s="66">
        <f>IF(NOTA[[#This Row],[JUMLAH]]="","",NOTA[[#This Row],[JUMLAH]]-NOTA[[#This Row],[DISC]])</f>
        <v>9625000</v>
      </c>
      <c r="AD846" s="66"/>
      <c r="AE84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4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33687500</v>
      </c>
      <c r="AG846" s="55">
        <f>IF(NOTA[[#This Row],[NAMA BARANG]]="","",IF(NOTA[[#This Row],[JUMLAH_H]]="",NOTA[[#This Row],[HARGA/ CTN]],NOTA[[#This Row],[QTY]]*NOTA[[#This Row],[HARGA SATUAN]]/IF(ISNUMBER(NOTA[[#This Row],[C]]),NOTA[[#This Row],[C]],1)))</f>
        <v>385000</v>
      </c>
      <c r="AH846" s="66">
        <f>IF(OR(NOTA[[#This Row],[QTY]]="",NOTA[[#This Row],[HARGA SATUAN]]="",),"",NOTA[[#This Row],[QTY]]*NOTA[[#This Row],[HARGA SATUAN]])</f>
        <v>9625000</v>
      </c>
      <c r="AI846" s="60">
        <f ca="1">IF(NOTA[ID_H]="","",INDEX(NOTA[TANGGAL],MATCH(,INDIRECT(ADDRESS(ROW(NOTA[TANGGAL]),COLUMN(NOTA[TANGGAL]))&amp;":"&amp;ADDRESS(ROW(),COLUMN(NOTA[TANGGAL]))),-1)))</f>
        <v>45327</v>
      </c>
      <c r="AJ846" s="55" t="str">
        <f ca="1">IF(NOTA[[#This Row],[NAMA BARANG]]="","",INDEX(NOTA[SUPPLIER],MATCH(,INDIRECT(ADDRESS(ROW(NOTA[ID]),COLUMN(NOTA[ID]))&amp;":"&amp;ADDRESS(ROW(),COLUMN(NOTA[ID]))),-1)))</f>
        <v>WIN'S SENTOSA</v>
      </c>
      <c r="AK846" s="55" t="str">
        <f ca="1">IF(NOTA[[#This Row],[ID_H]]="","",IF(NOTA[[#This Row],[FAKTUR]]="",INDIRECT(ADDRESS(ROW()-1,COLUMN())),NOTA[[#This Row],[FAKTUR]]))</f>
        <v>UNTANA</v>
      </c>
      <c r="AL846" s="56" t="str">
        <f ca="1">IF(NOTA[[#This Row],[ID]]="","",COUNTIF(NOTA[ID_H],NOTA[[#This Row],[ID_H]]))</f>
        <v/>
      </c>
      <c r="AM846" s="56">
        <f ca="1">IF(NOTA[[#This Row],[TGL.NOTA]]="",IF(NOTA[[#This Row],[SUPPLIER_H]]="","",AM845),MONTH(NOTA[[#This Row],[TGL.NOTA]]))</f>
        <v>1</v>
      </c>
      <c r="AN846" s="56" t="str">
        <f>LOWER(SUBSTITUTE(SUBSTITUTE(SUBSTITUTE(SUBSTITUTE(SUBSTITUTE(SUBSTITUTE(SUBSTITUTE(SUBSTITUTE(SUBSTITUTE(NOTA[NAMA BARANG]," ",),".",""),"-",""),"(",""),")",""),",",""),"/",""),"""",""),"+",""))</f>
        <v>gluestick11x29</v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gluestick11x29385000</v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gluestick11x29385000</v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>
        <f>IF(NOTA[[#This Row],[CONCAT1]]="","",MATCH(NOTA[[#This Row],[CONCAT1]],[3]!db[NB NOTA_C],0))</f>
        <v>1325</v>
      </c>
      <c r="AT846" s="56" t="b">
        <f>IF(NOTA[[#This Row],[QTY/ CTN]]="","",TRUE)</f>
        <v>1</v>
      </c>
      <c r="AU846" s="56">
        <f ca="1">IF(NOTA[[#This Row],[ID_H]]="","",IF(NOTA[[#This Row],[Column3]]=TRUE,NOTA[[#This Row],[QTY/ CTN]],INDEX([3]!db[QTY/ CTN],NOTA[[#This Row],[//DB]])))</f>
        <v>25</v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gluestick11x2925untana</v>
      </c>
      <c r="AW846" s="56" t="e">
        <f ca="1">IF(NOTA[[#This Row],[ID_H]]="","",MATCH(NOTA[[#This Row],[NB NOTA_C_QTY]],[4]!db[NB NOTA_C_QTY+F],0))</f>
        <v>#REF!</v>
      </c>
      <c r="AX846" s="68">
        <f ca="1">IF(NOTA[[#This Row],[NB NOTA_C_QTY]]="","",ROW()-2)</f>
        <v>844</v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>
        <f ca="1">IF(INDIRECT(ADDRESS(ROW()-1,COLUMN(NOTA[[#Headers],[ID]])))="ID",1,IF(NOTA[[#This Row],[FAKTUR]]="","",COUNT(INDIRECT(ADDRESS(ROW(NOTA[ID]),COLUMN(NOTA[ID]))&amp;":"&amp;ADDRESS(ROW()-1,COLUMN(NOTA[ID]))))+1))</f>
        <v>151</v>
      </c>
      <c r="B84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KEN_0502_139-1</v>
      </c>
      <c r="C848" s="56" t="e">
        <f ca="1">IF(NOTA[[#This Row],[ID_P]]="","",MATCH(NOTA[[#This Row],[ID_P]],[1]!B_MSK[N_ID],0))</f>
        <v>#REF!</v>
      </c>
      <c r="D848" s="56">
        <f ca="1">IF(NOTA[[#This Row],[NAMA BARANG]]="","",INDEX(NOTA[ID],MATCH(,INDIRECT(ADDRESS(ROW(NOTA[ID]),COLUMN(NOTA[ID]))&amp;":"&amp;ADDRESS(ROW(),COLUMN(NOTA[ID]))),-1)))</f>
        <v>151</v>
      </c>
      <c r="E848" s="57">
        <v>45327</v>
      </c>
      <c r="F848" s="37" t="s">
        <v>22</v>
      </c>
      <c r="G848" s="37" t="s">
        <v>23</v>
      </c>
      <c r="H848" s="47" t="s">
        <v>920</v>
      </c>
      <c r="I848" s="58"/>
      <c r="J848" s="60">
        <v>45324</v>
      </c>
      <c r="K848" s="58">
        <v>0</v>
      </c>
      <c r="L848" s="37" t="s">
        <v>760</v>
      </c>
      <c r="M848" s="61">
        <v>1</v>
      </c>
      <c r="N848" s="56"/>
      <c r="O848" s="58"/>
      <c r="P848" s="55"/>
      <c r="Q848" s="62">
        <v>1944000</v>
      </c>
      <c r="R848" s="63"/>
      <c r="S848" s="64">
        <v>0.17</v>
      </c>
      <c r="T848" s="65"/>
      <c r="U848" s="65"/>
      <c r="V848" s="66"/>
      <c r="W848" s="67"/>
      <c r="X848" s="66">
        <f>IF(NOTA[[#This Row],[HARGA/ CTN]]="",NOTA[[#This Row],[JUMLAH_H]],NOTA[[#This Row],[HARGA/ CTN]]*IF(NOTA[[#This Row],[C]]="",0,NOTA[[#This Row],[C]]))</f>
        <v>1944000</v>
      </c>
      <c r="Y848" s="66">
        <f>IF(NOTA[[#This Row],[JUMLAH]]="","",NOTA[[#This Row],[JUMLAH]]*NOTA[[#This Row],[DISC 1]])</f>
        <v>330480</v>
      </c>
      <c r="Z848" s="66">
        <f>IF(NOTA[[#This Row],[JUMLAH]]="","",(NOTA[[#This Row],[JUMLAH]]-NOTA[[#This Row],[DISC 1-]])*NOTA[[#This Row],[DISC 2]])</f>
        <v>0</v>
      </c>
      <c r="AA848" s="66">
        <f>IF(NOTA[[#This Row],[JUMLAH]]="","",(NOTA[[#This Row],[JUMLAH]]-NOTA[[#This Row],[DISC 1-]]-NOTA[[#This Row],[DISC 2-]])*NOTA[[#This Row],[DISC 3]])</f>
        <v>0</v>
      </c>
      <c r="AB848" s="66">
        <f>IF(NOTA[[#This Row],[JUMLAH]]="","",NOTA[[#This Row],[DISC 1-]]+NOTA[[#This Row],[DISC 2-]]+NOTA[[#This Row],[DISC 3-]])</f>
        <v>330480</v>
      </c>
      <c r="AC848" s="66">
        <f>IF(NOTA[[#This Row],[JUMLAH]]="","",NOTA[[#This Row],[JUMLAH]]-NOTA[[#This Row],[DISC]])</f>
        <v>1613520</v>
      </c>
      <c r="AD848" s="66"/>
      <c r="AE84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330480</v>
      </c>
      <c r="AF84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1613520</v>
      </c>
      <c r="AG848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848" s="66" t="str">
        <f>IF(OR(NOTA[[#This Row],[QTY]]="",NOTA[[#This Row],[HARGA SATUAN]]="",),"",NOTA[[#This Row],[QTY]]*NOTA[[#This Row],[HARGA SATUAN]])</f>
        <v/>
      </c>
      <c r="AI848" s="60">
        <f ca="1">IF(NOTA[ID_H]="","",INDEX(NOTA[TANGGAL],MATCH(,INDIRECT(ADDRESS(ROW(NOTA[TANGGAL]),COLUMN(NOTA[TANGGAL]))&amp;":"&amp;ADDRESS(ROW(),COLUMN(NOTA[TANGGAL]))),-1)))</f>
        <v>45327</v>
      </c>
      <c r="AJ848" s="55" t="str">
        <f ca="1">IF(NOTA[[#This Row],[NAMA BARANG]]="","",INDEX(NOTA[SUPPLIER],MATCH(,INDIRECT(ADDRESS(ROW(NOTA[ID]),COLUMN(NOTA[ID]))&amp;":"&amp;ADDRESS(ROW(),COLUMN(NOTA[ID]))),-1)))</f>
        <v>KENKO SINAR INDONESIA</v>
      </c>
      <c r="AK848" s="55" t="str">
        <f ca="1">IF(NOTA[[#This Row],[ID_H]]="","",IF(NOTA[[#This Row],[FAKTUR]]="",INDIRECT(ADDRESS(ROW()-1,COLUMN())),NOTA[[#This Row],[FAKTUR]]))</f>
        <v>ARTO MORO</v>
      </c>
      <c r="AL848" s="56">
        <f ca="1">IF(NOTA[[#This Row],[ID]]="","",COUNTIF(NOTA[ID_H],NOTA[[#This Row],[ID_H]]))</f>
        <v>1</v>
      </c>
      <c r="AM848" s="56">
        <f>IF(NOTA[[#This Row],[TGL.NOTA]]="",IF(NOTA[[#This Row],[SUPPLIER_H]]="","",AM847),MONTH(NOTA[[#This Row],[TGL.NOTA]]))</f>
        <v>2</v>
      </c>
      <c r="AN848" s="5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MORO2402013945324titi18coloroilpasteltip18s</v>
      </c>
      <c r="AR848" s="56" t="e">
        <f>IF(NOTA[[#This Row],[CONCAT4]]="","",_xlfn.IFNA(MATCH(NOTA[[#This Row],[CONCAT4]],[2]!RAW[CONCAT_H],0),FALSE))</f>
        <v>#REF!</v>
      </c>
      <c r="AS848" s="56">
        <f>IF(NOTA[[#This Row],[CONCAT1]]="","",MATCH(NOTA[[#This Row],[CONCAT1]],[3]!db[NB NOTA_C],0))</f>
        <v>2973</v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>6 LSN</v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848" s="56" t="e">
        <f ca="1">IF(NOTA[[#This Row],[ID_H]]="","",MATCH(NOTA[[#This Row],[NB NOTA_C_QTY]],[4]!db[NB NOTA_C_QTY+F],0))</f>
        <v>#REF!</v>
      </c>
      <c r="AX848" s="68">
        <f ca="1">IF(NOTA[[#This Row],[NB NOTA_C_QTY]]="","",ROW()-2)</f>
        <v>846</v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>
        <f ca="1">IF(INDIRECT(ADDRESS(ROW()-1,COLUMN(NOTA[[#Headers],[ID]])))="ID",1,IF(NOTA[[#This Row],[FAKTUR]]="","",COUNT(INDIRECT(ADDRESS(ROW(NOTA[ID]),COLUMN(NOTA[ID]))&amp;":"&amp;ADDRESS(ROW()-1,COLUMN(NOTA[ID]))))+1))</f>
        <v>152</v>
      </c>
      <c r="B85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KEN_0502_110-3</v>
      </c>
      <c r="C850" s="56" t="e">
        <f ca="1">IF(NOTA[[#This Row],[ID_P]]="","",MATCH(NOTA[[#This Row],[ID_P]],[1]!B_MSK[N_ID],0))</f>
        <v>#REF!</v>
      </c>
      <c r="D850" s="56">
        <f ca="1">IF(NOTA[[#This Row],[NAMA BARANG]]="","",INDEX(NOTA[ID],MATCH(,INDIRECT(ADDRESS(ROW(NOTA[ID]),COLUMN(NOTA[ID]))&amp;":"&amp;ADDRESS(ROW(),COLUMN(NOTA[ID]))),-1)))</f>
        <v>152</v>
      </c>
      <c r="E850" s="57">
        <v>45327</v>
      </c>
      <c r="F850" s="37" t="s">
        <v>22</v>
      </c>
      <c r="G850" s="37" t="s">
        <v>23</v>
      </c>
      <c r="H850" s="47" t="s">
        <v>921</v>
      </c>
      <c r="I850" s="58"/>
      <c r="J850" s="60">
        <v>45324</v>
      </c>
      <c r="K850" s="58">
        <v>0</v>
      </c>
      <c r="L850" s="37" t="s">
        <v>501</v>
      </c>
      <c r="M850" s="61">
        <v>1</v>
      </c>
      <c r="N850" s="56"/>
      <c r="O850" s="58"/>
      <c r="P850" s="55"/>
      <c r="Q850" s="62">
        <v>840000</v>
      </c>
      <c r="R850" s="63"/>
      <c r="S850" s="64">
        <v>0.17</v>
      </c>
      <c r="T850" s="65"/>
      <c r="U850" s="65"/>
      <c r="V850" s="66"/>
      <c r="W850" s="67"/>
      <c r="X850" s="66">
        <f>IF(NOTA[[#This Row],[HARGA/ CTN]]="",NOTA[[#This Row],[JUMLAH_H]],NOTA[[#This Row],[HARGA/ CTN]]*IF(NOTA[[#This Row],[C]]="",0,NOTA[[#This Row],[C]]))</f>
        <v>840000</v>
      </c>
      <c r="Y850" s="66">
        <f>IF(NOTA[[#This Row],[JUMLAH]]="","",NOTA[[#This Row],[JUMLAH]]*NOTA[[#This Row],[DISC 1]])</f>
        <v>142800</v>
      </c>
      <c r="Z850" s="66">
        <f>IF(NOTA[[#This Row],[JUMLAH]]="","",(NOTA[[#This Row],[JUMLAH]]-NOTA[[#This Row],[DISC 1-]])*NOTA[[#This Row],[DISC 2]])</f>
        <v>0</v>
      </c>
      <c r="AA850" s="66">
        <f>IF(NOTA[[#This Row],[JUMLAH]]="","",(NOTA[[#This Row],[JUMLAH]]-NOTA[[#This Row],[DISC 1-]]-NOTA[[#This Row],[DISC 2-]])*NOTA[[#This Row],[DISC 3]])</f>
        <v>0</v>
      </c>
      <c r="AB850" s="66">
        <f>IF(NOTA[[#This Row],[JUMLAH]]="","",NOTA[[#This Row],[DISC 1-]]+NOTA[[#This Row],[DISC 2-]]+NOTA[[#This Row],[DISC 3-]])</f>
        <v>142800</v>
      </c>
      <c r="AC850" s="66">
        <f>IF(NOTA[[#This Row],[JUMLAH]]="","",NOTA[[#This Row],[JUMLAH]]-NOTA[[#This Row],[DISC]])</f>
        <v>697200</v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850" s="66" t="str">
        <f>IF(OR(NOTA[[#This Row],[QTY]]="",NOTA[[#This Row],[HARGA SATUAN]]="",),"",NOTA[[#This Row],[QTY]]*NOTA[[#This Row],[HARGA SATUAN]])</f>
        <v/>
      </c>
      <c r="AI850" s="60">
        <f ca="1">IF(NOTA[ID_H]="","",INDEX(NOTA[TANGGAL],MATCH(,INDIRECT(ADDRESS(ROW(NOTA[TANGGAL]),COLUMN(NOTA[TANGGAL]))&amp;":"&amp;ADDRESS(ROW(),COLUMN(NOTA[TANGGAL]))),-1)))</f>
        <v>45327</v>
      </c>
      <c r="AJ850" s="55" t="str">
        <f ca="1">IF(NOTA[[#This Row],[NAMA BARANG]]="","",INDEX(NOTA[SUPPLIER],MATCH(,INDIRECT(ADDRESS(ROW(NOTA[ID]),COLUMN(NOTA[ID]))&amp;":"&amp;ADDRESS(ROW(),COLUMN(NOTA[ID]))),-1)))</f>
        <v>KENKO SINAR INDONESIA</v>
      </c>
      <c r="AK850" s="55" t="str">
        <f ca="1">IF(NOTA[[#This Row],[ID_H]]="","",IF(NOTA[[#This Row],[FAKTUR]]="",INDIRECT(ADDRESS(ROW()-1,COLUMN())),NOTA[[#This Row],[FAKTUR]]))</f>
        <v>ARTO MORO</v>
      </c>
      <c r="AL850" s="56">
        <f ca="1">IF(NOTA[[#This Row],[ID]]="","",COUNTIF(NOTA[ID_H],NOTA[[#This Row],[ID_H]]))</f>
        <v>3</v>
      </c>
      <c r="AM850" s="56">
        <f>IF(NOTA[[#This Row],[TGL.NOTA]]="",IF(NOTA[[#This Row],[SUPPLIER_H]]="","",AM849),MONTH(NOTA[[#This Row],[TGL.NOTA]]))</f>
        <v>2</v>
      </c>
      <c r="AN850" s="56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MORO2402011045324kenkostaplesno12102310</v>
      </c>
      <c r="AR850" s="56" t="e">
        <f>IF(NOTA[[#This Row],[CONCAT4]]="","",_xlfn.IFNA(MATCH(NOTA[[#This Row],[CONCAT4]],[2]!RAW[CONCAT_H],0),FALSE))</f>
        <v>#REF!</v>
      </c>
      <c r="AS850" s="56">
        <f>IF(NOTA[[#This Row],[CONCAT1]]="","",MATCH(NOTA[[#This Row],[CONCAT1]],[3]!db[NB NOTA_C],0))</f>
        <v>1791</v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>20 PAK (10 BOX)</v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850" s="56" t="e">
        <f ca="1">IF(NOTA[[#This Row],[ID_H]]="","",MATCH(NOTA[[#This Row],[NB NOTA_C_QTY]],[4]!db[NB NOTA_C_QTY+F],0))</f>
        <v>#REF!</v>
      </c>
      <c r="AX850" s="68">
        <f ca="1">IF(NOTA[[#This Row],[NB NOTA_C_QTY]]="","",ROW()-2)</f>
        <v>848</v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>
        <f ca="1">IF(NOTA[[#This Row],[NAMA BARANG]]="","",INDEX(NOTA[ID],MATCH(,INDIRECT(ADDRESS(ROW(NOTA[ID]),COLUMN(NOTA[ID]))&amp;":"&amp;ADDRESS(ROW(),COLUMN(NOTA[ID]))),-1)))</f>
        <v>152</v>
      </c>
      <c r="E851" s="57"/>
      <c r="F851" s="58"/>
      <c r="G851" s="58"/>
      <c r="H851" s="59"/>
      <c r="I851" s="58"/>
      <c r="J851" s="60"/>
      <c r="K851" s="58">
        <v>0</v>
      </c>
      <c r="L851" s="37" t="s">
        <v>922</v>
      </c>
      <c r="M851" s="61">
        <v>1</v>
      </c>
      <c r="N851" s="56"/>
      <c r="O851" s="58"/>
      <c r="P851" s="55"/>
      <c r="Q851" s="62">
        <v>5616000</v>
      </c>
      <c r="R851" s="63"/>
      <c r="S851" s="64">
        <v>0.17</v>
      </c>
      <c r="T851" s="65"/>
      <c r="U851" s="65"/>
      <c r="V851" s="66"/>
      <c r="W851" s="67"/>
      <c r="X851" s="66">
        <f>IF(NOTA[[#This Row],[HARGA/ CTN]]="",NOTA[[#This Row],[JUMLAH_H]],NOTA[[#This Row],[HARGA/ CTN]]*IF(NOTA[[#This Row],[C]]="",0,NOTA[[#This Row],[C]]))</f>
        <v>5616000</v>
      </c>
      <c r="Y851" s="66">
        <f>IF(NOTA[[#This Row],[JUMLAH]]="","",NOTA[[#This Row],[JUMLAH]]*NOTA[[#This Row],[DISC 1]])</f>
        <v>954720.00000000012</v>
      </c>
      <c r="Z851" s="66">
        <f>IF(NOTA[[#This Row],[JUMLAH]]="","",(NOTA[[#This Row],[JUMLAH]]-NOTA[[#This Row],[DISC 1-]])*NOTA[[#This Row],[DISC 2]])</f>
        <v>0</v>
      </c>
      <c r="AA851" s="66">
        <f>IF(NOTA[[#This Row],[JUMLAH]]="","",(NOTA[[#This Row],[JUMLAH]]-NOTA[[#This Row],[DISC 1-]]-NOTA[[#This Row],[DISC 2-]])*NOTA[[#This Row],[DISC 3]])</f>
        <v>0</v>
      </c>
      <c r="AB851" s="66">
        <f>IF(NOTA[[#This Row],[JUMLAH]]="","",NOTA[[#This Row],[DISC 1-]]+NOTA[[#This Row],[DISC 2-]]+NOTA[[#This Row],[DISC 3-]])</f>
        <v>954720.00000000012</v>
      </c>
      <c r="AC851" s="66">
        <f>IF(NOTA[[#This Row],[JUMLAH]]="","",NOTA[[#This Row],[JUMLAH]]-NOTA[[#This Row],[DISC]])</f>
        <v>4661280</v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851" s="66" t="str">
        <f>IF(OR(NOTA[[#This Row],[QTY]]="",NOTA[[#This Row],[HARGA SATUAN]]="",),"",NOTA[[#This Row],[QTY]]*NOTA[[#This Row],[HARGA SATUAN]])</f>
        <v/>
      </c>
      <c r="AI851" s="60">
        <f ca="1">IF(NOTA[ID_H]="","",INDEX(NOTA[TANGGAL],MATCH(,INDIRECT(ADDRESS(ROW(NOTA[TANGGAL]),COLUMN(NOTA[TANGGAL]))&amp;":"&amp;ADDRESS(ROW(),COLUMN(NOTA[TANGGAL]))),-1)))</f>
        <v>45327</v>
      </c>
      <c r="AJ851" s="55" t="str">
        <f ca="1">IF(NOTA[[#This Row],[NAMA BARANG]]="","",INDEX(NOTA[SUPPLIER],MATCH(,INDIRECT(ADDRESS(ROW(NOTA[ID]),COLUMN(NOTA[ID]))&amp;":"&amp;ADDRESS(ROW(),COLUMN(NOTA[ID]))),-1)))</f>
        <v>KENKO SINAR INDONESIA</v>
      </c>
      <c r="AK851" s="55" t="str">
        <f ca="1">IF(NOTA[[#This Row],[ID_H]]="","",IF(NOTA[[#This Row],[FAKTUR]]="",INDIRECT(ADDRESS(ROW()-1,COLUMN())),NOTA[[#This Row],[FAKTUR]]))</f>
        <v>ARTO MORO</v>
      </c>
      <c r="AL851" s="56" t="str">
        <f ca="1">IF(NOTA[[#This Row],[ID]]="","",COUNTIF(NOTA[ID_H],NOTA[[#This Row],[ID_H]]))</f>
        <v/>
      </c>
      <c r="AM851" s="56">
        <f ca="1">IF(NOTA[[#This Row],[TGL.NOTA]]="",IF(NOTA[[#This Row],[SUPPLIER_H]]="","",AM850),MONTH(NOTA[[#This Row],[TGL.NOTA]]))</f>
        <v>2</v>
      </c>
      <c r="AN851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>
        <f>IF(NOTA[[#This Row],[CONCAT1]]="","",MATCH(NOTA[[#This Row],[CONCAT1]],[3]!db[NB NOTA_C],0))</f>
        <v>1621</v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>144 LSN</v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851" s="56" t="e">
        <f ca="1">IF(NOTA[[#This Row],[ID_H]]="","",MATCH(NOTA[[#This Row],[NB NOTA_C_QTY]],[4]!db[NB NOTA_C_QTY+F],0))</f>
        <v>#REF!</v>
      </c>
      <c r="AX851" s="68">
        <f ca="1">IF(NOTA[[#This Row],[NB NOTA_C_QTY]]="","",ROW()-2)</f>
        <v>849</v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>
        <f ca="1">IF(NOTA[[#This Row],[NAMA BARANG]]="","",INDEX(NOTA[ID],MATCH(,INDIRECT(ADDRESS(ROW(NOTA[ID]),COLUMN(NOTA[ID]))&amp;":"&amp;ADDRESS(ROW(),COLUMN(NOTA[ID]))),-1)))</f>
        <v>152</v>
      </c>
      <c r="E852" s="57"/>
      <c r="F852" s="58"/>
      <c r="G852" s="58"/>
      <c r="H852" s="59"/>
      <c r="I852" s="58"/>
      <c r="J852" s="60"/>
      <c r="K852" s="58"/>
      <c r="L852" s="37" t="s">
        <v>923</v>
      </c>
      <c r="M852" s="61">
        <v>1</v>
      </c>
      <c r="N852" s="56"/>
      <c r="O852" s="58"/>
      <c r="P852" s="55"/>
      <c r="Q852" s="62">
        <v>5616000</v>
      </c>
      <c r="R852" s="63"/>
      <c r="S852" s="64">
        <v>0.17</v>
      </c>
      <c r="T852" s="65"/>
      <c r="U852" s="65"/>
      <c r="V852" s="66"/>
      <c r="W852" s="67"/>
      <c r="X852" s="66">
        <f>IF(NOTA[[#This Row],[HARGA/ CTN]]="",NOTA[[#This Row],[JUMLAH_H]],NOTA[[#This Row],[HARGA/ CTN]]*IF(NOTA[[#This Row],[C]]="",0,NOTA[[#This Row],[C]]))</f>
        <v>5616000</v>
      </c>
      <c r="Y852" s="66">
        <f>IF(NOTA[[#This Row],[JUMLAH]]="","",NOTA[[#This Row],[JUMLAH]]*NOTA[[#This Row],[DISC 1]])</f>
        <v>954720.00000000012</v>
      </c>
      <c r="Z852" s="66">
        <f>IF(NOTA[[#This Row],[JUMLAH]]="","",(NOTA[[#This Row],[JUMLAH]]-NOTA[[#This Row],[DISC 1-]])*NOTA[[#This Row],[DISC 2]])</f>
        <v>0</v>
      </c>
      <c r="AA852" s="66">
        <f>IF(NOTA[[#This Row],[JUMLAH]]="","",(NOTA[[#This Row],[JUMLAH]]-NOTA[[#This Row],[DISC 1-]]-NOTA[[#This Row],[DISC 2-]])*NOTA[[#This Row],[DISC 3]])</f>
        <v>0</v>
      </c>
      <c r="AB852" s="66">
        <f>IF(NOTA[[#This Row],[JUMLAH]]="","",NOTA[[#This Row],[DISC 1-]]+NOTA[[#This Row],[DISC 2-]]+NOTA[[#This Row],[DISC 3-]])</f>
        <v>954720.00000000012</v>
      </c>
      <c r="AC852" s="66">
        <f>IF(NOTA[[#This Row],[JUMLAH]]="","",NOTA[[#This Row],[JUMLAH]]-NOTA[[#This Row],[DISC]])</f>
        <v>4661280</v>
      </c>
      <c r="AD852" s="66"/>
      <c r="AE85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2052240</v>
      </c>
      <c r="AF85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10019760</v>
      </c>
      <c r="AG852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852" s="66" t="str">
        <f>IF(OR(NOTA[[#This Row],[QTY]]="",NOTA[[#This Row],[HARGA SATUAN]]="",),"",NOTA[[#This Row],[QTY]]*NOTA[[#This Row],[HARGA SATUAN]])</f>
        <v/>
      </c>
      <c r="AI852" s="60">
        <f ca="1">IF(NOTA[ID_H]="","",INDEX(NOTA[TANGGAL],MATCH(,INDIRECT(ADDRESS(ROW(NOTA[TANGGAL]),COLUMN(NOTA[TANGGAL]))&amp;":"&amp;ADDRESS(ROW(),COLUMN(NOTA[TANGGAL]))),-1)))</f>
        <v>45327</v>
      </c>
      <c r="AJ852" s="55" t="str">
        <f ca="1">IF(NOTA[[#This Row],[NAMA BARANG]]="","",INDEX(NOTA[SUPPLIER],MATCH(,INDIRECT(ADDRESS(ROW(NOTA[ID]),COLUMN(NOTA[ID]))&amp;":"&amp;ADDRESS(ROW(),COLUMN(NOTA[ID]))),-1)))</f>
        <v>KENKO SINAR INDONESIA</v>
      </c>
      <c r="AK852" s="55" t="str">
        <f ca="1">IF(NOTA[[#This Row],[ID_H]]="","",IF(NOTA[[#This Row],[FAKTUR]]="",INDIRECT(ADDRESS(ROW()-1,COLUMN())),NOTA[[#This Row],[FAKTUR]]))</f>
        <v>ARTO MORO</v>
      </c>
      <c r="AL852" s="56" t="str">
        <f ca="1">IF(NOTA[[#This Row],[ID]]="","",COUNTIF(NOTA[ID_H],NOTA[[#This Row],[ID_H]]))</f>
        <v/>
      </c>
      <c r="AM852" s="56">
        <f ca="1">IF(NOTA[[#This Row],[TGL.NOTA]]="",IF(NOTA[[#This Row],[SUPPLIER_H]]="","",AM851),MONTH(NOTA[[#This Row],[TGL.NOTA]]))</f>
        <v>2</v>
      </c>
      <c r="AN852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>
        <f>IF(NOTA[[#This Row],[CONCAT1]]="","",MATCH(NOTA[[#This Row],[CONCAT1]],[3]!db[NB NOTA_C],0))</f>
        <v>1622</v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>144 LSN</v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852" s="56" t="e">
        <f ca="1">IF(NOTA[[#This Row],[ID_H]]="","",MATCH(NOTA[[#This Row],[NB NOTA_C_QTY]],[4]!db[NB NOTA_C_QTY+F],0))</f>
        <v>#REF!</v>
      </c>
      <c r="AX852" s="68">
        <f ca="1">IF(NOTA[[#This Row],[NB NOTA_C_QTY]]="","",ROW()-2)</f>
        <v>850</v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>
        <f ca="1">IF(INDIRECT(ADDRESS(ROW()-1,COLUMN(NOTA[[#Headers],[ID]])))="ID",1,IF(NOTA[[#This Row],[FAKTUR]]="","",COUNT(INDIRECT(ADDRESS(ROW(NOTA[ID]),COLUMN(NOTA[ID]))&amp;":"&amp;ADDRESS(ROW()-1,COLUMN(NOTA[ID]))))+1))</f>
        <v>153</v>
      </c>
      <c r="B85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GUN_0502_245-3</v>
      </c>
      <c r="C854" s="56" t="e">
        <f ca="1">IF(NOTA[[#This Row],[ID_P]]="","",MATCH(NOTA[[#This Row],[ID_P]],[1]!B_MSK[N_ID],0))</f>
        <v>#REF!</v>
      </c>
      <c r="D854" s="56">
        <f ca="1">IF(NOTA[[#This Row],[NAMA BARANG]]="","",INDEX(NOTA[ID],MATCH(,INDIRECT(ADDRESS(ROW(NOTA[ID]),COLUMN(NOTA[ID]))&amp;":"&amp;ADDRESS(ROW(),COLUMN(NOTA[ID]))),-1)))</f>
        <v>153</v>
      </c>
      <c r="E854" s="57">
        <v>45327</v>
      </c>
      <c r="F854" s="37" t="s">
        <v>693</v>
      </c>
      <c r="G854" s="37" t="s">
        <v>110</v>
      </c>
      <c r="H854" s="47" t="s">
        <v>924</v>
      </c>
      <c r="I854" s="58"/>
      <c r="J854" s="60">
        <v>45321</v>
      </c>
      <c r="K854" s="58">
        <v>0</v>
      </c>
      <c r="L854" s="37" t="s">
        <v>925</v>
      </c>
      <c r="M854" s="61">
        <v>1</v>
      </c>
      <c r="N854" s="56">
        <v>60</v>
      </c>
      <c r="O854" s="37" t="s">
        <v>111</v>
      </c>
      <c r="P854" s="55">
        <v>47500</v>
      </c>
      <c r="Q854" s="62"/>
      <c r="R854" s="48" t="s">
        <v>153</v>
      </c>
      <c r="S854" s="64">
        <v>0.05</v>
      </c>
      <c r="T854" s="65">
        <v>0.1</v>
      </c>
      <c r="U854" s="65"/>
      <c r="V854" s="66"/>
      <c r="W854" s="67"/>
      <c r="X854" s="66">
        <f>IF(NOTA[[#This Row],[HARGA/ CTN]]="",NOTA[[#This Row],[JUMLAH_H]],NOTA[[#This Row],[HARGA/ CTN]]*IF(NOTA[[#This Row],[C]]="",0,NOTA[[#This Row],[C]]))</f>
        <v>2850000</v>
      </c>
      <c r="Y854" s="66">
        <f>IF(NOTA[[#This Row],[JUMLAH]]="","",NOTA[[#This Row],[JUMLAH]]*NOTA[[#This Row],[DISC 1]])</f>
        <v>142500</v>
      </c>
      <c r="Z854" s="66">
        <f>IF(NOTA[[#This Row],[JUMLAH]]="","",(NOTA[[#This Row],[JUMLAH]]-NOTA[[#This Row],[DISC 1-]])*NOTA[[#This Row],[DISC 2]])</f>
        <v>270750</v>
      </c>
      <c r="AA854" s="66">
        <f>IF(NOTA[[#This Row],[JUMLAH]]="","",(NOTA[[#This Row],[JUMLAH]]-NOTA[[#This Row],[DISC 1-]]-NOTA[[#This Row],[DISC 2-]])*NOTA[[#This Row],[DISC 3]])</f>
        <v>0</v>
      </c>
      <c r="AB854" s="66">
        <f>IF(NOTA[[#This Row],[JUMLAH]]="","",NOTA[[#This Row],[DISC 1-]]+NOTA[[#This Row],[DISC 2-]]+NOTA[[#This Row],[DISC 3-]])</f>
        <v>413250</v>
      </c>
      <c r="AC854" s="66">
        <f>IF(NOTA[[#This Row],[JUMLAH]]="","",NOTA[[#This Row],[JUMLAH]]-NOTA[[#This Row],[DISC]])</f>
        <v>2436750</v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854" s="66">
        <f>IF(OR(NOTA[[#This Row],[QTY]]="",NOTA[[#This Row],[HARGA SATUAN]]="",),"",NOTA[[#This Row],[QTY]]*NOTA[[#This Row],[HARGA SATUAN]])</f>
        <v>2850000</v>
      </c>
      <c r="AI854" s="60">
        <f ca="1">IF(NOTA[ID_H]="","",INDEX(NOTA[TANGGAL],MATCH(,INDIRECT(ADDRESS(ROW(NOTA[TANGGAL]),COLUMN(NOTA[TANGGAL]))&amp;":"&amp;ADDRESS(ROW(),COLUMN(NOTA[TANGGAL]))),-1)))</f>
        <v>45327</v>
      </c>
      <c r="AJ854" s="55" t="str">
        <f ca="1">IF(NOTA[[#This Row],[NAMA BARANG]]="","",INDEX(NOTA[SUPPLIER],MATCH(,INDIRECT(ADDRESS(ROW(NOTA[ID]),COLUMN(NOTA[ID]))&amp;":"&amp;ADDRESS(ROW(),COLUMN(NOTA[ID]))),-1)))</f>
        <v>GUNINDO</v>
      </c>
      <c r="AK854" s="55" t="str">
        <f ca="1">IF(NOTA[[#This Row],[ID_H]]="","",IF(NOTA[[#This Row],[FAKTUR]]="",INDIRECT(ADDRESS(ROW()-1,COLUMN())),NOTA[[#This Row],[FAKTUR]]))</f>
        <v>UNTANA</v>
      </c>
      <c r="AL854" s="56">
        <f ca="1">IF(NOTA[[#This Row],[ID]]="","",COUNTIF(NOTA[ID_H],NOTA[[#This Row],[ID_H]]))</f>
        <v>3</v>
      </c>
      <c r="AM854" s="56">
        <f>IF(NOTA[[#This Row],[TGL.NOTA]]="",IF(NOTA[[#This Row],[SUPPLIER_H]]="","",AM853),MONTH(NOTA[[#This Row],[TGL.NOTA]]))</f>
        <v>1</v>
      </c>
      <c r="AN854" s="56" t="str">
        <f>LOWER(SUBSTITUTE(SUBSTITUTE(SUBSTITUTE(SUBSTITUTE(SUBSTITUTE(SUBSTITUTE(SUBSTITUTE(SUBSTITUTE(SUBSTITUTE(NOTA[NAMA BARANG]," ",),".",""),"-",""),"(",""),")",""),",",""),"/",""),"""",""),"+",""))</f>
        <v>cuttera18trans</v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GUNINDOUNTANA240124545321cuttera18trans</v>
      </c>
      <c r="AR854" s="56" t="e">
        <f>IF(NOTA[[#This Row],[CONCAT4]]="","",_xlfn.IFNA(MATCH(NOTA[[#This Row],[CONCAT4]],[2]!RAW[CONCAT_H],0),FALSE))</f>
        <v>#REF!</v>
      </c>
      <c r="AS854" s="56">
        <f>IF(NOTA[[#This Row],[CONCAT1]]="","",MATCH(NOTA[[#This Row],[CONCAT1]],[3]!db[NB NOTA_C],0))</f>
        <v>770</v>
      </c>
      <c r="AT854" s="56" t="b">
        <f>IF(NOTA[[#This Row],[QTY/ CTN]]="","",TRUE)</f>
        <v>1</v>
      </c>
      <c r="AU854" s="56" t="str">
        <f ca="1">IF(NOTA[[#This Row],[ID_H]]="","",IF(NOTA[[#This Row],[Column3]]=TRUE,NOTA[[#This Row],[QTY/ CTN]],INDEX([3]!db[QTY/ CTN],NOTA[[#This Row],[//DB]])))</f>
        <v>60 LSN</v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W854" s="56" t="e">
        <f ca="1">IF(NOTA[[#This Row],[ID_H]]="","",MATCH(NOTA[[#This Row],[NB NOTA_C_QTY]],[4]!db[NB NOTA_C_QTY+F],0))</f>
        <v>#REF!</v>
      </c>
      <c r="AX854" s="68">
        <f ca="1">IF(NOTA[[#This Row],[NB NOTA_C_QTY]]="","",ROW()-2)</f>
        <v>852</v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>
        <f ca="1">IF(NOTA[[#This Row],[NAMA BARANG]]="","",INDEX(NOTA[ID],MATCH(,INDIRECT(ADDRESS(ROW(NOTA[ID]),COLUMN(NOTA[ID]))&amp;":"&amp;ADDRESS(ROW(),COLUMN(NOTA[ID]))),-1)))</f>
        <v>153</v>
      </c>
      <c r="E855" s="57"/>
      <c r="F855" s="58"/>
      <c r="G855" s="58"/>
      <c r="H855" s="59"/>
      <c r="I855" s="58"/>
      <c r="J855" s="60"/>
      <c r="K855" s="58">
        <v>0</v>
      </c>
      <c r="L855" s="37" t="s">
        <v>926</v>
      </c>
      <c r="M855" s="61">
        <v>1</v>
      </c>
      <c r="N855" s="56">
        <v>60</v>
      </c>
      <c r="O855" s="37" t="s">
        <v>111</v>
      </c>
      <c r="P855" s="55">
        <v>33000</v>
      </c>
      <c r="Q855" s="62"/>
      <c r="R855" s="48" t="s">
        <v>153</v>
      </c>
      <c r="S855" s="64">
        <v>0.05</v>
      </c>
      <c r="T855" s="65">
        <v>0.1</v>
      </c>
      <c r="U855" s="65"/>
      <c r="V855" s="66"/>
      <c r="W855" s="67"/>
      <c r="X855" s="66">
        <f>IF(NOTA[[#This Row],[HARGA/ CTN]]="",NOTA[[#This Row],[JUMLAH_H]],NOTA[[#This Row],[HARGA/ CTN]]*IF(NOTA[[#This Row],[C]]="",0,NOTA[[#This Row],[C]]))</f>
        <v>1980000</v>
      </c>
      <c r="Y855" s="66">
        <f>IF(NOTA[[#This Row],[JUMLAH]]="","",NOTA[[#This Row],[JUMLAH]]*NOTA[[#This Row],[DISC 1]])</f>
        <v>99000</v>
      </c>
      <c r="Z855" s="66">
        <f>IF(NOTA[[#This Row],[JUMLAH]]="","",(NOTA[[#This Row],[JUMLAH]]-NOTA[[#This Row],[DISC 1-]])*NOTA[[#This Row],[DISC 2]])</f>
        <v>188100</v>
      </c>
      <c r="AA855" s="66">
        <f>IF(NOTA[[#This Row],[JUMLAH]]="","",(NOTA[[#This Row],[JUMLAH]]-NOTA[[#This Row],[DISC 1-]]-NOTA[[#This Row],[DISC 2-]])*NOTA[[#This Row],[DISC 3]])</f>
        <v>0</v>
      </c>
      <c r="AB855" s="66">
        <f>IF(NOTA[[#This Row],[JUMLAH]]="","",NOTA[[#This Row],[DISC 1-]]+NOTA[[#This Row],[DISC 2-]]+NOTA[[#This Row],[DISC 3-]])</f>
        <v>287100</v>
      </c>
      <c r="AC855" s="66">
        <f>IF(NOTA[[#This Row],[JUMLAH]]="","",NOTA[[#This Row],[JUMLAH]]-NOTA[[#This Row],[DISC]])</f>
        <v>1692900</v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855" s="66">
        <f>IF(OR(NOTA[[#This Row],[QTY]]="",NOTA[[#This Row],[HARGA SATUAN]]="",),"",NOTA[[#This Row],[QTY]]*NOTA[[#This Row],[HARGA SATUAN]])</f>
        <v>1980000</v>
      </c>
      <c r="AI855" s="60">
        <f ca="1">IF(NOTA[ID_H]="","",INDEX(NOTA[TANGGAL],MATCH(,INDIRECT(ADDRESS(ROW(NOTA[TANGGAL]),COLUMN(NOTA[TANGGAL]))&amp;":"&amp;ADDRESS(ROW(),COLUMN(NOTA[TANGGAL]))),-1)))</f>
        <v>45327</v>
      </c>
      <c r="AJ855" s="55" t="str">
        <f ca="1">IF(NOTA[[#This Row],[NAMA BARANG]]="","",INDEX(NOTA[SUPPLIER],MATCH(,INDIRECT(ADDRESS(ROW(NOTA[ID]),COLUMN(NOTA[ID]))&amp;":"&amp;ADDRESS(ROW(),COLUMN(NOTA[ID]))),-1)))</f>
        <v>GUNINDO</v>
      </c>
      <c r="AK855" s="55" t="str">
        <f ca="1">IF(NOTA[[#This Row],[ID_H]]="","",IF(NOTA[[#This Row],[FAKTUR]]="",INDIRECT(ADDRESS(ROW()-1,COLUMN())),NOTA[[#This Row],[FAKTUR]]))</f>
        <v>UNTANA</v>
      </c>
      <c r="AL855" s="56" t="str">
        <f ca="1">IF(NOTA[[#This Row],[ID]]="","",COUNTIF(NOTA[ID_H],NOTA[[#This Row],[ID_H]]))</f>
        <v/>
      </c>
      <c r="AM855" s="56">
        <f ca="1">IF(NOTA[[#This Row],[TGL.NOTA]]="",IF(NOTA[[#This Row],[SUPPLIER_H]]="","",AM854),MONTH(NOTA[[#This Row],[TGL.NOTA]]))</f>
        <v>1</v>
      </c>
      <c r="AN855" s="56" t="str">
        <f>LOWER(SUBSTITUTE(SUBSTITUTE(SUBSTITUTE(SUBSTITUTE(SUBSTITUTE(SUBSTITUTE(SUBSTITUTE(SUBSTITUTE(SUBSTITUTE(NOTA[NAMA BARANG]," ",),".",""),"-",""),"(",""),")",""),",",""),"/",""),"""",""),"+",""))</f>
        <v>cuttersc9aputih</v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>
        <f>IF(NOTA[[#This Row],[CONCAT1]]="","",MATCH(NOTA[[#This Row],[CONCAT1]],[3]!db[NB NOTA_C],0))</f>
        <v>788</v>
      </c>
      <c r="AT855" s="56" t="b">
        <f>IF(NOTA[[#This Row],[QTY/ CTN]]="","",TRUE)</f>
        <v>1</v>
      </c>
      <c r="AU855" s="56" t="str">
        <f ca="1">IF(NOTA[[#This Row],[ID_H]]="","",IF(NOTA[[#This Row],[Column3]]=TRUE,NOTA[[#This Row],[QTY/ CTN]],INDEX([3]!db[QTY/ CTN],NOTA[[#This Row],[//DB]])))</f>
        <v>60 LSN</v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cuttersc9aputih60lsnuntana</v>
      </c>
      <c r="AW855" s="56" t="e">
        <f ca="1">IF(NOTA[[#This Row],[ID_H]]="","",MATCH(NOTA[[#This Row],[NB NOTA_C_QTY]],[4]!db[NB NOTA_C_QTY+F],0))</f>
        <v>#REF!</v>
      </c>
      <c r="AX855" s="68">
        <f ca="1">IF(NOTA[[#This Row],[NB NOTA_C_QTY]]="","",ROW()-2)</f>
        <v>853</v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>
        <f ca="1">IF(NOTA[[#This Row],[NAMA BARANG]]="","",INDEX(NOTA[ID],MATCH(,INDIRECT(ADDRESS(ROW(NOTA[ID]),COLUMN(NOTA[ID]))&amp;":"&amp;ADDRESS(ROW(),COLUMN(NOTA[ID]))),-1)))</f>
        <v>153</v>
      </c>
      <c r="E856" s="57"/>
      <c r="F856" s="58"/>
      <c r="G856" s="58"/>
      <c r="H856" s="59"/>
      <c r="I856" s="58"/>
      <c r="J856" s="60"/>
      <c r="K856" s="58">
        <v>0</v>
      </c>
      <c r="L856" s="37" t="s">
        <v>697</v>
      </c>
      <c r="M856" s="61">
        <v>2</v>
      </c>
      <c r="N856" s="56">
        <v>60</v>
      </c>
      <c r="O856" s="37" t="s">
        <v>111</v>
      </c>
      <c r="P856" s="55">
        <v>70000</v>
      </c>
      <c r="Q856" s="62"/>
      <c r="R856" s="48" t="s">
        <v>113</v>
      </c>
      <c r="S856" s="64">
        <v>0.05</v>
      </c>
      <c r="T856" s="65">
        <v>0.1</v>
      </c>
      <c r="U856" s="65"/>
      <c r="V856" s="66"/>
      <c r="W856" s="67"/>
      <c r="X856" s="66">
        <f>IF(NOTA[[#This Row],[HARGA/ CTN]]="",NOTA[[#This Row],[JUMLAH_H]],NOTA[[#This Row],[HARGA/ CTN]]*IF(NOTA[[#This Row],[C]]="",0,NOTA[[#This Row],[C]]))</f>
        <v>4200000</v>
      </c>
      <c r="Y856" s="66">
        <f>IF(NOTA[[#This Row],[JUMLAH]]="","",NOTA[[#This Row],[JUMLAH]]*NOTA[[#This Row],[DISC 1]])</f>
        <v>210000</v>
      </c>
      <c r="Z856" s="66">
        <f>IF(NOTA[[#This Row],[JUMLAH]]="","",(NOTA[[#This Row],[JUMLAH]]-NOTA[[#This Row],[DISC 1-]])*NOTA[[#This Row],[DISC 2]])</f>
        <v>399000</v>
      </c>
      <c r="AA856" s="66">
        <f>IF(NOTA[[#This Row],[JUMLAH]]="","",(NOTA[[#This Row],[JUMLAH]]-NOTA[[#This Row],[DISC 1-]]-NOTA[[#This Row],[DISC 2-]])*NOTA[[#This Row],[DISC 3]])</f>
        <v>0</v>
      </c>
      <c r="AB856" s="66">
        <f>IF(NOTA[[#This Row],[JUMLAH]]="","",NOTA[[#This Row],[DISC 1-]]+NOTA[[#This Row],[DISC 2-]]+NOTA[[#This Row],[DISC 3-]])</f>
        <v>609000</v>
      </c>
      <c r="AC856" s="66">
        <f>IF(NOTA[[#This Row],[JUMLAH]]="","",NOTA[[#This Row],[JUMLAH]]-NOTA[[#This Row],[DISC]])</f>
        <v>3591000</v>
      </c>
      <c r="AD856" s="66"/>
      <c r="AE85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1309350</v>
      </c>
      <c r="AF85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7720650</v>
      </c>
      <c r="AG856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856" s="66">
        <f>IF(OR(NOTA[[#This Row],[QTY]]="",NOTA[[#This Row],[HARGA SATUAN]]="",),"",NOTA[[#This Row],[QTY]]*NOTA[[#This Row],[HARGA SATUAN]])</f>
        <v>4200000</v>
      </c>
      <c r="AI856" s="60">
        <f ca="1">IF(NOTA[ID_H]="","",INDEX(NOTA[TANGGAL],MATCH(,INDIRECT(ADDRESS(ROW(NOTA[TANGGAL]),COLUMN(NOTA[TANGGAL]))&amp;":"&amp;ADDRESS(ROW(),COLUMN(NOTA[TANGGAL]))),-1)))</f>
        <v>45327</v>
      </c>
      <c r="AJ856" s="55" t="str">
        <f ca="1">IF(NOTA[[#This Row],[NAMA BARANG]]="","",INDEX(NOTA[SUPPLIER],MATCH(,INDIRECT(ADDRESS(ROW(NOTA[ID]),COLUMN(NOTA[ID]))&amp;":"&amp;ADDRESS(ROW(),COLUMN(NOTA[ID]))),-1)))</f>
        <v>GUNINDO</v>
      </c>
      <c r="AK856" s="55" t="str">
        <f ca="1">IF(NOTA[[#This Row],[ID_H]]="","",IF(NOTA[[#This Row],[FAKTUR]]="",INDIRECT(ADDRESS(ROW()-1,COLUMN())),NOTA[[#This Row],[FAKTUR]]))</f>
        <v>UNTANA</v>
      </c>
      <c r="AL856" s="56" t="str">
        <f ca="1">IF(NOTA[[#This Row],[ID]]="","",COUNTIF(NOTA[ID_H],NOTA[[#This Row],[ID_H]]))</f>
        <v/>
      </c>
      <c r="AM856" s="56">
        <f ca="1">IF(NOTA[[#This Row],[TGL.NOTA]]="",IF(NOTA[[#This Row],[SUPPLIER_H]]="","",AM855),MONTH(NOTA[[#This Row],[TGL.NOTA]]))</f>
        <v>1</v>
      </c>
      <c r="AN856" s="56" t="str">
        <f>LOWER(SUBSTITUTE(SUBSTITUTE(SUBSTITUTE(SUBSTITUTE(SUBSTITUTE(SUBSTITUTE(SUBSTITUTE(SUBSTITUTE(SUBSTITUTE(NOTA[NAMA BARANG]," ",),".",""),"-",""),"(",""),")",""),",",""),"/",""),"""",""),"+",""))</f>
        <v>ollgunindo</v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>
        <f>IF(NOTA[[#This Row],[CONCAT1]]="","",MATCH(NOTA[[#This Row],[CONCAT1]],[3]!db[NB NOTA_C],0))</f>
        <v>2181</v>
      </c>
      <c r="AT856" s="56" t="b">
        <f>IF(NOTA[[#This Row],[QTY/ CTN]]="","",TRUE)</f>
        <v>1</v>
      </c>
      <c r="AU856" s="56" t="str">
        <f ca="1">IF(NOTA[[#This Row],[ID_H]]="","",IF(NOTA[[#This Row],[Column3]]=TRUE,NOTA[[#This Row],[QTY/ CTN]],INDEX([3]!db[QTY/ CTN],NOTA[[#This Row],[//DB]])))</f>
        <v>30 LSN</v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856" s="56" t="e">
        <f ca="1">IF(NOTA[[#This Row],[ID_H]]="","",MATCH(NOTA[[#This Row],[NB NOTA_C_QTY]],[4]!db[NB NOTA_C_QTY+F],0))</f>
        <v>#REF!</v>
      </c>
      <c r="AX856" s="68">
        <f ca="1">IF(NOTA[[#This Row],[NB NOTA_C_QTY]]="","",ROW()-2)</f>
        <v>854</v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>
        <f ca="1">IF(INDIRECT(ADDRESS(ROW()-1,COLUMN(NOTA[[#Headers],[ID]])))="ID",1,IF(NOTA[[#This Row],[FAKTUR]]="","",COUNT(INDIRECT(ADDRESS(ROW(NOTA[ID]),COLUMN(NOTA[ID]))&amp;":"&amp;ADDRESS(ROW()-1,COLUMN(NOTA[ID]))))+1))</f>
        <v>154</v>
      </c>
      <c r="B85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HON_0702_238-4</v>
      </c>
      <c r="C858" s="56" t="e">
        <f ca="1">IF(NOTA[[#This Row],[ID_P]]="","",MATCH(NOTA[[#This Row],[ID_P]],[1]!B_MSK[N_ID],0))</f>
        <v>#REF!</v>
      </c>
      <c r="D858" s="56">
        <f ca="1">IF(NOTA[[#This Row],[NAMA BARANG]]="","",INDEX(NOTA[ID],MATCH(,INDIRECT(ADDRESS(ROW(NOTA[ID]),COLUMN(NOTA[ID]))&amp;":"&amp;ADDRESS(ROW(),COLUMN(NOTA[ID]))),-1)))</f>
        <v>154</v>
      </c>
      <c r="E858" s="57">
        <v>45329</v>
      </c>
      <c r="F858" s="37" t="s">
        <v>927</v>
      </c>
      <c r="G858" s="37" t="s">
        <v>110</v>
      </c>
      <c r="H858" s="47" t="s">
        <v>928</v>
      </c>
      <c r="I858" s="58"/>
      <c r="J858" s="60">
        <v>45329</v>
      </c>
      <c r="K858" s="58"/>
      <c r="L858" s="37" t="s">
        <v>929</v>
      </c>
      <c r="M858" s="61">
        <v>1</v>
      </c>
      <c r="N858" s="56">
        <v>32</v>
      </c>
      <c r="O858" s="37" t="s">
        <v>111</v>
      </c>
      <c r="P858" s="55">
        <v>72000</v>
      </c>
      <c r="Q858" s="62"/>
      <c r="R858" s="63">
        <v>32</v>
      </c>
      <c r="S858" s="64"/>
      <c r="T858" s="65"/>
      <c r="U858" s="65"/>
      <c r="V858" s="66"/>
      <c r="W858" s="67"/>
      <c r="X858" s="66">
        <f>IF(NOTA[[#This Row],[HARGA/ CTN]]="",NOTA[[#This Row],[JUMLAH_H]],NOTA[[#This Row],[HARGA/ CTN]]*IF(NOTA[[#This Row],[C]]="",0,NOTA[[#This Row],[C]]))</f>
        <v>2304000</v>
      </c>
      <c r="Y858" s="66">
        <f>IF(NOTA[[#This Row],[JUMLAH]]="","",NOTA[[#This Row],[JUMLAH]]*NOTA[[#This Row],[DISC 1]])</f>
        <v>0</v>
      </c>
      <c r="Z858" s="66">
        <f>IF(NOTA[[#This Row],[JUMLAH]]="","",(NOTA[[#This Row],[JUMLAH]]-NOTA[[#This Row],[DISC 1-]])*NOTA[[#This Row],[DISC 2]])</f>
        <v>0</v>
      </c>
      <c r="AA858" s="66">
        <f>IF(NOTA[[#This Row],[JUMLAH]]="","",(NOTA[[#This Row],[JUMLAH]]-NOTA[[#This Row],[DISC 1-]]-NOTA[[#This Row],[DISC 2-]])*NOTA[[#This Row],[DISC 3]])</f>
        <v>0</v>
      </c>
      <c r="AB858" s="66">
        <f>IF(NOTA[[#This Row],[JUMLAH]]="","",NOTA[[#This Row],[DISC 1-]]+NOTA[[#This Row],[DISC 2-]]+NOTA[[#This Row],[DISC 3-]])</f>
        <v>0</v>
      </c>
      <c r="AC858" s="66">
        <f>IF(NOTA[[#This Row],[JUMLAH]]="","",NOTA[[#This Row],[JUMLAH]]-NOTA[[#This Row],[DISC]])</f>
        <v>2304000</v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858" s="66">
        <f>IF(OR(NOTA[[#This Row],[QTY]]="",NOTA[[#This Row],[HARGA SATUAN]]="",),"",NOTA[[#This Row],[QTY]]*NOTA[[#This Row],[HARGA SATUAN]])</f>
        <v>2304000</v>
      </c>
      <c r="AI858" s="60">
        <f ca="1">IF(NOTA[ID_H]="","",INDEX(NOTA[TANGGAL],MATCH(,INDIRECT(ADDRESS(ROW(NOTA[TANGGAL]),COLUMN(NOTA[TANGGAL]))&amp;":"&amp;ADDRESS(ROW(),COLUMN(NOTA[TANGGAL]))),-1)))</f>
        <v>45329</v>
      </c>
      <c r="AJ858" s="55" t="str">
        <f ca="1">IF(NOTA[[#This Row],[NAMA BARANG]]="","",INDEX(NOTA[SUPPLIER],MATCH(,INDIRECT(ADDRESS(ROW(NOTA[ID]),COLUMN(NOTA[ID]))&amp;":"&amp;ADDRESS(ROW(),COLUMN(NOTA[ID]))),-1)))</f>
        <v>HONGSIAN</v>
      </c>
      <c r="AK858" s="55" t="str">
        <f ca="1">IF(NOTA[[#This Row],[ID_H]]="","",IF(NOTA[[#This Row],[FAKTUR]]="",INDIRECT(ADDRESS(ROW()-1,COLUMN())),NOTA[[#This Row],[FAKTUR]]))</f>
        <v>UNTANA</v>
      </c>
      <c r="AL858" s="56">
        <f ca="1">IF(NOTA[[#This Row],[ID]]="","",COUNTIF(NOTA[ID_H],NOTA[[#This Row],[ID_H]]))</f>
        <v>4</v>
      </c>
      <c r="AM858" s="56">
        <f>IF(NOTA[[#This Row],[TGL.NOTA]]="",IF(NOTA[[#This Row],[SUPPLIER_H]]="","",AM857),MONTH(NOTA[[#This Row],[TGL.NOTA]]))</f>
        <v>2</v>
      </c>
      <c r="AN858" s="56" t="str">
        <f>LOWER(SUBSTITUTE(SUBSTITUTE(SUBSTITUTE(SUBSTITUTE(SUBSTITUTE(SUBSTITUTE(SUBSTITUTE(SUBSTITUTE(SUBSTITUTE(NOTA[NAMA BARANG]," ",),".",""),"-",""),"(",""),")",""),",",""),"/",""),"""",""),"+",""))</f>
        <v>pch887</v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pch8872304000</v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pch8872304000</v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>HONGSIANUNTANAG23845329pch887</v>
      </c>
      <c r="AR858" s="56" t="e">
        <f>IF(NOTA[[#This Row],[CONCAT4]]="","",_xlfn.IFNA(MATCH(NOTA[[#This Row],[CONCAT4]],[2]!RAW[CONCAT_H],0),FALSE))</f>
        <v>#REF!</v>
      </c>
      <c r="AS858" s="56" t="e">
        <f>IF(NOTA[[#This Row],[CONCAT1]]="","",MATCH(NOTA[[#This Row],[CONCAT1]],[3]!db[NB NOTA_C],0))</f>
        <v>#N/A</v>
      </c>
      <c r="AT858" s="56" t="b">
        <f>IF(NOTA[[#This Row],[QTY/ CTN]]="","",TRUE)</f>
        <v>1</v>
      </c>
      <c r="AU858" s="56">
        <f ca="1">IF(NOTA[[#This Row],[ID_H]]="","",IF(NOTA[[#This Row],[Column3]]=TRUE,NOTA[[#This Row],[QTY/ CTN]],INDEX([3]!db[QTY/ CTN],NOTA[[#This Row],[//DB]])))</f>
        <v>32</v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pch88732untana</v>
      </c>
      <c r="AW858" s="56" t="e">
        <f ca="1">IF(NOTA[[#This Row],[ID_H]]="","",MATCH(NOTA[[#This Row],[NB NOTA_C_QTY]],[4]!db[NB NOTA_C_QTY+F],0))</f>
        <v>#REF!</v>
      </c>
      <c r="AX858" s="68">
        <f ca="1">IF(NOTA[[#This Row],[NB NOTA_C_QTY]]="","",ROW()-2)</f>
        <v>856</v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>
        <f ca="1">IF(NOTA[[#This Row],[NAMA BARANG]]="","",INDEX(NOTA[ID],MATCH(,INDIRECT(ADDRESS(ROW(NOTA[ID]),COLUMN(NOTA[ID]))&amp;":"&amp;ADDRESS(ROW(),COLUMN(NOTA[ID]))),-1)))</f>
        <v>154</v>
      </c>
      <c r="E859" s="57"/>
      <c r="F859" s="58"/>
      <c r="G859" s="58"/>
      <c r="H859" s="59"/>
      <c r="I859" s="58"/>
      <c r="J859" s="60"/>
      <c r="K859" s="58"/>
      <c r="L859" s="37" t="s">
        <v>930</v>
      </c>
      <c r="M859" s="61">
        <v>1</v>
      </c>
      <c r="N859" s="56">
        <v>32</v>
      </c>
      <c r="O859" s="37" t="s">
        <v>111</v>
      </c>
      <c r="P859" s="55">
        <v>79000</v>
      </c>
      <c r="Q859" s="62"/>
      <c r="R859" s="63">
        <v>32</v>
      </c>
      <c r="S859" s="64"/>
      <c r="T859" s="65"/>
      <c r="U859" s="65"/>
      <c r="V859" s="66"/>
      <c r="W859" s="67"/>
      <c r="X859" s="66">
        <f>IF(NOTA[[#This Row],[HARGA/ CTN]]="",NOTA[[#This Row],[JUMLAH_H]],NOTA[[#This Row],[HARGA/ CTN]]*IF(NOTA[[#This Row],[C]]="",0,NOTA[[#This Row],[C]]))</f>
        <v>2528000</v>
      </c>
      <c r="Y859" s="66">
        <f>IF(NOTA[[#This Row],[JUMLAH]]="","",NOTA[[#This Row],[JUMLAH]]*NOTA[[#This Row],[DISC 1]])</f>
        <v>0</v>
      </c>
      <c r="Z859" s="66">
        <f>IF(NOTA[[#This Row],[JUMLAH]]="","",(NOTA[[#This Row],[JUMLAH]]-NOTA[[#This Row],[DISC 1-]])*NOTA[[#This Row],[DISC 2]])</f>
        <v>0</v>
      </c>
      <c r="AA859" s="66">
        <f>IF(NOTA[[#This Row],[JUMLAH]]="","",(NOTA[[#This Row],[JUMLAH]]-NOTA[[#This Row],[DISC 1-]]-NOTA[[#This Row],[DISC 2-]])*NOTA[[#This Row],[DISC 3]])</f>
        <v>0</v>
      </c>
      <c r="AB859" s="66">
        <f>IF(NOTA[[#This Row],[JUMLAH]]="","",NOTA[[#This Row],[DISC 1-]]+NOTA[[#This Row],[DISC 2-]]+NOTA[[#This Row],[DISC 3-]])</f>
        <v>0</v>
      </c>
      <c r="AC859" s="66">
        <f>IF(NOTA[[#This Row],[JUMLAH]]="","",NOTA[[#This Row],[JUMLAH]]-NOTA[[#This Row],[DISC]])</f>
        <v>2528000</v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>
        <f>IF(NOTA[[#This Row],[NAMA BARANG]]="","",IF(NOTA[[#This Row],[JUMLAH_H]]="",NOTA[[#This Row],[HARGA/ CTN]],NOTA[[#This Row],[QTY]]*NOTA[[#This Row],[HARGA SATUAN]]/IF(ISNUMBER(NOTA[[#This Row],[C]]),NOTA[[#This Row],[C]],1)))</f>
        <v>2528000</v>
      </c>
      <c r="AH859" s="66">
        <f>IF(OR(NOTA[[#This Row],[QTY]]="",NOTA[[#This Row],[HARGA SATUAN]]="",),"",NOTA[[#This Row],[QTY]]*NOTA[[#This Row],[HARGA SATUAN]])</f>
        <v>2528000</v>
      </c>
      <c r="AI859" s="60">
        <f ca="1">IF(NOTA[ID_H]="","",INDEX(NOTA[TANGGAL],MATCH(,INDIRECT(ADDRESS(ROW(NOTA[TANGGAL]),COLUMN(NOTA[TANGGAL]))&amp;":"&amp;ADDRESS(ROW(),COLUMN(NOTA[TANGGAL]))),-1)))</f>
        <v>45329</v>
      </c>
      <c r="AJ859" s="55" t="str">
        <f ca="1">IF(NOTA[[#This Row],[NAMA BARANG]]="","",INDEX(NOTA[SUPPLIER],MATCH(,INDIRECT(ADDRESS(ROW(NOTA[ID]),COLUMN(NOTA[ID]))&amp;":"&amp;ADDRESS(ROW(),COLUMN(NOTA[ID]))),-1)))</f>
        <v>HONGSIAN</v>
      </c>
      <c r="AK859" s="55" t="str">
        <f ca="1">IF(NOTA[[#This Row],[ID_H]]="","",IF(NOTA[[#This Row],[FAKTUR]]="",INDIRECT(ADDRESS(ROW()-1,COLUMN())),NOTA[[#This Row],[FAKTUR]]))</f>
        <v>UNTANA</v>
      </c>
      <c r="AL859" s="56" t="str">
        <f ca="1">IF(NOTA[[#This Row],[ID]]="","",COUNTIF(NOTA[ID_H],NOTA[[#This Row],[ID_H]]))</f>
        <v/>
      </c>
      <c r="AM859" s="56">
        <f ca="1">IF(NOTA[[#This Row],[TGL.NOTA]]="",IF(NOTA[[#This Row],[SUPPLIER_H]]="","",AM858),MONTH(NOTA[[#This Row],[TGL.NOTA]]))</f>
        <v>2</v>
      </c>
      <c r="AN859" s="56" t="str">
        <f>LOWER(SUBSTITUTE(SUBSTITUTE(SUBSTITUTE(SUBSTITUTE(SUBSTITUTE(SUBSTITUTE(SUBSTITUTE(SUBSTITUTE(SUBSTITUTE(NOTA[NAMA BARANG]," ",),".",""),"-",""),"(",""),")",""),",",""),"/",""),"""",""),"+",""))</f>
        <v>pch869</v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pch8692528000</v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pch8692528000</v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e">
        <f>IF(NOTA[[#This Row],[CONCAT1]]="","",MATCH(NOTA[[#This Row],[CONCAT1]],[3]!db[NB NOTA_C],0))</f>
        <v>#N/A</v>
      </c>
      <c r="AT859" s="56" t="b">
        <f>IF(NOTA[[#This Row],[QTY/ CTN]]="","",TRUE)</f>
        <v>1</v>
      </c>
      <c r="AU859" s="56">
        <f ca="1">IF(NOTA[[#This Row],[ID_H]]="","",IF(NOTA[[#This Row],[Column3]]=TRUE,NOTA[[#This Row],[QTY/ CTN]],INDEX([3]!db[QTY/ CTN],NOTA[[#This Row],[//DB]])))</f>
        <v>32</v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pch86932untana</v>
      </c>
      <c r="AW859" s="56" t="e">
        <f ca="1">IF(NOTA[[#This Row],[ID_H]]="","",MATCH(NOTA[[#This Row],[NB NOTA_C_QTY]],[4]!db[NB NOTA_C_QTY+F],0))</f>
        <v>#REF!</v>
      </c>
      <c r="AX859" s="68">
        <f ca="1">IF(NOTA[[#This Row],[NB NOTA_C_QTY]]="","",ROW()-2)</f>
        <v>857</v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>
        <f ca="1">IF(NOTA[[#This Row],[NAMA BARANG]]="","",INDEX(NOTA[ID],MATCH(,INDIRECT(ADDRESS(ROW(NOTA[ID]),COLUMN(NOTA[ID]))&amp;":"&amp;ADDRESS(ROW(),COLUMN(NOTA[ID]))),-1)))</f>
        <v>154</v>
      </c>
      <c r="E860" s="57"/>
      <c r="F860" s="58"/>
      <c r="G860" s="58"/>
      <c r="H860" s="59"/>
      <c r="I860" s="58"/>
      <c r="J860" s="60"/>
      <c r="K860" s="58"/>
      <c r="L860" s="37" t="s">
        <v>931</v>
      </c>
      <c r="M860" s="61">
        <v>1</v>
      </c>
      <c r="N860" s="56">
        <v>32</v>
      </c>
      <c r="O860" s="37" t="s">
        <v>111</v>
      </c>
      <c r="P860" s="55">
        <v>76000</v>
      </c>
      <c r="Q860" s="62"/>
      <c r="R860" s="63">
        <v>32</v>
      </c>
      <c r="S860" s="64"/>
      <c r="T860" s="65"/>
      <c r="U860" s="65"/>
      <c r="V860" s="66"/>
      <c r="W860" s="67"/>
      <c r="X860" s="66">
        <f>IF(NOTA[[#This Row],[HARGA/ CTN]]="",NOTA[[#This Row],[JUMLAH_H]],NOTA[[#This Row],[HARGA/ CTN]]*IF(NOTA[[#This Row],[C]]="",0,NOTA[[#This Row],[C]]))</f>
        <v>2432000</v>
      </c>
      <c r="Y860" s="66">
        <f>IF(NOTA[[#This Row],[JUMLAH]]="","",NOTA[[#This Row],[JUMLAH]]*NOTA[[#This Row],[DISC 1]])</f>
        <v>0</v>
      </c>
      <c r="Z860" s="66">
        <f>IF(NOTA[[#This Row],[JUMLAH]]="","",(NOTA[[#This Row],[JUMLAH]]-NOTA[[#This Row],[DISC 1-]])*NOTA[[#This Row],[DISC 2]])</f>
        <v>0</v>
      </c>
      <c r="AA860" s="66">
        <f>IF(NOTA[[#This Row],[JUMLAH]]="","",(NOTA[[#This Row],[JUMLAH]]-NOTA[[#This Row],[DISC 1-]]-NOTA[[#This Row],[DISC 2-]])*NOTA[[#This Row],[DISC 3]])</f>
        <v>0</v>
      </c>
      <c r="AB860" s="66">
        <f>IF(NOTA[[#This Row],[JUMLAH]]="","",NOTA[[#This Row],[DISC 1-]]+NOTA[[#This Row],[DISC 2-]]+NOTA[[#This Row],[DISC 3-]])</f>
        <v>0</v>
      </c>
      <c r="AC860" s="66">
        <f>IF(NOTA[[#This Row],[JUMLAH]]="","",NOTA[[#This Row],[JUMLAH]]-NOTA[[#This Row],[DISC]])</f>
        <v>2432000</v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>
        <f>IF(NOTA[[#This Row],[NAMA BARANG]]="","",IF(NOTA[[#This Row],[JUMLAH_H]]="",NOTA[[#This Row],[HARGA/ CTN]],NOTA[[#This Row],[QTY]]*NOTA[[#This Row],[HARGA SATUAN]]/IF(ISNUMBER(NOTA[[#This Row],[C]]),NOTA[[#This Row],[C]],1)))</f>
        <v>2432000</v>
      </c>
      <c r="AH860" s="66">
        <f>IF(OR(NOTA[[#This Row],[QTY]]="",NOTA[[#This Row],[HARGA SATUAN]]="",),"",NOTA[[#This Row],[QTY]]*NOTA[[#This Row],[HARGA SATUAN]])</f>
        <v>2432000</v>
      </c>
      <c r="AI860" s="60">
        <f ca="1">IF(NOTA[ID_H]="","",INDEX(NOTA[TANGGAL],MATCH(,INDIRECT(ADDRESS(ROW(NOTA[TANGGAL]),COLUMN(NOTA[TANGGAL]))&amp;":"&amp;ADDRESS(ROW(),COLUMN(NOTA[TANGGAL]))),-1)))</f>
        <v>45329</v>
      </c>
      <c r="AJ860" s="55" t="str">
        <f ca="1">IF(NOTA[[#This Row],[NAMA BARANG]]="","",INDEX(NOTA[SUPPLIER],MATCH(,INDIRECT(ADDRESS(ROW(NOTA[ID]),COLUMN(NOTA[ID]))&amp;":"&amp;ADDRESS(ROW(),COLUMN(NOTA[ID]))),-1)))</f>
        <v>HONGSIAN</v>
      </c>
      <c r="AK860" s="55" t="str">
        <f ca="1">IF(NOTA[[#This Row],[ID_H]]="","",IF(NOTA[[#This Row],[FAKTUR]]="",INDIRECT(ADDRESS(ROW()-1,COLUMN())),NOTA[[#This Row],[FAKTUR]]))</f>
        <v>UNTANA</v>
      </c>
      <c r="AL860" s="56" t="str">
        <f ca="1">IF(NOTA[[#This Row],[ID]]="","",COUNTIF(NOTA[ID_H],NOTA[[#This Row],[ID_H]]))</f>
        <v/>
      </c>
      <c r="AM860" s="56">
        <f ca="1">IF(NOTA[[#This Row],[TGL.NOTA]]="",IF(NOTA[[#This Row],[SUPPLIER_H]]="","",AM859),MONTH(NOTA[[#This Row],[TGL.NOTA]]))</f>
        <v>2</v>
      </c>
      <c r="AN860" s="56" t="str">
        <f>LOWER(SUBSTITUTE(SUBSTITUTE(SUBSTITUTE(SUBSTITUTE(SUBSTITUTE(SUBSTITUTE(SUBSTITUTE(SUBSTITUTE(SUBSTITUTE(NOTA[NAMA BARANG]," ",),".",""),"-",""),"(",""),")",""),",",""),"/",""),"""",""),"+",""))</f>
        <v>pch866</v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pch8662432000</v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pch8662432000</v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e">
        <f>IF(NOTA[[#This Row],[CONCAT1]]="","",MATCH(NOTA[[#This Row],[CONCAT1]],[3]!db[NB NOTA_C],0))</f>
        <v>#N/A</v>
      </c>
      <c r="AT860" s="56" t="b">
        <f>IF(NOTA[[#This Row],[QTY/ CTN]]="","",TRUE)</f>
        <v>1</v>
      </c>
      <c r="AU860" s="56">
        <f ca="1">IF(NOTA[[#This Row],[ID_H]]="","",IF(NOTA[[#This Row],[Column3]]=TRUE,NOTA[[#This Row],[QTY/ CTN]],INDEX([3]!db[QTY/ CTN],NOTA[[#This Row],[//DB]])))</f>
        <v>32</v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pch86632untana</v>
      </c>
      <c r="AW860" s="56" t="e">
        <f ca="1">IF(NOTA[[#This Row],[ID_H]]="","",MATCH(NOTA[[#This Row],[NB NOTA_C_QTY]],[4]!db[NB NOTA_C_QTY+F],0))</f>
        <v>#REF!</v>
      </c>
      <c r="AX860" s="68">
        <f ca="1">IF(NOTA[[#This Row],[NB NOTA_C_QTY]]="","",ROW()-2)</f>
        <v>858</v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>
        <f ca="1">IF(NOTA[[#This Row],[NAMA BARANG]]="","",INDEX(NOTA[ID],MATCH(,INDIRECT(ADDRESS(ROW(NOTA[ID]),COLUMN(NOTA[ID]))&amp;":"&amp;ADDRESS(ROW(),COLUMN(NOTA[ID]))),-1)))</f>
        <v>154</v>
      </c>
      <c r="E861" s="57"/>
      <c r="F861" s="58"/>
      <c r="G861" s="58"/>
      <c r="H861" s="59"/>
      <c r="I861" s="58"/>
      <c r="J861" s="60"/>
      <c r="K861" s="58"/>
      <c r="L861" s="37" t="s">
        <v>932</v>
      </c>
      <c r="M861" s="61">
        <v>1</v>
      </c>
      <c r="N861" s="56">
        <v>32</v>
      </c>
      <c r="O861" s="37" t="s">
        <v>111</v>
      </c>
      <c r="P861" s="55">
        <v>82500</v>
      </c>
      <c r="Q861" s="62"/>
      <c r="R861" s="63">
        <v>32</v>
      </c>
      <c r="S861" s="64"/>
      <c r="T861" s="65"/>
      <c r="U861" s="65"/>
      <c r="V861" s="66"/>
      <c r="W861" s="67"/>
      <c r="X861" s="66">
        <f>IF(NOTA[[#This Row],[HARGA/ CTN]]="",NOTA[[#This Row],[JUMLAH_H]],NOTA[[#This Row],[HARGA/ CTN]]*IF(NOTA[[#This Row],[C]]="",0,NOTA[[#This Row],[C]]))</f>
        <v>2640000</v>
      </c>
      <c r="Y861" s="66">
        <f>IF(NOTA[[#This Row],[JUMLAH]]="","",NOTA[[#This Row],[JUMLAH]]*NOTA[[#This Row],[DISC 1]])</f>
        <v>0</v>
      </c>
      <c r="Z861" s="66">
        <f>IF(NOTA[[#This Row],[JUMLAH]]="","",(NOTA[[#This Row],[JUMLAH]]-NOTA[[#This Row],[DISC 1-]])*NOTA[[#This Row],[DISC 2]])</f>
        <v>0</v>
      </c>
      <c r="AA861" s="66">
        <f>IF(NOTA[[#This Row],[JUMLAH]]="","",(NOTA[[#This Row],[JUMLAH]]-NOTA[[#This Row],[DISC 1-]]-NOTA[[#This Row],[DISC 2-]])*NOTA[[#This Row],[DISC 3]])</f>
        <v>0</v>
      </c>
      <c r="AB861" s="66">
        <f>IF(NOTA[[#This Row],[JUMLAH]]="","",NOTA[[#This Row],[DISC 1-]]+NOTA[[#This Row],[DISC 2-]]+NOTA[[#This Row],[DISC 3-]])</f>
        <v>0</v>
      </c>
      <c r="AC861" s="66">
        <f>IF(NOTA[[#This Row],[JUMLAH]]="","",NOTA[[#This Row],[JUMLAH]]-NOTA[[#This Row],[DISC]])</f>
        <v>2640000</v>
      </c>
      <c r="AD861" s="66"/>
      <c r="AE86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6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9904000</v>
      </c>
      <c r="AG861" s="55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H861" s="66">
        <f>IF(OR(NOTA[[#This Row],[QTY]]="",NOTA[[#This Row],[HARGA SATUAN]]="",),"",NOTA[[#This Row],[QTY]]*NOTA[[#This Row],[HARGA SATUAN]])</f>
        <v>2640000</v>
      </c>
      <c r="AI861" s="60">
        <f ca="1">IF(NOTA[ID_H]="","",INDEX(NOTA[TANGGAL],MATCH(,INDIRECT(ADDRESS(ROW(NOTA[TANGGAL]),COLUMN(NOTA[TANGGAL]))&amp;":"&amp;ADDRESS(ROW(),COLUMN(NOTA[TANGGAL]))),-1)))</f>
        <v>45329</v>
      </c>
      <c r="AJ861" s="55" t="str">
        <f ca="1">IF(NOTA[[#This Row],[NAMA BARANG]]="","",INDEX(NOTA[SUPPLIER],MATCH(,INDIRECT(ADDRESS(ROW(NOTA[ID]),COLUMN(NOTA[ID]))&amp;":"&amp;ADDRESS(ROW(),COLUMN(NOTA[ID]))),-1)))</f>
        <v>HONGSIAN</v>
      </c>
      <c r="AK861" s="55" t="str">
        <f ca="1">IF(NOTA[[#This Row],[ID_H]]="","",IF(NOTA[[#This Row],[FAKTUR]]="",INDIRECT(ADDRESS(ROW()-1,COLUMN())),NOTA[[#This Row],[FAKTUR]]))</f>
        <v>UNTANA</v>
      </c>
      <c r="AL861" s="56" t="str">
        <f ca="1">IF(NOTA[[#This Row],[ID]]="","",COUNTIF(NOTA[ID_H],NOTA[[#This Row],[ID_H]]))</f>
        <v/>
      </c>
      <c r="AM861" s="56">
        <f ca="1">IF(NOTA[[#This Row],[TGL.NOTA]]="",IF(NOTA[[#This Row],[SUPPLIER_H]]="","",AM860),MONTH(NOTA[[#This Row],[TGL.NOTA]]))</f>
        <v>2</v>
      </c>
      <c r="AN861" s="56" t="str">
        <f>LOWER(SUBSTITUTE(SUBSTITUTE(SUBSTITUTE(SUBSTITUTE(SUBSTITUTE(SUBSTITUTE(SUBSTITUTE(SUBSTITUTE(SUBSTITUTE(NOTA[NAMA BARANG]," ",),".",""),"-",""),"(",""),")",""),",",""),"/",""),"""",""),"+",""))</f>
        <v>pch466</v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pch4662640000</v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pch4662640000</v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e">
        <f>IF(NOTA[[#This Row],[CONCAT1]]="","",MATCH(NOTA[[#This Row],[CONCAT1]],[3]!db[NB NOTA_C],0))</f>
        <v>#N/A</v>
      </c>
      <c r="AT861" s="56" t="b">
        <f>IF(NOTA[[#This Row],[QTY/ CTN]]="","",TRUE)</f>
        <v>1</v>
      </c>
      <c r="AU861" s="56">
        <f ca="1">IF(NOTA[[#This Row],[ID_H]]="","",IF(NOTA[[#This Row],[Column3]]=TRUE,NOTA[[#This Row],[QTY/ CTN]],INDEX([3]!db[QTY/ CTN],NOTA[[#This Row],[//DB]])))</f>
        <v>32</v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pch46632untana</v>
      </c>
      <c r="AW861" s="56" t="e">
        <f ca="1">IF(NOTA[[#This Row],[ID_H]]="","",MATCH(NOTA[[#This Row],[NB NOTA_C_QTY]],[4]!db[NB NOTA_C_QTY+F],0))</f>
        <v>#REF!</v>
      </c>
      <c r="AX861" s="68">
        <f ca="1">IF(NOTA[[#This Row],[NB NOTA_C_QTY]]="","",ROW()-2)</f>
        <v>859</v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>
        <f ca="1">IF(INDIRECT(ADDRESS(ROW()-1,COLUMN(NOTA[[#Headers],[ID]])))="ID",1,IF(NOTA[[#This Row],[FAKTUR]]="","",COUNT(INDIRECT(ADDRESS(ROW(NOTA[ID]),COLUMN(NOTA[ID]))&amp;":"&amp;ADDRESS(ROW()-1,COLUMN(NOTA[ID]))))+1))</f>
        <v>155</v>
      </c>
      <c r="B86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HON_0502_237-4</v>
      </c>
      <c r="C863" s="56" t="e">
        <f ca="1">IF(NOTA[[#This Row],[ID_P]]="","",MATCH(NOTA[[#This Row],[ID_P]],[1]!B_MSK[N_ID],0))</f>
        <v>#REF!</v>
      </c>
      <c r="D863" s="56">
        <f ca="1">IF(NOTA[[#This Row],[NAMA BARANG]]="","",INDEX(NOTA[ID],MATCH(,INDIRECT(ADDRESS(ROW(NOTA[ID]),COLUMN(NOTA[ID]))&amp;":"&amp;ADDRESS(ROW(),COLUMN(NOTA[ID]))),-1)))</f>
        <v>155</v>
      </c>
      <c r="E863" s="57">
        <v>45327</v>
      </c>
      <c r="F863" s="37" t="s">
        <v>927</v>
      </c>
      <c r="G863" s="37" t="s">
        <v>110</v>
      </c>
      <c r="H863" s="47" t="s">
        <v>933</v>
      </c>
      <c r="I863" s="58"/>
      <c r="J863" s="60">
        <v>45327</v>
      </c>
      <c r="K863" s="58"/>
      <c r="L863" s="37" t="s">
        <v>934</v>
      </c>
      <c r="M863" s="61"/>
      <c r="N863" s="38">
        <v>32</v>
      </c>
      <c r="O863" s="37" t="s">
        <v>111</v>
      </c>
      <c r="P863" s="55">
        <v>75000</v>
      </c>
      <c r="Q863" s="62"/>
      <c r="R863" s="63"/>
      <c r="S863" s="64"/>
      <c r="T863" s="65"/>
      <c r="U863" s="65"/>
      <c r="V863" s="66"/>
      <c r="W863" s="67"/>
      <c r="X863" s="66">
        <f>IF(NOTA[[#This Row],[HARGA/ CTN]]="",NOTA[[#This Row],[JUMLAH_H]],NOTA[[#This Row],[HARGA/ CTN]]*IF(NOTA[[#This Row],[C]]="",0,NOTA[[#This Row],[C]]))</f>
        <v>2400000</v>
      </c>
      <c r="Y863" s="66">
        <f>IF(NOTA[[#This Row],[JUMLAH]]="","",NOTA[[#This Row],[JUMLAH]]*NOTA[[#This Row],[DISC 1]])</f>
        <v>0</v>
      </c>
      <c r="Z863" s="66">
        <f>IF(NOTA[[#This Row],[JUMLAH]]="","",(NOTA[[#This Row],[JUMLAH]]-NOTA[[#This Row],[DISC 1-]])*NOTA[[#This Row],[DISC 2]])</f>
        <v>0</v>
      </c>
      <c r="AA863" s="66">
        <f>IF(NOTA[[#This Row],[JUMLAH]]="","",(NOTA[[#This Row],[JUMLAH]]-NOTA[[#This Row],[DISC 1-]]-NOTA[[#This Row],[DISC 2-]])*NOTA[[#This Row],[DISC 3]])</f>
        <v>0</v>
      </c>
      <c r="AB863" s="66">
        <f>IF(NOTA[[#This Row],[JUMLAH]]="","",NOTA[[#This Row],[DISC 1-]]+NOTA[[#This Row],[DISC 2-]]+NOTA[[#This Row],[DISC 3-]])</f>
        <v>0</v>
      </c>
      <c r="AC863" s="66">
        <f>IF(NOTA[[#This Row],[JUMLAH]]="","",NOTA[[#This Row],[JUMLAH]]-NOTA[[#This Row],[DISC]])</f>
        <v>2400000</v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863" s="66">
        <f>IF(OR(NOTA[[#This Row],[QTY]]="",NOTA[[#This Row],[HARGA SATUAN]]="",),"",NOTA[[#This Row],[QTY]]*NOTA[[#This Row],[HARGA SATUAN]])</f>
        <v>2400000</v>
      </c>
      <c r="AI863" s="60">
        <f ca="1">IF(NOTA[ID_H]="","",INDEX(NOTA[TANGGAL],MATCH(,INDIRECT(ADDRESS(ROW(NOTA[TANGGAL]),COLUMN(NOTA[TANGGAL]))&amp;":"&amp;ADDRESS(ROW(),COLUMN(NOTA[TANGGAL]))),-1)))</f>
        <v>45327</v>
      </c>
      <c r="AJ863" s="55" t="str">
        <f ca="1">IF(NOTA[[#This Row],[NAMA BARANG]]="","",INDEX(NOTA[SUPPLIER],MATCH(,INDIRECT(ADDRESS(ROW(NOTA[ID]),COLUMN(NOTA[ID]))&amp;":"&amp;ADDRESS(ROW(),COLUMN(NOTA[ID]))),-1)))</f>
        <v>HONGSIAN</v>
      </c>
      <c r="AK863" s="55" t="str">
        <f ca="1">IF(NOTA[[#This Row],[ID_H]]="","",IF(NOTA[[#This Row],[FAKTUR]]="",INDIRECT(ADDRESS(ROW()-1,COLUMN())),NOTA[[#This Row],[FAKTUR]]))</f>
        <v>UNTANA</v>
      </c>
      <c r="AL863" s="56">
        <f ca="1">IF(NOTA[[#This Row],[ID]]="","",COUNTIF(NOTA[ID_H],NOTA[[#This Row],[ID_H]]))</f>
        <v>4</v>
      </c>
      <c r="AM863" s="56">
        <f>IF(NOTA[[#This Row],[TGL.NOTA]]="",IF(NOTA[[#This Row],[SUPPLIER_H]]="","",AM862),MONTH(NOTA[[#This Row],[TGL.NOTA]]))</f>
        <v>2</v>
      </c>
      <c r="AN863" s="56" t="str">
        <f>LOWER(SUBSTITUTE(SUBSTITUTE(SUBSTITUTE(SUBSTITUTE(SUBSTITUTE(SUBSTITUTE(SUBSTITUTE(SUBSTITUTE(SUBSTITUTE(NOTA[NAMA BARANG]," ",),".",""),"-",""),"(",""),")",""),",",""),"/",""),"""",""),"+",""))</f>
        <v>pch761</v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pch7612400000</v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pch76175000</v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>HONGSIANUNTANAG23745327pch761</v>
      </c>
      <c r="AR863" s="56" t="e">
        <f>IF(NOTA[[#This Row],[CONCAT4]]="","",_xlfn.IFNA(MATCH(NOTA[[#This Row],[CONCAT4]],[2]!RAW[CONCAT_H],0),FALSE))</f>
        <v>#REF!</v>
      </c>
      <c r="AS863" s="56">
        <f>IF(NOTA[[#This Row],[CONCAT1]]="","",MATCH(NOTA[[#This Row],[CONCAT1]],[3]!db[NB NOTA_C],0))</f>
        <v>2305</v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>32 LSN</v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pch76132lsnuntana</v>
      </c>
      <c r="AW863" s="56" t="e">
        <f ca="1">IF(NOTA[[#This Row],[ID_H]]="","",MATCH(NOTA[[#This Row],[NB NOTA_C_QTY]],[4]!db[NB NOTA_C_QTY+F],0))</f>
        <v>#REF!</v>
      </c>
      <c r="AX863" s="68">
        <f ca="1">IF(NOTA[[#This Row],[NB NOTA_C_QTY]]="","",ROW()-2)</f>
        <v>861</v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>
        <f ca="1">IF(NOTA[[#This Row],[NAMA BARANG]]="","",INDEX(NOTA[ID],MATCH(,INDIRECT(ADDRESS(ROW(NOTA[ID]),COLUMN(NOTA[ID]))&amp;":"&amp;ADDRESS(ROW(),COLUMN(NOTA[ID]))),-1)))</f>
        <v>155</v>
      </c>
      <c r="E864" s="57"/>
      <c r="F864" s="58"/>
      <c r="G864" s="58"/>
      <c r="H864" s="59"/>
      <c r="I864" s="58"/>
      <c r="J864" s="60"/>
      <c r="K864" s="58"/>
      <c r="L864" s="37" t="s">
        <v>935</v>
      </c>
      <c r="M864" s="61"/>
      <c r="N864" s="56">
        <v>28</v>
      </c>
      <c r="O864" s="37" t="s">
        <v>111</v>
      </c>
      <c r="P864" s="55">
        <v>82000</v>
      </c>
      <c r="Q864" s="62"/>
      <c r="R864" s="63"/>
      <c r="S864" s="64"/>
      <c r="T864" s="65"/>
      <c r="U864" s="65"/>
      <c r="V864" s="66"/>
      <c r="W864" s="67"/>
      <c r="X864" s="66">
        <f>IF(NOTA[[#This Row],[HARGA/ CTN]]="",NOTA[[#This Row],[JUMLAH_H]],NOTA[[#This Row],[HARGA/ CTN]]*IF(NOTA[[#This Row],[C]]="",0,NOTA[[#This Row],[C]]))</f>
        <v>2296000</v>
      </c>
      <c r="Y864" s="66">
        <f>IF(NOTA[[#This Row],[JUMLAH]]="","",NOTA[[#This Row],[JUMLAH]]*NOTA[[#This Row],[DISC 1]])</f>
        <v>0</v>
      </c>
      <c r="Z864" s="66">
        <f>IF(NOTA[[#This Row],[JUMLAH]]="","",(NOTA[[#This Row],[JUMLAH]]-NOTA[[#This Row],[DISC 1-]])*NOTA[[#This Row],[DISC 2]])</f>
        <v>0</v>
      </c>
      <c r="AA864" s="66">
        <f>IF(NOTA[[#This Row],[JUMLAH]]="","",(NOTA[[#This Row],[JUMLAH]]-NOTA[[#This Row],[DISC 1-]]-NOTA[[#This Row],[DISC 2-]])*NOTA[[#This Row],[DISC 3]])</f>
        <v>0</v>
      </c>
      <c r="AB864" s="66">
        <f>IF(NOTA[[#This Row],[JUMLAH]]="","",NOTA[[#This Row],[DISC 1-]]+NOTA[[#This Row],[DISC 2-]]+NOTA[[#This Row],[DISC 3-]])</f>
        <v>0</v>
      </c>
      <c r="AC864" s="66">
        <f>IF(NOTA[[#This Row],[JUMLAH]]="","",NOTA[[#This Row],[JUMLAH]]-NOTA[[#This Row],[DISC]])</f>
        <v>2296000</v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>
        <f>IF(NOTA[[#This Row],[NAMA BARANG]]="","",IF(NOTA[[#This Row],[JUMLAH_H]]="",NOTA[[#This Row],[HARGA/ CTN]],NOTA[[#This Row],[QTY]]*NOTA[[#This Row],[HARGA SATUAN]]/IF(ISNUMBER(NOTA[[#This Row],[C]]),NOTA[[#This Row],[C]],1)))</f>
        <v>2296000</v>
      </c>
      <c r="AH864" s="66">
        <f>IF(OR(NOTA[[#This Row],[QTY]]="",NOTA[[#This Row],[HARGA SATUAN]]="",),"",NOTA[[#This Row],[QTY]]*NOTA[[#This Row],[HARGA SATUAN]])</f>
        <v>2296000</v>
      </c>
      <c r="AI864" s="60">
        <f ca="1">IF(NOTA[ID_H]="","",INDEX(NOTA[TANGGAL],MATCH(,INDIRECT(ADDRESS(ROW(NOTA[TANGGAL]),COLUMN(NOTA[TANGGAL]))&amp;":"&amp;ADDRESS(ROW(),COLUMN(NOTA[TANGGAL]))),-1)))</f>
        <v>45327</v>
      </c>
      <c r="AJ864" s="55" t="str">
        <f ca="1">IF(NOTA[[#This Row],[NAMA BARANG]]="","",INDEX(NOTA[SUPPLIER],MATCH(,INDIRECT(ADDRESS(ROW(NOTA[ID]),COLUMN(NOTA[ID]))&amp;":"&amp;ADDRESS(ROW(),COLUMN(NOTA[ID]))),-1)))</f>
        <v>HONGSIAN</v>
      </c>
      <c r="AK864" s="55" t="str">
        <f ca="1">IF(NOTA[[#This Row],[ID_H]]="","",IF(NOTA[[#This Row],[FAKTUR]]="",INDIRECT(ADDRESS(ROW()-1,COLUMN())),NOTA[[#This Row],[FAKTUR]]))</f>
        <v>UNTANA</v>
      </c>
      <c r="AL864" s="56" t="str">
        <f ca="1">IF(NOTA[[#This Row],[ID]]="","",COUNTIF(NOTA[ID_H],NOTA[[#This Row],[ID_H]]))</f>
        <v/>
      </c>
      <c r="AM864" s="56">
        <f ca="1">IF(NOTA[[#This Row],[TGL.NOTA]]="",IF(NOTA[[#This Row],[SUPPLIER_H]]="","",AM863),MONTH(NOTA[[#This Row],[TGL.NOTA]]))</f>
        <v>2</v>
      </c>
      <c r="AN864" s="56" t="str">
        <f>LOWER(SUBSTITUTE(SUBSTITUTE(SUBSTITUTE(SUBSTITUTE(SUBSTITUTE(SUBSTITUTE(SUBSTITUTE(SUBSTITUTE(SUBSTITUTE(NOTA[NAMA BARANG]," ",),".",""),"-",""),"(",""),")",""),",",""),"/",""),"""",""),"+",""))</f>
        <v>pch874</v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pch8742296000</v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pch87482000</v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e">
        <f>IF(NOTA[[#This Row],[CONCAT1]]="","",MATCH(NOTA[[#This Row],[CONCAT1]],[3]!db[NB NOTA_C],0))</f>
        <v>#N/A</v>
      </c>
      <c r="AT864" s="56" t="str">
        <f>IF(NOTA[[#This Row],[QTY/ CTN]]="","",TRUE)</f>
        <v/>
      </c>
      <c r="AU864" s="56" t="e">
        <f ca="1">IF(NOTA[[#This Row],[ID_H]]="","",IF(NOTA[[#This Row],[Column3]]=TRUE,NOTA[[#This Row],[QTY/ CTN]],INDEX([3]!db[QTY/ CTN],NOTA[[#This Row],[//DB]])))</f>
        <v>#N/A</v>
      </c>
      <c r="AV864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64" s="56" t="e">
        <f ca="1">IF(NOTA[[#This Row],[ID_H]]="","",MATCH(NOTA[[#This Row],[NB NOTA_C_QTY]],[4]!db[NB NOTA_C_QTY+F],0))</f>
        <v>#N/A</v>
      </c>
      <c r="AX864" s="68" t="e">
        <f ca="1">IF(NOTA[[#This Row],[NB NOTA_C_QTY]]="","",ROW()-2)</f>
        <v>#N/A</v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>
        <f ca="1">IF(NOTA[[#This Row],[NAMA BARANG]]="","",INDEX(NOTA[ID],MATCH(,INDIRECT(ADDRESS(ROW(NOTA[ID]),COLUMN(NOTA[ID]))&amp;":"&amp;ADDRESS(ROW(),COLUMN(NOTA[ID]))),-1)))</f>
        <v>155</v>
      </c>
      <c r="E865" s="57"/>
      <c r="F865" s="58"/>
      <c r="G865" s="58"/>
      <c r="H865" s="59"/>
      <c r="I865" s="58"/>
      <c r="J865" s="60"/>
      <c r="K865" s="58"/>
      <c r="L865" s="37" t="s">
        <v>936</v>
      </c>
      <c r="M865" s="61"/>
      <c r="N865" s="56">
        <v>32</v>
      </c>
      <c r="O865" s="37" t="s">
        <v>111</v>
      </c>
      <c r="P865" s="55">
        <v>82000</v>
      </c>
      <c r="Q865" s="62"/>
      <c r="R865" s="63"/>
      <c r="S865" s="64"/>
      <c r="T865" s="65"/>
      <c r="U865" s="65"/>
      <c r="V865" s="66"/>
      <c r="W865" s="67"/>
      <c r="X865" s="66">
        <f>IF(NOTA[[#This Row],[HARGA/ CTN]]="",NOTA[[#This Row],[JUMLAH_H]],NOTA[[#This Row],[HARGA/ CTN]]*IF(NOTA[[#This Row],[C]]="",0,NOTA[[#This Row],[C]]))</f>
        <v>2624000</v>
      </c>
      <c r="Y865" s="66">
        <f>IF(NOTA[[#This Row],[JUMLAH]]="","",NOTA[[#This Row],[JUMLAH]]*NOTA[[#This Row],[DISC 1]])</f>
        <v>0</v>
      </c>
      <c r="Z865" s="66">
        <f>IF(NOTA[[#This Row],[JUMLAH]]="","",(NOTA[[#This Row],[JUMLAH]]-NOTA[[#This Row],[DISC 1-]])*NOTA[[#This Row],[DISC 2]])</f>
        <v>0</v>
      </c>
      <c r="AA865" s="66">
        <f>IF(NOTA[[#This Row],[JUMLAH]]="","",(NOTA[[#This Row],[JUMLAH]]-NOTA[[#This Row],[DISC 1-]]-NOTA[[#This Row],[DISC 2-]])*NOTA[[#This Row],[DISC 3]])</f>
        <v>0</v>
      </c>
      <c r="AB865" s="66">
        <f>IF(NOTA[[#This Row],[JUMLAH]]="","",NOTA[[#This Row],[DISC 1-]]+NOTA[[#This Row],[DISC 2-]]+NOTA[[#This Row],[DISC 3-]])</f>
        <v>0</v>
      </c>
      <c r="AC865" s="66">
        <f>IF(NOTA[[#This Row],[JUMLAH]]="","",NOTA[[#This Row],[JUMLAH]]-NOTA[[#This Row],[DISC]])</f>
        <v>2624000</v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>
        <f>IF(NOTA[[#This Row],[NAMA BARANG]]="","",IF(NOTA[[#This Row],[JUMLAH_H]]="",NOTA[[#This Row],[HARGA/ CTN]],NOTA[[#This Row],[QTY]]*NOTA[[#This Row],[HARGA SATUAN]]/IF(ISNUMBER(NOTA[[#This Row],[C]]),NOTA[[#This Row],[C]],1)))</f>
        <v>2624000</v>
      </c>
      <c r="AH865" s="66">
        <f>IF(OR(NOTA[[#This Row],[QTY]]="",NOTA[[#This Row],[HARGA SATUAN]]="",),"",NOTA[[#This Row],[QTY]]*NOTA[[#This Row],[HARGA SATUAN]])</f>
        <v>2624000</v>
      </c>
      <c r="AI865" s="60">
        <f ca="1">IF(NOTA[ID_H]="","",INDEX(NOTA[TANGGAL],MATCH(,INDIRECT(ADDRESS(ROW(NOTA[TANGGAL]),COLUMN(NOTA[TANGGAL]))&amp;":"&amp;ADDRESS(ROW(),COLUMN(NOTA[TANGGAL]))),-1)))</f>
        <v>45327</v>
      </c>
      <c r="AJ865" s="55" t="str">
        <f ca="1">IF(NOTA[[#This Row],[NAMA BARANG]]="","",INDEX(NOTA[SUPPLIER],MATCH(,INDIRECT(ADDRESS(ROW(NOTA[ID]),COLUMN(NOTA[ID]))&amp;":"&amp;ADDRESS(ROW(),COLUMN(NOTA[ID]))),-1)))</f>
        <v>HONGSIAN</v>
      </c>
      <c r="AK865" s="55" t="str">
        <f ca="1">IF(NOTA[[#This Row],[ID_H]]="","",IF(NOTA[[#This Row],[FAKTUR]]="",INDIRECT(ADDRESS(ROW()-1,COLUMN())),NOTA[[#This Row],[FAKTUR]]))</f>
        <v>UNTANA</v>
      </c>
      <c r="AL865" s="56" t="str">
        <f ca="1">IF(NOTA[[#This Row],[ID]]="","",COUNTIF(NOTA[ID_H],NOTA[[#This Row],[ID_H]]))</f>
        <v/>
      </c>
      <c r="AM865" s="56">
        <f ca="1">IF(NOTA[[#This Row],[TGL.NOTA]]="",IF(NOTA[[#This Row],[SUPPLIER_H]]="","",AM864),MONTH(NOTA[[#This Row],[TGL.NOTA]]))</f>
        <v>2</v>
      </c>
      <c r="AN865" s="56" t="str">
        <f>LOWER(SUBSTITUTE(SUBSTITUTE(SUBSTITUTE(SUBSTITUTE(SUBSTITUTE(SUBSTITUTE(SUBSTITUTE(SUBSTITUTE(SUBSTITUTE(NOTA[NAMA BARANG]," ",),".",""),"-",""),"(",""),")",""),",",""),"/",""),"""",""),"+",""))</f>
        <v>pch797</v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pch7972624000</v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pch79782000</v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>
        <f>IF(NOTA[[#This Row],[CONCAT1]]="","",MATCH(NOTA[[#This Row],[CONCAT1]],[3]!db[NB NOTA_C],0))</f>
        <v>2307</v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>36 LSN</v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pch79736lsnuntana</v>
      </c>
      <c r="AW865" s="56" t="e">
        <f ca="1">IF(NOTA[[#This Row],[ID_H]]="","",MATCH(NOTA[[#This Row],[NB NOTA_C_QTY]],[4]!db[NB NOTA_C_QTY+F],0))</f>
        <v>#REF!</v>
      </c>
      <c r="AX865" s="68">
        <f ca="1">IF(NOTA[[#This Row],[NB NOTA_C_QTY]]="","",ROW()-2)</f>
        <v>863</v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>
        <f ca="1">IF(NOTA[[#This Row],[NAMA BARANG]]="","",INDEX(NOTA[ID],MATCH(,INDIRECT(ADDRESS(ROW(NOTA[ID]),COLUMN(NOTA[ID]))&amp;":"&amp;ADDRESS(ROW(),COLUMN(NOTA[ID]))),-1)))</f>
        <v>155</v>
      </c>
      <c r="E866" s="57"/>
      <c r="F866" s="58"/>
      <c r="G866" s="58"/>
      <c r="H866" s="59"/>
      <c r="I866" s="58"/>
      <c r="J866" s="60"/>
      <c r="K866" s="58"/>
      <c r="L866" s="37" t="s">
        <v>937</v>
      </c>
      <c r="M866" s="61"/>
      <c r="N866" s="56">
        <v>32</v>
      </c>
      <c r="O866" s="37" t="s">
        <v>111</v>
      </c>
      <c r="P866" s="55">
        <v>84000</v>
      </c>
      <c r="Q866" s="62"/>
      <c r="R866" s="63"/>
      <c r="S866" s="64"/>
      <c r="T866" s="65"/>
      <c r="U866" s="65"/>
      <c r="V866" s="66"/>
      <c r="W866" s="67"/>
      <c r="X866" s="66">
        <f>IF(NOTA[[#This Row],[HARGA/ CTN]]="",NOTA[[#This Row],[JUMLAH_H]],NOTA[[#This Row],[HARGA/ CTN]]*IF(NOTA[[#This Row],[C]]="",0,NOTA[[#This Row],[C]]))</f>
        <v>2688000</v>
      </c>
      <c r="Y866" s="66">
        <f>IF(NOTA[[#This Row],[JUMLAH]]="","",NOTA[[#This Row],[JUMLAH]]*NOTA[[#This Row],[DISC 1]])</f>
        <v>0</v>
      </c>
      <c r="Z866" s="66">
        <f>IF(NOTA[[#This Row],[JUMLAH]]="","",(NOTA[[#This Row],[JUMLAH]]-NOTA[[#This Row],[DISC 1-]])*NOTA[[#This Row],[DISC 2]])</f>
        <v>0</v>
      </c>
      <c r="AA866" s="66">
        <f>IF(NOTA[[#This Row],[JUMLAH]]="","",(NOTA[[#This Row],[JUMLAH]]-NOTA[[#This Row],[DISC 1-]]-NOTA[[#This Row],[DISC 2-]])*NOTA[[#This Row],[DISC 3]])</f>
        <v>0</v>
      </c>
      <c r="AB866" s="66">
        <f>IF(NOTA[[#This Row],[JUMLAH]]="","",NOTA[[#This Row],[DISC 1-]]+NOTA[[#This Row],[DISC 2-]]+NOTA[[#This Row],[DISC 3-]])</f>
        <v>0</v>
      </c>
      <c r="AC866" s="66">
        <f>IF(NOTA[[#This Row],[JUMLAH]]="","",NOTA[[#This Row],[JUMLAH]]-NOTA[[#This Row],[DISC]])</f>
        <v>2688000</v>
      </c>
      <c r="AD866" s="66"/>
      <c r="AE8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10008000</v>
      </c>
      <c r="AG866" s="55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H866" s="66">
        <f>IF(OR(NOTA[[#This Row],[QTY]]="",NOTA[[#This Row],[HARGA SATUAN]]="",),"",NOTA[[#This Row],[QTY]]*NOTA[[#This Row],[HARGA SATUAN]])</f>
        <v>2688000</v>
      </c>
      <c r="AI866" s="60">
        <f ca="1">IF(NOTA[ID_H]="","",INDEX(NOTA[TANGGAL],MATCH(,INDIRECT(ADDRESS(ROW(NOTA[TANGGAL]),COLUMN(NOTA[TANGGAL]))&amp;":"&amp;ADDRESS(ROW(),COLUMN(NOTA[TANGGAL]))),-1)))</f>
        <v>45327</v>
      </c>
      <c r="AJ866" s="55" t="str">
        <f ca="1">IF(NOTA[[#This Row],[NAMA BARANG]]="","",INDEX(NOTA[SUPPLIER],MATCH(,INDIRECT(ADDRESS(ROW(NOTA[ID]),COLUMN(NOTA[ID]))&amp;":"&amp;ADDRESS(ROW(),COLUMN(NOTA[ID]))),-1)))</f>
        <v>HONGSIAN</v>
      </c>
      <c r="AK866" s="55" t="str">
        <f ca="1">IF(NOTA[[#This Row],[ID_H]]="","",IF(NOTA[[#This Row],[FAKTUR]]="",INDIRECT(ADDRESS(ROW()-1,COLUMN())),NOTA[[#This Row],[FAKTUR]]))</f>
        <v>UNTANA</v>
      </c>
      <c r="AL866" s="56" t="str">
        <f ca="1">IF(NOTA[[#This Row],[ID]]="","",COUNTIF(NOTA[ID_H],NOTA[[#This Row],[ID_H]]))</f>
        <v/>
      </c>
      <c r="AM866" s="56">
        <f ca="1">IF(NOTA[[#This Row],[TGL.NOTA]]="",IF(NOTA[[#This Row],[SUPPLIER_H]]="","",AM865),MONTH(NOTA[[#This Row],[TGL.NOTA]]))</f>
        <v>2</v>
      </c>
      <c r="AN866" s="56" t="str">
        <f>LOWER(SUBSTITUTE(SUBSTITUTE(SUBSTITUTE(SUBSTITUTE(SUBSTITUTE(SUBSTITUTE(SUBSTITUTE(SUBSTITUTE(SUBSTITUTE(NOTA[NAMA BARANG]," ",),".",""),"-",""),"(",""),")",""),",",""),"/",""),"""",""),"+",""))</f>
        <v>pch762</v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pch7622688000</v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pch76284000</v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e">
        <f>IF(NOTA[[#This Row],[CONCAT1]]="","",MATCH(NOTA[[#This Row],[CONCAT1]],[3]!db[NB NOTA_C],0))</f>
        <v>#N/A</v>
      </c>
      <c r="AT866" s="56" t="str">
        <f>IF(NOTA[[#This Row],[QTY/ CTN]]="","",TRUE)</f>
        <v/>
      </c>
      <c r="AU866" s="56" t="e">
        <f ca="1">IF(NOTA[[#This Row],[ID_H]]="","",IF(NOTA[[#This Row],[Column3]]=TRUE,NOTA[[#This Row],[QTY/ CTN]],INDEX([3]!db[QTY/ CTN],NOTA[[#This Row],[//DB]])))</f>
        <v>#N/A</v>
      </c>
      <c r="AV866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66" s="56" t="e">
        <f ca="1">IF(NOTA[[#This Row],[ID_H]]="","",MATCH(NOTA[[#This Row],[NB NOTA_C_QTY]],[4]!db[NB NOTA_C_QTY+F],0))</f>
        <v>#N/A</v>
      </c>
      <c r="AX866" s="68" t="e">
        <f ca="1">IF(NOTA[[#This Row],[NB NOTA_C_QTY]]="","",ROW()-2)</f>
        <v>#N/A</v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>
        <f ca="1">IF(INDIRECT(ADDRESS(ROW()-1,COLUMN(NOTA[[#Headers],[ID]])))="ID",1,IF(NOTA[[#This Row],[FAKTUR]]="","",COUNT(INDIRECT(ADDRESS(ROW(NOTA[ID]),COLUMN(NOTA[ID]))&amp;":"&amp;ADDRESS(ROW()-1,COLUMN(NOTA[ID]))))+1))</f>
        <v>156</v>
      </c>
      <c r="B86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GRA_0502_-1</v>
      </c>
      <c r="C868" s="56" t="e">
        <f ca="1">IF(NOTA[[#This Row],[ID_P]]="","",MATCH(NOTA[[#This Row],[ID_P]],[1]!B_MSK[N_ID],0))</f>
        <v>#REF!</v>
      </c>
      <c r="D868" s="56">
        <f ca="1">IF(NOTA[[#This Row],[NAMA BARANG]]="","",INDEX(NOTA[ID],MATCH(,INDIRECT(ADDRESS(ROW(NOTA[ID]),COLUMN(NOTA[ID]))&amp;":"&amp;ADDRESS(ROW(),COLUMN(NOTA[ID]))),-1)))</f>
        <v>156</v>
      </c>
      <c r="E868" s="57">
        <v>45327</v>
      </c>
      <c r="F868" s="37" t="s">
        <v>237</v>
      </c>
      <c r="G868" s="37" t="s">
        <v>110</v>
      </c>
      <c r="H868" s="59"/>
      <c r="I868" s="58"/>
      <c r="J868" s="60">
        <v>45323</v>
      </c>
      <c r="K868" s="58"/>
      <c r="L868" s="37" t="s">
        <v>938</v>
      </c>
      <c r="M868" s="61">
        <v>20</v>
      </c>
      <c r="N868" s="56">
        <v>1200</v>
      </c>
      <c r="O868" s="37" t="s">
        <v>111</v>
      </c>
      <c r="P868" s="55">
        <v>9200</v>
      </c>
      <c r="Q868" s="62"/>
      <c r="R868" s="63"/>
      <c r="S868" s="64"/>
      <c r="T868" s="65"/>
      <c r="U868" s="65"/>
      <c r="V868" s="66"/>
      <c r="W868" s="45" t="s">
        <v>939</v>
      </c>
      <c r="X868" s="66">
        <f>IF(NOTA[[#This Row],[HARGA/ CTN]]="",NOTA[[#This Row],[JUMLAH_H]],NOTA[[#This Row],[HARGA/ CTN]]*IF(NOTA[[#This Row],[C]]="",0,NOTA[[#This Row],[C]]))</f>
        <v>11040000</v>
      </c>
      <c r="Y868" s="66">
        <f>IF(NOTA[[#This Row],[JUMLAH]]="","",NOTA[[#This Row],[JUMLAH]]*NOTA[[#This Row],[DISC 1]])</f>
        <v>0</v>
      </c>
      <c r="Z868" s="66">
        <f>IF(NOTA[[#This Row],[JUMLAH]]="","",(NOTA[[#This Row],[JUMLAH]]-NOTA[[#This Row],[DISC 1-]])*NOTA[[#This Row],[DISC 2]])</f>
        <v>0</v>
      </c>
      <c r="AA868" s="66">
        <f>IF(NOTA[[#This Row],[JUMLAH]]="","",(NOTA[[#This Row],[JUMLAH]]-NOTA[[#This Row],[DISC 1-]]-NOTA[[#This Row],[DISC 2-]])*NOTA[[#This Row],[DISC 3]])</f>
        <v>0</v>
      </c>
      <c r="AB868" s="66">
        <f>IF(NOTA[[#This Row],[JUMLAH]]="","",NOTA[[#This Row],[DISC 1-]]+NOTA[[#This Row],[DISC 2-]]+NOTA[[#This Row],[DISC 3-]])</f>
        <v>0</v>
      </c>
      <c r="AC868" s="66">
        <f>IF(NOTA[[#This Row],[JUMLAH]]="","",NOTA[[#This Row],[JUMLAH]]-NOTA[[#This Row],[DISC]])</f>
        <v>11040000</v>
      </c>
      <c r="AD868" s="66"/>
      <c r="AE8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11040000</v>
      </c>
      <c r="AG868" s="55">
        <f>IF(NOTA[[#This Row],[NAMA BARANG]]="","",IF(NOTA[[#This Row],[JUMLAH_H]]="",NOTA[[#This Row],[HARGA/ CTN]],NOTA[[#This Row],[QTY]]*NOTA[[#This Row],[HARGA SATUAN]]/IF(ISNUMBER(NOTA[[#This Row],[C]]),NOTA[[#This Row],[C]],1)))</f>
        <v>552000</v>
      </c>
      <c r="AH868" s="66">
        <f>IF(OR(NOTA[[#This Row],[QTY]]="",NOTA[[#This Row],[HARGA SATUAN]]="",),"",NOTA[[#This Row],[QTY]]*NOTA[[#This Row],[HARGA SATUAN]])</f>
        <v>11040000</v>
      </c>
      <c r="AI868" s="60">
        <f ca="1">IF(NOTA[ID_H]="","",INDEX(NOTA[TANGGAL],MATCH(,INDIRECT(ADDRESS(ROW(NOTA[TANGGAL]),COLUMN(NOTA[TANGGAL]))&amp;":"&amp;ADDRESS(ROW(),COLUMN(NOTA[TANGGAL]))),-1)))</f>
        <v>45327</v>
      </c>
      <c r="AJ868" s="55" t="str">
        <f ca="1">IF(NOTA[[#This Row],[NAMA BARANG]]="","",INDEX(NOTA[SUPPLIER],MATCH(,INDIRECT(ADDRESS(ROW(NOTA[ID]),COLUMN(NOTA[ID]))&amp;":"&amp;ADDRESS(ROW(),COLUMN(NOTA[ID]))),-1)))</f>
        <v>GRAFINDO</v>
      </c>
      <c r="AK868" s="55" t="str">
        <f ca="1">IF(NOTA[[#This Row],[ID_H]]="","",IF(NOTA[[#This Row],[FAKTUR]]="",INDIRECT(ADDRESS(ROW()-1,COLUMN())),NOTA[[#This Row],[FAKTUR]]))</f>
        <v>UNTANA</v>
      </c>
      <c r="AL868" s="56">
        <f ca="1">IF(NOTA[[#This Row],[ID]]="","",COUNTIF(NOTA[ID_H],NOTA[[#This Row],[ID_H]]))</f>
        <v>1</v>
      </c>
      <c r="AM868" s="56">
        <f>IF(NOTA[[#This Row],[TGL.NOTA]]="",IF(NOTA[[#This Row],[SUPPLIER_H]]="","",AM867),MONTH(NOTA[[#This Row],[TGL.NOTA]]))</f>
        <v>2</v>
      </c>
      <c r="AN868" s="56" t="str">
        <f>LOWER(SUBSTITUTE(SUBSTITUTE(SUBSTITUTE(SUBSTITUTE(SUBSTITUTE(SUBSTITUTE(SUBSTITUTE(SUBSTITUTE(SUBSTITUTE(NOTA[NAMA BARANG]," ",),".",""),"-",""),"(",""),")",""),",",""),"/",""),"""",""),"+",""))</f>
        <v>ac105fputih</v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ac105fputih552000</v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ac105fputih552000</v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GRAFINDOUNTANA45323ac105fputih</v>
      </c>
      <c r="AR868" s="56" t="e">
        <f>IF(NOTA[[#This Row],[CONCAT4]]="","",_xlfn.IFNA(MATCH(NOTA[[#This Row],[CONCAT4]],[2]!RAW[CONCAT_H],0),FALSE))</f>
        <v>#REF!</v>
      </c>
      <c r="AS868" s="56" t="e">
        <f>IF(NOTA[[#This Row],[CONCAT1]]="","",MATCH(NOTA[[#This Row],[CONCAT1]],[3]!db[NB NOTA_C],0))</f>
        <v>#N/A</v>
      </c>
      <c r="AT868" s="56" t="str">
        <f>IF(NOTA[[#This Row],[QTY/ CTN]]="","",TRUE)</f>
        <v/>
      </c>
      <c r="AU868" s="56" t="e">
        <f ca="1">IF(NOTA[[#This Row],[ID_H]]="","",IF(NOTA[[#This Row],[Column3]]=TRUE,NOTA[[#This Row],[QTY/ CTN]],INDEX([3]!db[QTY/ CTN],NOTA[[#This Row],[//DB]])))</f>
        <v>#N/A</v>
      </c>
      <c r="AV868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68" s="56" t="e">
        <f ca="1">IF(NOTA[[#This Row],[ID_H]]="","",MATCH(NOTA[[#This Row],[NB NOTA_C_QTY]],[4]!db[NB NOTA_C_QTY+F],0))</f>
        <v>#N/A</v>
      </c>
      <c r="AX868" s="68" t="e">
        <f ca="1">IF(NOTA[[#This Row],[NB NOTA_C_QTY]]="","",ROW()-2)</f>
        <v>#N/A</v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>
        <f ca="1">IF(INDIRECT(ADDRESS(ROW()-1,COLUMN(NOTA[[#Headers],[ID]])))="ID",1,IF(NOTA[[#This Row],[FAKTUR]]="","",COUNT(INDIRECT(ADDRESS(ROW(NOTA[ID]),COLUMN(NOTA[ID]))&amp;":"&amp;ADDRESS(ROW()-1,COLUMN(NOTA[ID]))))+1))</f>
        <v>157</v>
      </c>
      <c r="B87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ATA_0702_225-4</v>
      </c>
      <c r="C870" s="56" t="e">
        <f ca="1">IF(NOTA[[#This Row],[ID_P]]="","",MATCH(NOTA[[#This Row],[ID_P]],[1]!B_MSK[N_ID],0))</f>
        <v>#REF!</v>
      </c>
      <c r="D870" s="56">
        <f ca="1">IF(NOTA[[#This Row],[NAMA BARANG]]="","",INDEX(NOTA[ID],MATCH(,INDIRECT(ADDRESS(ROW(NOTA[ID]),COLUMN(NOTA[ID]))&amp;":"&amp;ADDRESS(ROW(),COLUMN(NOTA[ID]))),-1)))</f>
        <v>157</v>
      </c>
      <c r="E870" s="57">
        <v>45329</v>
      </c>
      <c r="F870" s="37" t="s">
        <v>24</v>
      </c>
      <c r="G870" s="37" t="s">
        <v>23</v>
      </c>
      <c r="H870" s="47" t="s">
        <v>940</v>
      </c>
      <c r="I870" s="58"/>
      <c r="J870" s="60">
        <v>45325</v>
      </c>
      <c r="K870" s="58"/>
      <c r="L870" s="37" t="s">
        <v>941</v>
      </c>
      <c r="M870" s="61">
        <v>1</v>
      </c>
      <c r="N870" s="56">
        <v>144</v>
      </c>
      <c r="O870" s="37" t="s">
        <v>111</v>
      </c>
      <c r="P870" s="55">
        <v>27600</v>
      </c>
      <c r="Q870" s="62"/>
      <c r="R870" s="48" t="s">
        <v>597</v>
      </c>
      <c r="S870" s="64">
        <v>0.125</v>
      </c>
      <c r="T870" s="65">
        <v>0.05</v>
      </c>
      <c r="U870" s="65"/>
      <c r="V870" s="66"/>
      <c r="W870" s="67"/>
      <c r="X870" s="66">
        <f>IF(NOTA[[#This Row],[HARGA/ CTN]]="",NOTA[[#This Row],[JUMLAH_H]],NOTA[[#This Row],[HARGA/ CTN]]*IF(NOTA[[#This Row],[C]]="",0,NOTA[[#This Row],[C]]))</f>
        <v>3974400</v>
      </c>
      <c r="Y870" s="66">
        <f>IF(NOTA[[#This Row],[JUMLAH]]="","",NOTA[[#This Row],[JUMLAH]]*NOTA[[#This Row],[DISC 1]])</f>
        <v>496800</v>
      </c>
      <c r="Z870" s="66">
        <f>IF(NOTA[[#This Row],[JUMLAH]]="","",(NOTA[[#This Row],[JUMLAH]]-NOTA[[#This Row],[DISC 1-]])*NOTA[[#This Row],[DISC 2]])</f>
        <v>173880</v>
      </c>
      <c r="AA870" s="66">
        <f>IF(NOTA[[#This Row],[JUMLAH]]="","",(NOTA[[#This Row],[JUMLAH]]-NOTA[[#This Row],[DISC 1-]]-NOTA[[#This Row],[DISC 2-]])*NOTA[[#This Row],[DISC 3]])</f>
        <v>0</v>
      </c>
      <c r="AB870" s="66">
        <f>IF(NOTA[[#This Row],[JUMLAH]]="","",NOTA[[#This Row],[DISC 1-]]+NOTA[[#This Row],[DISC 2-]]+NOTA[[#This Row],[DISC 3-]])</f>
        <v>670680</v>
      </c>
      <c r="AC870" s="66">
        <f>IF(NOTA[[#This Row],[JUMLAH]]="","",NOTA[[#This Row],[JUMLAH]]-NOTA[[#This Row],[DISC]])</f>
        <v>3303720</v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870" s="66">
        <f>IF(OR(NOTA[[#This Row],[QTY]]="",NOTA[[#This Row],[HARGA SATUAN]]="",),"",NOTA[[#This Row],[QTY]]*NOTA[[#This Row],[HARGA SATUAN]])</f>
        <v>3974400</v>
      </c>
      <c r="AI870" s="60">
        <f ca="1">IF(NOTA[ID_H]="","",INDEX(NOTA[TANGGAL],MATCH(,INDIRECT(ADDRESS(ROW(NOTA[TANGGAL]),COLUMN(NOTA[TANGGAL]))&amp;":"&amp;ADDRESS(ROW(),COLUMN(NOTA[TANGGAL]))),-1)))</f>
        <v>45329</v>
      </c>
      <c r="AJ870" s="55" t="str">
        <f ca="1">IF(NOTA[[#This Row],[NAMA BARANG]]="","",INDEX(NOTA[SUPPLIER],MATCH(,INDIRECT(ADDRESS(ROW(NOTA[ID]),COLUMN(NOTA[ID]))&amp;":"&amp;ADDRESS(ROW(),COLUMN(NOTA[ID]))),-1)))</f>
        <v>ATALI MAKMUR</v>
      </c>
      <c r="AK870" s="55" t="str">
        <f ca="1">IF(NOTA[[#This Row],[ID_H]]="","",IF(NOTA[[#This Row],[FAKTUR]]="",INDIRECT(ADDRESS(ROW()-1,COLUMN())),NOTA[[#This Row],[FAKTUR]]))</f>
        <v>ARTO MORO</v>
      </c>
      <c r="AL870" s="56">
        <f ca="1">IF(NOTA[[#This Row],[ID]]="","",COUNTIF(NOTA[ID_H],NOTA[[#This Row],[ID_H]]))</f>
        <v>4</v>
      </c>
      <c r="AM870" s="56">
        <f>IF(NOTA[[#This Row],[TGL.NOTA]]="",IF(NOTA[[#This Row],[SUPPLIER_H]]="","",AM869),MONTH(NOTA[[#This Row],[TGL.NOTA]]))</f>
        <v>2</v>
      </c>
      <c r="AN870" s="5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MOROSA24020222545325gelpengp266itech2blackjk</v>
      </c>
      <c r="AR870" s="56" t="e">
        <f>IF(NOTA[[#This Row],[CONCAT4]]="","",_xlfn.IFNA(MATCH(NOTA[[#This Row],[CONCAT4]],[2]!RAW[CONCAT_H],0),FALSE))</f>
        <v>#REF!</v>
      </c>
      <c r="AS870" s="56">
        <f>IF(NOTA[[#This Row],[CONCAT1]]="","",MATCH(NOTA[[#This Row],[CONCAT1]],[3]!db[NB NOTA_C],0))</f>
        <v>1054</v>
      </c>
      <c r="AT870" s="56" t="b">
        <f>IF(NOTA[[#This Row],[QTY/ CTN]]="","",TRUE)</f>
        <v>1</v>
      </c>
      <c r="AU870" s="56" t="str">
        <f ca="1">IF(NOTA[[#This Row],[ID_H]]="","",IF(NOTA[[#This Row],[Column3]]=TRUE,NOTA[[#This Row],[QTY/ CTN]],INDEX([3]!db[QTY/ CTN],NOTA[[#This Row],[//DB]])))</f>
        <v>144 LSN</v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870" s="56" t="e">
        <f ca="1">IF(NOTA[[#This Row],[ID_H]]="","",MATCH(NOTA[[#This Row],[NB NOTA_C_QTY]],[4]!db[NB NOTA_C_QTY+F],0))</f>
        <v>#REF!</v>
      </c>
      <c r="AX870" s="68">
        <f ca="1">IF(NOTA[[#This Row],[NB NOTA_C_QTY]]="","",ROW()-2)</f>
        <v>868</v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>
        <f ca="1">IF(NOTA[[#This Row],[NAMA BARANG]]="","",INDEX(NOTA[ID],MATCH(,INDIRECT(ADDRESS(ROW(NOTA[ID]),COLUMN(NOTA[ID]))&amp;":"&amp;ADDRESS(ROW(),COLUMN(NOTA[ID]))),-1)))</f>
        <v>157</v>
      </c>
      <c r="E871" s="57"/>
      <c r="F871" s="58"/>
      <c r="G871" s="58"/>
      <c r="H871" s="59"/>
      <c r="I871" s="58"/>
      <c r="J871" s="60"/>
      <c r="K871" s="58"/>
      <c r="L871" s="37" t="s">
        <v>942</v>
      </c>
      <c r="M871" s="61">
        <v>1</v>
      </c>
      <c r="N871" s="56">
        <v>50</v>
      </c>
      <c r="O871" s="37" t="s">
        <v>118</v>
      </c>
      <c r="P871" s="55">
        <v>34100</v>
      </c>
      <c r="Q871" s="62"/>
      <c r="R871" s="63"/>
      <c r="S871" s="64">
        <v>0.125</v>
      </c>
      <c r="T871" s="65">
        <v>0.05</v>
      </c>
      <c r="U871" s="65"/>
      <c r="V871" s="66"/>
      <c r="W871" s="67"/>
      <c r="X871" s="66">
        <f>IF(NOTA[[#This Row],[HARGA/ CTN]]="",NOTA[[#This Row],[JUMLAH_H]],NOTA[[#This Row],[HARGA/ CTN]]*IF(NOTA[[#This Row],[C]]="",0,NOTA[[#This Row],[C]]))</f>
        <v>1705000</v>
      </c>
      <c r="Y871" s="66">
        <f>IF(NOTA[[#This Row],[JUMLAH]]="","",NOTA[[#This Row],[JUMLAH]]*NOTA[[#This Row],[DISC 1]])</f>
        <v>213125</v>
      </c>
      <c r="Z871" s="66">
        <f>IF(NOTA[[#This Row],[JUMLAH]]="","",(NOTA[[#This Row],[JUMLAH]]-NOTA[[#This Row],[DISC 1-]])*NOTA[[#This Row],[DISC 2]])</f>
        <v>74593.75</v>
      </c>
      <c r="AA871" s="66">
        <f>IF(NOTA[[#This Row],[JUMLAH]]="","",(NOTA[[#This Row],[JUMLAH]]-NOTA[[#This Row],[DISC 1-]]-NOTA[[#This Row],[DISC 2-]])*NOTA[[#This Row],[DISC 3]])</f>
        <v>0</v>
      </c>
      <c r="AB871" s="66">
        <f>IF(NOTA[[#This Row],[JUMLAH]]="","",NOTA[[#This Row],[DISC 1-]]+NOTA[[#This Row],[DISC 2-]]+NOTA[[#This Row],[DISC 3-]])</f>
        <v>287718.75</v>
      </c>
      <c r="AC871" s="66">
        <f>IF(NOTA[[#This Row],[JUMLAH]]="","",NOTA[[#This Row],[JUMLAH]]-NOTA[[#This Row],[DISC]])</f>
        <v>1417281.25</v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871" s="66">
        <f>IF(OR(NOTA[[#This Row],[QTY]]="",NOTA[[#This Row],[HARGA SATUAN]]="",),"",NOTA[[#This Row],[QTY]]*NOTA[[#This Row],[HARGA SATUAN]])</f>
        <v>1705000</v>
      </c>
      <c r="AI871" s="60">
        <f ca="1">IF(NOTA[ID_H]="","",INDEX(NOTA[TANGGAL],MATCH(,INDIRECT(ADDRESS(ROW(NOTA[TANGGAL]),COLUMN(NOTA[TANGGAL]))&amp;":"&amp;ADDRESS(ROW(),COLUMN(NOTA[TANGGAL]))),-1)))</f>
        <v>45329</v>
      </c>
      <c r="AJ871" s="55" t="str">
        <f ca="1">IF(NOTA[[#This Row],[NAMA BARANG]]="","",INDEX(NOTA[SUPPLIER],MATCH(,INDIRECT(ADDRESS(ROW(NOTA[ID]),COLUMN(NOTA[ID]))&amp;":"&amp;ADDRESS(ROW(),COLUMN(NOTA[ID]))),-1)))</f>
        <v>ATALI MAKMUR</v>
      </c>
      <c r="AK871" s="55" t="str">
        <f ca="1">IF(NOTA[[#This Row],[ID_H]]="","",IF(NOTA[[#This Row],[FAKTUR]]="",INDIRECT(ADDRESS(ROW()-1,COLUMN())),NOTA[[#This Row],[FAKTUR]]))</f>
        <v>ARTO MORO</v>
      </c>
      <c r="AL871" s="56" t="str">
        <f ca="1">IF(NOTA[[#This Row],[ID]]="","",COUNTIF(NOTA[ID_H],NOTA[[#This Row],[ID_H]]))</f>
        <v/>
      </c>
      <c r="AM871" s="56">
        <f ca="1">IF(NOTA[[#This Row],[TGL.NOTA]]="",IF(NOTA[[#This Row],[SUPPLIER_H]]="","",AM870),MONTH(NOTA[[#This Row],[TGL.NOTA]]))</f>
        <v>2</v>
      </c>
      <c r="AN871" s="56" t="str">
        <f>LOWER(SUBSTITUTE(SUBSTITUTE(SUBSTITUTE(SUBSTITUTE(SUBSTITUTE(SUBSTITUTE(SUBSTITUTE(SUBSTITUTE(SUBSTITUTE(NOTA[NAMA BARANG]," ",),".",""),"-",""),"(",""),")",""),",",""),"/",""),"""",""),"+",""))</f>
        <v>eraser526b20jk</v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>
        <f>IF(NOTA[[#This Row],[CONCAT1]]="","",MATCH(NOTA[[#This Row],[CONCAT1]],[3]!db[NB NOTA_C],0))</f>
        <v>953</v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>50 BOX (20 PCS)</v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871" s="56" t="e">
        <f ca="1">IF(NOTA[[#This Row],[ID_H]]="","",MATCH(NOTA[[#This Row],[NB NOTA_C_QTY]],[4]!db[NB NOTA_C_QTY+F],0))</f>
        <v>#REF!</v>
      </c>
      <c r="AX871" s="68">
        <f ca="1">IF(NOTA[[#This Row],[NB NOTA_C_QTY]]="","",ROW()-2)</f>
        <v>869</v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>
        <f ca="1">IF(NOTA[[#This Row],[NAMA BARANG]]="","",INDEX(NOTA[ID],MATCH(,INDIRECT(ADDRESS(ROW(NOTA[ID]),COLUMN(NOTA[ID]))&amp;":"&amp;ADDRESS(ROW(),COLUMN(NOTA[ID]))),-1)))</f>
        <v>157</v>
      </c>
      <c r="E872" s="57"/>
      <c r="F872" s="58"/>
      <c r="G872" s="58"/>
      <c r="H872" s="59"/>
      <c r="I872" s="58"/>
      <c r="J872" s="60"/>
      <c r="K872" s="58"/>
      <c r="L872" s="37" t="s">
        <v>944</v>
      </c>
      <c r="M872" s="61">
        <v>1</v>
      </c>
      <c r="N872" s="56">
        <v>192</v>
      </c>
      <c r="O872" s="37" t="s">
        <v>116</v>
      </c>
      <c r="P872" s="55">
        <v>16800</v>
      </c>
      <c r="Q872" s="62"/>
      <c r="R872" s="63"/>
      <c r="S872" s="64">
        <v>0.125</v>
      </c>
      <c r="T872" s="65">
        <v>0.05</v>
      </c>
      <c r="U872" s="65"/>
      <c r="V872" s="66"/>
      <c r="W872" s="67"/>
      <c r="X872" s="66">
        <f>IF(NOTA[[#This Row],[HARGA/ CTN]]="",NOTA[[#This Row],[JUMLAH_H]],NOTA[[#This Row],[HARGA/ CTN]]*IF(NOTA[[#This Row],[C]]="",0,NOTA[[#This Row],[C]]))</f>
        <v>3225600</v>
      </c>
      <c r="Y872" s="66">
        <f>IF(NOTA[[#This Row],[JUMLAH]]="","",NOTA[[#This Row],[JUMLAH]]*NOTA[[#This Row],[DISC 1]])</f>
        <v>403200</v>
      </c>
      <c r="Z872" s="66">
        <f>IF(NOTA[[#This Row],[JUMLAH]]="","",(NOTA[[#This Row],[JUMLAH]]-NOTA[[#This Row],[DISC 1-]])*NOTA[[#This Row],[DISC 2]])</f>
        <v>141120</v>
      </c>
      <c r="AA872" s="66">
        <f>IF(NOTA[[#This Row],[JUMLAH]]="","",(NOTA[[#This Row],[JUMLAH]]-NOTA[[#This Row],[DISC 1-]]-NOTA[[#This Row],[DISC 2-]])*NOTA[[#This Row],[DISC 3]])</f>
        <v>0</v>
      </c>
      <c r="AB872" s="66">
        <f>IF(NOTA[[#This Row],[JUMLAH]]="","",NOTA[[#This Row],[DISC 1-]]+NOTA[[#This Row],[DISC 2-]]+NOTA[[#This Row],[DISC 3-]])</f>
        <v>544320</v>
      </c>
      <c r="AC872" s="66">
        <f>IF(NOTA[[#This Row],[JUMLAH]]="","",NOTA[[#This Row],[JUMLAH]]-NOTA[[#This Row],[DISC]])</f>
        <v>2681280</v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H872" s="66">
        <f>IF(OR(NOTA[[#This Row],[QTY]]="",NOTA[[#This Row],[HARGA SATUAN]]="",),"",NOTA[[#This Row],[QTY]]*NOTA[[#This Row],[HARGA SATUAN]])</f>
        <v>3225600</v>
      </c>
      <c r="AI872" s="60">
        <f ca="1">IF(NOTA[ID_H]="","",INDEX(NOTA[TANGGAL],MATCH(,INDIRECT(ADDRESS(ROW(NOTA[TANGGAL]),COLUMN(NOTA[TANGGAL]))&amp;":"&amp;ADDRESS(ROW(),COLUMN(NOTA[TANGGAL]))),-1)))</f>
        <v>45329</v>
      </c>
      <c r="AJ872" s="55" t="str">
        <f ca="1">IF(NOTA[[#This Row],[NAMA BARANG]]="","",INDEX(NOTA[SUPPLIER],MATCH(,INDIRECT(ADDRESS(ROW(NOTA[ID]),COLUMN(NOTA[ID]))&amp;":"&amp;ADDRESS(ROW(),COLUMN(NOTA[ID]))),-1)))</f>
        <v>ATALI MAKMUR</v>
      </c>
      <c r="AK872" s="55" t="str">
        <f ca="1">IF(NOTA[[#This Row],[ID_H]]="","",IF(NOTA[[#This Row],[FAKTUR]]="",INDIRECT(ADDRESS(ROW()-1,COLUMN())),NOTA[[#This Row],[FAKTUR]]))</f>
        <v>ARTO MORO</v>
      </c>
      <c r="AL872" s="56" t="str">
        <f ca="1">IF(NOTA[[#This Row],[ID]]="","",COUNTIF(NOTA[ID_H],NOTA[[#This Row],[ID_H]]))</f>
        <v/>
      </c>
      <c r="AM872" s="56">
        <f ca="1">IF(NOTA[[#This Row],[TGL.NOTA]]="",IF(NOTA[[#This Row],[SUPPLIER_H]]="","",AM871),MONTH(NOTA[[#This Row],[TGL.NOTA]]))</f>
        <v>2</v>
      </c>
      <c r="AN872" s="56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>
        <f>IF(NOTA[[#This Row],[CONCAT1]]="","",MATCH(NOTA[[#This Row],[CONCAT1]],[3]!db[NB NOTA_C],0))</f>
        <v>1062</v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>8 BOX (24 SET)</v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gelpengpc309sdiamondartjk8box24setartomoro</v>
      </c>
      <c r="AW872" s="56" t="e">
        <f ca="1">IF(NOTA[[#This Row],[ID_H]]="","",MATCH(NOTA[[#This Row],[NB NOTA_C_QTY]],[4]!db[NB NOTA_C_QTY+F],0))</f>
        <v>#REF!</v>
      </c>
      <c r="AX872" s="68">
        <f ca="1">IF(NOTA[[#This Row],[NB NOTA_C_QTY]]="","",ROW()-2)</f>
        <v>870</v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>
        <f ca="1">IF(NOTA[[#This Row],[NAMA BARANG]]="","",INDEX(NOTA[ID],MATCH(,INDIRECT(ADDRESS(ROW(NOTA[ID]),COLUMN(NOTA[ID]))&amp;":"&amp;ADDRESS(ROW(),COLUMN(NOTA[ID]))),-1)))</f>
        <v>157</v>
      </c>
      <c r="E873" s="57"/>
      <c r="F873" s="58"/>
      <c r="G873" s="58"/>
      <c r="H873" s="59"/>
      <c r="I873" s="58"/>
      <c r="J873" s="60"/>
      <c r="K873" s="58"/>
      <c r="L873" s="37" t="s">
        <v>943</v>
      </c>
      <c r="M873" s="61">
        <v>1</v>
      </c>
      <c r="N873" s="56">
        <v>20</v>
      </c>
      <c r="O873" s="37" t="s">
        <v>111</v>
      </c>
      <c r="P873" s="55">
        <v>85200</v>
      </c>
      <c r="Q873" s="62"/>
      <c r="R873" s="63"/>
      <c r="S873" s="64">
        <v>0.125</v>
      </c>
      <c r="T873" s="65">
        <v>0.05</v>
      </c>
      <c r="U873" s="65"/>
      <c r="V873" s="66"/>
      <c r="W873" s="67"/>
      <c r="X873" s="66">
        <f>IF(NOTA[[#This Row],[HARGA/ CTN]]="",NOTA[[#This Row],[JUMLAH_H]],NOTA[[#This Row],[HARGA/ CTN]]*IF(NOTA[[#This Row],[C]]="",0,NOTA[[#This Row],[C]]))</f>
        <v>1704000</v>
      </c>
      <c r="Y873" s="66">
        <f>IF(NOTA[[#This Row],[JUMLAH]]="","",NOTA[[#This Row],[JUMLAH]]*NOTA[[#This Row],[DISC 1]])</f>
        <v>213000</v>
      </c>
      <c r="Z873" s="66">
        <f>IF(NOTA[[#This Row],[JUMLAH]]="","",(NOTA[[#This Row],[JUMLAH]]-NOTA[[#This Row],[DISC 1-]])*NOTA[[#This Row],[DISC 2]])</f>
        <v>74550</v>
      </c>
      <c r="AA873" s="66">
        <f>IF(NOTA[[#This Row],[JUMLAH]]="","",(NOTA[[#This Row],[JUMLAH]]-NOTA[[#This Row],[DISC 1-]]-NOTA[[#This Row],[DISC 2-]])*NOTA[[#This Row],[DISC 3]])</f>
        <v>0</v>
      </c>
      <c r="AB873" s="66">
        <f>IF(NOTA[[#This Row],[JUMLAH]]="","",NOTA[[#This Row],[DISC 1-]]+NOTA[[#This Row],[DISC 2-]]+NOTA[[#This Row],[DISC 3-]])</f>
        <v>287550</v>
      </c>
      <c r="AC873" s="66">
        <f>IF(NOTA[[#This Row],[JUMLAH]]="","",NOTA[[#This Row],[JUMLAH]]-NOTA[[#This Row],[DISC]])</f>
        <v>1416450</v>
      </c>
      <c r="AD873" s="66"/>
      <c r="AE87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1790268.75</v>
      </c>
      <c r="AF87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8818731.25</v>
      </c>
      <c r="AG873" s="5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873" s="66">
        <f>IF(OR(NOTA[[#This Row],[QTY]]="",NOTA[[#This Row],[HARGA SATUAN]]="",),"",NOTA[[#This Row],[QTY]]*NOTA[[#This Row],[HARGA SATUAN]])</f>
        <v>1704000</v>
      </c>
      <c r="AI873" s="60">
        <f ca="1">IF(NOTA[ID_H]="","",INDEX(NOTA[TANGGAL],MATCH(,INDIRECT(ADDRESS(ROW(NOTA[TANGGAL]),COLUMN(NOTA[TANGGAL]))&amp;":"&amp;ADDRESS(ROW(),COLUMN(NOTA[TANGGAL]))),-1)))</f>
        <v>45329</v>
      </c>
      <c r="AJ873" s="55" t="str">
        <f ca="1">IF(NOTA[[#This Row],[NAMA BARANG]]="","",INDEX(NOTA[SUPPLIER],MATCH(,INDIRECT(ADDRESS(ROW(NOTA[ID]),COLUMN(NOTA[ID]))&amp;":"&amp;ADDRESS(ROW(),COLUMN(NOTA[ID]))),-1)))</f>
        <v>ATALI MAKMUR</v>
      </c>
      <c r="AK873" s="55" t="str">
        <f ca="1">IF(NOTA[[#This Row],[ID_H]]="","",IF(NOTA[[#This Row],[FAKTUR]]="",INDIRECT(ADDRESS(ROW()-1,COLUMN())),NOTA[[#This Row],[FAKTUR]]))</f>
        <v>ARTO MORO</v>
      </c>
      <c r="AL873" s="56" t="str">
        <f ca="1">IF(NOTA[[#This Row],[ID]]="","",COUNTIF(NOTA[ID_H],NOTA[[#This Row],[ID_H]]))</f>
        <v/>
      </c>
      <c r="AM873" s="56">
        <f ca="1">IF(NOTA[[#This Row],[TGL.NOTA]]="",IF(NOTA[[#This Row],[SUPPLIER_H]]="","",AM872),MONTH(NOTA[[#This Row],[TGL.NOTA]]))</f>
        <v>2</v>
      </c>
      <c r="AN873" s="56" t="str">
        <f>LOWER(SUBSTITUTE(SUBSTITUTE(SUBSTITUTE(SUBSTITUTE(SUBSTITUTE(SUBSTITUTE(SUBSTITUTE(SUBSTITUTE(SUBSTITUTE(NOTA[NAMA BARANG]," ",),".",""),"-",""),"(",""),")",""),",",""),"/",""),"""",""),"+",""))</f>
        <v>staplerhd10jk</v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>
        <f>IF(NOTA[[#This Row],[CONCAT1]]="","",MATCH(NOTA[[#This Row],[CONCAT1]],[3]!db[NB NOTA_C],0))</f>
        <v>2846</v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>20 LSN</v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873" s="56" t="e">
        <f ca="1">IF(NOTA[[#This Row],[ID_H]]="","",MATCH(NOTA[[#This Row],[NB NOTA_C_QTY]],[4]!db[NB NOTA_C_QTY+F],0))</f>
        <v>#REF!</v>
      </c>
      <c r="AX873" s="68">
        <f ca="1">IF(NOTA[[#This Row],[NB NOTA_C_QTY]]="","",ROW()-2)</f>
        <v>871</v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>
        <f ca="1">IF(INDIRECT(ADDRESS(ROW()-1,COLUMN(NOTA[[#Headers],[ID]])))="ID",1,IF(NOTA[[#This Row],[FAKTUR]]="","",COUNT(INDIRECT(ADDRESS(ROW(NOTA[ID]),COLUMN(NOTA[ID]))&amp;":"&amp;ADDRESS(ROW()-1,COLUMN(NOTA[ID]))))+1))</f>
        <v>158</v>
      </c>
      <c r="B87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ATA_0702_092-4</v>
      </c>
      <c r="C875" s="56" t="e">
        <f ca="1">IF(NOTA[[#This Row],[ID_P]]="","",MATCH(NOTA[[#This Row],[ID_P]],[1]!B_MSK[N_ID],0))</f>
        <v>#REF!</v>
      </c>
      <c r="D875" s="56">
        <f ca="1">IF(NOTA[[#This Row],[NAMA BARANG]]="","",INDEX(NOTA[ID],MATCH(,INDIRECT(ADDRESS(ROW(NOTA[ID]),COLUMN(NOTA[ID]))&amp;":"&amp;ADDRESS(ROW(),COLUMN(NOTA[ID]))),-1)))</f>
        <v>158</v>
      </c>
      <c r="E875" s="57"/>
      <c r="F875" s="37" t="s">
        <v>24</v>
      </c>
      <c r="G875" s="37" t="s">
        <v>23</v>
      </c>
      <c r="H875" s="47" t="s">
        <v>945</v>
      </c>
      <c r="I875" s="58"/>
      <c r="J875" s="60">
        <v>45323</v>
      </c>
      <c r="K875" s="58"/>
      <c r="L875" s="37" t="s">
        <v>504</v>
      </c>
      <c r="M875" s="61">
        <v>10</v>
      </c>
      <c r="N875" s="56">
        <v>240</v>
      </c>
      <c r="O875" s="37" t="s">
        <v>115</v>
      </c>
      <c r="P875" s="55">
        <v>19000</v>
      </c>
      <c r="Q875" s="62"/>
      <c r="R875" s="63"/>
      <c r="S875" s="64">
        <v>0.125</v>
      </c>
      <c r="T875" s="65">
        <v>0.05</v>
      </c>
      <c r="U875" s="65"/>
      <c r="V875" s="66"/>
      <c r="W875" s="67"/>
      <c r="X875" s="66">
        <f>IF(NOTA[[#This Row],[HARGA/ CTN]]="",NOTA[[#This Row],[JUMLAH_H]],NOTA[[#This Row],[HARGA/ CTN]]*IF(NOTA[[#This Row],[C]]="",0,NOTA[[#This Row],[C]]))</f>
        <v>4560000</v>
      </c>
      <c r="Y875" s="66">
        <f>IF(NOTA[[#This Row],[JUMLAH]]="","",NOTA[[#This Row],[JUMLAH]]*NOTA[[#This Row],[DISC 1]])</f>
        <v>570000</v>
      </c>
      <c r="Z875" s="66">
        <f>IF(NOTA[[#This Row],[JUMLAH]]="","",(NOTA[[#This Row],[JUMLAH]]-NOTA[[#This Row],[DISC 1-]])*NOTA[[#This Row],[DISC 2]])</f>
        <v>199500</v>
      </c>
      <c r="AA875" s="66">
        <f>IF(NOTA[[#This Row],[JUMLAH]]="","",(NOTA[[#This Row],[JUMLAH]]-NOTA[[#This Row],[DISC 1-]]-NOTA[[#This Row],[DISC 2-]])*NOTA[[#This Row],[DISC 3]])</f>
        <v>0</v>
      </c>
      <c r="AB875" s="66">
        <f>IF(NOTA[[#This Row],[JUMLAH]]="","",NOTA[[#This Row],[DISC 1-]]+NOTA[[#This Row],[DISC 2-]]+NOTA[[#This Row],[DISC 3-]])</f>
        <v>769500</v>
      </c>
      <c r="AC875" s="66">
        <f>IF(NOTA[[#This Row],[JUMLAH]]="","",NOTA[[#This Row],[JUMLAH]]-NOTA[[#This Row],[DISC]])</f>
        <v>3790500</v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875" s="66">
        <f>IF(OR(NOTA[[#This Row],[QTY]]="",NOTA[[#This Row],[HARGA SATUAN]]="",),"",NOTA[[#This Row],[QTY]]*NOTA[[#This Row],[HARGA SATUAN]])</f>
        <v>4560000</v>
      </c>
      <c r="AI875" s="60">
        <f ca="1">IF(NOTA[ID_H]="","",INDEX(NOTA[TANGGAL],MATCH(,INDIRECT(ADDRESS(ROW(NOTA[TANGGAL]),COLUMN(NOTA[TANGGAL]))&amp;":"&amp;ADDRESS(ROW(),COLUMN(NOTA[TANGGAL]))),-1)))</f>
        <v>45329</v>
      </c>
      <c r="AJ875" s="55" t="str">
        <f ca="1">IF(NOTA[[#This Row],[NAMA BARANG]]="","",INDEX(NOTA[SUPPLIER],MATCH(,INDIRECT(ADDRESS(ROW(NOTA[ID]),COLUMN(NOTA[ID]))&amp;":"&amp;ADDRESS(ROW(),COLUMN(NOTA[ID]))),-1)))</f>
        <v>ATALI MAKMUR</v>
      </c>
      <c r="AK875" s="55" t="str">
        <f ca="1">IF(NOTA[[#This Row],[ID_H]]="","",IF(NOTA[[#This Row],[FAKTUR]]="",INDIRECT(ADDRESS(ROW()-1,COLUMN())),NOTA[[#This Row],[FAKTUR]]))</f>
        <v>ARTO MORO</v>
      </c>
      <c r="AL875" s="56">
        <f ca="1">IF(NOTA[[#This Row],[ID]]="","",COUNTIF(NOTA[ID_H],NOTA[[#This Row],[ID_H]]))</f>
        <v>4</v>
      </c>
      <c r="AM875" s="56">
        <f>IF(NOTA[[#This Row],[TGL.NOTA]]="",IF(NOTA[[#This Row],[SUPPLIER_H]]="","",AM874),MONTH(NOTA[[#This Row],[TGL.NOTA]]))</f>
        <v>2</v>
      </c>
      <c r="AN875" s="56" t="str">
        <f>LOWER(SUBSTITUTE(SUBSTITUTE(SUBSTITUTE(SUBSTITUTE(SUBSTITUTE(SUBSTITUTE(SUBSTITUTE(SUBSTITUTE(SUBSTITUTE(NOTA[NAMA BARANG]," ",),".",""),"-",""),"(",""),")",""),",",""),"/",""),"""",""),"+",""))</f>
        <v>tapecuttertd103jk</v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MOROSA24020209245323tapecuttertd103jk</v>
      </c>
      <c r="AR875" s="56" t="e">
        <f>IF(NOTA[[#This Row],[CONCAT4]]="","",_xlfn.IFNA(MATCH(NOTA[[#This Row],[CONCAT4]],[2]!RAW[CONCAT_H],0),FALSE))</f>
        <v>#REF!</v>
      </c>
      <c r="AS875" s="56">
        <f>IF(NOTA[[#This Row],[CONCAT1]]="","",MATCH(NOTA[[#This Row],[CONCAT1]],[3]!db[NB NOTA_C],0))</f>
        <v>2918</v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>24 PCS</v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875" s="56" t="e">
        <f ca="1">IF(NOTA[[#This Row],[ID_H]]="","",MATCH(NOTA[[#This Row],[NB NOTA_C_QTY]],[4]!db[NB NOTA_C_QTY+F],0))</f>
        <v>#REF!</v>
      </c>
      <c r="AX875" s="68">
        <f ca="1">IF(NOTA[[#This Row],[NB NOTA_C_QTY]]="","",ROW()-2)</f>
        <v>873</v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>
        <f ca="1">IF(NOTA[[#This Row],[NAMA BARANG]]="","",INDEX(NOTA[ID],MATCH(,INDIRECT(ADDRESS(ROW(NOTA[ID]),COLUMN(NOTA[ID]))&amp;":"&amp;ADDRESS(ROW(),COLUMN(NOTA[ID]))),-1)))</f>
        <v>158</v>
      </c>
      <c r="E876" s="57"/>
      <c r="F876" s="58"/>
      <c r="G876" s="58"/>
      <c r="H876" s="59"/>
      <c r="I876" s="58"/>
      <c r="J876" s="60"/>
      <c r="K876" s="58"/>
      <c r="L876" s="37" t="s">
        <v>208</v>
      </c>
      <c r="M876" s="61">
        <v>1</v>
      </c>
      <c r="N876" s="56">
        <v>24</v>
      </c>
      <c r="O876" s="37" t="s">
        <v>111</v>
      </c>
      <c r="P876" s="55">
        <v>89400</v>
      </c>
      <c r="Q876" s="62"/>
      <c r="R876" s="63"/>
      <c r="S876" s="64">
        <v>0.125</v>
      </c>
      <c r="T876" s="65">
        <v>0.05</v>
      </c>
      <c r="U876" s="65"/>
      <c r="V876" s="66"/>
      <c r="W876" s="67"/>
      <c r="X876" s="66">
        <f>IF(NOTA[[#This Row],[HARGA/ CTN]]="",NOTA[[#This Row],[JUMLAH_H]],NOTA[[#This Row],[HARGA/ CTN]]*IF(NOTA[[#This Row],[C]]="",0,NOTA[[#This Row],[C]]))</f>
        <v>2145600</v>
      </c>
      <c r="Y876" s="66">
        <f>IF(NOTA[[#This Row],[JUMLAH]]="","",NOTA[[#This Row],[JUMLAH]]*NOTA[[#This Row],[DISC 1]])</f>
        <v>268200</v>
      </c>
      <c r="Z876" s="66">
        <f>IF(NOTA[[#This Row],[JUMLAH]]="","",(NOTA[[#This Row],[JUMLAH]]-NOTA[[#This Row],[DISC 1-]])*NOTA[[#This Row],[DISC 2]])</f>
        <v>93870</v>
      </c>
      <c r="AA876" s="66">
        <f>IF(NOTA[[#This Row],[JUMLAH]]="","",(NOTA[[#This Row],[JUMLAH]]-NOTA[[#This Row],[DISC 1-]]-NOTA[[#This Row],[DISC 2-]])*NOTA[[#This Row],[DISC 3]])</f>
        <v>0</v>
      </c>
      <c r="AB876" s="66">
        <f>IF(NOTA[[#This Row],[JUMLAH]]="","",NOTA[[#This Row],[DISC 1-]]+NOTA[[#This Row],[DISC 2-]]+NOTA[[#This Row],[DISC 3-]])</f>
        <v>362070</v>
      </c>
      <c r="AC876" s="66">
        <f>IF(NOTA[[#This Row],[JUMLAH]]="","",NOTA[[#This Row],[JUMLAH]]-NOTA[[#This Row],[DISC]])</f>
        <v>1783530</v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876" s="66">
        <f>IF(OR(NOTA[[#This Row],[QTY]]="",NOTA[[#This Row],[HARGA SATUAN]]="",),"",NOTA[[#This Row],[QTY]]*NOTA[[#This Row],[HARGA SATUAN]])</f>
        <v>2145600</v>
      </c>
      <c r="AI876" s="60">
        <f ca="1">IF(NOTA[ID_H]="","",INDEX(NOTA[TANGGAL],MATCH(,INDIRECT(ADDRESS(ROW(NOTA[TANGGAL]),COLUMN(NOTA[TANGGAL]))&amp;":"&amp;ADDRESS(ROW(),COLUMN(NOTA[TANGGAL]))),-1)))</f>
        <v>45329</v>
      </c>
      <c r="AJ876" s="55" t="str">
        <f ca="1">IF(NOTA[[#This Row],[NAMA BARANG]]="","",INDEX(NOTA[SUPPLIER],MATCH(,INDIRECT(ADDRESS(ROW(NOTA[ID]),COLUMN(NOTA[ID]))&amp;":"&amp;ADDRESS(ROW(),COLUMN(NOTA[ID]))),-1)))</f>
        <v>ATALI MAKMUR</v>
      </c>
      <c r="AK876" s="55" t="str">
        <f ca="1">IF(NOTA[[#This Row],[ID_H]]="","",IF(NOTA[[#This Row],[FAKTUR]]="",INDIRECT(ADDRESS(ROW()-1,COLUMN())),NOTA[[#This Row],[FAKTUR]]))</f>
        <v>ARTO MORO</v>
      </c>
      <c r="AL876" s="56" t="str">
        <f ca="1">IF(NOTA[[#This Row],[ID]]="","",COUNTIF(NOTA[ID_H],NOTA[[#This Row],[ID_H]]))</f>
        <v/>
      </c>
      <c r="AM876" s="56">
        <f ca="1">IF(NOTA[[#This Row],[TGL.NOTA]]="",IF(NOTA[[#This Row],[SUPPLIER_H]]="","",AM875),MONTH(NOTA[[#This Row],[TGL.NOTA]]))</f>
        <v>2</v>
      </c>
      <c r="AN876" s="56" t="str">
        <f>LOWER(SUBSTITUTE(SUBSTITUTE(SUBSTITUTE(SUBSTITUTE(SUBSTITUTE(SUBSTITUTE(SUBSTITUTE(SUBSTITUTE(SUBSTITUTE(NOTA[NAMA BARANG]," ",),".",""),"-",""),"(",""),")",""),",",""),"/",""),"""",""),"+",""))</f>
        <v>mathsetms55jk</v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>
        <f>IF(NOTA[[#This Row],[CONCAT1]]="","",MATCH(NOTA[[#This Row],[CONCAT1]],[3]!db[NB NOTA_C],0))</f>
        <v>2057</v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>24 LSN</v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W876" s="56" t="e">
        <f ca="1">IF(NOTA[[#This Row],[ID_H]]="","",MATCH(NOTA[[#This Row],[NB NOTA_C_QTY]],[4]!db[NB NOTA_C_QTY+F],0))</f>
        <v>#REF!</v>
      </c>
      <c r="AX876" s="68">
        <f ca="1">IF(NOTA[[#This Row],[NB NOTA_C_QTY]]="","",ROW()-2)</f>
        <v>874</v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>
        <f ca="1">IF(NOTA[[#This Row],[NAMA BARANG]]="","",INDEX(NOTA[ID],MATCH(,INDIRECT(ADDRESS(ROW(NOTA[ID]),COLUMN(NOTA[ID]))&amp;":"&amp;ADDRESS(ROW(),COLUMN(NOTA[ID]))),-1)))</f>
        <v>158</v>
      </c>
      <c r="E877" s="57"/>
      <c r="F877" s="58"/>
      <c r="G877" s="58"/>
      <c r="H877" s="59"/>
      <c r="I877" s="58"/>
      <c r="J877" s="60"/>
      <c r="K877" s="58"/>
      <c r="L877" s="37" t="s">
        <v>946</v>
      </c>
      <c r="M877" s="61">
        <v>1</v>
      </c>
      <c r="N877" s="56">
        <v>216</v>
      </c>
      <c r="O877" s="37" t="s">
        <v>115</v>
      </c>
      <c r="P877" s="55">
        <v>4900</v>
      </c>
      <c r="Q877" s="62"/>
      <c r="R877" s="63"/>
      <c r="S877" s="64">
        <v>0.125</v>
      </c>
      <c r="T877" s="65">
        <v>0.05</v>
      </c>
      <c r="U877" s="65"/>
      <c r="V877" s="66"/>
      <c r="W877" s="67"/>
      <c r="X877" s="66">
        <f>IF(NOTA[[#This Row],[HARGA/ CTN]]="",NOTA[[#This Row],[JUMLAH_H]],NOTA[[#This Row],[HARGA/ CTN]]*IF(NOTA[[#This Row],[C]]="",0,NOTA[[#This Row],[C]]))</f>
        <v>1058400</v>
      </c>
      <c r="Y877" s="66">
        <f>IF(NOTA[[#This Row],[JUMLAH]]="","",NOTA[[#This Row],[JUMLAH]]*NOTA[[#This Row],[DISC 1]])</f>
        <v>132300</v>
      </c>
      <c r="Z877" s="66">
        <f>IF(NOTA[[#This Row],[JUMLAH]]="","",(NOTA[[#This Row],[JUMLAH]]-NOTA[[#This Row],[DISC 1-]])*NOTA[[#This Row],[DISC 2]])</f>
        <v>46305</v>
      </c>
      <c r="AA877" s="66">
        <f>IF(NOTA[[#This Row],[JUMLAH]]="","",(NOTA[[#This Row],[JUMLAH]]-NOTA[[#This Row],[DISC 1-]]-NOTA[[#This Row],[DISC 2-]])*NOTA[[#This Row],[DISC 3]])</f>
        <v>0</v>
      </c>
      <c r="AB877" s="66">
        <f>IF(NOTA[[#This Row],[JUMLAH]]="","",NOTA[[#This Row],[DISC 1-]]+NOTA[[#This Row],[DISC 2-]]+NOTA[[#This Row],[DISC 3-]])</f>
        <v>178605</v>
      </c>
      <c r="AC877" s="66">
        <f>IF(NOTA[[#This Row],[JUMLAH]]="","",NOTA[[#This Row],[JUMLAH]]-NOTA[[#This Row],[DISC]])</f>
        <v>879795</v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877" s="66">
        <f>IF(OR(NOTA[[#This Row],[QTY]]="",NOTA[[#This Row],[HARGA SATUAN]]="",),"",NOTA[[#This Row],[QTY]]*NOTA[[#This Row],[HARGA SATUAN]])</f>
        <v>1058400</v>
      </c>
      <c r="AI877" s="60">
        <f ca="1">IF(NOTA[ID_H]="","",INDEX(NOTA[TANGGAL],MATCH(,INDIRECT(ADDRESS(ROW(NOTA[TANGGAL]),COLUMN(NOTA[TANGGAL]))&amp;":"&amp;ADDRESS(ROW(),COLUMN(NOTA[TANGGAL]))),-1)))</f>
        <v>45329</v>
      </c>
      <c r="AJ877" s="55" t="str">
        <f ca="1">IF(NOTA[[#This Row],[NAMA BARANG]]="","",INDEX(NOTA[SUPPLIER],MATCH(,INDIRECT(ADDRESS(ROW(NOTA[ID]),COLUMN(NOTA[ID]))&amp;":"&amp;ADDRESS(ROW(),COLUMN(NOTA[ID]))),-1)))</f>
        <v>ATALI MAKMUR</v>
      </c>
      <c r="AK877" s="55" t="str">
        <f ca="1">IF(NOTA[[#This Row],[ID_H]]="","",IF(NOTA[[#This Row],[FAKTUR]]="",INDIRECT(ADDRESS(ROW()-1,COLUMN())),NOTA[[#This Row],[FAKTUR]]))</f>
        <v>ARTO MORO</v>
      </c>
      <c r="AL877" s="56" t="str">
        <f ca="1">IF(NOTA[[#This Row],[ID]]="","",COUNTIF(NOTA[ID_H],NOTA[[#This Row],[ID_H]]))</f>
        <v/>
      </c>
      <c r="AM877" s="56">
        <f ca="1">IF(NOTA[[#This Row],[TGL.NOTA]]="",IF(NOTA[[#This Row],[SUPPLIER_H]]="","",AM876),MONTH(NOTA[[#This Row],[TGL.NOTA]]))</f>
        <v>2</v>
      </c>
      <c r="AN877" s="56" t="str">
        <f>LOWER(SUBSTITUTE(SUBSTITUTE(SUBSTITUTE(SUBSTITUTE(SUBSTITUTE(SUBSTITUTE(SUBSTITUTE(SUBSTITUTE(SUBSTITUTE(NOTA[NAMA BARANG]," ",),".",""),"-",""),"(",""),")",""),",",""),"/",""),"""",""),"+",""))</f>
        <v>stamppadno0jk</v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>
        <f>IF(NOTA[[#This Row],[CONCAT1]]="","",MATCH(NOTA[[#This Row],[CONCAT1]],[3]!db[NB NOTA_C],0))</f>
        <v>2840</v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>18 LSN</v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W877" s="56" t="e">
        <f ca="1">IF(NOTA[[#This Row],[ID_H]]="","",MATCH(NOTA[[#This Row],[NB NOTA_C_QTY]],[4]!db[NB NOTA_C_QTY+F],0))</f>
        <v>#REF!</v>
      </c>
      <c r="AX877" s="68">
        <f ca="1">IF(NOTA[[#This Row],[NB NOTA_C_QTY]]="","",ROW()-2)</f>
        <v>875</v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>
        <f ca="1">IF(NOTA[[#This Row],[NAMA BARANG]]="","",INDEX(NOTA[ID],MATCH(,INDIRECT(ADDRESS(ROW(NOTA[ID]),COLUMN(NOTA[ID]))&amp;":"&amp;ADDRESS(ROW(),COLUMN(NOTA[ID]))),-1)))</f>
        <v>158</v>
      </c>
      <c r="E878" s="57"/>
      <c r="F878" s="58"/>
      <c r="G878" s="58"/>
      <c r="H878" s="59"/>
      <c r="I878" s="58"/>
      <c r="J878" s="60"/>
      <c r="K878" s="58"/>
      <c r="L878" s="37" t="s">
        <v>947</v>
      </c>
      <c r="M878" s="61">
        <v>1</v>
      </c>
      <c r="N878" s="56">
        <v>24</v>
      </c>
      <c r="O878" s="37" t="s">
        <v>111</v>
      </c>
      <c r="P878" s="55">
        <v>162000</v>
      </c>
      <c r="Q878" s="62"/>
      <c r="R878" s="63"/>
      <c r="S878" s="49">
        <v>0.125</v>
      </c>
      <c r="T878" s="65">
        <v>0.05</v>
      </c>
      <c r="U878" s="65"/>
      <c r="V878" s="66"/>
      <c r="W878" s="67"/>
      <c r="X878" s="66">
        <f>IF(NOTA[[#This Row],[HARGA/ CTN]]="",NOTA[[#This Row],[JUMLAH_H]],NOTA[[#This Row],[HARGA/ CTN]]*IF(NOTA[[#This Row],[C]]="",0,NOTA[[#This Row],[C]]))</f>
        <v>3888000</v>
      </c>
      <c r="Y878" s="66">
        <f>IF(NOTA[[#This Row],[JUMLAH]]="","",NOTA[[#This Row],[JUMLAH]]*NOTA[[#This Row],[DISC 1]])</f>
        <v>486000</v>
      </c>
      <c r="Z878" s="66">
        <f>IF(NOTA[[#This Row],[JUMLAH]]="","",(NOTA[[#This Row],[JUMLAH]]-NOTA[[#This Row],[DISC 1-]])*NOTA[[#This Row],[DISC 2]])</f>
        <v>170100</v>
      </c>
      <c r="AA878" s="66">
        <f>IF(NOTA[[#This Row],[JUMLAH]]="","",(NOTA[[#This Row],[JUMLAH]]-NOTA[[#This Row],[DISC 1-]]-NOTA[[#This Row],[DISC 2-]])*NOTA[[#This Row],[DISC 3]])</f>
        <v>0</v>
      </c>
      <c r="AB878" s="66">
        <f>IF(NOTA[[#This Row],[JUMLAH]]="","",NOTA[[#This Row],[DISC 1-]]+NOTA[[#This Row],[DISC 2-]]+NOTA[[#This Row],[DISC 3-]])</f>
        <v>656100</v>
      </c>
      <c r="AC878" s="66">
        <f>IF(NOTA[[#This Row],[JUMLAH]]="","",NOTA[[#This Row],[JUMLAH]]-NOTA[[#This Row],[DISC]])</f>
        <v>3231900</v>
      </c>
      <c r="AD878" s="66"/>
      <c r="AE87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1966275</v>
      </c>
      <c r="AF87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9685725</v>
      </c>
      <c r="AG878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878" s="66">
        <f>IF(OR(NOTA[[#This Row],[QTY]]="",NOTA[[#This Row],[HARGA SATUAN]]="",),"",NOTA[[#This Row],[QTY]]*NOTA[[#This Row],[HARGA SATUAN]])</f>
        <v>3888000</v>
      </c>
      <c r="AI878" s="60">
        <f ca="1">IF(NOTA[ID_H]="","",INDEX(NOTA[TANGGAL],MATCH(,INDIRECT(ADDRESS(ROW(NOTA[TANGGAL]),COLUMN(NOTA[TANGGAL]))&amp;":"&amp;ADDRESS(ROW(),COLUMN(NOTA[TANGGAL]))),-1)))</f>
        <v>45329</v>
      </c>
      <c r="AJ878" s="55" t="str">
        <f ca="1">IF(NOTA[[#This Row],[NAMA BARANG]]="","",INDEX(NOTA[SUPPLIER],MATCH(,INDIRECT(ADDRESS(ROW(NOTA[ID]),COLUMN(NOTA[ID]))&amp;":"&amp;ADDRESS(ROW(),COLUMN(NOTA[ID]))),-1)))</f>
        <v>ATALI MAKMUR</v>
      </c>
      <c r="AK878" s="55" t="str">
        <f ca="1">IF(NOTA[[#This Row],[ID_H]]="","",IF(NOTA[[#This Row],[FAKTUR]]="",INDIRECT(ADDRESS(ROW()-1,COLUMN())),NOTA[[#This Row],[FAKTUR]]))</f>
        <v>ARTO MORO</v>
      </c>
      <c r="AL878" s="56" t="str">
        <f ca="1">IF(NOTA[[#This Row],[ID]]="","",COUNTIF(NOTA[ID_H],NOTA[[#This Row],[ID_H]]))</f>
        <v/>
      </c>
      <c r="AM878" s="56">
        <f ca="1">IF(NOTA[[#This Row],[TGL.NOTA]]="",IF(NOTA[[#This Row],[SUPPLIER_H]]="","",AM877),MONTH(NOTA[[#This Row],[TGL.NOTA]]))</f>
        <v>2</v>
      </c>
      <c r="AN878" s="56" t="str">
        <f>LOWER(SUBSTITUTE(SUBSTITUTE(SUBSTITUTE(SUBSTITUTE(SUBSTITUTE(SUBSTITUTE(SUBSTITUTE(SUBSTITUTE(SUBSTITUTE(NOTA[NAMA BARANG]," ",),".",""),"-",""),"(",""),")",""),",",""),"/",""),"""",""),"+",""))</f>
        <v>cutterl500jk</v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>
        <f>IF(NOTA[[#This Row],[CONCAT1]]="","",MATCH(NOTA[[#This Row],[CONCAT1]],[3]!db[NB NOTA_C],0))</f>
        <v>786</v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>24 LSN</v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878" s="56" t="e">
        <f ca="1">IF(NOTA[[#This Row],[ID_H]]="","",MATCH(NOTA[[#This Row],[NB NOTA_C_QTY]],[4]!db[NB NOTA_C_QTY+F],0))</f>
        <v>#REF!</v>
      </c>
      <c r="AX878" s="68">
        <f ca="1">IF(NOTA[[#This Row],[NB NOTA_C_QTY]]="","",ROW()-2)</f>
        <v>876</v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>
        <f ca="1">IF(INDIRECT(ADDRESS(ROW()-1,COLUMN(NOTA[[#Headers],[ID]])))="ID",1,IF(NOTA[[#This Row],[FAKTUR]]="","",COUNT(INDIRECT(ADDRESS(ROW(NOTA[ID]),COLUMN(NOTA[ID]))&amp;":"&amp;ADDRESS(ROW()-1,COLUMN(NOTA[ID]))))+1))</f>
        <v>159</v>
      </c>
      <c r="B88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ATA_0702_975-4</v>
      </c>
      <c r="C880" s="56" t="e">
        <f ca="1">IF(NOTA[[#This Row],[ID_P]]="","",MATCH(NOTA[[#This Row],[ID_P]],[1]!B_MSK[N_ID],0))</f>
        <v>#REF!</v>
      </c>
      <c r="D880" s="56">
        <f ca="1">IF(NOTA[[#This Row],[NAMA BARANG]]="","",INDEX(NOTA[ID],MATCH(,INDIRECT(ADDRESS(ROW(NOTA[ID]),COLUMN(NOTA[ID]))&amp;":"&amp;ADDRESS(ROW(),COLUMN(NOTA[ID]))),-1)))</f>
        <v>159</v>
      </c>
      <c r="E880" s="57">
        <v>45329</v>
      </c>
      <c r="F880" s="37" t="s">
        <v>24</v>
      </c>
      <c r="G880" s="37" t="s">
        <v>23</v>
      </c>
      <c r="H880" s="47" t="s">
        <v>948</v>
      </c>
      <c r="I880" s="58"/>
      <c r="J880" s="60">
        <v>45322</v>
      </c>
      <c r="K880" s="58"/>
      <c r="L880" s="37" t="s">
        <v>952</v>
      </c>
      <c r="M880" s="61">
        <v>1</v>
      </c>
      <c r="N880" s="56">
        <v>100</v>
      </c>
      <c r="O880" s="37" t="s">
        <v>949</v>
      </c>
      <c r="P880" s="55">
        <v>7600</v>
      </c>
      <c r="Q880" s="62"/>
      <c r="R880" s="63"/>
      <c r="S880" s="64">
        <v>0.125</v>
      </c>
      <c r="T880" s="65">
        <v>0.05</v>
      </c>
      <c r="U880" s="65"/>
      <c r="V880" s="66"/>
      <c r="W880" s="67"/>
      <c r="X880" s="66">
        <f>IF(NOTA[[#This Row],[HARGA/ CTN]]="",NOTA[[#This Row],[JUMLAH_H]],NOTA[[#This Row],[HARGA/ CTN]]*IF(NOTA[[#This Row],[C]]="",0,NOTA[[#This Row],[C]]))</f>
        <v>760000</v>
      </c>
      <c r="Y880" s="66">
        <f>IF(NOTA[[#This Row],[JUMLAH]]="","",NOTA[[#This Row],[JUMLAH]]*NOTA[[#This Row],[DISC 1]])</f>
        <v>95000</v>
      </c>
      <c r="Z880" s="66">
        <f>IF(NOTA[[#This Row],[JUMLAH]]="","",(NOTA[[#This Row],[JUMLAH]]-NOTA[[#This Row],[DISC 1-]])*NOTA[[#This Row],[DISC 2]])</f>
        <v>33250</v>
      </c>
      <c r="AA880" s="66">
        <f>IF(NOTA[[#This Row],[JUMLAH]]="","",(NOTA[[#This Row],[JUMLAH]]-NOTA[[#This Row],[DISC 1-]]-NOTA[[#This Row],[DISC 2-]])*NOTA[[#This Row],[DISC 3]])</f>
        <v>0</v>
      </c>
      <c r="AB880" s="66">
        <f>IF(NOTA[[#This Row],[JUMLAH]]="","",NOTA[[#This Row],[DISC 1-]]+NOTA[[#This Row],[DISC 2-]]+NOTA[[#This Row],[DISC 3-]])</f>
        <v>128250</v>
      </c>
      <c r="AC880" s="66">
        <f>IF(NOTA[[#This Row],[JUMLAH]]="","",NOTA[[#This Row],[JUMLAH]]-NOTA[[#This Row],[DISC]])</f>
        <v>631750</v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H880" s="66">
        <f>IF(OR(NOTA[[#This Row],[QTY]]="",NOTA[[#This Row],[HARGA SATUAN]]="",),"",NOTA[[#This Row],[QTY]]*NOTA[[#This Row],[HARGA SATUAN]])</f>
        <v>760000</v>
      </c>
      <c r="AI880" s="60">
        <f ca="1">IF(NOTA[ID_H]="","",INDEX(NOTA[TANGGAL],MATCH(,INDIRECT(ADDRESS(ROW(NOTA[TANGGAL]),COLUMN(NOTA[TANGGAL]))&amp;":"&amp;ADDRESS(ROW(),COLUMN(NOTA[TANGGAL]))),-1)))</f>
        <v>45329</v>
      </c>
      <c r="AJ880" s="55" t="str">
        <f ca="1">IF(NOTA[[#This Row],[NAMA BARANG]]="","",INDEX(NOTA[SUPPLIER],MATCH(,INDIRECT(ADDRESS(ROW(NOTA[ID]),COLUMN(NOTA[ID]))&amp;":"&amp;ADDRESS(ROW(),COLUMN(NOTA[ID]))),-1)))</f>
        <v>ATALI MAKMUR</v>
      </c>
      <c r="AK880" s="55" t="str">
        <f ca="1">IF(NOTA[[#This Row],[ID_H]]="","",IF(NOTA[[#This Row],[FAKTUR]]="",INDIRECT(ADDRESS(ROW()-1,COLUMN())),NOTA[[#This Row],[FAKTUR]]))</f>
        <v>ARTO MORO</v>
      </c>
      <c r="AL880" s="56">
        <f ca="1">IF(NOTA[[#This Row],[ID]]="","",COUNTIF(NOTA[ID_H],NOTA[[#This Row],[ID_H]]))</f>
        <v>4</v>
      </c>
      <c r="AM880" s="56">
        <f>IF(NOTA[[#This Row],[TGL.NOTA]]="",IF(NOTA[[#This Row],[SUPPLIER_H]]="","",AM879),MONTH(NOTA[[#This Row],[TGL.NOTA]]))</f>
        <v>1</v>
      </c>
      <c r="AN880" s="56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paperfastenerpf50whitejk7600000.1250.05</v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paperfastenerpf50whitejk7600000.1250.05</v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MOROSA24010197545322paperfastenerpf50whitejk</v>
      </c>
      <c r="AR880" s="56" t="e">
        <f>IF(NOTA[[#This Row],[CONCAT4]]="","",_xlfn.IFNA(MATCH(NOTA[[#This Row],[CONCAT4]],[2]!RAW[CONCAT_H],0),FALSE))</f>
        <v>#REF!</v>
      </c>
      <c r="AS880" s="56">
        <f>IF(NOTA[[#This Row],[CONCAT1]]="","",MATCH(NOTA[[#This Row],[CONCAT1]],[3]!db[NB NOTA_C],0))</f>
        <v>2294</v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>100 PAK</v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paperfastenerpf50whitejk100pakartomoro</v>
      </c>
      <c r="AW880" s="56" t="e">
        <f ca="1">IF(NOTA[[#This Row],[ID_H]]="","",MATCH(NOTA[[#This Row],[NB NOTA_C_QTY]],[4]!db[NB NOTA_C_QTY+F],0))</f>
        <v>#REF!</v>
      </c>
      <c r="AX880" s="68">
        <f ca="1">IF(NOTA[[#This Row],[NB NOTA_C_QTY]]="","",ROW()-2)</f>
        <v>878</v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>
        <f ca="1">IF(NOTA[[#This Row],[NAMA BARANG]]="","",INDEX(NOTA[ID],MATCH(,INDIRECT(ADDRESS(ROW(NOTA[ID]),COLUMN(NOTA[ID]))&amp;":"&amp;ADDRESS(ROW(),COLUMN(NOTA[ID]))),-1)))</f>
        <v>159</v>
      </c>
      <c r="E881" s="57"/>
      <c r="F881" s="58"/>
      <c r="G881" s="58"/>
      <c r="H881" s="59"/>
      <c r="I881" s="58"/>
      <c r="J881" s="60"/>
      <c r="K881" s="58"/>
      <c r="L881" s="37" t="s">
        <v>950</v>
      </c>
      <c r="M881" s="61">
        <v>1</v>
      </c>
      <c r="N881" s="56">
        <v>24</v>
      </c>
      <c r="O881" s="37" t="s">
        <v>115</v>
      </c>
      <c r="P881" s="55">
        <v>41000</v>
      </c>
      <c r="Q881" s="62"/>
      <c r="R881" s="63"/>
      <c r="S881" s="64">
        <v>0.125</v>
      </c>
      <c r="T881" s="65">
        <v>0.05</v>
      </c>
      <c r="U881" s="65"/>
      <c r="V881" s="66"/>
      <c r="W881" s="67"/>
      <c r="X881" s="66">
        <f>IF(NOTA[[#This Row],[HARGA/ CTN]]="",NOTA[[#This Row],[JUMLAH_H]],NOTA[[#This Row],[HARGA/ CTN]]*IF(NOTA[[#This Row],[C]]="",0,NOTA[[#This Row],[C]]))</f>
        <v>984000</v>
      </c>
      <c r="Y881" s="66">
        <f>IF(NOTA[[#This Row],[JUMLAH]]="","",NOTA[[#This Row],[JUMLAH]]*NOTA[[#This Row],[DISC 1]])</f>
        <v>123000</v>
      </c>
      <c r="Z881" s="66">
        <f>IF(NOTA[[#This Row],[JUMLAH]]="","",(NOTA[[#This Row],[JUMLAH]]-NOTA[[#This Row],[DISC 1-]])*NOTA[[#This Row],[DISC 2]])</f>
        <v>43050</v>
      </c>
      <c r="AA881" s="66">
        <f>IF(NOTA[[#This Row],[JUMLAH]]="","",(NOTA[[#This Row],[JUMLAH]]-NOTA[[#This Row],[DISC 1-]]-NOTA[[#This Row],[DISC 2-]])*NOTA[[#This Row],[DISC 3]])</f>
        <v>0</v>
      </c>
      <c r="AB881" s="66">
        <f>IF(NOTA[[#This Row],[JUMLAH]]="","",NOTA[[#This Row],[DISC 1-]]+NOTA[[#This Row],[DISC 2-]]+NOTA[[#This Row],[DISC 3-]])</f>
        <v>166050</v>
      </c>
      <c r="AC881" s="66">
        <f>IF(NOTA[[#This Row],[JUMLAH]]="","",NOTA[[#This Row],[JUMLAH]]-NOTA[[#This Row],[DISC]])</f>
        <v>817950</v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H881" s="66">
        <f>IF(OR(NOTA[[#This Row],[QTY]]="",NOTA[[#This Row],[HARGA SATUAN]]="",),"",NOTA[[#This Row],[QTY]]*NOTA[[#This Row],[HARGA SATUAN]])</f>
        <v>984000</v>
      </c>
      <c r="AI881" s="60">
        <f ca="1">IF(NOTA[ID_H]="","",INDEX(NOTA[TANGGAL],MATCH(,INDIRECT(ADDRESS(ROW(NOTA[TANGGAL]),COLUMN(NOTA[TANGGAL]))&amp;":"&amp;ADDRESS(ROW(),COLUMN(NOTA[TANGGAL]))),-1)))</f>
        <v>45329</v>
      </c>
      <c r="AJ881" s="55" t="str">
        <f ca="1">IF(NOTA[[#This Row],[NAMA BARANG]]="","",INDEX(NOTA[SUPPLIER],MATCH(,INDIRECT(ADDRESS(ROW(NOTA[ID]),COLUMN(NOTA[ID]))&amp;":"&amp;ADDRESS(ROW(),COLUMN(NOTA[ID]))),-1)))</f>
        <v>ATALI MAKMUR</v>
      </c>
      <c r="AK881" s="55" t="str">
        <f ca="1">IF(NOTA[[#This Row],[ID_H]]="","",IF(NOTA[[#This Row],[FAKTUR]]="",INDIRECT(ADDRESS(ROW()-1,COLUMN())),NOTA[[#This Row],[FAKTUR]]))</f>
        <v>ARTO MORO</v>
      </c>
      <c r="AL881" s="56" t="str">
        <f ca="1">IF(NOTA[[#This Row],[ID]]="","",COUNTIF(NOTA[ID_H],NOTA[[#This Row],[ID_H]]))</f>
        <v/>
      </c>
      <c r="AM881" s="56">
        <f ca="1">IF(NOTA[[#This Row],[TGL.NOTA]]="",IF(NOTA[[#This Row],[SUPPLIER_H]]="","",AM880),MONTH(NOTA[[#This Row],[TGL.NOTA]]))</f>
        <v>1</v>
      </c>
      <c r="AN881" s="56" t="str">
        <f>LOWER(SUBSTITUTE(SUBSTITUTE(SUBSTITUTE(SUBSTITUTE(SUBSTITUTE(SUBSTITUTE(SUBSTITUTE(SUBSTITUTE(SUBSTITUTE(NOTA[NAMA BARANG]," ",),".",""),"-",""),"(",""),")",""),",",""),"/",""),"""",""),"+",""))</f>
        <v>tapecuttertd2hjk</v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>
        <f>IF(NOTA[[#This Row],[CONCAT1]]="","",MATCH(NOTA[[#This Row],[CONCAT1]],[3]!db[NB NOTA_C],0))</f>
        <v>2920</v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>24 PCS</v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W881" s="56" t="e">
        <f ca="1">IF(NOTA[[#This Row],[ID_H]]="","",MATCH(NOTA[[#This Row],[NB NOTA_C_QTY]],[4]!db[NB NOTA_C_QTY+F],0))</f>
        <v>#REF!</v>
      </c>
      <c r="AX881" s="68">
        <f ca="1">IF(NOTA[[#This Row],[NB NOTA_C_QTY]]="","",ROW()-2)</f>
        <v>879</v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>
        <f ca="1">IF(NOTA[[#This Row],[NAMA BARANG]]="","",INDEX(NOTA[ID],MATCH(,INDIRECT(ADDRESS(ROW(NOTA[ID]),COLUMN(NOTA[ID]))&amp;":"&amp;ADDRESS(ROW(),COLUMN(NOTA[ID]))),-1)))</f>
        <v>159</v>
      </c>
      <c r="E882" s="46"/>
      <c r="F882" s="58"/>
      <c r="G882" s="58"/>
      <c r="H882" s="47"/>
      <c r="I882" s="58"/>
      <c r="J882" s="60"/>
      <c r="K882" s="58"/>
      <c r="L882" s="58" t="s">
        <v>951</v>
      </c>
      <c r="M882" s="61">
        <v>2</v>
      </c>
      <c r="N882" s="56">
        <v>24</v>
      </c>
      <c r="O882" s="58" t="s">
        <v>120</v>
      </c>
      <c r="P882" s="55">
        <v>176400</v>
      </c>
      <c r="Q882" s="62"/>
      <c r="R882" s="63"/>
      <c r="S882" s="64">
        <v>0.125</v>
      </c>
      <c r="T882" s="65">
        <v>0.05</v>
      </c>
      <c r="U882" s="65"/>
      <c r="V882" s="66"/>
      <c r="W882" s="67"/>
      <c r="X882" s="66">
        <f>IF(NOTA[[#This Row],[HARGA/ CTN]]="",NOTA[[#This Row],[JUMLAH_H]],NOTA[[#This Row],[HARGA/ CTN]]*IF(NOTA[[#This Row],[C]]="",0,NOTA[[#This Row],[C]]))</f>
        <v>4233600</v>
      </c>
      <c r="Y882" s="66">
        <f>IF(NOTA[[#This Row],[JUMLAH]]="","",NOTA[[#This Row],[JUMLAH]]*NOTA[[#This Row],[DISC 1]])</f>
        <v>529200</v>
      </c>
      <c r="Z882" s="66">
        <f>IF(NOTA[[#This Row],[JUMLAH]]="","",(NOTA[[#This Row],[JUMLAH]]-NOTA[[#This Row],[DISC 1-]])*NOTA[[#This Row],[DISC 2]])</f>
        <v>185220</v>
      </c>
      <c r="AA882" s="66">
        <f>IF(NOTA[[#This Row],[JUMLAH]]="","",(NOTA[[#This Row],[JUMLAH]]-NOTA[[#This Row],[DISC 1-]]-NOTA[[#This Row],[DISC 2-]])*NOTA[[#This Row],[DISC 3]])</f>
        <v>0</v>
      </c>
      <c r="AB882" s="66">
        <f>IF(NOTA[[#This Row],[JUMLAH]]="","",NOTA[[#This Row],[DISC 1-]]+NOTA[[#This Row],[DISC 2-]]+NOTA[[#This Row],[DISC 3-]])</f>
        <v>714420</v>
      </c>
      <c r="AC882" s="66">
        <f>IF(NOTA[[#This Row],[JUMLAH]]="","",NOTA[[#This Row],[JUMLAH]]-NOTA[[#This Row],[DISC]])</f>
        <v>3519180</v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882" s="66">
        <f>IF(OR(NOTA[[#This Row],[QTY]]="",NOTA[[#This Row],[HARGA SATUAN]]="",),"",NOTA[[#This Row],[QTY]]*NOTA[[#This Row],[HARGA SATUAN]])</f>
        <v>4233600</v>
      </c>
      <c r="AI882" s="60">
        <f ca="1">IF(NOTA[ID_H]="","",INDEX(NOTA[TANGGAL],MATCH(,INDIRECT(ADDRESS(ROW(NOTA[TANGGAL]),COLUMN(NOTA[TANGGAL]))&amp;":"&amp;ADDRESS(ROW(),COLUMN(NOTA[TANGGAL]))),-1)))</f>
        <v>45329</v>
      </c>
      <c r="AJ882" s="55" t="str">
        <f ca="1">IF(NOTA[[#This Row],[NAMA BARANG]]="","",INDEX(NOTA[SUPPLIER],MATCH(,INDIRECT(ADDRESS(ROW(NOTA[ID]),COLUMN(NOTA[ID]))&amp;":"&amp;ADDRESS(ROW(),COLUMN(NOTA[ID]))),-1)))</f>
        <v>ATALI MAKMUR</v>
      </c>
      <c r="AK882" s="55" t="str">
        <f ca="1">IF(NOTA[[#This Row],[ID_H]]="","",IF(NOTA[[#This Row],[FAKTUR]]="",INDIRECT(ADDRESS(ROW()-1,COLUMN())),NOTA[[#This Row],[FAKTUR]]))</f>
        <v>ARTO MORO</v>
      </c>
      <c r="AL882" s="56" t="str">
        <f ca="1">IF(NOTA[[#This Row],[ID]]="","",COUNTIF(NOTA[ID_H],NOTA[[#This Row],[ID_H]]))</f>
        <v/>
      </c>
      <c r="AM882" s="56">
        <f ca="1">IF(NOTA[[#This Row],[TGL.NOTA]]="",IF(NOTA[[#This Row],[SUPPLIER_H]]="","",AM881),MONTH(NOTA[[#This Row],[TGL.NOTA]]))</f>
        <v>1</v>
      </c>
      <c r="AN882" s="56" t="str">
        <f>LOWER(SUBSTITUTE(SUBSTITUTE(SUBSTITUTE(SUBSTITUTE(SUBSTITUTE(SUBSTITUTE(SUBSTITUTE(SUBSTITUTE(SUBSTITUTE(NOTA[NAMA BARANG]," ",),".",""),"-",""),"(",""),")",""),",",""),"/",""),"""",""),"+",""))</f>
        <v>pencilleadpl052bjk</v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>
        <f>IF(NOTA[[#This Row],[CONCAT1]]="","",MATCH(NOTA[[#This Row],[CONCAT1]],[3]!db[NB NOTA_C],0))</f>
        <v>2477</v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>12 GRS</v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W882" s="56" t="e">
        <f ca="1">IF(NOTA[[#This Row],[ID_H]]="","",MATCH(NOTA[[#This Row],[NB NOTA_C_QTY]],[4]!db[NB NOTA_C_QTY+F],0))</f>
        <v>#REF!</v>
      </c>
      <c r="AX882" s="68">
        <f ca="1">IF(NOTA[[#This Row],[NB NOTA_C_QTY]]="","",ROW()-2)</f>
        <v>880</v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>
        <f ca="1">IF(NOTA[[#This Row],[NAMA BARANG]]="","",INDEX(NOTA[ID],MATCH(,INDIRECT(ADDRESS(ROW(NOTA[ID]),COLUMN(NOTA[ID]))&amp;":"&amp;ADDRESS(ROW(),COLUMN(NOTA[ID]))),-1)))</f>
        <v>159</v>
      </c>
      <c r="E883" s="57"/>
      <c r="F883" s="58"/>
      <c r="G883" s="58"/>
      <c r="H883" s="59"/>
      <c r="I883" s="58"/>
      <c r="J883" s="60"/>
      <c r="K883" s="58"/>
      <c r="L883" s="37" t="s">
        <v>555</v>
      </c>
      <c r="M883" s="61">
        <v>2</v>
      </c>
      <c r="N883" s="56">
        <v>144</v>
      </c>
      <c r="O883" s="37" t="s">
        <v>111</v>
      </c>
      <c r="P883" s="55">
        <v>37200</v>
      </c>
      <c r="Q883" s="62"/>
      <c r="R883" s="63"/>
      <c r="S883" s="64">
        <v>0.125</v>
      </c>
      <c r="T883" s="65">
        <v>0.05</v>
      </c>
      <c r="U883" s="65"/>
      <c r="V883" s="66"/>
      <c r="W883" s="67"/>
      <c r="X883" s="66">
        <f>IF(NOTA[[#This Row],[HARGA/ CTN]]="",NOTA[[#This Row],[JUMLAH_H]],NOTA[[#This Row],[HARGA/ CTN]]*IF(NOTA[[#This Row],[C]]="",0,NOTA[[#This Row],[C]]))</f>
        <v>5356800</v>
      </c>
      <c r="Y883" s="66">
        <f>IF(NOTA[[#This Row],[JUMLAH]]="","",NOTA[[#This Row],[JUMLAH]]*NOTA[[#This Row],[DISC 1]])</f>
        <v>669600</v>
      </c>
      <c r="Z883" s="66">
        <f>IF(NOTA[[#This Row],[JUMLAH]]="","",(NOTA[[#This Row],[JUMLAH]]-NOTA[[#This Row],[DISC 1-]])*NOTA[[#This Row],[DISC 2]])</f>
        <v>234360</v>
      </c>
      <c r="AA883" s="66">
        <f>IF(NOTA[[#This Row],[JUMLAH]]="","",(NOTA[[#This Row],[JUMLAH]]-NOTA[[#This Row],[DISC 1-]]-NOTA[[#This Row],[DISC 2-]])*NOTA[[#This Row],[DISC 3]])</f>
        <v>0</v>
      </c>
      <c r="AB883" s="66">
        <f>IF(NOTA[[#This Row],[JUMLAH]]="","",NOTA[[#This Row],[DISC 1-]]+NOTA[[#This Row],[DISC 2-]]+NOTA[[#This Row],[DISC 3-]])</f>
        <v>903960</v>
      </c>
      <c r="AC883" s="66">
        <f>IF(NOTA[[#This Row],[JUMLAH]]="","",NOTA[[#This Row],[JUMLAH]]-NOTA[[#This Row],[DISC]])</f>
        <v>4452840</v>
      </c>
      <c r="AD883" s="66"/>
      <c r="AE88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1912680</v>
      </c>
      <c r="AF88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9421720</v>
      </c>
      <c r="AG883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883" s="66">
        <f>IF(OR(NOTA[[#This Row],[QTY]]="",NOTA[[#This Row],[HARGA SATUAN]]="",),"",NOTA[[#This Row],[QTY]]*NOTA[[#This Row],[HARGA SATUAN]])</f>
        <v>5356800</v>
      </c>
      <c r="AI883" s="60">
        <f ca="1">IF(NOTA[ID_H]="","",INDEX(NOTA[TANGGAL],MATCH(,INDIRECT(ADDRESS(ROW(NOTA[TANGGAL]),COLUMN(NOTA[TANGGAL]))&amp;":"&amp;ADDRESS(ROW(),COLUMN(NOTA[TANGGAL]))),-1)))</f>
        <v>45329</v>
      </c>
      <c r="AJ883" s="55" t="str">
        <f ca="1">IF(NOTA[[#This Row],[NAMA BARANG]]="","",INDEX(NOTA[SUPPLIER],MATCH(,INDIRECT(ADDRESS(ROW(NOTA[ID]),COLUMN(NOTA[ID]))&amp;":"&amp;ADDRESS(ROW(),COLUMN(NOTA[ID]))),-1)))</f>
        <v>ATALI MAKMUR</v>
      </c>
      <c r="AK883" s="55" t="str">
        <f ca="1">IF(NOTA[[#This Row],[ID_H]]="","",IF(NOTA[[#This Row],[FAKTUR]]="",INDIRECT(ADDRESS(ROW()-1,COLUMN())),NOTA[[#This Row],[FAKTUR]]))</f>
        <v>ARTO MORO</v>
      </c>
      <c r="AL883" s="56" t="str">
        <f ca="1">IF(NOTA[[#This Row],[ID]]="","",COUNTIF(NOTA[ID_H],NOTA[[#This Row],[ID_H]]))</f>
        <v/>
      </c>
      <c r="AM883" s="56">
        <f ca="1">IF(NOTA[[#This Row],[TGL.NOTA]]="",IF(NOTA[[#This Row],[SUPPLIER_H]]="","",AM882),MONTH(NOTA[[#This Row],[TGL.NOTA]]))</f>
        <v>1</v>
      </c>
      <c r="AN883" s="5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>
        <f>IF(NOTA[[#This Row],[CONCAT1]]="","",MATCH(NOTA[[#This Row],[CONCAT1]],[3]!db[NB NOTA_C],0))</f>
        <v>2480</v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>12 BOX (72 PCS)</v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883" s="56" t="e">
        <f ca="1">IF(NOTA[[#This Row],[ID_H]]="","",MATCH(NOTA[[#This Row],[NB NOTA_C_QTY]],[4]!db[NB NOTA_C_QTY+F],0))</f>
        <v>#REF!</v>
      </c>
      <c r="AX883" s="68">
        <f ca="1">IF(NOTA[[#This Row],[NB NOTA_C_QTY]]="","",ROW()-2)</f>
        <v>881</v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>
        <f ca="1">IF(INDIRECT(ADDRESS(ROW()-1,COLUMN(NOTA[[#Headers],[ID]])))="ID",1,IF(NOTA[[#This Row],[FAKTUR]]="","",COUNT(INDIRECT(ADDRESS(ROW(NOTA[ID]),COLUMN(NOTA[ID]))&amp;":"&amp;ADDRESS(ROW()-1,COLUMN(NOTA[ID]))))+1))</f>
        <v>160</v>
      </c>
      <c r="B88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ATA_0702_143-3</v>
      </c>
      <c r="C885" s="56" t="e">
        <f ca="1">IF(NOTA[[#This Row],[ID_P]]="","",MATCH(NOTA[[#This Row],[ID_P]],[1]!B_MSK[N_ID],0))</f>
        <v>#REF!</v>
      </c>
      <c r="D885" s="56">
        <f ca="1">IF(NOTA[[#This Row],[NAMA BARANG]]="","",INDEX(NOTA[ID],MATCH(,INDIRECT(ADDRESS(ROW(NOTA[ID]),COLUMN(NOTA[ID]))&amp;":"&amp;ADDRESS(ROW(),COLUMN(NOTA[ID]))),-1)))</f>
        <v>160</v>
      </c>
      <c r="E885" s="57"/>
      <c r="F885" s="37" t="s">
        <v>24</v>
      </c>
      <c r="G885" s="37" t="s">
        <v>23</v>
      </c>
      <c r="H885" s="47" t="s">
        <v>953</v>
      </c>
      <c r="I885" s="58"/>
      <c r="J885" s="60">
        <v>45324</v>
      </c>
      <c r="K885" s="58"/>
      <c r="L885" s="37" t="s">
        <v>941</v>
      </c>
      <c r="M885" s="61">
        <v>1</v>
      </c>
      <c r="N885" s="56">
        <v>144</v>
      </c>
      <c r="O885" s="37" t="s">
        <v>111</v>
      </c>
      <c r="P885" s="55">
        <v>27600</v>
      </c>
      <c r="Q885" s="62"/>
      <c r="R885" s="63"/>
      <c r="S885" s="64">
        <v>0.125</v>
      </c>
      <c r="T885" s="65">
        <v>0.05</v>
      </c>
      <c r="U885" s="65"/>
      <c r="V885" s="66"/>
      <c r="W885" s="67"/>
      <c r="X885" s="66">
        <f>IF(NOTA[[#This Row],[HARGA/ CTN]]="",NOTA[[#This Row],[JUMLAH_H]],NOTA[[#This Row],[HARGA/ CTN]]*IF(NOTA[[#This Row],[C]]="",0,NOTA[[#This Row],[C]]))</f>
        <v>3974400</v>
      </c>
      <c r="Y885" s="66">
        <f>IF(NOTA[[#This Row],[JUMLAH]]="","",NOTA[[#This Row],[JUMLAH]]*NOTA[[#This Row],[DISC 1]])</f>
        <v>496800</v>
      </c>
      <c r="Z885" s="66">
        <f>IF(NOTA[[#This Row],[JUMLAH]]="","",(NOTA[[#This Row],[JUMLAH]]-NOTA[[#This Row],[DISC 1-]])*NOTA[[#This Row],[DISC 2]])</f>
        <v>173880</v>
      </c>
      <c r="AA885" s="66">
        <f>IF(NOTA[[#This Row],[JUMLAH]]="","",(NOTA[[#This Row],[JUMLAH]]-NOTA[[#This Row],[DISC 1-]]-NOTA[[#This Row],[DISC 2-]])*NOTA[[#This Row],[DISC 3]])</f>
        <v>0</v>
      </c>
      <c r="AB885" s="66">
        <f>IF(NOTA[[#This Row],[JUMLAH]]="","",NOTA[[#This Row],[DISC 1-]]+NOTA[[#This Row],[DISC 2-]]+NOTA[[#This Row],[DISC 3-]])</f>
        <v>670680</v>
      </c>
      <c r="AC885" s="66">
        <f>IF(NOTA[[#This Row],[JUMLAH]]="","",NOTA[[#This Row],[JUMLAH]]-NOTA[[#This Row],[DISC]])</f>
        <v>3303720</v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885" s="66">
        <f>IF(OR(NOTA[[#This Row],[QTY]]="",NOTA[[#This Row],[HARGA SATUAN]]="",),"",NOTA[[#This Row],[QTY]]*NOTA[[#This Row],[HARGA SATUAN]])</f>
        <v>3974400</v>
      </c>
      <c r="AI885" s="60">
        <f ca="1">IF(NOTA[ID_H]="","",INDEX(NOTA[TANGGAL],MATCH(,INDIRECT(ADDRESS(ROW(NOTA[TANGGAL]),COLUMN(NOTA[TANGGAL]))&amp;":"&amp;ADDRESS(ROW(),COLUMN(NOTA[TANGGAL]))),-1)))</f>
        <v>45329</v>
      </c>
      <c r="AJ885" s="55" t="str">
        <f ca="1">IF(NOTA[[#This Row],[NAMA BARANG]]="","",INDEX(NOTA[SUPPLIER],MATCH(,INDIRECT(ADDRESS(ROW(NOTA[ID]),COLUMN(NOTA[ID]))&amp;":"&amp;ADDRESS(ROW(),COLUMN(NOTA[ID]))),-1)))</f>
        <v>ATALI MAKMUR</v>
      </c>
      <c r="AK885" s="55" t="str">
        <f ca="1">IF(NOTA[[#This Row],[ID_H]]="","",IF(NOTA[[#This Row],[FAKTUR]]="",INDIRECT(ADDRESS(ROW()-1,COLUMN())),NOTA[[#This Row],[FAKTUR]]))</f>
        <v>ARTO MORO</v>
      </c>
      <c r="AL885" s="56">
        <f ca="1">IF(NOTA[[#This Row],[ID]]="","",COUNTIF(NOTA[ID_H],NOTA[[#This Row],[ID_H]]))</f>
        <v>3</v>
      </c>
      <c r="AM885" s="56">
        <f>IF(NOTA[[#This Row],[TGL.NOTA]]="",IF(NOTA[[#This Row],[SUPPLIER_H]]="","",AM884),MONTH(NOTA[[#This Row],[TGL.NOTA]]))</f>
        <v>2</v>
      </c>
      <c r="AN885" s="5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MOROSA24020214345324gelpengp266itech2blackjk</v>
      </c>
      <c r="AR885" s="56" t="e">
        <f>IF(NOTA[[#This Row],[CONCAT4]]="","",_xlfn.IFNA(MATCH(NOTA[[#This Row],[CONCAT4]],[2]!RAW[CONCAT_H],0),FALSE))</f>
        <v>#REF!</v>
      </c>
      <c r="AS885" s="56">
        <f>IF(NOTA[[#This Row],[CONCAT1]]="","",MATCH(NOTA[[#This Row],[CONCAT1]],[3]!db[NB NOTA_C],0))</f>
        <v>1054</v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>144 LSN</v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885" s="56" t="e">
        <f ca="1">IF(NOTA[[#This Row],[ID_H]]="","",MATCH(NOTA[[#This Row],[NB NOTA_C_QTY]],[4]!db[NB NOTA_C_QTY+F],0))</f>
        <v>#REF!</v>
      </c>
      <c r="AX885" s="68">
        <f ca="1">IF(NOTA[[#This Row],[NB NOTA_C_QTY]]="","",ROW()-2)</f>
        <v>883</v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>
        <f ca="1">IF(NOTA[[#This Row],[NAMA BARANG]]="","",INDEX(NOTA[ID],MATCH(,INDIRECT(ADDRESS(ROW(NOTA[ID]),COLUMN(NOTA[ID]))&amp;":"&amp;ADDRESS(ROW(),COLUMN(NOTA[ID]))),-1)))</f>
        <v>160</v>
      </c>
      <c r="E886" s="57"/>
      <c r="F886" s="58"/>
      <c r="G886" s="58"/>
      <c r="H886" s="59"/>
      <c r="I886" s="58"/>
      <c r="J886" s="60"/>
      <c r="K886" s="58"/>
      <c r="L886" s="37" t="s">
        <v>638</v>
      </c>
      <c r="M886" s="61">
        <v>3</v>
      </c>
      <c r="N886" s="56">
        <v>432</v>
      </c>
      <c r="O886" s="37" t="s">
        <v>116</v>
      </c>
      <c r="P886" s="55">
        <v>11900</v>
      </c>
      <c r="Q886" s="62"/>
      <c r="R886" s="63"/>
      <c r="S886" s="64">
        <v>0.125</v>
      </c>
      <c r="T886" s="65">
        <v>0.05</v>
      </c>
      <c r="U886" s="65"/>
      <c r="V886" s="66"/>
      <c r="W886" s="67"/>
      <c r="X886" s="66">
        <f>IF(NOTA[[#This Row],[HARGA/ CTN]]="",NOTA[[#This Row],[JUMLAH_H]],NOTA[[#This Row],[HARGA/ CTN]]*IF(NOTA[[#This Row],[C]]="",0,NOTA[[#This Row],[C]]))</f>
        <v>5140800</v>
      </c>
      <c r="Y886" s="66">
        <f>IF(NOTA[[#This Row],[JUMLAH]]="","",NOTA[[#This Row],[JUMLAH]]*NOTA[[#This Row],[DISC 1]])</f>
        <v>642600</v>
      </c>
      <c r="Z886" s="66">
        <f>IF(NOTA[[#This Row],[JUMLAH]]="","",(NOTA[[#This Row],[JUMLAH]]-NOTA[[#This Row],[DISC 1-]])*NOTA[[#This Row],[DISC 2]])</f>
        <v>224910</v>
      </c>
      <c r="AA886" s="66">
        <f>IF(NOTA[[#This Row],[JUMLAH]]="","",(NOTA[[#This Row],[JUMLAH]]-NOTA[[#This Row],[DISC 1-]]-NOTA[[#This Row],[DISC 2-]])*NOTA[[#This Row],[DISC 3]])</f>
        <v>0</v>
      </c>
      <c r="AB886" s="66">
        <f>IF(NOTA[[#This Row],[JUMLAH]]="","",NOTA[[#This Row],[DISC 1-]]+NOTA[[#This Row],[DISC 2-]]+NOTA[[#This Row],[DISC 3-]])</f>
        <v>867510</v>
      </c>
      <c r="AC886" s="66">
        <f>IF(NOTA[[#This Row],[JUMLAH]]="","",NOTA[[#This Row],[JUMLAH]]-NOTA[[#This Row],[DISC]])</f>
        <v>4273290</v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886" s="66">
        <f>IF(OR(NOTA[[#This Row],[QTY]]="",NOTA[[#This Row],[HARGA SATUAN]]="",),"",NOTA[[#This Row],[QTY]]*NOTA[[#This Row],[HARGA SATUAN]])</f>
        <v>5140800</v>
      </c>
      <c r="AI886" s="60">
        <f ca="1">IF(NOTA[ID_H]="","",INDEX(NOTA[TANGGAL],MATCH(,INDIRECT(ADDRESS(ROW(NOTA[TANGGAL]),COLUMN(NOTA[TANGGAL]))&amp;":"&amp;ADDRESS(ROW(),COLUMN(NOTA[TANGGAL]))),-1)))</f>
        <v>45329</v>
      </c>
      <c r="AJ886" s="55" t="str">
        <f ca="1">IF(NOTA[[#This Row],[NAMA BARANG]]="","",INDEX(NOTA[SUPPLIER],MATCH(,INDIRECT(ADDRESS(ROW(NOTA[ID]),COLUMN(NOTA[ID]))&amp;":"&amp;ADDRESS(ROW(),COLUMN(NOTA[ID]))),-1)))</f>
        <v>ATALI MAKMUR</v>
      </c>
      <c r="AK886" s="55" t="str">
        <f ca="1">IF(NOTA[[#This Row],[ID_H]]="","",IF(NOTA[[#This Row],[FAKTUR]]="",INDIRECT(ADDRESS(ROW()-1,COLUMN())),NOTA[[#This Row],[FAKTUR]]))</f>
        <v>ARTO MORO</v>
      </c>
      <c r="AL886" s="56" t="str">
        <f ca="1">IF(NOTA[[#This Row],[ID]]="","",COUNTIF(NOTA[ID_H],NOTA[[#This Row],[ID_H]]))</f>
        <v/>
      </c>
      <c r="AM886" s="56">
        <f ca="1">IF(NOTA[[#This Row],[TGL.NOTA]]="",IF(NOTA[[#This Row],[SUPPLIER_H]]="","",AM885),MONTH(NOTA[[#This Row],[TGL.NOTA]]))</f>
        <v>2</v>
      </c>
      <c r="AN886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>
        <f>IF(NOTA[[#This Row],[CONCAT1]]="","",MATCH(NOTA[[#This Row],[CONCAT1]],[3]!db[NB NOTA_C],0))</f>
        <v>2174</v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>12 LSN</v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886" s="56" t="e">
        <f ca="1">IF(NOTA[[#This Row],[ID_H]]="","",MATCH(NOTA[[#This Row],[NB NOTA_C_QTY]],[4]!db[NB NOTA_C_QTY+F],0))</f>
        <v>#REF!</v>
      </c>
      <c r="AX886" s="68">
        <f ca="1">IF(NOTA[[#This Row],[NB NOTA_C_QTY]]="","",ROW()-2)</f>
        <v>884</v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>
        <f ca="1">IF(NOTA[[#This Row],[NAMA BARANG]]="","",INDEX(NOTA[ID],MATCH(,INDIRECT(ADDRESS(ROW(NOTA[ID]),COLUMN(NOTA[ID]))&amp;":"&amp;ADDRESS(ROW(),COLUMN(NOTA[ID]))),-1)))</f>
        <v>160</v>
      </c>
      <c r="E887" s="57"/>
      <c r="F887" s="58"/>
      <c r="G887" s="58"/>
      <c r="H887" s="59"/>
      <c r="I887" s="58"/>
      <c r="J887" s="60"/>
      <c r="K887" s="58"/>
      <c r="L887" s="37" t="s">
        <v>639</v>
      </c>
      <c r="M887" s="61">
        <v>4</v>
      </c>
      <c r="N887" s="56">
        <v>192</v>
      </c>
      <c r="O887" s="37" t="s">
        <v>116</v>
      </c>
      <c r="P887" s="55">
        <v>29600</v>
      </c>
      <c r="Q887" s="62"/>
      <c r="R887" s="63"/>
      <c r="S887" s="64">
        <v>0.125</v>
      </c>
      <c r="T887" s="65">
        <v>0.05</v>
      </c>
      <c r="U887" s="65"/>
      <c r="V887" s="66"/>
      <c r="W887" s="67"/>
      <c r="X887" s="66">
        <f>IF(NOTA[[#This Row],[HARGA/ CTN]]="",NOTA[[#This Row],[JUMLAH_H]],NOTA[[#This Row],[HARGA/ CTN]]*IF(NOTA[[#This Row],[C]]="",0,NOTA[[#This Row],[C]]))</f>
        <v>5683200</v>
      </c>
      <c r="Y887" s="66">
        <f>IF(NOTA[[#This Row],[JUMLAH]]="","",NOTA[[#This Row],[JUMLAH]]*NOTA[[#This Row],[DISC 1]])</f>
        <v>710400</v>
      </c>
      <c r="Z887" s="66">
        <f>IF(NOTA[[#This Row],[JUMLAH]]="","",(NOTA[[#This Row],[JUMLAH]]-NOTA[[#This Row],[DISC 1-]])*NOTA[[#This Row],[DISC 2]])</f>
        <v>248640</v>
      </c>
      <c r="AA887" s="66">
        <f>IF(NOTA[[#This Row],[JUMLAH]]="","",(NOTA[[#This Row],[JUMLAH]]-NOTA[[#This Row],[DISC 1-]]-NOTA[[#This Row],[DISC 2-]])*NOTA[[#This Row],[DISC 3]])</f>
        <v>0</v>
      </c>
      <c r="AB887" s="66">
        <f>IF(NOTA[[#This Row],[JUMLAH]]="","",NOTA[[#This Row],[DISC 1-]]+NOTA[[#This Row],[DISC 2-]]+NOTA[[#This Row],[DISC 3-]])</f>
        <v>959040</v>
      </c>
      <c r="AC887" s="66">
        <f>IF(NOTA[[#This Row],[JUMLAH]]="","",NOTA[[#This Row],[JUMLAH]]-NOTA[[#This Row],[DISC]])</f>
        <v>4724160</v>
      </c>
      <c r="AD887" s="66"/>
      <c r="AE8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2497230</v>
      </c>
      <c r="AF8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12301170</v>
      </c>
      <c r="AG887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887" s="66">
        <f>IF(OR(NOTA[[#This Row],[QTY]]="",NOTA[[#This Row],[HARGA SATUAN]]="",),"",NOTA[[#This Row],[QTY]]*NOTA[[#This Row],[HARGA SATUAN]])</f>
        <v>5683200</v>
      </c>
      <c r="AI887" s="60">
        <f ca="1">IF(NOTA[ID_H]="","",INDEX(NOTA[TANGGAL],MATCH(,INDIRECT(ADDRESS(ROW(NOTA[TANGGAL]),COLUMN(NOTA[TANGGAL]))&amp;":"&amp;ADDRESS(ROW(),COLUMN(NOTA[TANGGAL]))),-1)))</f>
        <v>45329</v>
      </c>
      <c r="AJ887" s="55" t="str">
        <f ca="1">IF(NOTA[[#This Row],[NAMA BARANG]]="","",INDEX(NOTA[SUPPLIER],MATCH(,INDIRECT(ADDRESS(ROW(NOTA[ID]),COLUMN(NOTA[ID]))&amp;":"&amp;ADDRESS(ROW(),COLUMN(NOTA[ID]))),-1)))</f>
        <v>ATALI MAKMUR</v>
      </c>
      <c r="AK887" s="55" t="str">
        <f ca="1">IF(NOTA[[#This Row],[ID_H]]="","",IF(NOTA[[#This Row],[FAKTUR]]="",INDIRECT(ADDRESS(ROW()-1,COLUMN())),NOTA[[#This Row],[FAKTUR]]))</f>
        <v>ARTO MORO</v>
      </c>
      <c r="AL887" s="56" t="str">
        <f ca="1">IF(NOTA[[#This Row],[ID]]="","",COUNTIF(NOTA[ID_H],NOTA[[#This Row],[ID_H]]))</f>
        <v/>
      </c>
      <c r="AM887" s="56">
        <f ca="1">IF(NOTA[[#This Row],[TGL.NOTA]]="",IF(NOTA[[#This Row],[SUPPLIER_H]]="","",AM886),MONTH(NOTA[[#This Row],[TGL.NOTA]]))</f>
        <v>2</v>
      </c>
      <c r="AN887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>
        <f>IF(NOTA[[#This Row],[CONCAT1]]="","",MATCH(NOTA[[#This Row],[CONCAT1]],[3]!db[NB NOTA_C],0))</f>
        <v>2176</v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>8 BOX (6 SET)</v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887" s="56" t="e">
        <f ca="1">IF(NOTA[[#This Row],[ID_H]]="","",MATCH(NOTA[[#This Row],[NB NOTA_C_QTY]],[4]!db[NB NOTA_C_QTY+F],0))</f>
        <v>#REF!</v>
      </c>
      <c r="AX887" s="68">
        <f ca="1">IF(NOTA[[#This Row],[NB NOTA_C_QTY]]="","",ROW()-2)</f>
        <v>885</v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>
        <f ca="1">IF(INDIRECT(ADDRESS(ROW()-1,COLUMN(NOTA[[#Headers],[ID]])))="ID",1,IF(NOTA[[#This Row],[FAKTUR]]="","",COUNT(INDIRECT(ADDRESS(ROW(NOTA[ID]),COLUMN(NOTA[ID]))&amp;":"&amp;ADDRESS(ROW()-1,COLUMN(NOTA[ID]))))+1))</f>
        <v>161</v>
      </c>
      <c r="B88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ATA_0702_959-5</v>
      </c>
      <c r="C889" s="56" t="e">
        <f ca="1">IF(NOTA[[#This Row],[ID_P]]="","",MATCH(NOTA[[#This Row],[ID_P]],[1]!B_MSK[N_ID],0))</f>
        <v>#REF!</v>
      </c>
      <c r="D889" s="56">
        <f ca="1">IF(NOTA[[#This Row],[NAMA BARANG]]="","",INDEX(NOTA[ID],MATCH(,INDIRECT(ADDRESS(ROW(NOTA[ID]),COLUMN(NOTA[ID]))&amp;":"&amp;ADDRESS(ROW(),COLUMN(NOTA[ID]))),-1)))</f>
        <v>161</v>
      </c>
      <c r="E889" s="57">
        <v>45329</v>
      </c>
      <c r="F889" s="37" t="s">
        <v>24</v>
      </c>
      <c r="G889" s="37" t="s">
        <v>23</v>
      </c>
      <c r="H889" s="47" t="s">
        <v>954</v>
      </c>
      <c r="I889" s="58"/>
      <c r="J889" s="60">
        <v>45321</v>
      </c>
      <c r="K889" s="58"/>
      <c r="L889" s="37" t="s">
        <v>955</v>
      </c>
      <c r="M889" s="61">
        <v>1</v>
      </c>
      <c r="N889" s="56">
        <v>144</v>
      </c>
      <c r="O889" s="37" t="s">
        <v>115</v>
      </c>
      <c r="P889" s="55">
        <v>6500</v>
      </c>
      <c r="Q889" s="62"/>
      <c r="R889" s="63"/>
      <c r="S889" s="64">
        <v>0.125</v>
      </c>
      <c r="T889" s="65">
        <v>0.05</v>
      </c>
      <c r="U889" s="65"/>
      <c r="V889" s="66"/>
      <c r="W889" s="67"/>
      <c r="X889" s="66">
        <f>IF(NOTA[[#This Row],[HARGA/ CTN]]="",NOTA[[#This Row],[JUMLAH_H]],NOTA[[#This Row],[HARGA/ CTN]]*IF(NOTA[[#This Row],[C]]="",0,NOTA[[#This Row],[C]]))</f>
        <v>936000</v>
      </c>
      <c r="Y889" s="66">
        <f>IF(NOTA[[#This Row],[JUMLAH]]="","",NOTA[[#This Row],[JUMLAH]]*NOTA[[#This Row],[DISC 1]])</f>
        <v>117000</v>
      </c>
      <c r="Z889" s="66">
        <f>IF(NOTA[[#This Row],[JUMLAH]]="","",(NOTA[[#This Row],[JUMLAH]]-NOTA[[#This Row],[DISC 1-]])*NOTA[[#This Row],[DISC 2]])</f>
        <v>40950</v>
      </c>
      <c r="AA889" s="66">
        <f>IF(NOTA[[#This Row],[JUMLAH]]="","",(NOTA[[#This Row],[JUMLAH]]-NOTA[[#This Row],[DISC 1-]]-NOTA[[#This Row],[DISC 2-]])*NOTA[[#This Row],[DISC 3]])</f>
        <v>0</v>
      </c>
      <c r="AB889" s="66">
        <f>IF(NOTA[[#This Row],[JUMLAH]]="","",NOTA[[#This Row],[DISC 1-]]+NOTA[[#This Row],[DISC 2-]]+NOTA[[#This Row],[DISC 3-]])</f>
        <v>157950</v>
      </c>
      <c r="AC889" s="66">
        <f>IF(NOTA[[#This Row],[JUMLAH]]="","",NOTA[[#This Row],[JUMLAH]]-NOTA[[#This Row],[DISC]])</f>
        <v>778050</v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889" s="66">
        <f>IF(OR(NOTA[[#This Row],[QTY]]="",NOTA[[#This Row],[HARGA SATUAN]]="",),"",NOTA[[#This Row],[QTY]]*NOTA[[#This Row],[HARGA SATUAN]])</f>
        <v>936000</v>
      </c>
      <c r="AI889" s="60">
        <f ca="1">IF(NOTA[ID_H]="","",INDEX(NOTA[TANGGAL],MATCH(,INDIRECT(ADDRESS(ROW(NOTA[TANGGAL]),COLUMN(NOTA[TANGGAL]))&amp;":"&amp;ADDRESS(ROW(),COLUMN(NOTA[TANGGAL]))),-1)))</f>
        <v>45329</v>
      </c>
      <c r="AJ889" s="55" t="str">
        <f ca="1">IF(NOTA[[#This Row],[NAMA BARANG]]="","",INDEX(NOTA[SUPPLIER],MATCH(,INDIRECT(ADDRESS(ROW(NOTA[ID]),COLUMN(NOTA[ID]))&amp;":"&amp;ADDRESS(ROW(),COLUMN(NOTA[ID]))),-1)))</f>
        <v>ATALI MAKMUR</v>
      </c>
      <c r="AK889" s="55" t="str">
        <f ca="1">IF(NOTA[[#This Row],[ID_H]]="","",IF(NOTA[[#This Row],[FAKTUR]]="",INDIRECT(ADDRESS(ROW()-1,COLUMN())),NOTA[[#This Row],[FAKTUR]]))</f>
        <v>ARTO MORO</v>
      </c>
      <c r="AL889" s="56">
        <f ca="1">IF(NOTA[[#This Row],[ID]]="","",COUNTIF(NOTA[ID_H],NOTA[[#This Row],[ID_H]]))</f>
        <v>5</v>
      </c>
      <c r="AM889" s="56">
        <f>IF(NOTA[[#This Row],[TGL.NOTA]]="",IF(NOTA[[#This Row],[SUPPLIER_H]]="","",AM888),MONTH(NOTA[[#This Row],[TGL.NOTA]]))</f>
        <v>1</v>
      </c>
      <c r="AN889" s="56" t="str">
        <f>LOWER(SUBSTITUTE(SUBSTITUTE(SUBSTITUTE(SUBSTITUTE(SUBSTITUTE(SUBSTITUTE(SUBSTITUTE(SUBSTITUTE(SUBSTITUTE(NOTA[NAMA BARANG]," ",),".",""),"-",""),"(",""),")",""),",",""),"/",""),"""",""),"+",""))</f>
        <v>scissorssc838jk</v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MOROSA24010195945321scissorssc838jk</v>
      </c>
      <c r="AR889" s="56" t="e">
        <f>IF(NOTA[[#This Row],[CONCAT4]]="","",_xlfn.IFNA(MATCH(NOTA[[#This Row],[CONCAT4]],[2]!RAW[CONCAT_H],0),FALSE))</f>
        <v>#REF!</v>
      </c>
      <c r="AS889" s="56">
        <f>IF(NOTA[[#This Row],[CONCAT1]]="","",MATCH(NOTA[[#This Row],[CONCAT1]],[3]!db[NB NOTA_C],0))</f>
        <v>2747</v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>12 LSN</v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889" s="56" t="e">
        <f ca="1">IF(NOTA[[#This Row],[ID_H]]="","",MATCH(NOTA[[#This Row],[NB NOTA_C_QTY]],[4]!db[NB NOTA_C_QTY+F],0))</f>
        <v>#REF!</v>
      </c>
      <c r="AX889" s="68">
        <f ca="1">IF(NOTA[[#This Row],[NB NOTA_C_QTY]]="","",ROW()-2)</f>
        <v>887</v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>
        <f ca="1">IF(NOTA[[#This Row],[NAMA BARANG]]="","",INDEX(NOTA[ID],MATCH(,INDIRECT(ADDRESS(ROW(NOTA[ID]),COLUMN(NOTA[ID]))&amp;":"&amp;ADDRESS(ROW(),COLUMN(NOTA[ID]))),-1)))</f>
        <v>161</v>
      </c>
      <c r="E890" s="57"/>
      <c r="F890" s="58"/>
      <c r="G890" s="58"/>
      <c r="H890" s="59"/>
      <c r="I890" s="58"/>
      <c r="J890" s="60"/>
      <c r="K890" s="58"/>
      <c r="L890" s="37" t="s">
        <v>193</v>
      </c>
      <c r="M890" s="61">
        <v>1</v>
      </c>
      <c r="N890" s="56">
        <v>50</v>
      </c>
      <c r="O890" s="37" t="s">
        <v>118</v>
      </c>
      <c r="P890" s="55">
        <v>32000</v>
      </c>
      <c r="Q890" s="62"/>
      <c r="R890" s="63"/>
      <c r="S890" s="64">
        <v>0.125</v>
      </c>
      <c r="T890" s="65">
        <v>0.05</v>
      </c>
      <c r="U890" s="65"/>
      <c r="V890" s="66"/>
      <c r="W890" s="67"/>
      <c r="X890" s="66">
        <f>IF(NOTA[[#This Row],[HARGA/ CTN]]="",NOTA[[#This Row],[JUMLAH_H]],NOTA[[#This Row],[HARGA/ CTN]]*IF(NOTA[[#This Row],[C]]="",0,NOTA[[#This Row],[C]]))</f>
        <v>1600000</v>
      </c>
      <c r="Y890" s="66">
        <f>IF(NOTA[[#This Row],[JUMLAH]]="","",NOTA[[#This Row],[JUMLAH]]*NOTA[[#This Row],[DISC 1]])</f>
        <v>200000</v>
      </c>
      <c r="Z890" s="66">
        <f>IF(NOTA[[#This Row],[JUMLAH]]="","",(NOTA[[#This Row],[JUMLAH]]-NOTA[[#This Row],[DISC 1-]])*NOTA[[#This Row],[DISC 2]])</f>
        <v>70000</v>
      </c>
      <c r="AA890" s="66">
        <f>IF(NOTA[[#This Row],[JUMLAH]]="","",(NOTA[[#This Row],[JUMLAH]]-NOTA[[#This Row],[DISC 1-]]-NOTA[[#This Row],[DISC 2-]])*NOTA[[#This Row],[DISC 3]])</f>
        <v>0</v>
      </c>
      <c r="AB890" s="66">
        <f>IF(NOTA[[#This Row],[JUMLAH]]="","",NOTA[[#This Row],[DISC 1-]]+NOTA[[#This Row],[DISC 2-]]+NOTA[[#This Row],[DISC 3-]])</f>
        <v>270000</v>
      </c>
      <c r="AC890" s="66">
        <f>IF(NOTA[[#This Row],[JUMLAH]]="","",NOTA[[#This Row],[JUMLAH]]-NOTA[[#This Row],[DISC]])</f>
        <v>1330000</v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890" s="66">
        <f>IF(OR(NOTA[[#This Row],[QTY]]="",NOTA[[#This Row],[HARGA SATUAN]]="",),"",NOTA[[#This Row],[QTY]]*NOTA[[#This Row],[HARGA SATUAN]])</f>
        <v>1600000</v>
      </c>
      <c r="AI890" s="60">
        <f ca="1">IF(NOTA[ID_H]="","",INDEX(NOTA[TANGGAL],MATCH(,INDIRECT(ADDRESS(ROW(NOTA[TANGGAL]),COLUMN(NOTA[TANGGAL]))&amp;":"&amp;ADDRESS(ROW(),COLUMN(NOTA[TANGGAL]))),-1)))</f>
        <v>45329</v>
      </c>
      <c r="AJ890" s="55" t="str">
        <f ca="1">IF(NOTA[[#This Row],[NAMA BARANG]]="","",INDEX(NOTA[SUPPLIER],MATCH(,INDIRECT(ADDRESS(ROW(NOTA[ID]),COLUMN(NOTA[ID]))&amp;":"&amp;ADDRESS(ROW(),COLUMN(NOTA[ID]))),-1)))</f>
        <v>ATALI MAKMUR</v>
      </c>
      <c r="AK890" s="55" t="str">
        <f ca="1">IF(NOTA[[#This Row],[ID_H]]="","",IF(NOTA[[#This Row],[FAKTUR]]="",INDIRECT(ADDRESS(ROW()-1,COLUMN())),NOTA[[#This Row],[FAKTUR]]))</f>
        <v>ARTO MORO</v>
      </c>
      <c r="AL890" s="56" t="str">
        <f ca="1">IF(NOTA[[#This Row],[ID]]="","",COUNTIF(NOTA[ID_H],NOTA[[#This Row],[ID_H]]))</f>
        <v/>
      </c>
      <c r="AM890" s="56">
        <f ca="1">IF(NOTA[[#This Row],[TGL.NOTA]]="",IF(NOTA[[#This Row],[SUPPLIER_H]]="","",AM889),MONTH(NOTA[[#This Row],[TGL.NOTA]]))</f>
        <v>1</v>
      </c>
      <c r="AN890" s="56" t="str">
        <f>LOWER(SUBSTITUTE(SUBSTITUTE(SUBSTITUTE(SUBSTITUTE(SUBSTITUTE(SUBSTITUTE(SUBSTITUTE(SUBSTITUTE(SUBSTITUTE(NOTA[NAMA BARANG]," ",),".",""),"-",""),"(",""),")",""),",",""),"/",""),"""",""),"+",""))</f>
        <v>eraserer30wjk</v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>
        <f>IF(NOTA[[#This Row],[CONCAT1]]="","",MATCH(NOTA[[#This Row],[CONCAT1]],[3]!db[NB NOTA_C],0))</f>
        <v>963</v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>50 BOX (30 PCS)</v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890" s="56" t="e">
        <f ca="1">IF(NOTA[[#This Row],[ID_H]]="","",MATCH(NOTA[[#This Row],[NB NOTA_C_QTY]],[4]!db[NB NOTA_C_QTY+F],0))</f>
        <v>#REF!</v>
      </c>
      <c r="AX890" s="68">
        <f ca="1">IF(NOTA[[#This Row],[NB NOTA_C_QTY]]="","",ROW()-2)</f>
        <v>888</v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>
        <f ca="1">IF(NOTA[[#This Row],[NAMA BARANG]]="","",INDEX(NOTA[ID],MATCH(,INDIRECT(ADDRESS(ROW(NOTA[ID]),COLUMN(NOTA[ID]))&amp;":"&amp;ADDRESS(ROW(),COLUMN(NOTA[ID]))),-1)))</f>
        <v>161</v>
      </c>
      <c r="E891" s="57"/>
      <c r="F891" s="58"/>
      <c r="G891" s="58"/>
      <c r="H891" s="59"/>
      <c r="I891" s="58"/>
      <c r="J891" s="60"/>
      <c r="K891" s="58"/>
      <c r="L891" s="37" t="s">
        <v>956</v>
      </c>
      <c r="M891" s="61">
        <v>1</v>
      </c>
      <c r="N891" s="56">
        <v>50</v>
      </c>
      <c r="O891" s="37" t="s">
        <v>118</v>
      </c>
      <c r="P891" s="55">
        <v>28300</v>
      </c>
      <c r="Q891" s="62"/>
      <c r="R891" s="63"/>
      <c r="S891" s="64">
        <v>0.125</v>
      </c>
      <c r="T891" s="65">
        <v>0.05</v>
      </c>
      <c r="U891" s="65"/>
      <c r="V891" s="66"/>
      <c r="W891" s="67"/>
      <c r="X891" s="66">
        <f>IF(NOTA[[#This Row],[HARGA/ CTN]]="",NOTA[[#This Row],[JUMLAH_H]],NOTA[[#This Row],[HARGA/ CTN]]*IF(NOTA[[#This Row],[C]]="",0,NOTA[[#This Row],[C]]))</f>
        <v>1415000</v>
      </c>
      <c r="Y891" s="66">
        <f>IF(NOTA[[#This Row],[JUMLAH]]="","",NOTA[[#This Row],[JUMLAH]]*NOTA[[#This Row],[DISC 1]])</f>
        <v>176875</v>
      </c>
      <c r="Z891" s="66">
        <f>IF(NOTA[[#This Row],[JUMLAH]]="","",(NOTA[[#This Row],[JUMLAH]]-NOTA[[#This Row],[DISC 1-]])*NOTA[[#This Row],[DISC 2]])</f>
        <v>61906.25</v>
      </c>
      <c r="AA891" s="66">
        <f>IF(NOTA[[#This Row],[JUMLAH]]="","",(NOTA[[#This Row],[JUMLAH]]-NOTA[[#This Row],[DISC 1-]]-NOTA[[#This Row],[DISC 2-]])*NOTA[[#This Row],[DISC 3]])</f>
        <v>0</v>
      </c>
      <c r="AB891" s="66">
        <f>IF(NOTA[[#This Row],[JUMLAH]]="","",NOTA[[#This Row],[DISC 1-]]+NOTA[[#This Row],[DISC 2-]]+NOTA[[#This Row],[DISC 3-]])</f>
        <v>238781.25</v>
      </c>
      <c r="AC891" s="66">
        <f>IF(NOTA[[#This Row],[JUMLAH]]="","",NOTA[[#This Row],[JUMLAH]]-NOTA[[#This Row],[DISC]])</f>
        <v>1176218.75</v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891" s="66">
        <f>IF(OR(NOTA[[#This Row],[QTY]]="",NOTA[[#This Row],[HARGA SATUAN]]="",),"",NOTA[[#This Row],[QTY]]*NOTA[[#This Row],[HARGA SATUAN]])</f>
        <v>1415000</v>
      </c>
      <c r="AI891" s="60">
        <f ca="1">IF(NOTA[ID_H]="","",INDEX(NOTA[TANGGAL],MATCH(,INDIRECT(ADDRESS(ROW(NOTA[TANGGAL]),COLUMN(NOTA[TANGGAL]))&amp;":"&amp;ADDRESS(ROW(),COLUMN(NOTA[TANGGAL]))),-1)))</f>
        <v>45329</v>
      </c>
      <c r="AJ891" s="55" t="str">
        <f ca="1">IF(NOTA[[#This Row],[NAMA BARANG]]="","",INDEX(NOTA[SUPPLIER],MATCH(,INDIRECT(ADDRESS(ROW(NOTA[ID]),COLUMN(NOTA[ID]))&amp;":"&amp;ADDRESS(ROW(),COLUMN(NOTA[ID]))),-1)))</f>
        <v>ATALI MAKMUR</v>
      </c>
      <c r="AK891" s="55" t="str">
        <f ca="1">IF(NOTA[[#This Row],[ID_H]]="","",IF(NOTA[[#This Row],[FAKTUR]]="",INDIRECT(ADDRESS(ROW()-1,COLUMN())),NOTA[[#This Row],[FAKTUR]]))</f>
        <v>ARTO MORO</v>
      </c>
      <c r="AL891" s="56" t="str">
        <f ca="1">IF(NOTA[[#This Row],[ID]]="","",COUNTIF(NOTA[ID_H],NOTA[[#This Row],[ID_H]]))</f>
        <v/>
      </c>
      <c r="AM891" s="56">
        <f ca="1">IF(NOTA[[#This Row],[TGL.NOTA]]="",IF(NOTA[[#This Row],[SUPPLIER_H]]="","",AM890),MONTH(NOTA[[#This Row],[TGL.NOTA]]))</f>
        <v>1</v>
      </c>
      <c r="AN891" s="56" t="str">
        <f>LOWER(SUBSTITUTE(SUBSTITUTE(SUBSTITUTE(SUBSTITUTE(SUBSTITUTE(SUBSTITUTE(SUBSTITUTE(SUBSTITUTE(SUBSTITUTE(NOTA[NAMA BARANG]," ",),".",""),"-",""),"(",""),")",""),",",""),"/",""),"""",""),"+",""))</f>
        <v>eraser526b40bljk</v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>
        <f>IF(NOTA[[#This Row],[CONCAT1]]="","",MATCH(NOTA[[#This Row],[CONCAT1]],[3]!db[NB NOTA_C],0))</f>
        <v>954</v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>50 BOX (40 PCS)</v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891" s="56" t="e">
        <f ca="1">IF(NOTA[[#This Row],[ID_H]]="","",MATCH(NOTA[[#This Row],[NB NOTA_C_QTY]],[4]!db[NB NOTA_C_QTY+F],0))</f>
        <v>#REF!</v>
      </c>
      <c r="AX891" s="68">
        <f ca="1">IF(NOTA[[#This Row],[NB NOTA_C_QTY]]="","",ROW()-2)</f>
        <v>889</v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>
        <f ca="1">IF(NOTA[[#This Row],[NAMA BARANG]]="","",INDEX(NOTA[ID],MATCH(,INDIRECT(ADDRESS(ROW(NOTA[ID]),COLUMN(NOTA[ID]))&amp;":"&amp;ADDRESS(ROW(),COLUMN(NOTA[ID]))),-1)))</f>
        <v>161</v>
      </c>
      <c r="E892" s="57"/>
      <c r="F892" s="58"/>
      <c r="G892" s="58"/>
      <c r="H892" s="59"/>
      <c r="I892" s="58"/>
      <c r="J892" s="60"/>
      <c r="K892" s="58"/>
      <c r="L892" s="37" t="s">
        <v>957</v>
      </c>
      <c r="M892" s="61">
        <v>2</v>
      </c>
      <c r="N892" s="56">
        <v>48</v>
      </c>
      <c r="O892" s="37" t="s">
        <v>111</v>
      </c>
      <c r="P892" s="55">
        <v>162000</v>
      </c>
      <c r="Q892" s="62"/>
      <c r="R892" s="63"/>
      <c r="S892" s="64">
        <v>0.125</v>
      </c>
      <c r="T892" s="65">
        <v>0.05</v>
      </c>
      <c r="U892" s="65"/>
      <c r="V892" s="66"/>
      <c r="W892" s="67"/>
      <c r="X892" s="66">
        <f>IF(NOTA[[#This Row],[HARGA/ CTN]]="",NOTA[[#This Row],[JUMLAH_H]],NOTA[[#This Row],[HARGA/ CTN]]*IF(NOTA[[#This Row],[C]]="",0,NOTA[[#This Row],[C]]))</f>
        <v>7776000</v>
      </c>
      <c r="Y892" s="66">
        <f>IF(NOTA[[#This Row],[JUMLAH]]="","",NOTA[[#This Row],[JUMLAH]]*NOTA[[#This Row],[DISC 1]])</f>
        <v>972000</v>
      </c>
      <c r="Z892" s="66">
        <f>IF(NOTA[[#This Row],[JUMLAH]]="","",(NOTA[[#This Row],[JUMLAH]]-NOTA[[#This Row],[DISC 1-]])*NOTA[[#This Row],[DISC 2]])</f>
        <v>340200</v>
      </c>
      <c r="AA892" s="66">
        <f>IF(NOTA[[#This Row],[JUMLAH]]="","",(NOTA[[#This Row],[JUMLAH]]-NOTA[[#This Row],[DISC 1-]]-NOTA[[#This Row],[DISC 2-]])*NOTA[[#This Row],[DISC 3]])</f>
        <v>0</v>
      </c>
      <c r="AB892" s="66">
        <f>IF(NOTA[[#This Row],[JUMLAH]]="","",NOTA[[#This Row],[DISC 1-]]+NOTA[[#This Row],[DISC 2-]]+NOTA[[#This Row],[DISC 3-]])</f>
        <v>1312200</v>
      </c>
      <c r="AC892" s="66">
        <f>IF(NOTA[[#This Row],[JUMLAH]]="","",NOTA[[#This Row],[JUMLAH]]-NOTA[[#This Row],[DISC]])</f>
        <v>6463800</v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892" s="66">
        <f>IF(OR(NOTA[[#This Row],[QTY]]="",NOTA[[#This Row],[HARGA SATUAN]]="",),"",NOTA[[#This Row],[QTY]]*NOTA[[#This Row],[HARGA SATUAN]])</f>
        <v>7776000</v>
      </c>
      <c r="AI892" s="60">
        <f ca="1">IF(NOTA[ID_H]="","",INDEX(NOTA[TANGGAL],MATCH(,INDIRECT(ADDRESS(ROW(NOTA[TANGGAL]),COLUMN(NOTA[TANGGAL]))&amp;":"&amp;ADDRESS(ROW(),COLUMN(NOTA[TANGGAL]))),-1)))</f>
        <v>45329</v>
      </c>
      <c r="AJ892" s="55" t="str">
        <f ca="1">IF(NOTA[[#This Row],[NAMA BARANG]]="","",INDEX(NOTA[SUPPLIER],MATCH(,INDIRECT(ADDRESS(ROW(NOTA[ID]),COLUMN(NOTA[ID]))&amp;":"&amp;ADDRESS(ROW(),COLUMN(NOTA[ID]))),-1)))</f>
        <v>ATALI MAKMUR</v>
      </c>
      <c r="AK892" s="55" t="str">
        <f ca="1">IF(NOTA[[#This Row],[ID_H]]="","",IF(NOTA[[#This Row],[FAKTUR]]="",INDIRECT(ADDRESS(ROW()-1,COLUMN())),NOTA[[#This Row],[FAKTUR]]))</f>
        <v>ARTO MORO</v>
      </c>
      <c r="AL892" s="56" t="str">
        <f ca="1">IF(NOTA[[#This Row],[ID]]="","",COUNTIF(NOTA[ID_H],NOTA[[#This Row],[ID_H]]))</f>
        <v/>
      </c>
      <c r="AM892" s="56">
        <f ca="1">IF(NOTA[[#This Row],[TGL.NOTA]]="",IF(NOTA[[#This Row],[SUPPLIER_H]]="","",AM891),MONTH(NOTA[[#This Row],[TGL.NOTA]]))</f>
        <v>1</v>
      </c>
      <c r="AN892" s="56" t="str">
        <f>LOWER(SUBSTITUTE(SUBSTITUTE(SUBSTITUTE(SUBSTITUTE(SUBSTITUTE(SUBSTITUTE(SUBSTITUTE(SUBSTITUTE(SUBSTITUTE(NOTA[NAMA BARANG]," ",),".",""),"-",""),"(",""),")",""),",",""),"/",""),"""",""),"+",""))</f>
        <v>cutterl500jk</v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>
        <f>IF(NOTA[[#This Row],[CONCAT1]]="","",MATCH(NOTA[[#This Row],[CONCAT1]],[3]!db[NB NOTA_C],0))</f>
        <v>786</v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>24 LSN</v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892" s="56" t="e">
        <f ca="1">IF(NOTA[[#This Row],[ID_H]]="","",MATCH(NOTA[[#This Row],[NB NOTA_C_QTY]],[4]!db[NB NOTA_C_QTY+F],0))</f>
        <v>#REF!</v>
      </c>
      <c r="AX892" s="68">
        <f ca="1">IF(NOTA[[#This Row],[NB NOTA_C_QTY]]="","",ROW()-2)</f>
        <v>890</v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>
        <f ca="1">IF(NOTA[[#This Row],[NAMA BARANG]]="","",INDEX(NOTA[ID],MATCH(,INDIRECT(ADDRESS(ROW(NOTA[ID]),COLUMN(NOTA[ID]))&amp;":"&amp;ADDRESS(ROW(),COLUMN(NOTA[ID]))),-1)))</f>
        <v>161</v>
      </c>
      <c r="E893" s="57"/>
      <c r="F893" s="58"/>
      <c r="G893" s="58"/>
      <c r="H893" s="59"/>
      <c r="I893" s="58"/>
      <c r="J893" s="60"/>
      <c r="K893" s="58"/>
      <c r="L893" s="37" t="s">
        <v>687</v>
      </c>
      <c r="M893" s="61"/>
      <c r="N893" s="56">
        <v>48</v>
      </c>
      <c r="O893" s="37" t="s">
        <v>111</v>
      </c>
      <c r="P893" s="55"/>
      <c r="Q893" s="62"/>
      <c r="R893" s="48" t="s">
        <v>384</v>
      </c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1978931.25</v>
      </c>
      <c r="AF8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9748068.75</v>
      </c>
      <c r="AG893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893" s="66" t="str">
        <f>IF(OR(NOTA[[#This Row],[QTY]]="",NOTA[[#This Row],[HARGA SATUAN]]="",),"",NOTA[[#This Row],[QTY]]*NOTA[[#This Row],[HARGA SATUAN]])</f>
        <v/>
      </c>
      <c r="AI893" s="60">
        <f ca="1">IF(NOTA[ID_H]="","",INDEX(NOTA[TANGGAL],MATCH(,INDIRECT(ADDRESS(ROW(NOTA[TANGGAL]),COLUMN(NOTA[TANGGAL]))&amp;":"&amp;ADDRESS(ROW(),COLUMN(NOTA[TANGGAL]))),-1)))</f>
        <v>45329</v>
      </c>
      <c r="AJ893" s="55" t="str">
        <f ca="1">IF(NOTA[[#This Row],[NAMA BARANG]]="","",INDEX(NOTA[SUPPLIER],MATCH(,INDIRECT(ADDRESS(ROW(NOTA[ID]),COLUMN(NOTA[ID]))&amp;":"&amp;ADDRESS(ROW(),COLUMN(NOTA[ID]))),-1)))</f>
        <v>ATALI MAKMUR</v>
      </c>
      <c r="AK893" s="55" t="str">
        <f ca="1">IF(NOTA[[#This Row],[ID_H]]="","",IF(NOTA[[#This Row],[FAKTUR]]="",INDIRECT(ADDRESS(ROW()-1,COLUMN())),NOTA[[#This Row],[FAKTUR]]))</f>
        <v>ARTO MORO</v>
      </c>
      <c r="AL893" s="56" t="str">
        <f ca="1">IF(NOTA[[#This Row],[ID]]="","",COUNTIF(NOTA[ID_H],NOTA[[#This Row],[ID_H]]))</f>
        <v/>
      </c>
      <c r="AM893" s="56">
        <f ca="1">IF(NOTA[[#This Row],[TGL.NOTA]]="",IF(NOTA[[#This Row],[SUPPLIER_H]]="","",AM892),MONTH(NOTA[[#This Row],[TGL.NOTA]]))</f>
        <v>1</v>
      </c>
      <c r="AN893" s="5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cutterbladel150mmhjk0</v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cutterbladel150mmhjk0</v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>
        <f>IF(NOTA[[#This Row],[CONCAT1]]="","",MATCH(NOTA[[#This Row],[CONCAT1]],[3]!db[NB NOTA_C],0))</f>
        <v>779</v>
      </c>
      <c r="AT893" s="56" t="b">
        <f>IF(NOTA[[#This Row],[QTY/ CTN]]="","",TRUE)</f>
        <v>1</v>
      </c>
      <c r="AU893" s="56" t="str">
        <f ca="1">IF(NOTA[[#This Row],[ID_H]]="","",IF(NOTA[[#This Row],[Column3]]=TRUE,NOTA[[#This Row],[QTY/ CTN]],INDEX([3]!db[QTY/ CTN],NOTA[[#This Row],[//DB]])))</f>
        <v>40 LSN</v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W893" s="56" t="e">
        <f ca="1">IF(NOTA[[#This Row],[ID_H]]="","",MATCH(NOTA[[#This Row],[NB NOTA_C_QTY]],[4]!db[NB NOTA_C_QTY+F],0))</f>
        <v>#REF!</v>
      </c>
      <c r="AX893" s="68">
        <f ca="1">IF(NOTA[[#This Row],[NB NOTA_C_QTY]]="","",ROW()-2)</f>
        <v>891</v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>
        <f ca="1">IF(INDIRECT(ADDRESS(ROW()-1,COLUMN(NOTA[[#Headers],[ID]])))="ID",1,IF(NOTA[[#This Row],[FAKTUR]]="","",COUNT(INDIRECT(ADDRESS(ROW(NOTA[ID]),COLUMN(NOTA[ID]))&amp;":"&amp;ADDRESS(ROW()-1,COLUMN(NOTA[ID]))))+1))</f>
        <v>162</v>
      </c>
      <c r="B89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PEL_0702_-2</v>
      </c>
      <c r="C895" s="56" t="e">
        <f ca="1">IF(NOTA[[#This Row],[ID_P]]="","",MATCH(NOTA[[#This Row],[ID_P]],[1]!B_MSK[N_ID],0))</f>
        <v>#REF!</v>
      </c>
      <c r="D895" s="56">
        <f ca="1">IF(NOTA[[#This Row],[NAMA BARANG]]="","",INDEX(NOTA[ID],MATCH(,INDIRECT(ADDRESS(ROW(NOTA[ID]),COLUMN(NOTA[ID]))&amp;":"&amp;ADDRESS(ROW(),COLUMN(NOTA[ID]))),-1)))</f>
        <v>162</v>
      </c>
      <c r="E895" s="57">
        <v>45329</v>
      </c>
      <c r="F895" s="37" t="s">
        <v>958</v>
      </c>
      <c r="G895" s="37" t="s">
        <v>110</v>
      </c>
      <c r="H895" s="59"/>
      <c r="I895" s="58"/>
      <c r="J895" s="60">
        <v>45320</v>
      </c>
      <c r="K895" s="58"/>
      <c r="L895" s="37" t="s">
        <v>959</v>
      </c>
      <c r="M895" s="61">
        <v>20</v>
      </c>
      <c r="N895" s="56">
        <v>200</v>
      </c>
      <c r="O895" s="37" t="s">
        <v>115</v>
      </c>
      <c r="P895" s="55">
        <v>60000</v>
      </c>
      <c r="Q895" s="62"/>
      <c r="R895" s="63"/>
      <c r="S895" s="64"/>
      <c r="T895" s="65"/>
      <c r="U895" s="65"/>
      <c r="V895" s="66"/>
      <c r="W895" s="67"/>
      <c r="X895" s="66">
        <f>IF(NOTA[[#This Row],[HARGA/ CTN]]="",NOTA[[#This Row],[JUMLAH_H]],NOTA[[#This Row],[HARGA/ CTN]]*IF(NOTA[[#This Row],[C]]="",0,NOTA[[#This Row],[C]]))</f>
        <v>12000000</v>
      </c>
      <c r="Y895" s="66">
        <f>IF(NOTA[[#This Row],[JUMLAH]]="","",NOTA[[#This Row],[JUMLAH]]*NOTA[[#This Row],[DISC 1]])</f>
        <v>0</v>
      </c>
      <c r="Z895" s="66">
        <f>IF(NOTA[[#This Row],[JUMLAH]]="","",(NOTA[[#This Row],[JUMLAH]]-NOTA[[#This Row],[DISC 1-]])*NOTA[[#This Row],[DISC 2]])</f>
        <v>0</v>
      </c>
      <c r="AA895" s="66">
        <f>IF(NOTA[[#This Row],[JUMLAH]]="","",(NOTA[[#This Row],[JUMLAH]]-NOTA[[#This Row],[DISC 1-]]-NOTA[[#This Row],[DISC 2-]])*NOTA[[#This Row],[DISC 3]])</f>
        <v>0</v>
      </c>
      <c r="AB895" s="66">
        <f>IF(NOTA[[#This Row],[JUMLAH]]="","",NOTA[[#This Row],[DISC 1-]]+NOTA[[#This Row],[DISC 2-]]+NOTA[[#This Row],[DISC 3-]])</f>
        <v>0</v>
      </c>
      <c r="AC895" s="66">
        <f>IF(NOTA[[#This Row],[JUMLAH]]="","",NOTA[[#This Row],[JUMLAH]]-NOTA[[#This Row],[DISC]])</f>
        <v>12000000</v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H895" s="66">
        <f>IF(OR(NOTA[[#This Row],[QTY]]="",NOTA[[#This Row],[HARGA SATUAN]]="",),"",NOTA[[#This Row],[QTY]]*NOTA[[#This Row],[HARGA SATUAN]])</f>
        <v>12000000</v>
      </c>
      <c r="AI895" s="60">
        <f ca="1">IF(NOTA[ID_H]="","",INDEX(NOTA[TANGGAL],MATCH(,INDIRECT(ADDRESS(ROW(NOTA[TANGGAL]),COLUMN(NOTA[TANGGAL]))&amp;":"&amp;ADDRESS(ROW(),COLUMN(NOTA[TANGGAL]))),-1)))</f>
        <v>45329</v>
      </c>
      <c r="AJ895" s="55" t="str">
        <f ca="1">IF(NOTA[[#This Row],[NAMA BARANG]]="","",INDEX(NOTA[SUPPLIER],MATCH(,INDIRECT(ADDRESS(ROW(NOTA[ID]),COLUMN(NOTA[ID]))&amp;":"&amp;ADDRESS(ROW(),COLUMN(NOTA[ID]))),-1)))</f>
        <v>PELNA INDONESIA</v>
      </c>
      <c r="AK895" s="55" t="str">
        <f ca="1">IF(NOTA[[#This Row],[ID_H]]="","",IF(NOTA[[#This Row],[FAKTUR]]="",INDIRECT(ADDRESS(ROW()-1,COLUMN())),NOTA[[#This Row],[FAKTUR]]))</f>
        <v>UNTANA</v>
      </c>
      <c r="AL895" s="56">
        <f ca="1">IF(NOTA[[#This Row],[ID]]="","",COUNTIF(NOTA[ID_H],NOTA[[#This Row],[ID_H]]))</f>
        <v>2</v>
      </c>
      <c r="AM895" s="56">
        <f>IF(NOTA[[#This Row],[TGL.NOTA]]="",IF(NOTA[[#This Row],[SUPPLIER_H]]="","",AM894),MONTH(NOTA[[#This Row],[TGL.NOTA]]))</f>
        <v>1</v>
      </c>
      <c r="AN895" s="56" t="str">
        <f>LOWER(SUBSTITUTE(SUBSTITUTE(SUBSTITUTE(SUBSTITUTE(SUBSTITUTE(SUBSTITUTE(SUBSTITUTE(SUBSTITUTE(SUBSTITUTE(NOTA[NAMA BARANG]," ",),".",""),"-",""),"(",""),")",""),",",""),"/",""),"""",""),"+",""))</f>
        <v>pelnalaptoptable</v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pelnalaptoptable600000</v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pelnalaptoptable600000</v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INDONESIAUNTANA45320pelnalaptoptable</v>
      </c>
      <c r="AR895" s="56" t="e">
        <f>IF(NOTA[[#This Row],[CONCAT4]]="","",_xlfn.IFNA(MATCH(NOTA[[#This Row],[CONCAT4]],[2]!RAW[CONCAT_H],0),FALSE))</f>
        <v>#REF!</v>
      </c>
      <c r="AS895" s="56">
        <f>IF(NOTA[[#This Row],[CONCAT1]]="","",MATCH(NOTA[[#This Row],[CONCAT1]],[3]!db[NB NOTA_C],0))</f>
        <v>2413</v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>10 PCS</v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W895" s="56" t="e">
        <f ca="1">IF(NOTA[[#This Row],[ID_H]]="","",MATCH(NOTA[[#This Row],[NB NOTA_C_QTY]],[4]!db[NB NOTA_C_QTY+F],0))</f>
        <v>#REF!</v>
      </c>
      <c r="AX895" s="68">
        <f ca="1">IF(NOTA[[#This Row],[NB NOTA_C_QTY]]="","",ROW()-2)</f>
        <v>893</v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>
        <f ca="1">IF(NOTA[[#This Row],[NAMA BARANG]]="","",INDEX(NOTA[ID],MATCH(,INDIRECT(ADDRESS(ROW(NOTA[ID]),COLUMN(NOTA[ID]))&amp;":"&amp;ADDRESS(ROW(),COLUMN(NOTA[ID]))),-1)))</f>
        <v>162</v>
      </c>
      <c r="E896" s="57"/>
      <c r="F896" s="58"/>
      <c r="G896" s="58"/>
      <c r="H896" s="59"/>
      <c r="I896" s="58"/>
      <c r="J896" s="60"/>
      <c r="K896" s="58"/>
      <c r="L896" s="37" t="s">
        <v>959</v>
      </c>
      <c r="M896" s="61">
        <v>1</v>
      </c>
      <c r="N896" s="56">
        <v>10</v>
      </c>
      <c r="O896" s="37" t="s">
        <v>115</v>
      </c>
      <c r="P896" s="55"/>
      <c r="Q896" s="62"/>
      <c r="R896" s="63"/>
      <c r="S896" s="64"/>
      <c r="T896" s="65"/>
      <c r="U896" s="65"/>
      <c r="V896" s="66"/>
      <c r="W896" s="45" t="s">
        <v>960</v>
      </c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9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896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896" s="66" t="str">
        <f>IF(OR(NOTA[[#This Row],[QTY]]="",NOTA[[#This Row],[HARGA SATUAN]]="",),"",NOTA[[#This Row],[QTY]]*NOTA[[#This Row],[HARGA SATUAN]])</f>
        <v/>
      </c>
      <c r="AI896" s="60">
        <f ca="1">IF(NOTA[ID_H]="","",INDEX(NOTA[TANGGAL],MATCH(,INDIRECT(ADDRESS(ROW(NOTA[TANGGAL]),COLUMN(NOTA[TANGGAL]))&amp;":"&amp;ADDRESS(ROW(),COLUMN(NOTA[TANGGAL]))),-1)))</f>
        <v>45329</v>
      </c>
      <c r="AJ896" s="55" t="str">
        <f ca="1">IF(NOTA[[#This Row],[NAMA BARANG]]="","",INDEX(NOTA[SUPPLIER],MATCH(,INDIRECT(ADDRESS(ROW(NOTA[ID]),COLUMN(NOTA[ID]))&amp;":"&amp;ADDRESS(ROW(),COLUMN(NOTA[ID]))),-1)))</f>
        <v>PELNA INDONESIA</v>
      </c>
      <c r="AK896" s="55" t="str">
        <f ca="1">IF(NOTA[[#This Row],[ID_H]]="","",IF(NOTA[[#This Row],[FAKTUR]]="",INDIRECT(ADDRESS(ROW()-1,COLUMN())),NOTA[[#This Row],[FAKTUR]]))</f>
        <v>UNTANA</v>
      </c>
      <c r="AL896" s="56" t="str">
        <f ca="1">IF(NOTA[[#This Row],[ID]]="","",COUNTIF(NOTA[ID_H],NOTA[[#This Row],[ID_H]]))</f>
        <v/>
      </c>
      <c r="AM896" s="56">
        <f ca="1">IF(NOTA[[#This Row],[TGL.NOTA]]="",IF(NOTA[[#This Row],[SUPPLIER_H]]="","",AM895),MONTH(NOTA[[#This Row],[TGL.NOTA]]))</f>
        <v>1</v>
      </c>
      <c r="AN896" s="56" t="str">
        <f>LOWER(SUBSTITUTE(SUBSTITUTE(SUBSTITUTE(SUBSTITUTE(SUBSTITUTE(SUBSTITUTE(SUBSTITUTE(SUBSTITUTE(SUBSTITUTE(NOTA[NAMA BARANG]," ",),".",""),"-",""),"(",""),")",""),",",""),"/",""),"""",""),"+",""))</f>
        <v>pelnalaptoptable</v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>
        <f>IF(NOTA[[#This Row],[CONCAT1]]="","",MATCH(NOTA[[#This Row],[CONCAT1]],[3]!db[NB NOTA_C],0))</f>
        <v>2413</v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>10 PCS</v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W896" s="56" t="e">
        <f ca="1">IF(NOTA[[#This Row],[ID_H]]="","",MATCH(NOTA[[#This Row],[NB NOTA_C_QTY]],[4]!db[NB NOTA_C_QTY+F],0))</f>
        <v>#REF!</v>
      </c>
      <c r="AX896" s="68">
        <f ca="1">IF(NOTA[[#This Row],[NB NOTA_C_QTY]]="","",ROW()-2)</f>
        <v>894</v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>
        <f ca="1">IF(INDIRECT(ADDRESS(ROW()-1,COLUMN(NOTA[[#Headers],[ID]])))="ID",1,IF(NOTA[[#This Row],[FAKTUR]]="","",COUNT(INDIRECT(ADDRESS(ROW(NOTA[ID]),COLUMN(NOTA[ID]))&amp;":"&amp;ADDRESS(ROW()-1,COLUMN(NOTA[ID]))))+1))</f>
        <v>163</v>
      </c>
      <c r="B89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COM_0702_-2</v>
      </c>
      <c r="C898" s="56" t="e">
        <f ca="1">IF(NOTA[[#This Row],[ID_P]]="","",MATCH(NOTA[[#This Row],[ID_P]],[1]!B_MSK[N_ID],0))</f>
        <v>#REF!</v>
      </c>
      <c r="D898" s="56">
        <f ca="1">IF(NOTA[[#This Row],[NAMA BARANG]]="","",INDEX(NOTA[ID],MATCH(,INDIRECT(ADDRESS(ROW(NOTA[ID]),COLUMN(NOTA[ID]))&amp;":"&amp;ADDRESS(ROW(),COLUMN(NOTA[ID]))),-1)))</f>
        <v>163</v>
      </c>
      <c r="E898" s="57"/>
      <c r="F898" s="37" t="s">
        <v>114</v>
      </c>
      <c r="G898" s="37" t="s">
        <v>110</v>
      </c>
      <c r="H898" s="59"/>
      <c r="I898" s="58"/>
      <c r="J898" s="60">
        <v>45329</v>
      </c>
      <c r="K898" s="58"/>
      <c r="L898" s="37" t="s">
        <v>773</v>
      </c>
      <c r="M898" s="61"/>
      <c r="N898" s="56">
        <v>8</v>
      </c>
      <c r="O898" s="37" t="s">
        <v>111</v>
      </c>
      <c r="P898" s="55">
        <v>180000</v>
      </c>
      <c r="Q898" s="62"/>
      <c r="R898" s="63"/>
      <c r="S898" s="64"/>
      <c r="T898" s="65"/>
      <c r="U898" s="65"/>
      <c r="V898" s="66"/>
      <c r="W898" s="67"/>
      <c r="X898" s="66">
        <f>IF(NOTA[[#This Row],[HARGA/ CTN]]="",NOTA[[#This Row],[JUMLAH_H]],NOTA[[#This Row],[HARGA/ CTN]]*IF(NOTA[[#This Row],[C]]="",0,NOTA[[#This Row],[C]]))</f>
        <v>1440000</v>
      </c>
      <c r="Y898" s="66">
        <f>IF(NOTA[[#This Row],[JUMLAH]]="","",NOTA[[#This Row],[JUMLAH]]*NOTA[[#This Row],[DISC 1]])</f>
        <v>0</v>
      </c>
      <c r="Z898" s="66">
        <f>IF(NOTA[[#This Row],[JUMLAH]]="","",(NOTA[[#This Row],[JUMLAH]]-NOTA[[#This Row],[DISC 1-]])*NOTA[[#This Row],[DISC 2]])</f>
        <v>0</v>
      </c>
      <c r="AA898" s="66">
        <f>IF(NOTA[[#This Row],[JUMLAH]]="","",(NOTA[[#This Row],[JUMLAH]]-NOTA[[#This Row],[DISC 1-]]-NOTA[[#This Row],[DISC 2-]])*NOTA[[#This Row],[DISC 3]])</f>
        <v>0</v>
      </c>
      <c r="AB898" s="66">
        <f>IF(NOTA[[#This Row],[JUMLAH]]="","",NOTA[[#This Row],[DISC 1-]]+NOTA[[#This Row],[DISC 2-]]+NOTA[[#This Row],[DISC 3-]])</f>
        <v>0</v>
      </c>
      <c r="AC898" s="66">
        <f>IF(NOTA[[#This Row],[JUMLAH]]="","",NOTA[[#This Row],[JUMLAH]]-NOTA[[#This Row],[DISC]])</f>
        <v>1440000</v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898" s="66">
        <f>IF(OR(NOTA[[#This Row],[QTY]]="",NOTA[[#This Row],[HARGA SATUAN]]="",),"",NOTA[[#This Row],[QTY]]*NOTA[[#This Row],[HARGA SATUAN]])</f>
        <v>1440000</v>
      </c>
      <c r="AI898" s="60">
        <f ca="1">IF(NOTA[ID_H]="","",INDEX(NOTA[TANGGAL],MATCH(,INDIRECT(ADDRESS(ROW(NOTA[TANGGAL]),COLUMN(NOTA[TANGGAL]))&amp;":"&amp;ADDRESS(ROW(),COLUMN(NOTA[TANGGAL]))),-1)))</f>
        <v>45329</v>
      </c>
      <c r="AJ898" s="55" t="str">
        <f ca="1">IF(NOTA[[#This Row],[NAMA BARANG]]="","",INDEX(NOTA[SUPPLIER],MATCH(,INDIRECT(ADDRESS(ROW(NOTA[ID]),COLUMN(NOTA[ID]))&amp;":"&amp;ADDRESS(ROW(),COLUMN(NOTA[ID]))),-1)))</f>
        <v>COMBI</v>
      </c>
      <c r="AK898" s="55" t="str">
        <f ca="1">IF(NOTA[[#This Row],[ID_H]]="","",IF(NOTA[[#This Row],[FAKTUR]]="",INDIRECT(ADDRESS(ROW()-1,COLUMN())),NOTA[[#This Row],[FAKTUR]]))</f>
        <v>UNTANA</v>
      </c>
      <c r="AL898" s="56">
        <f ca="1">IF(NOTA[[#This Row],[ID]]="","",COUNTIF(NOTA[ID_H],NOTA[[#This Row],[ID_H]]))</f>
        <v>2</v>
      </c>
      <c r="AM898" s="56">
        <f>IF(NOTA[[#This Row],[TGL.NOTA]]="",IF(NOTA[[#This Row],[SUPPLIER_H]]="","",AM897),MONTH(NOTA[[#This Row],[TGL.NOTA]]))</f>
        <v>2</v>
      </c>
      <c r="AN898" s="56" t="str">
        <f>LOWER(SUBSTITUTE(SUBSTITUTE(SUBSTITUTE(SUBSTITUTE(SUBSTITUTE(SUBSTITUTE(SUBSTITUTE(SUBSTITUTE(SUBSTITUTE(NOTA[NAMA BARANG]," ",),".",""),"-",""),"(",""),")",""),",",""),"/",""),"""",""),"+",""))</f>
        <v>docritinfinity</v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COMBIUNTANA45329docritinfinity</v>
      </c>
      <c r="AR898" s="56" t="e">
        <f>IF(NOTA[[#This Row],[CONCAT4]]="","",_xlfn.IFNA(MATCH(NOTA[[#This Row],[CONCAT4]],[2]!RAW[CONCAT_H],0),FALSE))</f>
        <v>#REF!</v>
      </c>
      <c r="AS898" s="56">
        <f>IF(NOTA[[#This Row],[CONCAT1]]="","",MATCH(NOTA[[#This Row],[CONCAT1]],[3]!db[NB NOTA_C],0))</f>
        <v>844</v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>8 LSN</v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898" s="56" t="e">
        <f ca="1">IF(NOTA[[#This Row],[ID_H]]="","",MATCH(NOTA[[#This Row],[NB NOTA_C_QTY]],[4]!db[NB NOTA_C_QTY+F],0))</f>
        <v>#REF!</v>
      </c>
      <c r="AX898" s="68">
        <f ca="1">IF(NOTA[[#This Row],[NB NOTA_C_QTY]]="","",ROW()-2)</f>
        <v>896</v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>
        <f ca="1">IF(NOTA[[#This Row],[NAMA BARANG]]="","",INDEX(NOTA[ID],MATCH(,INDIRECT(ADDRESS(ROW(NOTA[ID]),COLUMN(NOTA[ID]))&amp;":"&amp;ADDRESS(ROW(),COLUMN(NOTA[ID]))),-1)))</f>
        <v>163</v>
      </c>
      <c r="E899" s="57"/>
      <c r="F899" s="58"/>
      <c r="G899" s="58"/>
      <c r="H899" s="59"/>
      <c r="I899" s="58"/>
      <c r="J899" s="60"/>
      <c r="K899" s="58"/>
      <c r="L899" s="37" t="s">
        <v>133</v>
      </c>
      <c r="M899" s="61"/>
      <c r="N899" s="56">
        <v>8</v>
      </c>
      <c r="O899" s="37" t="s">
        <v>111</v>
      </c>
      <c r="P899" s="55">
        <v>195000</v>
      </c>
      <c r="Q899" s="62"/>
      <c r="R899" s="63"/>
      <c r="S899" s="64"/>
      <c r="T899" s="65"/>
      <c r="U899" s="65"/>
      <c r="V899" s="66"/>
      <c r="W899" s="67"/>
      <c r="X899" s="66">
        <f>IF(NOTA[[#This Row],[HARGA/ CTN]]="",NOTA[[#This Row],[JUMLAH_H]],NOTA[[#This Row],[HARGA/ CTN]]*IF(NOTA[[#This Row],[C]]="",0,NOTA[[#This Row],[C]]))</f>
        <v>1560000</v>
      </c>
      <c r="Y899" s="66">
        <f>IF(NOTA[[#This Row],[JUMLAH]]="","",NOTA[[#This Row],[JUMLAH]]*NOTA[[#This Row],[DISC 1]])</f>
        <v>0</v>
      </c>
      <c r="Z899" s="66">
        <f>IF(NOTA[[#This Row],[JUMLAH]]="","",(NOTA[[#This Row],[JUMLAH]]-NOTA[[#This Row],[DISC 1-]])*NOTA[[#This Row],[DISC 2]])</f>
        <v>0</v>
      </c>
      <c r="AA899" s="66">
        <f>IF(NOTA[[#This Row],[JUMLAH]]="","",(NOTA[[#This Row],[JUMLAH]]-NOTA[[#This Row],[DISC 1-]]-NOTA[[#This Row],[DISC 2-]])*NOTA[[#This Row],[DISC 3]])</f>
        <v>0</v>
      </c>
      <c r="AB899" s="66">
        <f>IF(NOTA[[#This Row],[JUMLAH]]="","",NOTA[[#This Row],[DISC 1-]]+NOTA[[#This Row],[DISC 2-]]+NOTA[[#This Row],[DISC 3-]])</f>
        <v>0</v>
      </c>
      <c r="AC899" s="66">
        <f>IF(NOTA[[#This Row],[JUMLAH]]="","",NOTA[[#This Row],[JUMLAH]]-NOTA[[#This Row],[DISC]])</f>
        <v>1560000</v>
      </c>
      <c r="AD899" s="66"/>
      <c r="AE89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9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899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899" s="66">
        <f>IF(OR(NOTA[[#This Row],[QTY]]="",NOTA[[#This Row],[HARGA SATUAN]]="",),"",NOTA[[#This Row],[QTY]]*NOTA[[#This Row],[HARGA SATUAN]])</f>
        <v>1560000</v>
      </c>
      <c r="AI899" s="60">
        <f ca="1">IF(NOTA[ID_H]="","",INDEX(NOTA[TANGGAL],MATCH(,INDIRECT(ADDRESS(ROW(NOTA[TANGGAL]),COLUMN(NOTA[TANGGAL]))&amp;":"&amp;ADDRESS(ROW(),COLUMN(NOTA[TANGGAL]))),-1)))</f>
        <v>45329</v>
      </c>
      <c r="AJ899" s="55" t="str">
        <f ca="1">IF(NOTA[[#This Row],[NAMA BARANG]]="","",INDEX(NOTA[SUPPLIER],MATCH(,INDIRECT(ADDRESS(ROW(NOTA[ID]),COLUMN(NOTA[ID]))&amp;":"&amp;ADDRESS(ROW(),COLUMN(NOTA[ID]))),-1)))</f>
        <v>COMBI</v>
      </c>
      <c r="AK899" s="55" t="str">
        <f ca="1">IF(NOTA[[#This Row],[ID_H]]="","",IF(NOTA[[#This Row],[FAKTUR]]="",INDIRECT(ADDRESS(ROW()-1,COLUMN())),NOTA[[#This Row],[FAKTUR]]))</f>
        <v>UNTANA</v>
      </c>
      <c r="AL899" s="56" t="str">
        <f ca="1">IF(NOTA[[#This Row],[ID]]="","",COUNTIF(NOTA[ID_H],NOTA[[#This Row],[ID_H]]))</f>
        <v/>
      </c>
      <c r="AM899" s="56">
        <f ca="1">IF(NOTA[[#This Row],[TGL.NOTA]]="",IF(NOTA[[#This Row],[SUPPLIER_H]]="","",AM898),MONTH(NOTA[[#This Row],[TGL.NOTA]]))</f>
        <v>2</v>
      </c>
      <c r="AN899" s="56" t="str">
        <f>LOWER(SUBSTITUTE(SUBSTITUTE(SUBSTITUTE(SUBSTITUTE(SUBSTITUTE(SUBSTITUTE(SUBSTITUTE(SUBSTITUTE(SUBSTITUTE(NOTA[NAMA BARANG]," ",),".",""),"-",""),"(",""),")",""),",",""),"/",""),"""",""),"+",""))</f>
        <v>docritprestige</v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>
        <f>IF(NOTA[[#This Row],[CONCAT1]]="","",MATCH(NOTA[[#This Row],[CONCAT1]],[3]!db[NB NOTA_C],0))</f>
        <v>852</v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>8 LSN</v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899" s="56" t="e">
        <f ca="1">IF(NOTA[[#This Row],[ID_H]]="","",MATCH(NOTA[[#This Row],[NB NOTA_C_QTY]],[4]!db[NB NOTA_C_QTY+F],0))</f>
        <v>#REF!</v>
      </c>
      <c r="AX899" s="68">
        <f ca="1">IF(NOTA[[#This Row],[NB NOTA_C_QTY]]="","",ROW()-2)</f>
        <v>897</v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>
        <f ca="1">IF(INDIRECT(ADDRESS(ROW()-1,COLUMN(NOTA[[#Headers],[ID]])))="ID",1,IF(NOTA[[#This Row],[FAKTUR]]="","",COUNT(INDIRECT(ADDRESS(ROW(NOTA[ID]),COLUMN(NOTA[ID]))&amp;":"&amp;ADDRESS(ROW()-1,COLUMN(NOTA[ID]))))+1))</f>
        <v>164</v>
      </c>
      <c r="B90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KEN_0702_276-6</v>
      </c>
      <c r="C901" s="56" t="e">
        <f ca="1">IF(NOTA[[#This Row],[ID_P]]="","",MATCH(NOTA[[#This Row],[ID_P]],[1]!B_MSK[N_ID],0))</f>
        <v>#REF!</v>
      </c>
      <c r="D901" s="56">
        <f ca="1">IF(NOTA[[#This Row],[NAMA BARANG]]="","",INDEX(NOTA[ID],MATCH(,INDIRECT(ADDRESS(ROW(NOTA[ID]),COLUMN(NOTA[ID]))&amp;":"&amp;ADDRESS(ROW(),COLUMN(NOTA[ID]))),-1)))</f>
        <v>164</v>
      </c>
      <c r="E901" s="57"/>
      <c r="F901" s="37" t="s">
        <v>22</v>
      </c>
      <c r="G901" s="37" t="s">
        <v>23</v>
      </c>
      <c r="H901" s="47" t="s">
        <v>961</v>
      </c>
      <c r="I901" s="58"/>
      <c r="J901" s="60">
        <v>45327</v>
      </c>
      <c r="K901" s="58">
        <v>0</v>
      </c>
      <c r="L901" s="37" t="s">
        <v>962</v>
      </c>
      <c r="M901" s="61">
        <v>1</v>
      </c>
      <c r="N901" s="56"/>
      <c r="O901" s="58"/>
      <c r="P901" s="55"/>
      <c r="Q901" s="62">
        <v>1464000</v>
      </c>
      <c r="R901" s="63"/>
      <c r="S901" s="64">
        <v>0.17</v>
      </c>
      <c r="T901" s="65"/>
      <c r="U901" s="65"/>
      <c r="V901" s="66"/>
      <c r="W901" s="67"/>
      <c r="X901" s="66">
        <f>IF(NOTA[[#This Row],[HARGA/ CTN]]="",NOTA[[#This Row],[JUMLAH_H]],NOTA[[#This Row],[HARGA/ CTN]]*IF(NOTA[[#This Row],[C]]="",0,NOTA[[#This Row],[C]]))</f>
        <v>1464000</v>
      </c>
      <c r="Y901" s="66">
        <f>IF(NOTA[[#This Row],[JUMLAH]]="","",NOTA[[#This Row],[JUMLAH]]*NOTA[[#This Row],[DISC 1]])</f>
        <v>248880.00000000003</v>
      </c>
      <c r="Z901" s="66">
        <f>IF(NOTA[[#This Row],[JUMLAH]]="","",(NOTA[[#This Row],[JUMLAH]]-NOTA[[#This Row],[DISC 1-]])*NOTA[[#This Row],[DISC 2]])</f>
        <v>0</v>
      </c>
      <c r="AA901" s="66">
        <f>IF(NOTA[[#This Row],[JUMLAH]]="","",(NOTA[[#This Row],[JUMLAH]]-NOTA[[#This Row],[DISC 1-]]-NOTA[[#This Row],[DISC 2-]])*NOTA[[#This Row],[DISC 3]])</f>
        <v>0</v>
      </c>
      <c r="AB901" s="66">
        <f>IF(NOTA[[#This Row],[JUMLAH]]="","",NOTA[[#This Row],[DISC 1-]]+NOTA[[#This Row],[DISC 2-]]+NOTA[[#This Row],[DISC 3-]])</f>
        <v>248880.00000000003</v>
      </c>
      <c r="AC901" s="66">
        <f>IF(NOTA[[#This Row],[JUMLAH]]="","",NOTA[[#This Row],[JUMLAH]]-NOTA[[#This Row],[DISC]])</f>
        <v>1215120</v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H901" s="66" t="str">
        <f>IF(OR(NOTA[[#This Row],[QTY]]="",NOTA[[#This Row],[HARGA SATUAN]]="",),"",NOTA[[#This Row],[QTY]]*NOTA[[#This Row],[HARGA SATUAN]])</f>
        <v/>
      </c>
      <c r="AI901" s="60">
        <f ca="1">IF(NOTA[ID_H]="","",INDEX(NOTA[TANGGAL],MATCH(,INDIRECT(ADDRESS(ROW(NOTA[TANGGAL]),COLUMN(NOTA[TANGGAL]))&amp;":"&amp;ADDRESS(ROW(),COLUMN(NOTA[TANGGAL]))),-1)))</f>
        <v>45329</v>
      </c>
      <c r="AJ901" s="55" t="str">
        <f ca="1">IF(NOTA[[#This Row],[NAMA BARANG]]="","",INDEX(NOTA[SUPPLIER],MATCH(,INDIRECT(ADDRESS(ROW(NOTA[ID]),COLUMN(NOTA[ID]))&amp;":"&amp;ADDRESS(ROW(),COLUMN(NOTA[ID]))),-1)))</f>
        <v>KENKO SINAR INDONESIA</v>
      </c>
      <c r="AK901" s="55" t="str">
        <f ca="1">IF(NOTA[[#This Row],[ID_H]]="","",IF(NOTA[[#This Row],[FAKTUR]]="",INDIRECT(ADDRESS(ROW()-1,COLUMN())),NOTA[[#This Row],[FAKTUR]]))</f>
        <v>ARTO MORO</v>
      </c>
      <c r="AL901" s="56">
        <f ca="1">IF(NOTA[[#This Row],[ID]]="","",COUNTIF(NOTA[ID_H],NOTA[[#This Row],[ID_H]]))</f>
        <v>6</v>
      </c>
      <c r="AM901" s="56">
        <f>IF(NOTA[[#This Row],[TGL.NOTA]]="",IF(NOTA[[#This Row],[SUPPLIER_H]]="","",AM900),MONTH(NOTA[[#This Row],[TGL.NOTA]]))</f>
        <v>2</v>
      </c>
      <c r="AN901" s="56" t="str">
        <f>LOWER(SUBSTITUTE(SUBSTITUTE(SUBSTITUTE(SUBSTITUTE(SUBSTITUTE(SUBSTITUTE(SUBSTITUTE(SUBSTITUTE(SUBSTITUTE(NOTA[NAMA BARANG]," ",),".",""),"-",""),"(",""),")",""),",",""),"/",""),"""",""),"+",""))</f>
        <v>kenkohighlighterhl100orange</v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kenkohighlighterhl100orange14640000.17</v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kenkohighlighterhl100orange14640000.17</v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MORO2402027645327kenkohighlighterhl100orange</v>
      </c>
      <c r="AR901" s="56" t="e">
        <f>IF(NOTA[[#This Row],[CONCAT4]]="","",_xlfn.IFNA(MATCH(NOTA[[#This Row],[CONCAT4]],[2]!RAW[CONCAT_H],0),FALSE))</f>
        <v>#REF!</v>
      </c>
      <c r="AS901" s="56">
        <f>IF(NOTA[[#This Row],[CONCAT1]]="","",MATCH(NOTA[[#This Row],[CONCAT1]],[3]!db[NB NOTA_C],0))</f>
        <v>1675</v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>48 BOX (10 PCS)</v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kenkohighlighterhl100orange48box10pcsartomoro</v>
      </c>
      <c r="AW901" s="56" t="e">
        <f ca="1">IF(NOTA[[#This Row],[ID_H]]="","",MATCH(NOTA[[#This Row],[NB NOTA_C_QTY]],[4]!db[NB NOTA_C_QTY+F],0))</f>
        <v>#REF!</v>
      </c>
      <c r="AX901" s="68">
        <f ca="1">IF(NOTA[[#This Row],[NB NOTA_C_QTY]]="","",ROW()-2)</f>
        <v>899</v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>
        <f ca="1">IF(NOTA[[#This Row],[NAMA BARANG]]="","",INDEX(NOTA[ID],MATCH(,INDIRECT(ADDRESS(ROW(NOTA[ID]),COLUMN(NOTA[ID]))&amp;":"&amp;ADDRESS(ROW(),COLUMN(NOTA[ID]))),-1)))</f>
        <v>164</v>
      </c>
      <c r="E902" s="57"/>
      <c r="F902" s="58"/>
      <c r="G902" s="58"/>
      <c r="H902" s="59"/>
      <c r="I902" s="58"/>
      <c r="J902" s="60"/>
      <c r="K902" s="58">
        <v>0</v>
      </c>
      <c r="L902" s="37" t="s">
        <v>528</v>
      </c>
      <c r="M902" s="61">
        <v>1</v>
      </c>
      <c r="N902" s="56"/>
      <c r="O902" s="58"/>
      <c r="P902" s="55"/>
      <c r="Q902" s="62">
        <v>1380000</v>
      </c>
      <c r="R902" s="63"/>
      <c r="S902" s="64">
        <v>0.17</v>
      </c>
      <c r="T902" s="65"/>
      <c r="U902" s="65"/>
      <c r="V902" s="66"/>
      <c r="W902" s="67"/>
      <c r="X902" s="66">
        <f>IF(NOTA[[#This Row],[HARGA/ CTN]]="",NOTA[[#This Row],[JUMLAH_H]],NOTA[[#This Row],[HARGA/ CTN]]*IF(NOTA[[#This Row],[C]]="",0,NOTA[[#This Row],[C]]))</f>
        <v>1380000</v>
      </c>
      <c r="Y902" s="66">
        <f>IF(NOTA[[#This Row],[JUMLAH]]="","",NOTA[[#This Row],[JUMLAH]]*NOTA[[#This Row],[DISC 1]])</f>
        <v>234600.00000000003</v>
      </c>
      <c r="Z902" s="66">
        <f>IF(NOTA[[#This Row],[JUMLAH]]="","",(NOTA[[#This Row],[JUMLAH]]-NOTA[[#This Row],[DISC 1-]])*NOTA[[#This Row],[DISC 2]])</f>
        <v>0</v>
      </c>
      <c r="AA902" s="66">
        <f>IF(NOTA[[#This Row],[JUMLAH]]="","",(NOTA[[#This Row],[JUMLAH]]-NOTA[[#This Row],[DISC 1-]]-NOTA[[#This Row],[DISC 2-]])*NOTA[[#This Row],[DISC 3]])</f>
        <v>0</v>
      </c>
      <c r="AB902" s="66">
        <f>IF(NOTA[[#This Row],[JUMLAH]]="","",NOTA[[#This Row],[DISC 1-]]+NOTA[[#This Row],[DISC 2-]]+NOTA[[#This Row],[DISC 3-]])</f>
        <v>234600.00000000003</v>
      </c>
      <c r="AC902" s="66">
        <f>IF(NOTA[[#This Row],[JUMLAH]]="","",NOTA[[#This Row],[JUMLAH]]-NOTA[[#This Row],[DISC]])</f>
        <v>1145400</v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902" s="66" t="str">
        <f>IF(OR(NOTA[[#This Row],[QTY]]="",NOTA[[#This Row],[HARGA SATUAN]]="",),"",NOTA[[#This Row],[QTY]]*NOTA[[#This Row],[HARGA SATUAN]])</f>
        <v/>
      </c>
      <c r="AI902" s="60">
        <f ca="1">IF(NOTA[ID_H]="","",INDEX(NOTA[TANGGAL],MATCH(,INDIRECT(ADDRESS(ROW(NOTA[TANGGAL]),COLUMN(NOTA[TANGGAL]))&amp;":"&amp;ADDRESS(ROW(),COLUMN(NOTA[TANGGAL]))),-1)))</f>
        <v>45329</v>
      </c>
      <c r="AJ902" s="55" t="str">
        <f ca="1">IF(NOTA[[#This Row],[NAMA BARANG]]="","",INDEX(NOTA[SUPPLIER],MATCH(,INDIRECT(ADDRESS(ROW(NOTA[ID]),COLUMN(NOTA[ID]))&amp;":"&amp;ADDRESS(ROW(),COLUMN(NOTA[ID]))),-1)))</f>
        <v>KENKO SINAR INDONESIA</v>
      </c>
      <c r="AK902" s="55" t="str">
        <f ca="1">IF(NOTA[[#This Row],[ID_H]]="","",IF(NOTA[[#This Row],[FAKTUR]]="",INDIRECT(ADDRESS(ROW()-1,COLUMN())),NOTA[[#This Row],[FAKTUR]]))</f>
        <v>ARTO MORO</v>
      </c>
      <c r="AL902" s="56" t="str">
        <f ca="1">IF(NOTA[[#This Row],[ID]]="","",COUNTIF(NOTA[ID_H],NOTA[[#This Row],[ID_H]]))</f>
        <v/>
      </c>
      <c r="AM902" s="56">
        <f ca="1">IF(NOTA[[#This Row],[TGL.NOTA]]="",IF(NOTA[[#This Row],[SUPPLIER_H]]="","",AM901),MONTH(NOTA[[#This Row],[TGL.NOTA]]))</f>
        <v>2</v>
      </c>
      <c r="AN902" s="5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>
        <f>IF(NOTA[[#This Row],[CONCAT1]]="","",MATCH(NOTA[[#This Row],[CONCAT1]],[3]!db[NB NOTA_C],0))</f>
        <v>1500</v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>20 GRS</v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902" s="56" t="e">
        <f ca="1">IF(NOTA[[#This Row],[ID_H]]="","",MATCH(NOTA[[#This Row],[NB NOTA_C_QTY]],[4]!db[NB NOTA_C_QTY+F],0))</f>
        <v>#REF!</v>
      </c>
      <c r="AX902" s="68">
        <f ca="1">IF(NOTA[[#This Row],[NB NOTA_C_QTY]]="","",ROW()-2)</f>
        <v>900</v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>
        <f ca="1">IF(NOTA[[#This Row],[NAMA BARANG]]="","",INDEX(NOTA[ID],MATCH(,INDIRECT(ADDRESS(ROW(NOTA[ID]),COLUMN(NOTA[ID]))&amp;":"&amp;ADDRESS(ROW(),COLUMN(NOTA[ID]))),-1)))</f>
        <v>164</v>
      </c>
      <c r="E903" s="57"/>
      <c r="F903" s="58"/>
      <c r="G903" s="58"/>
      <c r="H903" s="59"/>
      <c r="I903" s="58"/>
      <c r="J903" s="60"/>
      <c r="K903" s="58"/>
      <c r="L903" s="37" t="s">
        <v>126</v>
      </c>
      <c r="M903" s="61">
        <v>1</v>
      </c>
      <c r="N903" s="56"/>
      <c r="O903" s="58"/>
      <c r="P903" s="55"/>
      <c r="Q903" s="62">
        <v>1200000</v>
      </c>
      <c r="R903" s="63"/>
      <c r="S903" s="64">
        <v>0.17</v>
      </c>
      <c r="T903" s="65"/>
      <c r="U903" s="65"/>
      <c r="V903" s="66"/>
      <c r="W903" s="67"/>
      <c r="X903" s="66">
        <f>IF(NOTA[[#This Row],[HARGA/ CTN]]="",NOTA[[#This Row],[JUMLAH_H]],NOTA[[#This Row],[HARGA/ CTN]]*IF(NOTA[[#This Row],[C]]="",0,NOTA[[#This Row],[C]]))</f>
        <v>1200000</v>
      </c>
      <c r="Y903" s="66">
        <f>IF(NOTA[[#This Row],[JUMLAH]]="","",NOTA[[#This Row],[JUMLAH]]*NOTA[[#This Row],[DISC 1]])</f>
        <v>204000.00000000003</v>
      </c>
      <c r="Z903" s="66">
        <f>IF(NOTA[[#This Row],[JUMLAH]]="","",(NOTA[[#This Row],[JUMLAH]]-NOTA[[#This Row],[DISC 1-]])*NOTA[[#This Row],[DISC 2]])</f>
        <v>0</v>
      </c>
      <c r="AA903" s="66">
        <f>IF(NOTA[[#This Row],[JUMLAH]]="","",(NOTA[[#This Row],[JUMLAH]]-NOTA[[#This Row],[DISC 1-]]-NOTA[[#This Row],[DISC 2-]])*NOTA[[#This Row],[DISC 3]])</f>
        <v>0</v>
      </c>
      <c r="AB903" s="66">
        <f>IF(NOTA[[#This Row],[JUMLAH]]="","",NOTA[[#This Row],[DISC 1-]]+NOTA[[#This Row],[DISC 2-]]+NOTA[[#This Row],[DISC 3-]])</f>
        <v>204000.00000000003</v>
      </c>
      <c r="AC903" s="66">
        <f>IF(NOTA[[#This Row],[JUMLAH]]="","",NOTA[[#This Row],[JUMLAH]]-NOTA[[#This Row],[DISC]])</f>
        <v>996000</v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903" s="66" t="str">
        <f>IF(OR(NOTA[[#This Row],[QTY]]="",NOTA[[#This Row],[HARGA SATUAN]]="",),"",NOTA[[#This Row],[QTY]]*NOTA[[#This Row],[HARGA SATUAN]])</f>
        <v/>
      </c>
      <c r="AI903" s="60">
        <f ca="1">IF(NOTA[ID_H]="","",INDEX(NOTA[TANGGAL],MATCH(,INDIRECT(ADDRESS(ROW(NOTA[TANGGAL]),COLUMN(NOTA[TANGGAL]))&amp;":"&amp;ADDRESS(ROW(),COLUMN(NOTA[TANGGAL]))),-1)))</f>
        <v>45329</v>
      </c>
      <c r="AJ903" s="55" t="str">
        <f ca="1">IF(NOTA[[#This Row],[NAMA BARANG]]="","",INDEX(NOTA[SUPPLIER],MATCH(,INDIRECT(ADDRESS(ROW(NOTA[ID]),COLUMN(NOTA[ID]))&amp;":"&amp;ADDRESS(ROW(),COLUMN(NOTA[ID]))),-1)))</f>
        <v>KENKO SINAR INDONESIA</v>
      </c>
      <c r="AK903" s="55" t="str">
        <f ca="1">IF(NOTA[[#This Row],[ID_H]]="","",IF(NOTA[[#This Row],[FAKTUR]]="",INDIRECT(ADDRESS(ROW()-1,COLUMN())),NOTA[[#This Row],[FAKTUR]]))</f>
        <v>ARTO MORO</v>
      </c>
      <c r="AL903" s="56" t="str">
        <f ca="1">IF(NOTA[[#This Row],[ID]]="","",COUNTIF(NOTA[ID_H],NOTA[[#This Row],[ID_H]]))</f>
        <v/>
      </c>
      <c r="AM903" s="56">
        <f ca="1">IF(NOTA[[#This Row],[TGL.NOTA]]="",IF(NOTA[[#This Row],[SUPPLIER_H]]="","",AM902),MONTH(NOTA[[#This Row],[TGL.NOTA]]))</f>
        <v>2</v>
      </c>
      <c r="AN903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>
        <f>IF(NOTA[[#This Row],[CONCAT1]]="","",MATCH(NOTA[[#This Row],[CONCAT1]],[3]!db[NB NOTA_C],0))</f>
        <v>1501</v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>10 GRS</v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903" s="56" t="e">
        <f ca="1">IF(NOTA[[#This Row],[ID_H]]="","",MATCH(NOTA[[#This Row],[NB NOTA_C_QTY]],[4]!db[NB NOTA_C_QTY+F],0))</f>
        <v>#REF!</v>
      </c>
      <c r="AX903" s="68">
        <f ca="1">IF(NOTA[[#This Row],[NB NOTA_C_QTY]]="","",ROW()-2)</f>
        <v>901</v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>
        <f ca="1">IF(NOTA[[#This Row],[NAMA BARANG]]="","",INDEX(NOTA[ID],MATCH(,INDIRECT(ADDRESS(ROW(NOTA[ID]),COLUMN(NOTA[ID]))&amp;":"&amp;ADDRESS(ROW(),COLUMN(NOTA[ID]))),-1)))</f>
        <v>164</v>
      </c>
      <c r="E904" s="57"/>
      <c r="F904" s="58"/>
      <c r="G904" s="58"/>
      <c r="H904" s="59"/>
      <c r="I904" s="58"/>
      <c r="J904" s="60"/>
      <c r="K904" s="58">
        <v>0</v>
      </c>
      <c r="L904" s="37" t="s">
        <v>668</v>
      </c>
      <c r="M904" s="61">
        <v>1</v>
      </c>
      <c r="N904" s="56"/>
      <c r="O904" s="58"/>
      <c r="P904" s="55"/>
      <c r="Q904" s="62">
        <v>900000</v>
      </c>
      <c r="R904" s="63"/>
      <c r="S904" s="64">
        <v>0.17</v>
      </c>
      <c r="T904" s="65"/>
      <c r="U904" s="65"/>
      <c r="V904" s="66"/>
      <c r="W904" s="67"/>
      <c r="X904" s="66">
        <f>IF(NOTA[[#This Row],[HARGA/ CTN]]="",NOTA[[#This Row],[JUMLAH_H]],NOTA[[#This Row],[HARGA/ CTN]]*IF(NOTA[[#This Row],[C]]="",0,NOTA[[#This Row],[C]]))</f>
        <v>900000</v>
      </c>
      <c r="Y904" s="66">
        <f>IF(NOTA[[#This Row],[JUMLAH]]="","",NOTA[[#This Row],[JUMLAH]]*NOTA[[#This Row],[DISC 1]])</f>
        <v>153000</v>
      </c>
      <c r="Z904" s="66">
        <f>IF(NOTA[[#This Row],[JUMLAH]]="","",(NOTA[[#This Row],[JUMLAH]]-NOTA[[#This Row],[DISC 1-]])*NOTA[[#This Row],[DISC 2]])</f>
        <v>0</v>
      </c>
      <c r="AA904" s="66">
        <f>IF(NOTA[[#This Row],[JUMLAH]]="","",(NOTA[[#This Row],[JUMLAH]]-NOTA[[#This Row],[DISC 1-]]-NOTA[[#This Row],[DISC 2-]])*NOTA[[#This Row],[DISC 3]])</f>
        <v>0</v>
      </c>
      <c r="AB904" s="66">
        <f>IF(NOTA[[#This Row],[JUMLAH]]="","",NOTA[[#This Row],[DISC 1-]]+NOTA[[#This Row],[DISC 2-]]+NOTA[[#This Row],[DISC 3-]])</f>
        <v>153000</v>
      </c>
      <c r="AC904" s="66">
        <f>IF(NOTA[[#This Row],[JUMLAH]]="","",NOTA[[#This Row],[JUMLAH]]-NOTA[[#This Row],[DISC]])</f>
        <v>747000</v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904" s="66" t="str">
        <f>IF(OR(NOTA[[#This Row],[QTY]]="",NOTA[[#This Row],[HARGA SATUAN]]="",),"",NOTA[[#This Row],[QTY]]*NOTA[[#This Row],[HARGA SATUAN]])</f>
        <v/>
      </c>
      <c r="AI904" s="60">
        <f ca="1">IF(NOTA[ID_H]="","",INDEX(NOTA[TANGGAL],MATCH(,INDIRECT(ADDRESS(ROW(NOTA[TANGGAL]),COLUMN(NOTA[TANGGAL]))&amp;":"&amp;ADDRESS(ROW(),COLUMN(NOTA[TANGGAL]))),-1)))</f>
        <v>45329</v>
      </c>
      <c r="AJ904" s="55" t="str">
        <f ca="1">IF(NOTA[[#This Row],[NAMA BARANG]]="","",INDEX(NOTA[SUPPLIER],MATCH(,INDIRECT(ADDRESS(ROW(NOTA[ID]),COLUMN(NOTA[ID]))&amp;":"&amp;ADDRESS(ROW(),COLUMN(NOTA[ID]))),-1)))</f>
        <v>KENKO SINAR INDONESIA</v>
      </c>
      <c r="AK904" s="55" t="str">
        <f ca="1">IF(NOTA[[#This Row],[ID_H]]="","",IF(NOTA[[#This Row],[FAKTUR]]="",INDIRECT(ADDRESS(ROW()-1,COLUMN())),NOTA[[#This Row],[FAKTUR]]))</f>
        <v>ARTO MORO</v>
      </c>
      <c r="AL904" s="56" t="str">
        <f ca="1">IF(NOTA[[#This Row],[ID]]="","",COUNTIF(NOTA[ID_H],NOTA[[#This Row],[ID_H]]))</f>
        <v/>
      </c>
      <c r="AM904" s="56">
        <f ca="1">IF(NOTA[[#This Row],[TGL.NOTA]]="",IF(NOTA[[#This Row],[SUPPLIER_H]]="","",AM903),MONTH(NOTA[[#This Row],[TGL.NOTA]]))</f>
        <v>2</v>
      </c>
      <c r="AN904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>
        <f>IF(NOTA[[#This Row],[CONCAT1]]="","",MATCH(NOTA[[#This Row],[CONCAT1]],[3]!db[NB NOTA_C],0))</f>
        <v>1502</v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>5 GRS</v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904" s="56" t="e">
        <f ca="1">IF(NOTA[[#This Row],[ID_H]]="","",MATCH(NOTA[[#This Row],[NB NOTA_C_QTY]],[4]!db[NB NOTA_C_QTY+F],0))</f>
        <v>#REF!</v>
      </c>
      <c r="AX904" s="68">
        <f ca="1">IF(NOTA[[#This Row],[NB NOTA_C_QTY]]="","",ROW()-2)</f>
        <v>902</v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>
        <f ca="1">IF(NOTA[[#This Row],[NAMA BARANG]]="","",INDEX(NOTA[ID],MATCH(,INDIRECT(ADDRESS(ROW(NOTA[ID]),COLUMN(NOTA[ID]))&amp;":"&amp;ADDRESS(ROW(),COLUMN(NOTA[ID]))),-1)))</f>
        <v>164</v>
      </c>
      <c r="E905" s="57"/>
      <c r="F905" s="58"/>
      <c r="G905" s="58"/>
      <c r="H905" s="59"/>
      <c r="I905" s="58"/>
      <c r="J905" s="60"/>
      <c r="K905" s="58"/>
      <c r="L905" s="37" t="s">
        <v>963</v>
      </c>
      <c r="M905" s="61">
        <v>1</v>
      </c>
      <c r="N905" s="56"/>
      <c r="O905" s="58"/>
      <c r="P905" s="55"/>
      <c r="Q905" s="62">
        <v>1548000</v>
      </c>
      <c r="R905" s="63"/>
      <c r="S905" s="64">
        <v>0.17</v>
      </c>
      <c r="T905" s="65"/>
      <c r="U905" s="65"/>
      <c r="V905" s="66"/>
      <c r="W905" s="67"/>
      <c r="X905" s="66">
        <f>IF(NOTA[[#This Row],[HARGA/ CTN]]="",NOTA[[#This Row],[JUMLAH_H]],NOTA[[#This Row],[HARGA/ CTN]]*IF(NOTA[[#This Row],[C]]="",0,NOTA[[#This Row],[C]]))</f>
        <v>1548000</v>
      </c>
      <c r="Y905" s="66">
        <f>IF(NOTA[[#This Row],[JUMLAH]]="","",NOTA[[#This Row],[JUMLAH]]*NOTA[[#This Row],[DISC 1]])</f>
        <v>263160</v>
      </c>
      <c r="Z905" s="66">
        <f>IF(NOTA[[#This Row],[JUMLAH]]="","",(NOTA[[#This Row],[JUMLAH]]-NOTA[[#This Row],[DISC 1-]])*NOTA[[#This Row],[DISC 2]])</f>
        <v>0</v>
      </c>
      <c r="AA905" s="66">
        <f>IF(NOTA[[#This Row],[JUMLAH]]="","",(NOTA[[#This Row],[JUMLAH]]-NOTA[[#This Row],[DISC 1-]]-NOTA[[#This Row],[DISC 2-]])*NOTA[[#This Row],[DISC 3]])</f>
        <v>0</v>
      </c>
      <c r="AB905" s="66">
        <f>IF(NOTA[[#This Row],[JUMLAH]]="","",NOTA[[#This Row],[DISC 1-]]+NOTA[[#This Row],[DISC 2-]]+NOTA[[#This Row],[DISC 3-]])</f>
        <v>263160</v>
      </c>
      <c r="AC905" s="66">
        <f>IF(NOTA[[#This Row],[JUMLAH]]="","",NOTA[[#This Row],[JUMLAH]]-NOTA[[#This Row],[DISC]])</f>
        <v>1284840</v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H905" s="66" t="str">
        <f>IF(OR(NOTA[[#This Row],[QTY]]="",NOTA[[#This Row],[HARGA SATUAN]]="",),"",NOTA[[#This Row],[QTY]]*NOTA[[#This Row],[HARGA SATUAN]])</f>
        <v/>
      </c>
      <c r="AI905" s="60">
        <f ca="1">IF(NOTA[ID_H]="","",INDEX(NOTA[TANGGAL],MATCH(,INDIRECT(ADDRESS(ROW(NOTA[TANGGAL]),COLUMN(NOTA[TANGGAL]))&amp;":"&amp;ADDRESS(ROW(),COLUMN(NOTA[TANGGAL]))),-1)))</f>
        <v>45329</v>
      </c>
      <c r="AJ905" s="55" t="str">
        <f ca="1">IF(NOTA[[#This Row],[NAMA BARANG]]="","",INDEX(NOTA[SUPPLIER],MATCH(,INDIRECT(ADDRESS(ROW(NOTA[ID]),COLUMN(NOTA[ID]))&amp;":"&amp;ADDRESS(ROW(),COLUMN(NOTA[ID]))),-1)))</f>
        <v>KENKO SINAR INDONESIA</v>
      </c>
      <c r="AK905" s="55" t="str">
        <f ca="1">IF(NOTA[[#This Row],[ID_H]]="","",IF(NOTA[[#This Row],[FAKTUR]]="",INDIRECT(ADDRESS(ROW()-1,COLUMN())),NOTA[[#This Row],[FAKTUR]]))</f>
        <v>ARTO MORO</v>
      </c>
      <c r="AL905" s="56" t="str">
        <f ca="1">IF(NOTA[[#This Row],[ID]]="","",COUNTIF(NOTA[ID_H],NOTA[[#This Row],[ID_H]]))</f>
        <v/>
      </c>
      <c r="AM905" s="56">
        <f ca="1">IF(NOTA[[#This Row],[TGL.NOTA]]="",IF(NOTA[[#This Row],[SUPPLIER_H]]="","",AM904),MONTH(NOTA[[#This Row],[TGL.NOTA]]))</f>
        <v>2</v>
      </c>
      <c r="AN905" s="56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>
        <f>IF(NOTA[[#This Row],[CONCAT1]]="","",MATCH(NOTA[[#This Row],[CONCAT1]],[3]!db[NB NOTA_C],0))</f>
        <v>1504</v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>72 BOX (6 PCS)</v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W905" s="56" t="e">
        <f ca="1">IF(NOTA[[#This Row],[ID_H]]="","",MATCH(NOTA[[#This Row],[NB NOTA_C_QTY]],[4]!db[NB NOTA_C_QTY+F],0))</f>
        <v>#REF!</v>
      </c>
      <c r="AX905" s="68">
        <f ca="1">IF(NOTA[[#This Row],[NB NOTA_C_QTY]]="","",ROW()-2)</f>
        <v>903</v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>
        <f ca="1">IF(NOTA[[#This Row],[NAMA BARANG]]="","",INDEX(NOTA[ID],MATCH(,INDIRECT(ADDRESS(ROW(NOTA[ID]),COLUMN(NOTA[ID]))&amp;":"&amp;ADDRESS(ROW(),COLUMN(NOTA[ID]))),-1)))</f>
        <v>164</v>
      </c>
      <c r="E906" s="57"/>
      <c r="F906" s="58"/>
      <c r="G906" s="58"/>
      <c r="H906" s="59"/>
      <c r="I906" s="58"/>
      <c r="J906" s="60"/>
      <c r="K906" s="58">
        <v>0</v>
      </c>
      <c r="L906" s="37" t="s">
        <v>964</v>
      </c>
      <c r="M906" s="61">
        <v>2</v>
      </c>
      <c r="N906" s="56"/>
      <c r="O906" s="58"/>
      <c r="P906" s="55"/>
      <c r="Q906" s="62">
        <v>1164000</v>
      </c>
      <c r="R906" s="63"/>
      <c r="S906" s="64">
        <v>0.17</v>
      </c>
      <c r="T906" s="65"/>
      <c r="U906" s="65"/>
      <c r="V906" s="66"/>
      <c r="W906" s="67"/>
      <c r="X906" s="66">
        <f>IF(NOTA[[#This Row],[HARGA/ CTN]]="",NOTA[[#This Row],[JUMLAH_H]],NOTA[[#This Row],[HARGA/ CTN]]*IF(NOTA[[#This Row],[C]]="",0,NOTA[[#This Row],[C]]))</f>
        <v>2328000</v>
      </c>
      <c r="Y906" s="66">
        <f>IF(NOTA[[#This Row],[JUMLAH]]="","",NOTA[[#This Row],[JUMLAH]]*NOTA[[#This Row],[DISC 1]])</f>
        <v>395760</v>
      </c>
      <c r="Z906" s="66">
        <f>IF(NOTA[[#This Row],[JUMLAH]]="","",(NOTA[[#This Row],[JUMLAH]]-NOTA[[#This Row],[DISC 1-]])*NOTA[[#This Row],[DISC 2]])</f>
        <v>0</v>
      </c>
      <c r="AA906" s="66">
        <f>IF(NOTA[[#This Row],[JUMLAH]]="","",(NOTA[[#This Row],[JUMLAH]]-NOTA[[#This Row],[DISC 1-]]-NOTA[[#This Row],[DISC 2-]])*NOTA[[#This Row],[DISC 3]])</f>
        <v>0</v>
      </c>
      <c r="AB906" s="66">
        <f>IF(NOTA[[#This Row],[JUMLAH]]="","",NOTA[[#This Row],[DISC 1-]]+NOTA[[#This Row],[DISC 2-]]+NOTA[[#This Row],[DISC 3-]])</f>
        <v>395760</v>
      </c>
      <c r="AC906" s="66">
        <f>IF(NOTA[[#This Row],[JUMLAH]]="","",NOTA[[#This Row],[JUMLAH]]-NOTA[[#This Row],[DISC]])</f>
        <v>1932240</v>
      </c>
      <c r="AD906" s="66"/>
      <c r="AE90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1499400</v>
      </c>
      <c r="AF90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7320600</v>
      </c>
      <c r="AG906" s="55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906" s="66" t="str">
        <f>IF(OR(NOTA[[#This Row],[QTY]]="",NOTA[[#This Row],[HARGA SATUAN]]="",),"",NOTA[[#This Row],[QTY]]*NOTA[[#This Row],[HARGA SATUAN]])</f>
        <v/>
      </c>
      <c r="AI906" s="60">
        <f ca="1">IF(NOTA[ID_H]="","",INDEX(NOTA[TANGGAL],MATCH(,INDIRECT(ADDRESS(ROW(NOTA[TANGGAL]),COLUMN(NOTA[TANGGAL]))&amp;":"&amp;ADDRESS(ROW(),COLUMN(NOTA[TANGGAL]))),-1)))</f>
        <v>45329</v>
      </c>
      <c r="AJ906" s="55" t="str">
        <f ca="1">IF(NOTA[[#This Row],[NAMA BARANG]]="","",INDEX(NOTA[SUPPLIER],MATCH(,INDIRECT(ADDRESS(ROW(NOTA[ID]),COLUMN(NOTA[ID]))&amp;":"&amp;ADDRESS(ROW(),COLUMN(NOTA[ID]))),-1)))</f>
        <v>KENKO SINAR INDONESIA</v>
      </c>
      <c r="AK906" s="55" t="str">
        <f ca="1">IF(NOTA[[#This Row],[ID_H]]="","",IF(NOTA[[#This Row],[FAKTUR]]="",INDIRECT(ADDRESS(ROW()-1,COLUMN())),NOTA[[#This Row],[FAKTUR]]))</f>
        <v>ARTO MORO</v>
      </c>
      <c r="AL906" s="56" t="str">
        <f ca="1">IF(NOTA[[#This Row],[ID]]="","",COUNTIF(NOTA[ID_H],NOTA[[#This Row],[ID_H]]))</f>
        <v/>
      </c>
      <c r="AM906" s="56">
        <f ca="1">IF(NOTA[[#This Row],[TGL.NOTA]]="",IF(NOTA[[#This Row],[SUPPLIER_H]]="","",AM905),MONTH(NOTA[[#This Row],[TGL.NOTA]]))</f>
        <v>2</v>
      </c>
      <c r="AN906" s="56" t="str">
        <f>LOWER(SUBSTITUTE(SUBSTITUTE(SUBSTITUTE(SUBSTITUTE(SUBSTITUTE(SUBSTITUTE(SUBSTITUTE(SUBSTITUTE(SUBSTITUTE(NOTA[NAMA BARANG]," ",),".",""),"-",""),"(",""),")",""),",",""),"/",""),"""",""),"+",""))</f>
        <v>kenkopunchno85</v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kenkopunchno8511640000.17</v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kenkopunchno8511640000.17</v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>
        <f>IF(NOTA[[#This Row],[CONCAT1]]="","",MATCH(NOTA[[#This Row],[CONCAT1]],[3]!db[NB NOTA_C],0))</f>
        <v>1750</v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>24 PCS</v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kenkopunchno8524pcsartomoro</v>
      </c>
      <c r="AW906" s="56" t="e">
        <f ca="1">IF(NOTA[[#This Row],[ID_H]]="","",MATCH(NOTA[[#This Row],[NB NOTA_C_QTY]],[4]!db[NB NOTA_C_QTY+F],0))</f>
        <v>#REF!</v>
      </c>
      <c r="AX906" s="68">
        <f ca="1">IF(NOTA[[#This Row],[NB NOTA_C_QTY]]="","",ROW()-2)</f>
        <v>904</v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>
        <f ca="1">IF(INDIRECT(ADDRESS(ROW()-1,COLUMN(NOTA[[#Headers],[ID]])))="ID",1,IF(NOTA[[#This Row],[FAKTUR]]="","",COUNT(INDIRECT(ADDRESS(ROW(NOTA[ID]),COLUMN(NOTA[ID]))&amp;":"&amp;ADDRESS(ROW()-1,COLUMN(NOTA[ID]))))+1))</f>
        <v>165</v>
      </c>
      <c r="B90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KEN_0702_039-4</v>
      </c>
      <c r="C908" s="56" t="e">
        <f ca="1">IF(NOTA[[#This Row],[ID_P]]="","",MATCH(NOTA[[#This Row],[ID_P]],[1]!B_MSK[N_ID],0))</f>
        <v>#REF!</v>
      </c>
      <c r="D908" s="56">
        <f ca="1">IF(NOTA[[#This Row],[NAMA BARANG]]="","",INDEX(NOTA[ID],MATCH(,INDIRECT(ADDRESS(ROW(NOTA[ID]),COLUMN(NOTA[ID]))&amp;":"&amp;ADDRESS(ROW(),COLUMN(NOTA[ID]))),-1)))</f>
        <v>165</v>
      </c>
      <c r="E908" s="57"/>
      <c r="F908" s="37" t="s">
        <v>22</v>
      </c>
      <c r="G908" s="37" t="s">
        <v>23</v>
      </c>
      <c r="H908" s="47" t="s">
        <v>965</v>
      </c>
      <c r="I908" s="58"/>
      <c r="J908" s="60">
        <v>45323</v>
      </c>
      <c r="K908" s="58">
        <v>0</v>
      </c>
      <c r="L908" s="37" t="s">
        <v>233</v>
      </c>
      <c r="M908" s="61">
        <v>4</v>
      </c>
      <c r="N908" s="56"/>
      <c r="O908" s="58"/>
      <c r="P908" s="55"/>
      <c r="Q908" s="62">
        <v>1410000</v>
      </c>
      <c r="R908" s="63"/>
      <c r="S908" s="64">
        <v>0.17</v>
      </c>
      <c r="T908" s="65"/>
      <c r="U908" s="65"/>
      <c r="V908" s="66"/>
      <c r="W908" s="67"/>
      <c r="X908" s="66">
        <f>IF(NOTA[[#This Row],[HARGA/ CTN]]="",NOTA[[#This Row],[JUMLAH_H]],NOTA[[#This Row],[HARGA/ CTN]]*IF(NOTA[[#This Row],[C]]="",0,NOTA[[#This Row],[C]]))</f>
        <v>5640000</v>
      </c>
      <c r="Y908" s="66">
        <f>IF(NOTA[[#This Row],[JUMLAH]]="","",NOTA[[#This Row],[JUMLAH]]*NOTA[[#This Row],[DISC 1]])</f>
        <v>958800.00000000012</v>
      </c>
      <c r="Z908" s="66">
        <f>IF(NOTA[[#This Row],[JUMLAH]]="","",(NOTA[[#This Row],[JUMLAH]]-NOTA[[#This Row],[DISC 1-]])*NOTA[[#This Row],[DISC 2]])</f>
        <v>0</v>
      </c>
      <c r="AA908" s="66">
        <f>IF(NOTA[[#This Row],[JUMLAH]]="","",(NOTA[[#This Row],[JUMLAH]]-NOTA[[#This Row],[DISC 1-]]-NOTA[[#This Row],[DISC 2-]])*NOTA[[#This Row],[DISC 3]])</f>
        <v>0</v>
      </c>
      <c r="AB908" s="66">
        <f>IF(NOTA[[#This Row],[JUMLAH]]="","",NOTA[[#This Row],[DISC 1-]]+NOTA[[#This Row],[DISC 2-]]+NOTA[[#This Row],[DISC 3-]])</f>
        <v>958800.00000000012</v>
      </c>
      <c r="AC908" s="66">
        <f>IF(NOTA[[#This Row],[JUMLAH]]="","",NOTA[[#This Row],[JUMLAH]]-NOTA[[#This Row],[DISC]])</f>
        <v>4681200</v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908" s="66" t="str">
        <f>IF(OR(NOTA[[#This Row],[QTY]]="",NOTA[[#This Row],[HARGA SATUAN]]="",),"",NOTA[[#This Row],[QTY]]*NOTA[[#This Row],[HARGA SATUAN]])</f>
        <v/>
      </c>
      <c r="AI908" s="60">
        <f ca="1">IF(NOTA[ID_H]="","",INDEX(NOTA[TANGGAL],MATCH(,INDIRECT(ADDRESS(ROW(NOTA[TANGGAL]),COLUMN(NOTA[TANGGAL]))&amp;":"&amp;ADDRESS(ROW(),COLUMN(NOTA[TANGGAL]))),-1)))</f>
        <v>45329</v>
      </c>
      <c r="AJ908" s="55" t="str">
        <f ca="1">IF(NOTA[[#This Row],[NAMA BARANG]]="","",INDEX(NOTA[SUPPLIER],MATCH(,INDIRECT(ADDRESS(ROW(NOTA[ID]),COLUMN(NOTA[ID]))&amp;":"&amp;ADDRESS(ROW(),COLUMN(NOTA[ID]))),-1)))</f>
        <v>KENKO SINAR INDONESIA</v>
      </c>
      <c r="AK908" s="55" t="str">
        <f ca="1">IF(NOTA[[#This Row],[ID_H]]="","",IF(NOTA[[#This Row],[FAKTUR]]="",INDIRECT(ADDRESS(ROW()-1,COLUMN())),NOTA[[#This Row],[FAKTUR]]))</f>
        <v>ARTO MORO</v>
      </c>
      <c r="AL908" s="56">
        <f ca="1">IF(NOTA[[#This Row],[ID]]="","",COUNTIF(NOTA[ID_H],NOTA[[#This Row],[ID_H]]))</f>
        <v>4</v>
      </c>
      <c r="AM908" s="56">
        <f>IF(NOTA[[#This Row],[TGL.NOTA]]="",IF(NOTA[[#This Row],[SUPPLIER_H]]="","",AM907),MONTH(NOTA[[#This Row],[TGL.NOTA]]))</f>
        <v>2</v>
      </c>
      <c r="AN908" s="56" t="str">
        <f>LOWER(SUBSTITUTE(SUBSTITUTE(SUBSTITUTE(SUBSTITUTE(SUBSTITUTE(SUBSTITUTE(SUBSTITUTE(SUBSTITUTE(SUBSTITUTE(NOTA[NAMA BARANG]," ",),".",""),"-",""),"(",""),")",""),",",""),"/",""),"""",""),"+",""))</f>
        <v>kenkoscissorsc828</v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MORO2402003945323kenkoscissorsc828</v>
      </c>
      <c r="AR908" s="56" t="e">
        <f>IF(NOTA[[#This Row],[CONCAT4]]="","",_xlfn.IFNA(MATCH(NOTA[[#This Row],[CONCAT4]],[2]!RAW[CONCAT_H],0),FALSE))</f>
        <v>#REF!</v>
      </c>
      <c r="AS908" s="56">
        <f>IF(NOTA[[#This Row],[CONCAT1]]="","",MATCH(NOTA[[#This Row],[CONCAT1]],[3]!db[NB NOTA_C],0))</f>
        <v>1755</v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>25 LSN</v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908" s="56" t="e">
        <f ca="1">IF(NOTA[[#This Row],[ID_H]]="","",MATCH(NOTA[[#This Row],[NB NOTA_C_QTY]],[4]!db[NB NOTA_C_QTY+F],0))</f>
        <v>#REF!</v>
      </c>
      <c r="AX908" s="68">
        <f ca="1">IF(NOTA[[#This Row],[NB NOTA_C_QTY]]="","",ROW()-2)</f>
        <v>906</v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>
        <f ca="1">IF(NOTA[[#This Row],[NAMA BARANG]]="","",INDEX(NOTA[ID],MATCH(,INDIRECT(ADDRESS(ROW(NOTA[ID]),COLUMN(NOTA[ID]))&amp;":"&amp;ADDRESS(ROW(),COLUMN(NOTA[ID]))),-1)))</f>
        <v>165</v>
      </c>
      <c r="E909" s="57"/>
      <c r="F909" s="58"/>
      <c r="G909" s="58"/>
      <c r="H909" s="59"/>
      <c r="I909" s="58"/>
      <c r="J909" s="60"/>
      <c r="K909" s="58"/>
      <c r="L909" s="37" t="s">
        <v>676</v>
      </c>
      <c r="M909" s="61">
        <v>2</v>
      </c>
      <c r="N909" s="56"/>
      <c r="O909" s="58"/>
      <c r="P909" s="55"/>
      <c r="Q909" s="62">
        <v>1995000</v>
      </c>
      <c r="R909" s="63"/>
      <c r="S909" s="64">
        <v>0.17</v>
      </c>
      <c r="T909" s="65"/>
      <c r="U909" s="65"/>
      <c r="V909" s="66"/>
      <c r="W909" s="67"/>
      <c r="X909" s="66">
        <f>IF(NOTA[[#This Row],[HARGA/ CTN]]="",NOTA[[#This Row],[JUMLAH_H]],NOTA[[#This Row],[HARGA/ CTN]]*IF(NOTA[[#This Row],[C]]="",0,NOTA[[#This Row],[C]]))</f>
        <v>3990000</v>
      </c>
      <c r="Y909" s="66">
        <f>IF(NOTA[[#This Row],[JUMLAH]]="","",NOTA[[#This Row],[JUMLAH]]*NOTA[[#This Row],[DISC 1]])</f>
        <v>678300</v>
      </c>
      <c r="Z909" s="66">
        <f>IF(NOTA[[#This Row],[JUMLAH]]="","",(NOTA[[#This Row],[JUMLAH]]-NOTA[[#This Row],[DISC 1-]])*NOTA[[#This Row],[DISC 2]])</f>
        <v>0</v>
      </c>
      <c r="AA909" s="66">
        <f>IF(NOTA[[#This Row],[JUMLAH]]="","",(NOTA[[#This Row],[JUMLAH]]-NOTA[[#This Row],[DISC 1-]]-NOTA[[#This Row],[DISC 2-]])*NOTA[[#This Row],[DISC 3]])</f>
        <v>0</v>
      </c>
      <c r="AB909" s="66">
        <f>IF(NOTA[[#This Row],[JUMLAH]]="","",NOTA[[#This Row],[DISC 1-]]+NOTA[[#This Row],[DISC 2-]]+NOTA[[#This Row],[DISC 3-]])</f>
        <v>678300</v>
      </c>
      <c r="AC909" s="66">
        <f>IF(NOTA[[#This Row],[JUMLAH]]="","",NOTA[[#This Row],[JUMLAH]]-NOTA[[#This Row],[DISC]])</f>
        <v>3311700</v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909" s="66" t="str">
        <f>IF(OR(NOTA[[#This Row],[QTY]]="",NOTA[[#This Row],[HARGA SATUAN]]="",),"",NOTA[[#This Row],[QTY]]*NOTA[[#This Row],[HARGA SATUAN]])</f>
        <v/>
      </c>
      <c r="AI909" s="60">
        <f ca="1">IF(NOTA[ID_H]="","",INDEX(NOTA[TANGGAL],MATCH(,INDIRECT(ADDRESS(ROW(NOTA[TANGGAL]),COLUMN(NOTA[TANGGAL]))&amp;":"&amp;ADDRESS(ROW(),COLUMN(NOTA[TANGGAL]))),-1)))</f>
        <v>45329</v>
      </c>
      <c r="AJ909" s="55" t="str">
        <f ca="1">IF(NOTA[[#This Row],[NAMA BARANG]]="","",INDEX(NOTA[SUPPLIER],MATCH(,INDIRECT(ADDRESS(ROW(NOTA[ID]),COLUMN(NOTA[ID]))&amp;":"&amp;ADDRESS(ROW(),COLUMN(NOTA[ID]))),-1)))</f>
        <v>KENKO SINAR INDONESIA</v>
      </c>
      <c r="AK909" s="55" t="str">
        <f ca="1">IF(NOTA[[#This Row],[ID_H]]="","",IF(NOTA[[#This Row],[FAKTUR]]="",INDIRECT(ADDRESS(ROW()-1,COLUMN())),NOTA[[#This Row],[FAKTUR]]))</f>
        <v>ARTO MORO</v>
      </c>
      <c r="AL909" s="56" t="str">
        <f ca="1">IF(NOTA[[#This Row],[ID]]="","",COUNTIF(NOTA[ID_H],NOTA[[#This Row],[ID_H]]))</f>
        <v/>
      </c>
      <c r="AM909" s="56">
        <f ca="1">IF(NOTA[[#This Row],[TGL.NOTA]]="",IF(NOTA[[#This Row],[SUPPLIER_H]]="","",AM908),MONTH(NOTA[[#This Row],[TGL.NOTA]]))</f>
        <v>2</v>
      </c>
      <c r="AN909" s="56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>
        <f>IF(NOTA[[#This Row],[CONCAT1]]="","",MATCH(NOTA[[#This Row],[CONCAT1]],[3]!db[NB NOTA_C],0))</f>
        <v>1756</v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>25 LSN</v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909" s="56" t="e">
        <f ca="1">IF(NOTA[[#This Row],[ID_H]]="","",MATCH(NOTA[[#This Row],[NB NOTA_C_QTY]],[4]!db[NB NOTA_C_QTY+F],0))</f>
        <v>#REF!</v>
      </c>
      <c r="AX909" s="68">
        <f ca="1">IF(NOTA[[#This Row],[NB NOTA_C_QTY]]="","",ROW()-2)</f>
        <v>907</v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>
        <f ca="1">IF(NOTA[[#This Row],[NAMA BARANG]]="","",INDEX(NOTA[ID],MATCH(,INDIRECT(ADDRESS(ROW(NOTA[ID]),COLUMN(NOTA[ID]))&amp;":"&amp;ADDRESS(ROW(),COLUMN(NOTA[ID]))),-1)))</f>
        <v>165</v>
      </c>
      <c r="E910" s="57"/>
      <c r="F910" s="58"/>
      <c r="G910" s="58"/>
      <c r="H910" s="59"/>
      <c r="I910" s="58"/>
      <c r="J910" s="60"/>
      <c r="K910" s="58"/>
      <c r="L910" s="37" t="s">
        <v>967</v>
      </c>
      <c r="M910" s="61">
        <v>1</v>
      </c>
      <c r="N910" s="56"/>
      <c r="O910" s="58"/>
      <c r="P910" s="55"/>
      <c r="Q910" s="62">
        <v>396000</v>
      </c>
      <c r="R910" s="63"/>
      <c r="S910" s="64">
        <v>0.17</v>
      </c>
      <c r="T910" s="65"/>
      <c r="U910" s="65"/>
      <c r="V910" s="66"/>
      <c r="W910" s="67"/>
      <c r="X910" s="66">
        <f>IF(NOTA[[#This Row],[HARGA/ CTN]]="",NOTA[[#This Row],[JUMLAH_H]],NOTA[[#This Row],[HARGA/ CTN]]*IF(NOTA[[#This Row],[C]]="",0,NOTA[[#This Row],[C]]))</f>
        <v>396000</v>
      </c>
      <c r="Y910" s="66">
        <f>IF(NOTA[[#This Row],[JUMLAH]]="","",NOTA[[#This Row],[JUMLAH]]*NOTA[[#This Row],[DISC 1]])</f>
        <v>67320</v>
      </c>
      <c r="Z910" s="66">
        <f>IF(NOTA[[#This Row],[JUMLAH]]="","",(NOTA[[#This Row],[JUMLAH]]-NOTA[[#This Row],[DISC 1-]])*NOTA[[#This Row],[DISC 2]])</f>
        <v>0</v>
      </c>
      <c r="AA910" s="66">
        <f>IF(NOTA[[#This Row],[JUMLAH]]="","",(NOTA[[#This Row],[JUMLAH]]-NOTA[[#This Row],[DISC 1-]]-NOTA[[#This Row],[DISC 2-]])*NOTA[[#This Row],[DISC 3]])</f>
        <v>0</v>
      </c>
      <c r="AB910" s="66">
        <f>IF(NOTA[[#This Row],[JUMLAH]]="","",NOTA[[#This Row],[DISC 1-]]+NOTA[[#This Row],[DISC 2-]]+NOTA[[#This Row],[DISC 3-]])</f>
        <v>67320</v>
      </c>
      <c r="AC910" s="66">
        <f>IF(NOTA[[#This Row],[JUMLAH]]="","",NOTA[[#This Row],[JUMLAH]]-NOTA[[#This Row],[DISC]])</f>
        <v>328680</v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910" s="66" t="str">
        <f>IF(OR(NOTA[[#This Row],[QTY]]="",NOTA[[#This Row],[HARGA SATUAN]]="",),"",NOTA[[#This Row],[QTY]]*NOTA[[#This Row],[HARGA SATUAN]])</f>
        <v/>
      </c>
      <c r="AI910" s="60">
        <f ca="1">IF(NOTA[ID_H]="","",INDEX(NOTA[TANGGAL],MATCH(,INDIRECT(ADDRESS(ROW(NOTA[TANGGAL]),COLUMN(NOTA[TANGGAL]))&amp;":"&amp;ADDRESS(ROW(),COLUMN(NOTA[TANGGAL]))),-1)))</f>
        <v>45329</v>
      </c>
      <c r="AJ910" s="55" t="str">
        <f ca="1">IF(NOTA[[#This Row],[NAMA BARANG]]="","",INDEX(NOTA[SUPPLIER],MATCH(,INDIRECT(ADDRESS(ROW(NOTA[ID]),COLUMN(NOTA[ID]))&amp;":"&amp;ADDRESS(ROW(),COLUMN(NOTA[ID]))),-1)))</f>
        <v>KENKO SINAR INDONESIA</v>
      </c>
      <c r="AK910" s="55" t="str">
        <f ca="1">IF(NOTA[[#This Row],[ID_H]]="","",IF(NOTA[[#This Row],[FAKTUR]]="",INDIRECT(ADDRESS(ROW()-1,COLUMN())),NOTA[[#This Row],[FAKTUR]]))</f>
        <v>ARTO MORO</v>
      </c>
      <c r="AL910" s="56" t="str">
        <f ca="1">IF(NOTA[[#This Row],[ID]]="","",COUNTIF(NOTA[ID_H],NOTA[[#This Row],[ID_H]]))</f>
        <v/>
      </c>
      <c r="AM910" s="56">
        <f ca="1">IF(NOTA[[#This Row],[TGL.NOTA]]="",IF(NOTA[[#This Row],[SUPPLIER_H]]="","",AM909),MONTH(NOTA[[#This Row],[TGL.NOTA]]))</f>
        <v>2</v>
      </c>
      <c r="AN910" s="56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>
        <f>IF(NOTA[[#This Row],[CONCAT1]]="","",MATCH(NOTA[[#This Row],[CONCAT1]],[3]!db[NB NOTA_C],0))</f>
        <v>1688</v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>20 LSN</v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910" s="56" t="e">
        <f ca="1">IF(NOTA[[#This Row],[ID_H]]="","",MATCH(NOTA[[#This Row],[NB NOTA_C_QTY]],[4]!db[NB NOTA_C_QTY+F],0))</f>
        <v>#REF!</v>
      </c>
      <c r="AX910" s="68">
        <f ca="1">IF(NOTA[[#This Row],[NB NOTA_C_QTY]]="","",ROW()-2)</f>
        <v>908</v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>
        <f ca="1">IF(NOTA[[#This Row],[NAMA BARANG]]="","",INDEX(NOTA[ID],MATCH(,INDIRECT(ADDRESS(ROW(NOTA[ID]),COLUMN(NOTA[ID]))&amp;":"&amp;ADDRESS(ROW(),COLUMN(NOTA[ID]))),-1)))</f>
        <v>165</v>
      </c>
      <c r="E911" s="57"/>
      <c r="F911" s="58"/>
      <c r="G911" s="58"/>
      <c r="H911" s="59"/>
      <c r="I911" s="58"/>
      <c r="J911" s="60"/>
      <c r="K911" s="58">
        <v>0</v>
      </c>
      <c r="L911" s="37" t="s">
        <v>966</v>
      </c>
      <c r="M911" s="61">
        <v>3</v>
      </c>
      <c r="N911" s="56"/>
      <c r="O911" s="58"/>
      <c r="P911" s="55"/>
      <c r="Q911" s="62">
        <v>732000</v>
      </c>
      <c r="R911" s="63"/>
      <c r="S911" s="64">
        <v>0.17</v>
      </c>
      <c r="T911" s="65"/>
      <c r="U911" s="65"/>
      <c r="V911" s="66"/>
      <c r="W911" s="67"/>
      <c r="X911" s="66">
        <f>IF(NOTA[[#This Row],[HARGA/ CTN]]="",NOTA[[#This Row],[JUMLAH_H]],NOTA[[#This Row],[HARGA/ CTN]]*IF(NOTA[[#This Row],[C]]="",0,NOTA[[#This Row],[C]]))</f>
        <v>2196000</v>
      </c>
      <c r="Y911" s="66">
        <f>IF(NOTA[[#This Row],[JUMLAH]]="","",NOTA[[#This Row],[JUMLAH]]*NOTA[[#This Row],[DISC 1]])</f>
        <v>373320</v>
      </c>
      <c r="Z911" s="66">
        <f>IF(NOTA[[#This Row],[JUMLAH]]="","",(NOTA[[#This Row],[JUMLAH]]-NOTA[[#This Row],[DISC 1-]])*NOTA[[#This Row],[DISC 2]])</f>
        <v>0</v>
      </c>
      <c r="AA911" s="66">
        <f>IF(NOTA[[#This Row],[JUMLAH]]="","",(NOTA[[#This Row],[JUMLAH]]-NOTA[[#This Row],[DISC 1-]]-NOTA[[#This Row],[DISC 2-]])*NOTA[[#This Row],[DISC 3]])</f>
        <v>0</v>
      </c>
      <c r="AB911" s="66">
        <f>IF(NOTA[[#This Row],[JUMLAH]]="","",NOTA[[#This Row],[DISC 1-]]+NOTA[[#This Row],[DISC 2-]]+NOTA[[#This Row],[DISC 3-]])</f>
        <v>373320</v>
      </c>
      <c r="AC911" s="66">
        <f>IF(NOTA[[#This Row],[JUMLAH]]="","",NOTA[[#This Row],[JUMLAH]]-NOTA[[#This Row],[DISC]])</f>
        <v>1822680</v>
      </c>
      <c r="AD911" s="66"/>
      <c r="AE9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2077740</v>
      </c>
      <c r="AF9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10144260</v>
      </c>
      <c r="AG911" s="55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911" s="66" t="str">
        <f>IF(OR(NOTA[[#This Row],[QTY]]="",NOTA[[#This Row],[HARGA SATUAN]]="",),"",NOTA[[#This Row],[QTY]]*NOTA[[#This Row],[HARGA SATUAN]])</f>
        <v/>
      </c>
      <c r="AI911" s="60">
        <f ca="1">IF(NOTA[ID_H]="","",INDEX(NOTA[TANGGAL],MATCH(,INDIRECT(ADDRESS(ROW(NOTA[TANGGAL]),COLUMN(NOTA[TANGGAL]))&amp;":"&amp;ADDRESS(ROW(),COLUMN(NOTA[TANGGAL]))),-1)))</f>
        <v>45329</v>
      </c>
      <c r="AJ911" s="55" t="str">
        <f ca="1">IF(NOTA[[#This Row],[NAMA BARANG]]="","",INDEX(NOTA[SUPPLIER],MATCH(,INDIRECT(ADDRESS(ROW(NOTA[ID]),COLUMN(NOTA[ID]))&amp;":"&amp;ADDRESS(ROW(),COLUMN(NOTA[ID]))),-1)))</f>
        <v>KENKO SINAR INDONESIA</v>
      </c>
      <c r="AK911" s="55" t="str">
        <f ca="1">IF(NOTA[[#This Row],[ID_H]]="","",IF(NOTA[[#This Row],[FAKTUR]]="",INDIRECT(ADDRESS(ROW()-1,COLUMN())),NOTA[[#This Row],[FAKTUR]]))</f>
        <v>ARTO MORO</v>
      </c>
      <c r="AL911" s="56" t="str">
        <f ca="1">IF(NOTA[[#This Row],[ID]]="","",COUNTIF(NOTA[ID_H],NOTA[[#This Row],[ID_H]]))</f>
        <v/>
      </c>
      <c r="AM911" s="56">
        <f ca="1">IF(NOTA[[#This Row],[TGL.NOTA]]="",IF(NOTA[[#This Row],[SUPPLIER_H]]="","",AM910),MONTH(NOTA[[#This Row],[TGL.NOTA]]))</f>
        <v>2</v>
      </c>
      <c r="AN911" s="56" t="str">
        <f>LOWER(SUBSTITUTE(SUBSTITUTE(SUBSTITUTE(SUBSTITUTE(SUBSTITUTE(SUBSTITUTE(SUBSTITUTE(SUBSTITUTE(SUBSTITUTE(NOTA[NAMA BARANG]," ",),".",""),"-",""),"(",""),")",""),",",""),"/",""),"""",""),"+",""))</f>
        <v>kenkoclothtape48mmbluecoreblackbt</v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>
        <f>IF(NOTA[[#This Row],[CONCAT1]]="","",MATCH(NOTA[[#This Row],[CONCAT1]],[3]!db[NB NOTA_C],0))</f>
        <v>1541</v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>60 ROL</v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kenkoclothtape48mmbluecoreblackbt60rolartomoro</v>
      </c>
      <c r="AW911" s="56" t="e">
        <f ca="1">IF(NOTA[[#This Row],[ID_H]]="","",MATCH(NOTA[[#This Row],[NB NOTA_C_QTY]],[4]!db[NB NOTA_C_QTY+F],0))</f>
        <v>#REF!</v>
      </c>
      <c r="AX911" s="68">
        <f ca="1">IF(NOTA[[#This Row],[NB NOTA_C_QTY]]="","",ROW()-2)</f>
        <v>909</v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>
        <f ca="1">IF(INDIRECT(ADDRESS(ROW()-1,COLUMN(NOTA[[#Headers],[ID]])))="ID",1,IF(NOTA[[#This Row],[FAKTUR]]="","",COUNT(INDIRECT(ADDRESS(ROW(NOTA[ID]),COLUMN(NOTA[ID]))&amp;":"&amp;ADDRESS(ROW()-1,COLUMN(NOTA[ID]))))+1))</f>
        <v>166</v>
      </c>
      <c r="B91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KEN_0702_011-2</v>
      </c>
      <c r="C913" s="56" t="e">
        <f ca="1">IF(NOTA[[#This Row],[ID_P]]="","",MATCH(NOTA[[#This Row],[ID_P]],[1]!B_MSK[N_ID],0))</f>
        <v>#REF!</v>
      </c>
      <c r="D913" s="56">
        <f ca="1">IF(NOTA[[#This Row],[NAMA BARANG]]="","",INDEX(NOTA[ID],MATCH(,INDIRECT(ADDRESS(ROW(NOTA[ID]),COLUMN(NOTA[ID]))&amp;":"&amp;ADDRESS(ROW(),COLUMN(NOTA[ID]))),-1)))</f>
        <v>166</v>
      </c>
      <c r="E913" s="57"/>
      <c r="F913" s="37" t="s">
        <v>22</v>
      </c>
      <c r="G913" s="37" t="s">
        <v>23</v>
      </c>
      <c r="H913" s="47" t="s">
        <v>968</v>
      </c>
      <c r="I913" s="58"/>
      <c r="J913" s="60">
        <v>45323</v>
      </c>
      <c r="K913" s="58">
        <v>0</v>
      </c>
      <c r="L913" s="37" t="s">
        <v>969</v>
      </c>
      <c r="M913" s="61">
        <v>1</v>
      </c>
      <c r="N913" s="56"/>
      <c r="O913" s="58"/>
      <c r="P913" s="55"/>
      <c r="Q913" s="62">
        <v>1410000</v>
      </c>
      <c r="R913" s="63"/>
      <c r="S913" s="64">
        <v>0.17</v>
      </c>
      <c r="T913" s="65"/>
      <c r="U913" s="65"/>
      <c r="V913" s="66"/>
      <c r="W913" s="67"/>
      <c r="X913" s="66">
        <f>IF(NOTA[[#This Row],[HARGA/ CTN]]="",NOTA[[#This Row],[JUMLAH_H]],NOTA[[#This Row],[HARGA/ CTN]]*IF(NOTA[[#This Row],[C]]="",0,NOTA[[#This Row],[C]]))</f>
        <v>1410000</v>
      </c>
      <c r="Y913" s="66">
        <f>IF(NOTA[[#This Row],[JUMLAH]]="","",NOTA[[#This Row],[JUMLAH]]*NOTA[[#This Row],[DISC 1]])</f>
        <v>239700.00000000003</v>
      </c>
      <c r="Z913" s="66">
        <f>IF(NOTA[[#This Row],[JUMLAH]]="","",(NOTA[[#This Row],[JUMLAH]]-NOTA[[#This Row],[DISC 1-]])*NOTA[[#This Row],[DISC 2]])</f>
        <v>0</v>
      </c>
      <c r="AA913" s="66">
        <f>IF(NOTA[[#This Row],[JUMLAH]]="","",(NOTA[[#This Row],[JUMLAH]]-NOTA[[#This Row],[DISC 1-]]-NOTA[[#This Row],[DISC 2-]])*NOTA[[#This Row],[DISC 3]])</f>
        <v>0</v>
      </c>
      <c r="AB913" s="66">
        <f>IF(NOTA[[#This Row],[JUMLAH]]="","",NOTA[[#This Row],[DISC 1-]]+NOTA[[#This Row],[DISC 2-]]+NOTA[[#This Row],[DISC 3-]])</f>
        <v>239700.00000000003</v>
      </c>
      <c r="AC913" s="66">
        <f>IF(NOTA[[#This Row],[JUMLAH]]="","",NOTA[[#This Row],[JUMLAH]]-NOTA[[#This Row],[DISC]])</f>
        <v>1170300</v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913" s="66" t="str">
        <f>IF(OR(NOTA[[#This Row],[QTY]]="",NOTA[[#This Row],[HARGA SATUAN]]="",),"",NOTA[[#This Row],[QTY]]*NOTA[[#This Row],[HARGA SATUAN]])</f>
        <v/>
      </c>
      <c r="AI913" s="60">
        <f ca="1">IF(NOTA[ID_H]="","",INDEX(NOTA[TANGGAL],MATCH(,INDIRECT(ADDRESS(ROW(NOTA[TANGGAL]),COLUMN(NOTA[TANGGAL]))&amp;":"&amp;ADDRESS(ROW(),COLUMN(NOTA[TANGGAL]))),-1)))</f>
        <v>45329</v>
      </c>
      <c r="AJ913" s="55" t="str">
        <f ca="1">IF(NOTA[[#This Row],[NAMA BARANG]]="","",INDEX(NOTA[SUPPLIER],MATCH(,INDIRECT(ADDRESS(ROW(NOTA[ID]),COLUMN(NOTA[ID]))&amp;":"&amp;ADDRESS(ROW(),COLUMN(NOTA[ID]))),-1)))</f>
        <v>KENKO SINAR INDONESIA</v>
      </c>
      <c r="AK913" s="55" t="str">
        <f ca="1">IF(NOTA[[#This Row],[ID_H]]="","",IF(NOTA[[#This Row],[FAKTUR]]="",INDIRECT(ADDRESS(ROW()-1,COLUMN())),NOTA[[#This Row],[FAKTUR]]))</f>
        <v>ARTO MORO</v>
      </c>
      <c r="AL913" s="56">
        <f ca="1">IF(NOTA[[#This Row],[ID]]="","",COUNTIF(NOTA[ID_H],NOTA[[#This Row],[ID_H]]))</f>
        <v>2</v>
      </c>
      <c r="AM913" s="56">
        <f>IF(NOTA[[#This Row],[TGL.NOTA]]="",IF(NOTA[[#This Row],[SUPPLIER_H]]="","",AM912),MONTH(NOTA[[#This Row],[TGL.NOTA]]))</f>
        <v>2</v>
      </c>
      <c r="AN913" s="56" t="str">
        <f>LOWER(SUBSTITUTE(SUBSTITUTE(SUBSTITUTE(SUBSTITUTE(SUBSTITUTE(SUBSTITUTE(SUBSTITUTE(SUBSTITUTE(SUBSTITUTE(NOTA[NAMA BARANG]," ",),".",""),"-",""),"(",""),")",""),",",""),"/",""),"""",""),"+",""))</f>
        <v>kenkoscissorsc828</v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MORO2402001145323kenkoscissorsc828</v>
      </c>
      <c r="AR913" s="56" t="e">
        <f>IF(NOTA[[#This Row],[CONCAT4]]="","",_xlfn.IFNA(MATCH(NOTA[[#This Row],[CONCAT4]],[2]!RAW[CONCAT_H],0),FALSE))</f>
        <v>#REF!</v>
      </c>
      <c r="AS913" s="56">
        <f>IF(NOTA[[#This Row],[CONCAT1]]="","",MATCH(NOTA[[#This Row],[CONCAT1]],[3]!db[NB NOTA_C],0))</f>
        <v>1755</v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>25 LSN</v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913" s="56" t="e">
        <f ca="1">IF(NOTA[[#This Row],[ID_H]]="","",MATCH(NOTA[[#This Row],[NB NOTA_C_QTY]],[4]!db[NB NOTA_C_QTY+F],0))</f>
        <v>#REF!</v>
      </c>
      <c r="AX913" s="68">
        <f ca="1">IF(NOTA[[#This Row],[NB NOTA_C_QTY]]="","",ROW()-2)</f>
        <v>911</v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>
        <f ca="1">IF(NOTA[[#This Row],[NAMA BARANG]]="","",INDEX(NOTA[ID],MATCH(,INDIRECT(ADDRESS(ROW(NOTA[ID]),COLUMN(NOTA[ID]))&amp;":"&amp;ADDRESS(ROW(),COLUMN(NOTA[ID]))),-1)))</f>
        <v>166</v>
      </c>
      <c r="E914" s="57"/>
      <c r="F914" s="58"/>
      <c r="G914" s="58"/>
      <c r="H914" s="59"/>
      <c r="I914" s="58"/>
      <c r="J914" s="60"/>
      <c r="K914" s="58"/>
      <c r="L914" s="37" t="s">
        <v>518</v>
      </c>
      <c r="M914" s="61">
        <v>1</v>
      </c>
      <c r="N914" s="56"/>
      <c r="O914" s="58"/>
      <c r="P914" s="55"/>
      <c r="Q914" s="62">
        <v>850000</v>
      </c>
      <c r="R914" s="63"/>
      <c r="S914" s="64">
        <v>0.17</v>
      </c>
      <c r="T914" s="65"/>
      <c r="U914" s="65"/>
      <c r="V914" s="66"/>
      <c r="W914" s="67"/>
      <c r="X914" s="66">
        <f>IF(NOTA[[#This Row],[HARGA/ CTN]]="",NOTA[[#This Row],[JUMLAH_H]],NOTA[[#This Row],[HARGA/ CTN]]*IF(NOTA[[#This Row],[C]]="",0,NOTA[[#This Row],[C]]))</f>
        <v>850000</v>
      </c>
      <c r="Y914" s="66">
        <f>IF(NOTA[[#This Row],[JUMLAH]]="","",NOTA[[#This Row],[JUMLAH]]*NOTA[[#This Row],[DISC 1]])</f>
        <v>144500</v>
      </c>
      <c r="Z914" s="66">
        <f>IF(NOTA[[#This Row],[JUMLAH]]="","",(NOTA[[#This Row],[JUMLAH]]-NOTA[[#This Row],[DISC 1-]])*NOTA[[#This Row],[DISC 2]])</f>
        <v>0</v>
      </c>
      <c r="AA914" s="66">
        <f>IF(NOTA[[#This Row],[JUMLAH]]="","",(NOTA[[#This Row],[JUMLAH]]-NOTA[[#This Row],[DISC 1-]]-NOTA[[#This Row],[DISC 2-]])*NOTA[[#This Row],[DISC 3]])</f>
        <v>0</v>
      </c>
      <c r="AB914" s="66">
        <f>IF(NOTA[[#This Row],[JUMLAH]]="","",NOTA[[#This Row],[DISC 1-]]+NOTA[[#This Row],[DISC 2-]]+NOTA[[#This Row],[DISC 3-]])</f>
        <v>144500</v>
      </c>
      <c r="AC914" s="66">
        <f>IF(NOTA[[#This Row],[JUMLAH]]="","",NOTA[[#This Row],[JUMLAH]]-NOTA[[#This Row],[DISC]])</f>
        <v>705500</v>
      </c>
      <c r="AD914" s="66"/>
      <c r="AE9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384200</v>
      </c>
      <c r="AF9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1875800</v>
      </c>
      <c r="AG914" s="5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914" s="66" t="str">
        <f>IF(OR(NOTA[[#This Row],[QTY]]="",NOTA[[#This Row],[HARGA SATUAN]]="",),"",NOTA[[#This Row],[QTY]]*NOTA[[#This Row],[HARGA SATUAN]])</f>
        <v/>
      </c>
      <c r="AI914" s="60">
        <f ca="1">IF(NOTA[ID_H]="","",INDEX(NOTA[TANGGAL],MATCH(,INDIRECT(ADDRESS(ROW(NOTA[TANGGAL]),COLUMN(NOTA[TANGGAL]))&amp;":"&amp;ADDRESS(ROW(),COLUMN(NOTA[TANGGAL]))),-1)))</f>
        <v>45329</v>
      </c>
      <c r="AJ914" s="55" t="str">
        <f ca="1">IF(NOTA[[#This Row],[NAMA BARANG]]="","",INDEX(NOTA[SUPPLIER],MATCH(,INDIRECT(ADDRESS(ROW(NOTA[ID]),COLUMN(NOTA[ID]))&amp;":"&amp;ADDRESS(ROW(),COLUMN(NOTA[ID]))),-1)))</f>
        <v>KENKO SINAR INDONESIA</v>
      </c>
      <c r="AK914" s="55" t="str">
        <f ca="1">IF(NOTA[[#This Row],[ID_H]]="","",IF(NOTA[[#This Row],[FAKTUR]]="",INDIRECT(ADDRESS(ROW()-1,COLUMN())),NOTA[[#This Row],[FAKTUR]]))</f>
        <v>ARTO MORO</v>
      </c>
      <c r="AL914" s="56" t="str">
        <f ca="1">IF(NOTA[[#This Row],[ID]]="","",COUNTIF(NOTA[ID_H],NOTA[[#This Row],[ID_H]]))</f>
        <v/>
      </c>
      <c r="AM914" s="56">
        <f ca="1">IF(NOTA[[#This Row],[TGL.NOTA]]="",IF(NOTA[[#This Row],[SUPPLIER_H]]="","",AM913),MONTH(NOTA[[#This Row],[TGL.NOTA]]))</f>
        <v>2</v>
      </c>
      <c r="AN914" s="5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>
        <f>IF(NOTA[[#This Row],[CONCAT1]]="","",MATCH(NOTA[[#This Row],[CONCAT1]],[3]!db[NB NOTA_C],0))</f>
        <v>1802</v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>500 BOX</v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914" s="56" t="e">
        <f ca="1">IF(NOTA[[#This Row],[ID_H]]="","",MATCH(NOTA[[#This Row],[NB NOTA_C_QTY]],[4]!db[NB NOTA_C_QTY+F],0))</f>
        <v>#REF!</v>
      </c>
      <c r="AX914" s="68">
        <f ca="1">IF(NOTA[[#This Row],[NB NOTA_C_QTY]]="","",ROW()-2)</f>
        <v>912</v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>
        <f ca="1">IF(INDIRECT(ADDRESS(ROW()-1,COLUMN(NOTA[[#Headers],[ID]])))="ID",1,IF(NOTA[[#This Row],[FAKTUR]]="","",COUNT(INDIRECT(ADDRESS(ROW(NOTA[ID]),COLUMN(NOTA[ID]))&amp;":"&amp;ADDRESS(ROW()-1,COLUMN(NOTA[ID]))))+1))</f>
        <v>167</v>
      </c>
      <c r="B91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KEN_0702_162-2</v>
      </c>
      <c r="C916" s="56" t="e">
        <f ca="1">IF(NOTA[[#This Row],[ID_P]]="","",MATCH(NOTA[[#This Row],[ID_P]],[1]!B_MSK[N_ID],0))</f>
        <v>#REF!</v>
      </c>
      <c r="D916" s="56">
        <f ca="1">IF(NOTA[[#This Row],[NAMA BARANG]]="","",INDEX(NOTA[ID],MATCH(,INDIRECT(ADDRESS(ROW(NOTA[ID]),COLUMN(NOTA[ID]))&amp;":"&amp;ADDRESS(ROW(),COLUMN(NOTA[ID]))),-1)))</f>
        <v>167</v>
      </c>
      <c r="E916" s="57"/>
      <c r="F916" s="37" t="s">
        <v>22</v>
      </c>
      <c r="G916" s="37" t="s">
        <v>23</v>
      </c>
      <c r="H916" s="47" t="s">
        <v>970</v>
      </c>
      <c r="I916" s="58"/>
      <c r="J916" s="60">
        <v>45325</v>
      </c>
      <c r="K916" s="58">
        <v>0</v>
      </c>
      <c r="L916" s="37" t="s">
        <v>971</v>
      </c>
      <c r="M916" s="61">
        <v>1</v>
      </c>
      <c r="N916" s="56"/>
      <c r="O916" s="58"/>
      <c r="P916" s="55"/>
      <c r="Q916" s="62">
        <v>1310400</v>
      </c>
      <c r="R916" s="63"/>
      <c r="S916" s="64">
        <v>0.17</v>
      </c>
      <c r="T916" s="65"/>
      <c r="U916" s="65"/>
      <c r="V916" s="66"/>
      <c r="W916" s="67"/>
      <c r="X916" s="66">
        <f>IF(NOTA[[#This Row],[HARGA/ CTN]]="",NOTA[[#This Row],[JUMLAH_H]],NOTA[[#This Row],[HARGA/ CTN]]*IF(NOTA[[#This Row],[C]]="",0,NOTA[[#This Row],[C]]))</f>
        <v>1310400</v>
      </c>
      <c r="Y916" s="66">
        <f>IF(NOTA[[#This Row],[JUMLAH]]="","",NOTA[[#This Row],[JUMLAH]]*NOTA[[#This Row],[DISC 1]])</f>
        <v>222768.00000000003</v>
      </c>
      <c r="Z916" s="66">
        <f>IF(NOTA[[#This Row],[JUMLAH]]="","",(NOTA[[#This Row],[JUMLAH]]-NOTA[[#This Row],[DISC 1-]])*NOTA[[#This Row],[DISC 2]])</f>
        <v>0</v>
      </c>
      <c r="AA916" s="66">
        <f>IF(NOTA[[#This Row],[JUMLAH]]="","",(NOTA[[#This Row],[JUMLAH]]-NOTA[[#This Row],[DISC 1-]]-NOTA[[#This Row],[DISC 2-]])*NOTA[[#This Row],[DISC 3]])</f>
        <v>0</v>
      </c>
      <c r="AB916" s="66">
        <f>IF(NOTA[[#This Row],[JUMLAH]]="","",NOTA[[#This Row],[DISC 1-]]+NOTA[[#This Row],[DISC 2-]]+NOTA[[#This Row],[DISC 3-]])</f>
        <v>222768.00000000003</v>
      </c>
      <c r="AC916" s="66">
        <f>IF(NOTA[[#This Row],[JUMLAH]]="","",NOTA[[#This Row],[JUMLAH]]-NOTA[[#This Row],[DISC]])</f>
        <v>1087632</v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H916" s="66" t="str">
        <f>IF(OR(NOTA[[#This Row],[QTY]]="",NOTA[[#This Row],[HARGA SATUAN]]="",),"",NOTA[[#This Row],[QTY]]*NOTA[[#This Row],[HARGA SATUAN]])</f>
        <v/>
      </c>
      <c r="AI916" s="60">
        <f ca="1">IF(NOTA[ID_H]="","",INDEX(NOTA[TANGGAL],MATCH(,INDIRECT(ADDRESS(ROW(NOTA[TANGGAL]),COLUMN(NOTA[TANGGAL]))&amp;":"&amp;ADDRESS(ROW(),COLUMN(NOTA[TANGGAL]))),-1)))</f>
        <v>45329</v>
      </c>
      <c r="AJ916" s="55" t="str">
        <f ca="1">IF(NOTA[[#This Row],[NAMA BARANG]]="","",INDEX(NOTA[SUPPLIER],MATCH(,INDIRECT(ADDRESS(ROW(NOTA[ID]),COLUMN(NOTA[ID]))&amp;":"&amp;ADDRESS(ROW(),COLUMN(NOTA[ID]))),-1)))</f>
        <v>KENKO SINAR INDONESIA</v>
      </c>
      <c r="AK916" s="55" t="str">
        <f ca="1">IF(NOTA[[#This Row],[ID_H]]="","",IF(NOTA[[#This Row],[FAKTUR]]="",INDIRECT(ADDRESS(ROW()-1,COLUMN())),NOTA[[#This Row],[FAKTUR]]))</f>
        <v>ARTO MORO</v>
      </c>
      <c r="AL916" s="56">
        <f ca="1">IF(NOTA[[#This Row],[ID]]="","",COUNTIF(NOTA[ID_H],NOTA[[#This Row],[ID_H]]))</f>
        <v>2</v>
      </c>
      <c r="AM916" s="56">
        <f>IF(NOTA[[#This Row],[TGL.NOTA]]="",IF(NOTA[[#This Row],[SUPPLIER_H]]="","",AM915),MONTH(NOTA[[#This Row],[TGL.NOTA]]))</f>
        <v>2</v>
      </c>
      <c r="AN916" s="56" t="str">
        <f>LOWER(SUBSTITUTE(SUBSTITUTE(SUBSTITUTE(SUBSTITUTE(SUBSTITUTE(SUBSTITUTE(SUBSTITUTE(SUBSTITUTE(SUBSTITUTE(NOTA[NAMA BARANG]," ",),".",""),"-",""),"(",""),")",""),",",""),"/",""),"""",""),"+",""))</f>
        <v>kenkobindernotea5tscc80campus</v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kenkobindernotea5tscc80campus13104000.17</v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kenkobindernotea5tscc80campus13104000.17</v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MORO2402016245325kenkobindernotea5tscc80campus</v>
      </c>
      <c r="AR916" s="56" t="e">
        <f>IF(NOTA[[#This Row],[CONCAT4]]="","",_xlfn.IFNA(MATCH(NOTA[[#This Row],[CONCAT4]],[2]!RAW[CONCAT_H],0),FALSE))</f>
        <v>#REF!</v>
      </c>
      <c r="AS916" s="56" t="e">
        <f>IF(NOTA[[#This Row],[CONCAT1]]="","",MATCH(NOTA[[#This Row],[CONCAT1]],[3]!db[NB NOTA_C],0))</f>
        <v>#N/A</v>
      </c>
      <c r="AT916" s="56" t="str">
        <f>IF(NOTA[[#This Row],[QTY/ CTN]]="","",TRUE)</f>
        <v/>
      </c>
      <c r="AU916" s="56" t="e">
        <f ca="1">IF(NOTA[[#This Row],[ID_H]]="","",IF(NOTA[[#This Row],[Column3]]=TRUE,NOTA[[#This Row],[QTY/ CTN]],INDEX([3]!db[QTY/ CTN],NOTA[[#This Row],[//DB]])))</f>
        <v>#N/A</v>
      </c>
      <c r="AV916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916" s="56" t="e">
        <f ca="1">IF(NOTA[[#This Row],[ID_H]]="","",MATCH(NOTA[[#This Row],[NB NOTA_C_QTY]],[4]!db[NB NOTA_C_QTY+F],0))</f>
        <v>#N/A</v>
      </c>
      <c r="AX916" s="68" t="e">
        <f ca="1">IF(NOTA[[#This Row],[NB NOTA_C_QTY]]="","",ROW()-2)</f>
        <v>#N/A</v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>
        <f ca="1">IF(NOTA[[#This Row],[NAMA BARANG]]="","",INDEX(NOTA[ID],MATCH(,INDIRECT(ADDRESS(ROW(NOTA[ID]),COLUMN(NOTA[ID]))&amp;":"&amp;ADDRESS(ROW(),COLUMN(NOTA[ID]))),-1)))</f>
        <v>167</v>
      </c>
      <c r="E917" s="57"/>
      <c r="F917" s="58"/>
      <c r="G917" s="58"/>
      <c r="H917" s="59"/>
      <c r="I917" s="58"/>
      <c r="J917" s="60"/>
      <c r="K917" s="58"/>
      <c r="L917" s="37" t="s">
        <v>127</v>
      </c>
      <c r="M917" s="61">
        <v>1</v>
      </c>
      <c r="N917" s="56"/>
      <c r="O917" s="58"/>
      <c r="P917" s="55"/>
      <c r="Q917" s="62">
        <v>1560000</v>
      </c>
      <c r="R917" s="63"/>
      <c r="S917" s="64">
        <v>0.17</v>
      </c>
      <c r="T917" s="65"/>
      <c r="U917" s="65"/>
      <c r="V917" s="66"/>
      <c r="W917" s="67"/>
      <c r="X917" s="66">
        <f>IF(NOTA[[#This Row],[HARGA/ CTN]]="",NOTA[[#This Row],[JUMLAH_H]],NOTA[[#This Row],[HARGA/ CTN]]*IF(NOTA[[#This Row],[C]]="",0,NOTA[[#This Row],[C]]))</f>
        <v>1560000</v>
      </c>
      <c r="Y917" s="66">
        <f>IF(NOTA[[#This Row],[JUMLAH]]="","",NOTA[[#This Row],[JUMLAH]]*NOTA[[#This Row],[DISC 1]])</f>
        <v>265200</v>
      </c>
      <c r="Z917" s="66">
        <f>IF(NOTA[[#This Row],[JUMLAH]]="","",(NOTA[[#This Row],[JUMLAH]]-NOTA[[#This Row],[DISC 1-]])*NOTA[[#This Row],[DISC 2]])</f>
        <v>0</v>
      </c>
      <c r="AA917" s="66">
        <f>IF(NOTA[[#This Row],[JUMLAH]]="","",(NOTA[[#This Row],[JUMLAH]]-NOTA[[#This Row],[DISC 1-]]-NOTA[[#This Row],[DISC 2-]])*NOTA[[#This Row],[DISC 3]])</f>
        <v>0</v>
      </c>
      <c r="AB917" s="66">
        <f>IF(NOTA[[#This Row],[JUMLAH]]="","",NOTA[[#This Row],[DISC 1-]]+NOTA[[#This Row],[DISC 2-]]+NOTA[[#This Row],[DISC 3-]])</f>
        <v>265200</v>
      </c>
      <c r="AC917" s="66">
        <f>IF(NOTA[[#This Row],[JUMLAH]]="","",NOTA[[#This Row],[JUMLAH]]-NOTA[[#This Row],[DISC]])</f>
        <v>1294800</v>
      </c>
      <c r="AD917" s="66"/>
      <c r="AE9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487968</v>
      </c>
      <c r="AF9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2382432</v>
      </c>
      <c r="AG917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917" s="66" t="str">
        <f>IF(OR(NOTA[[#This Row],[QTY]]="",NOTA[[#This Row],[HARGA SATUAN]]="",),"",NOTA[[#This Row],[QTY]]*NOTA[[#This Row],[HARGA SATUAN]])</f>
        <v/>
      </c>
      <c r="AI917" s="60">
        <f ca="1">IF(NOTA[ID_H]="","",INDEX(NOTA[TANGGAL],MATCH(,INDIRECT(ADDRESS(ROW(NOTA[TANGGAL]),COLUMN(NOTA[TANGGAL]))&amp;":"&amp;ADDRESS(ROW(),COLUMN(NOTA[TANGGAL]))),-1)))</f>
        <v>45329</v>
      </c>
      <c r="AJ917" s="55" t="str">
        <f ca="1">IF(NOTA[[#This Row],[NAMA BARANG]]="","",INDEX(NOTA[SUPPLIER],MATCH(,INDIRECT(ADDRESS(ROW(NOTA[ID]),COLUMN(NOTA[ID]))&amp;":"&amp;ADDRESS(ROW(),COLUMN(NOTA[ID]))),-1)))</f>
        <v>KENKO SINAR INDONESIA</v>
      </c>
      <c r="AK917" s="55" t="str">
        <f ca="1">IF(NOTA[[#This Row],[ID_H]]="","",IF(NOTA[[#This Row],[FAKTUR]]="",INDIRECT(ADDRESS(ROW()-1,COLUMN())),NOTA[[#This Row],[FAKTUR]]))</f>
        <v>ARTO MORO</v>
      </c>
      <c r="AL917" s="56" t="str">
        <f ca="1">IF(NOTA[[#This Row],[ID]]="","",COUNTIF(NOTA[ID_H],NOTA[[#This Row],[ID_H]]))</f>
        <v/>
      </c>
      <c r="AM917" s="56">
        <f ca="1">IF(NOTA[[#This Row],[TGL.NOTA]]="",IF(NOTA[[#This Row],[SUPPLIER_H]]="","",AM916),MONTH(NOTA[[#This Row],[TGL.NOTA]]))</f>
        <v>2</v>
      </c>
      <c r="AN917" s="56" t="str">
        <f>LOWER(SUBSTITUTE(SUBSTITUTE(SUBSTITUTE(SUBSTITUTE(SUBSTITUTE(SUBSTITUTE(SUBSTITUTE(SUBSTITUTE(SUBSTITUTE(NOTA[NAMA BARANG]," ",),".",""),"-",""),"(",""),")",""),",",""),"/",""),"""",""),"+",""))</f>
        <v>kenkopunchno30xl</v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kenkopunchno30xl15600000.17</v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kenkopunchno30xl15600000.17</v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>
        <f>IF(NOTA[[#This Row],[CONCAT1]]="","",MATCH(NOTA[[#This Row],[CONCAT1]],[3]!db[NB NOTA_C],0))</f>
        <v>1747</v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>4 BOX (24 PCS)</v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917" s="56" t="e">
        <f ca="1">IF(NOTA[[#This Row],[ID_H]]="","",MATCH(NOTA[[#This Row],[NB NOTA_C_QTY]],[4]!db[NB NOTA_C_QTY+F],0))</f>
        <v>#REF!</v>
      </c>
      <c r="AX917" s="68">
        <f ca="1">IF(NOTA[[#This Row],[NB NOTA_C_QTY]]="","",ROW()-2)</f>
        <v>915</v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>
        <f ca="1">IF(INDIRECT(ADDRESS(ROW()-1,COLUMN(NOTA[[#Headers],[ID]])))="ID",1,IF(NOTA[[#This Row],[FAKTUR]]="","",COUNT(INDIRECT(ADDRESS(ROW(NOTA[ID]),COLUMN(NOTA[ID]))&amp;":"&amp;ADDRESS(ROW()-1,COLUMN(NOTA[ID]))))+1))</f>
        <v>168</v>
      </c>
      <c r="B9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KEN_0702_264-7</v>
      </c>
      <c r="C919" s="56" t="e">
        <f ca="1">IF(NOTA[[#This Row],[ID_P]]="","",MATCH(NOTA[[#This Row],[ID_P]],[1]!B_MSK[N_ID],0))</f>
        <v>#REF!</v>
      </c>
      <c r="D919" s="56">
        <f ca="1">IF(NOTA[[#This Row],[NAMA BARANG]]="","",INDEX(NOTA[ID],MATCH(,INDIRECT(ADDRESS(ROW(NOTA[ID]),COLUMN(NOTA[ID]))&amp;":"&amp;ADDRESS(ROW(),COLUMN(NOTA[ID]))),-1)))</f>
        <v>168</v>
      </c>
      <c r="E919" s="57"/>
      <c r="F919" s="37" t="s">
        <v>22</v>
      </c>
      <c r="G919" s="37" t="s">
        <v>23</v>
      </c>
      <c r="H919" s="47" t="s">
        <v>972</v>
      </c>
      <c r="I919" s="58"/>
      <c r="J919" s="60">
        <v>45325</v>
      </c>
      <c r="K919" s="58">
        <v>1</v>
      </c>
      <c r="L919" s="37" t="s">
        <v>148</v>
      </c>
      <c r="M919" s="61">
        <v>4</v>
      </c>
      <c r="N919" s="56"/>
      <c r="O919" s="58"/>
      <c r="P919" s="55"/>
      <c r="Q919" s="62">
        <v>5616000</v>
      </c>
      <c r="R919" s="63"/>
      <c r="S919" s="64">
        <v>0.17</v>
      </c>
      <c r="T919" s="65"/>
      <c r="U919" s="65"/>
      <c r="V919" s="66"/>
      <c r="W919" s="67"/>
      <c r="X919" s="66">
        <f>IF(NOTA[[#This Row],[HARGA/ CTN]]="",NOTA[[#This Row],[JUMLAH_H]],NOTA[[#This Row],[HARGA/ CTN]]*IF(NOTA[[#This Row],[C]]="",0,NOTA[[#This Row],[C]]))</f>
        <v>22464000</v>
      </c>
      <c r="Y919" s="66">
        <f>IF(NOTA[[#This Row],[JUMLAH]]="","",NOTA[[#This Row],[JUMLAH]]*NOTA[[#This Row],[DISC 1]])</f>
        <v>3818880.0000000005</v>
      </c>
      <c r="Z919" s="66">
        <f>IF(NOTA[[#This Row],[JUMLAH]]="","",(NOTA[[#This Row],[JUMLAH]]-NOTA[[#This Row],[DISC 1-]])*NOTA[[#This Row],[DISC 2]])</f>
        <v>0</v>
      </c>
      <c r="AA919" s="66">
        <f>IF(NOTA[[#This Row],[JUMLAH]]="","",(NOTA[[#This Row],[JUMLAH]]-NOTA[[#This Row],[DISC 1-]]-NOTA[[#This Row],[DISC 2-]])*NOTA[[#This Row],[DISC 3]])</f>
        <v>0</v>
      </c>
      <c r="AB919" s="66">
        <f>IF(NOTA[[#This Row],[JUMLAH]]="","",NOTA[[#This Row],[DISC 1-]]+NOTA[[#This Row],[DISC 2-]]+NOTA[[#This Row],[DISC 3-]])</f>
        <v>3818880.0000000005</v>
      </c>
      <c r="AC919" s="66">
        <f>IF(NOTA[[#This Row],[JUMLAH]]="","",NOTA[[#This Row],[JUMLAH]]-NOTA[[#This Row],[DISC]])</f>
        <v>18645120</v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919" s="66" t="str">
        <f>IF(OR(NOTA[[#This Row],[QTY]]="",NOTA[[#This Row],[HARGA SATUAN]]="",),"",NOTA[[#This Row],[QTY]]*NOTA[[#This Row],[HARGA SATUAN]])</f>
        <v/>
      </c>
      <c r="AI919" s="60">
        <f ca="1">IF(NOTA[ID_H]="","",INDEX(NOTA[TANGGAL],MATCH(,INDIRECT(ADDRESS(ROW(NOTA[TANGGAL]),COLUMN(NOTA[TANGGAL]))&amp;":"&amp;ADDRESS(ROW(),COLUMN(NOTA[TANGGAL]))),-1)))</f>
        <v>45329</v>
      </c>
      <c r="AJ919" s="55" t="str">
        <f ca="1">IF(NOTA[[#This Row],[NAMA BARANG]]="","",INDEX(NOTA[SUPPLIER],MATCH(,INDIRECT(ADDRESS(ROW(NOTA[ID]),COLUMN(NOTA[ID]))&amp;":"&amp;ADDRESS(ROW(),COLUMN(NOTA[ID]))),-1)))</f>
        <v>KENKO SINAR INDONESIA</v>
      </c>
      <c r="AK919" s="55" t="str">
        <f ca="1">IF(NOTA[[#This Row],[ID_H]]="","",IF(NOTA[[#This Row],[FAKTUR]]="",INDIRECT(ADDRESS(ROW()-1,COLUMN())),NOTA[[#This Row],[FAKTUR]]))</f>
        <v>ARTO MORO</v>
      </c>
      <c r="AL919" s="56">
        <f ca="1">IF(NOTA[[#This Row],[ID]]="","",COUNTIF(NOTA[ID_H],NOTA[[#This Row],[ID_H]]))</f>
        <v>7</v>
      </c>
      <c r="AM919" s="56">
        <f>IF(NOTA[[#This Row],[TGL.NOTA]]="",IF(NOTA[[#This Row],[SUPPLIER_H]]="","",AM918),MONTH(NOTA[[#This Row],[TGL.NOTA]]))</f>
        <v>2</v>
      </c>
      <c r="AN919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MORO2402026445325kenkogelpenhitechh028mmblack</v>
      </c>
      <c r="AR919" s="56" t="e">
        <f>IF(NOTA[[#This Row],[CONCAT4]]="","",_xlfn.IFNA(MATCH(NOTA[[#This Row],[CONCAT4]],[2]!RAW[CONCAT_H],0),FALSE))</f>
        <v>#REF!</v>
      </c>
      <c r="AS919" s="56">
        <f>IF(NOTA[[#This Row],[CONCAT1]]="","",MATCH(NOTA[[#This Row],[CONCAT1]],[3]!db[NB NOTA_C],0))</f>
        <v>1621</v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>144 LSN</v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919" s="56" t="e">
        <f ca="1">IF(NOTA[[#This Row],[ID_H]]="","",MATCH(NOTA[[#This Row],[NB NOTA_C_QTY]],[4]!db[NB NOTA_C_QTY+F],0))</f>
        <v>#REF!</v>
      </c>
      <c r="AX919" s="68">
        <f ca="1">IF(NOTA[[#This Row],[NB NOTA_C_QTY]]="","",ROW()-2)</f>
        <v>917</v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>
        <f ca="1">IF(NOTA[[#This Row],[NAMA BARANG]]="","",INDEX(NOTA[ID],MATCH(,INDIRECT(ADDRESS(ROW(NOTA[ID]),COLUMN(NOTA[ID]))&amp;":"&amp;ADDRESS(ROW(),COLUMN(NOTA[ID]))),-1)))</f>
        <v>168</v>
      </c>
      <c r="E920" s="57"/>
      <c r="F920" s="58"/>
      <c r="G920" s="58"/>
      <c r="H920" s="59"/>
      <c r="I920" s="58"/>
      <c r="J920" s="60"/>
      <c r="K920" s="58"/>
      <c r="L920" s="37" t="s">
        <v>149</v>
      </c>
      <c r="M920" s="61">
        <v>1</v>
      </c>
      <c r="N920" s="56"/>
      <c r="O920" s="58"/>
      <c r="P920" s="55"/>
      <c r="Q920" s="62">
        <v>5616000</v>
      </c>
      <c r="R920" s="63"/>
      <c r="S920" s="64">
        <v>0.17</v>
      </c>
      <c r="T920" s="65"/>
      <c r="U920" s="65"/>
      <c r="V920" s="66"/>
      <c r="W920" s="67"/>
      <c r="X920" s="66">
        <f>IF(NOTA[[#This Row],[HARGA/ CTN]]="",NOTA[[#This Row],[JUMLAH_H]],NOTA[[#This Row],[HARGA/ CTN]]*IF(NOTA[[#This Row],[C]]="",0,NOTA[[#This Row],[C]]))</f>
        <v>5616000</v>
      </c>
      <c r="Y920" s="66">
        <f>IF(NOTA[[#This Row],[JUMLAH]]="","",NOTA[[#This Row],[JUMLAH]]*NOTA[[#This Row],[DISC 1]])</f>
        <v>954720.00000000012</v>
      </c>
      <c r="Z920" s="66">
        <f>IF(NOTA[[#This Row],[JUMLAH]]="","",(NOTA[[#This Row],[JUMLAH]]-NOTA[[#This Row],[DISC 1-]])*NOTA[[#This Row],[DISC 2]])</f>
        <v>0</v>
      </c>
      <c r="AA920" s="66">
        <f>IF(NOTA[[#This Row],[JUMLAH]]="","",(NOTA[[#This Row],[JUMLAH]]-NOTA[[#This Row],[DISC 1-]]-NOTA[[#This Row],[DISC 2-]])*NOTA[[#This Row],[DISC 3]])</f>
        <v>0</v>
      </c>
      <c r="AB920" s="66">
        <f>IF(NOTA[[#This Row],[JUMLAH]]="","",NOTA[[#This Row],[DISC 1-]]+NOTA[[#This Row],[DISC 2-]]+NOTA[[#This Row],[DISC 3-]])</f>
        <v>954720.00000000012</v>
      </c>
      <c r="AC920" s="66">
        <f>IF(NOTA[[#This Row],[JUMLAH]]="","",NOTA[[#This Row],[JUMLAH]]-NOTA[[#This Row],[DISC]])</f>
        <v>4661280</v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920" s="66" t="str">
        <f>IF(OR(NOTA[[#This Row],[QTY]]="",NOTA[[#This Row],[HARGA SATUAN]]="",),"",NOTA[[#This Row],[QTY]]*NOTA[[#This Row],[HARGA SATUAN]])</f>
        <v/>
      </c>
      <c r="AI920" s="60">
        <f ca="1">IF(NOTA[ID_H]="","",INDEX(NOTA[TANGGAL],MATCH(,INDIRECT(ADDRESS(ROW(NOTA[TANGGAL]),COLUMN(NOTA[TANGGAL]))&amp;":"&amp;ADDRESS(ROW(),COLUMN(NOTA[TANGGAL]))),-1)))</f>
        <v>45329</v>
      </c>
      <c r="AJ920" s="55" t="str">
        <f ca="1">IF(NOTA[[#This Row],[NAMA BARANG]]="","",INDEX(NOTA[SUPPLIER],MATCH(,INDIRECT(ADDRESS(ROW(NOTA[ID]),COLUMN(NOTA[ID]))&amp;":"&amp;ADDRESS(ROW(),COLUMN(NOTA[ID]))),-1)))</f>
        <v>KENKO SINAR INDONESIA</v>
      </c>
      <c r="AK920" s="55" t="str">
        <f ca="1">IF(NOTA[[#This Row],[ID_H]]="","",IF(NOTA[[#This Row],[FAKTUR]]="",INDIRECT(ADDRESS(ROW()-1,COLUMN())),NOTA[[#This Row],[FAKTUR]]))</f>
        <v>ARTO MORO</v>
      </c>
      <c r="AL920" s="56" t="str">
        <f ca="1">IF(NOTA[[#This Row],[ID]]="","",COUNTIF(NOTA[ID_H],NOTA[[#This Row],[ID_H]]))</f>
        <v/>
      </c>
      <c r="AM920" s="56">
        <f ca="1">IF(NOTA[[#This Row],[TGL.NOTA]]="",IF(NOTA[[#This Row],[SUPPLIER_H]]="","",AM919),MONTH(NOTA[[#This Row],[TGL.NOTA]]))</f>
        <v>2</v>
      </c>
      <c r="AN920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>
        <f>IF(NOTA[[#This Row],[CONCAT1]]="","",MATCH(NOTA[[#This Row],[CONCAT1]],[3]!db[NB NOTA_C],0))</f>
        <v>1622</v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>144 LSN</v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920" s="56" t="e">
        <f ca="1">IF(NOTA[[#This Row],[ID_H]]="","",MATCH(NOTA[[#This Row],[NB NOTA_C_QTY]],[4]!db[NB NOTA_C_QTY+F],0))</f>
        <v>#REF!</v>
      </c>
      <c r="AX920" s="68">
        <f ca="1">IF(NOTA[[#This Row],[NB NOTA_C_QTY]]="","",ROW()-2)</f>
        <v>918</v>
      </c>
    </row>
    <row r="921" spans="1:50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>
        <f ca="1">IF(NOTA[[#This Row],[NAMA BARANG]]="","",INDEX(NOTA[ID],MATCH(,INDIRECT(ADDRESS(ROW(NOTA[ID]),COLUMN(NOTA[ID]))&amp;":"&amp;ADDRESS(ROW(),COLUMN(NOTA[ID]))),-1)))</f>
        <v>168</v>
      </c>
      <c r="E921" s="57"/>
      <c r="F921" s="58"/>
      <c r="G921" s="58"/>
      <c r="H921" s="59"/>
      <c r="I921" s="58"/>
      <c r="J921" s="60"/>
      <c r="K921" s="58">
        <v>0</v>
      </c>
      <c r="L921" s="37" t="s">
        <v>976</v>
      </c>
      <c r="M921" s="61">
        <v>2</v>
      </c>
      <c r="N921" s="56"/>
      <c r="O921" s="58"/>
      <c r="P921" s="55"/>
      <c r="Q921" s="62">
        <v>504000</v>
      </c>
      <c r="R921" s="63"/>
      <c r="S921" s="64">
        <v>0.17</v>
      </c>
      <c r="T921" s="65"/>
      <c r="U921" s="65"/>
      <c r="V921" s="66"/>
      <c r="W921" s="67"/>
      <c r="X921" s="66">
        <f>IF(NOTA[[#This Row],[HARGA/ CTN]]="",NOTA[[#This Row],[JUMLAH_H]],NOTA[[#This Row],[HARGA/ CTN]]*IF(NOTA[[#This Row],[C]]="",0,NOTA[[#This Row],[C]]))</f>
        <v>1008000</v>
      </c>
      <c r="Y921" s="66">
        <f>IF(NOTA[[#This Row],[JUMLAH]]="","",NOTA[[#This Row],[JUMLAH]]*NOTA[[#This Row],[DISC 1]])</f>
        <v>171360</v>
      </c>
      <c r="Z921" s="66">
        <f>IF(NOTA[[#This Row],[JUMLAH]]="","",(NOTA[[#This Row],[JUMLAH]]-NOTA[[#This Row],[DISC 1-]])*NOTA[[#This Row],[DISC 2]])</f>
        <v>0</v>
      </c>
      <c r="AA921" s="66">
        <f>IF(NOTA[[#This Row],[JUMLAH]]="","",(NOTA[[#This Row],[JUMLAH]]-NOTA[[#This Row],[DISC 1-]]-NOTA[[#This Row],[DISC 2-]])*NOTA[[#This Row],[DISC 3]])</f>
        <v>0</v>
      </c>
      <c r="AB921" s="66">
        <f>IF(NOTA[[#This Row],[JUMLAH]]="","",NOTA[[#This Row],[DISC 1-]]+NOTA[[#This Row],[DISC 2-]]+NOTA[[#This Row],[DISC 3-]])</f>
        <v>171360</v>
      </c>
      <c r="AC921" s="66">
        <f>IF(NOTA[[#This Row],[JUMLAH]]="","",NOTA[[#This Row],[JUMLAH]]-NOTA[[#This Row],[DISC]])</f>
        <v>836640</v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921" s="66" t="str">
        <f>IF(OR(NOTA[[#This Row],[QTY]]="",NOTA[[#This Row],[HARGA SATUAN]]="",),"",NOTA[[#This Row],[QTY]]*NOTA[[#This Row],[HARGA SATUAN]])</f>
        <v/>
      </c>
      <c r="AI921" s="60">
        <f ca="1">IF(NOTA[ID_H]="","",INDEX(NOTA[TANGGAL],MATCH(,INDIRECT(ADDRESS(ROW(NOTA[TANGGAL]),COLUMN(NOTA[TANGGAL]))&amp;":"&amp;ADDRESS(ROW(),COLUMN(NOTA[TANGGAL]))),-1)))</f>
        <v>45329</v>
      </c>
      <c r="AJ921" s="55" t="str">
        <f ca="1">IF(NOTA[[#This Row],[NAMA BARANG]]="","",INDEX(NOTA[SUPPLIER],MATCH(,INDIRECT(ADDRESS(ROW(NOTA[ID]),COLUMN(NOTA[ID]))&amp;":"&amp;ADDRESS(ROW(),COLUMN(NOTA[ID]))),-1)))</f>
        <v>KENKO SINAR INDONESIA</v>
      </c>
      <c r="AK921" s="55" t="str">
        <f ca="1">IF(NOTA[[#This Row],[ID_H]]="","",IF(NOTA[[#This Row],[FAKTUR]]="",INDIRECT(ADDRESS(ROW()-1,COLUMN())),NOTA[[#This Row],[FAKTUR]]))</f>
        <v>ARTO MORO</v>
      </c>
      <c r="AL921" s="56" t="str">
        <f ca="1">IF(NOTA[[#This Row],[ID]]="","",COUNTIF(NOTA[ID_H],NOTA[[#This Row],[ID_H]]))</f>
        <v/>
      </c>
      <c r="AM921" s="56">
        <f ca="1">IF(NOTA[[#This Row],[TGL.NOTA]]="",IF(NOTA[[#This Row],[SUPPLIER_H]]="","",AM920),MONTH(NOTA[[#This Row],[TGL.NOTA]]))</f>
        <v>2</v>
      </c>
      <c r="AN921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>
        <f>IF(NOTA[[#This Row],[CONCAT1]]="","",MATCH(NOTA[[#This Row],[CONCAT1]],[3]!db[NB NOTA_C],0))</f>
        <v>1671</v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>6 PCS</v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921" s="56" t="e">
        <f ca="1">IF(NOTA[[#This Row],[ID_H]]="","",MATCH(NOTA[[#This Row],[NB NOTA_C_QTY]],[4]!db[NB NOTA_C_QTY+F],0))</f>
        <v>#REF!</v>
      </c>
      <c r="AX921" s="68">
        <f ca="1">IF(NOTA[[#This Row],[NB NOTA_C_QTY]]="","",ROW()-2)</f>
        <v>919</v>
      </c>
    </row>
    <row r="922" spans="1:50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>
        <f ca="1">IF(NOTA[[#This Row],[NAMA BARANG]]="","",INDEX(NOTA[ID],MATCH(,INDIRECT(ADDRESS(ROW(NOTA[ID]),COLUMN(NOTA[ID]))&amp;":"&amp;ADDRESS(ROW(),COLUMN(NOTA[ID]))),-1)))</f>
        <v>168</v>
      </c>
      <c r="E922" s="57"/>
      <c r="F922" s="58"/>
      <c r="G922" s="58"/>
      <c r="H922" s="59"/>
      <c r="I922" s="58"/>
      <c r="J922" s="60"/>
      <c r="K922" s="58">
        <v>0</v>
      </c>
      <c r="L922" s="37" t="s">
        <v>973</v>
      </c>
      <c r="M922" s="61">
        <v>2</v>
      </c>
      <c r="N922" s="56"/>
      <c r="O922" s="58"/>
      <c r="P922" s="55"/>
      <c r="Q922" s="62">
        <v>1375000</v>
      </c>
      <c r="R922" s="63"/>
      <c r="S922" s="64">
        <v>0.17</v>
      </c>
      <c r="T922" s="65"/>
      <c r="U922" s="65"/>
      <c r="V922" s="66"/>
      <c r="W922" s="67"/>
      <c r="X922" s="66">
        <f>IF(NOTA[[#This Row],[HARGA/ CTN]]="",NOTA[[#This Row],[JUMLAH_H]],NOTA[[#This Row],[HARGA/ CTN]]*IF(NOTA[[#This Row],[C]]="",0,NOTA[[#This Row],[C]]))</f>
        <v>2750000</v>
      </c>
      <c r="Y922" s="66">
        <f>IF(NOTA[[#This Row],[JUMLAH]]="","",NOTA[[#This Row],[JUMLAH]]*NOTA[[#This Row],[DISC 1]])</f>
        <v>467500.00000000006</v>
      </c>
      <c r="Z922" s="66">
        <f>IF(NOTA[[#This Row],[JUMLAH]]="","",(NOTA[[#This Row],[JUMLAH]]-NOTA[[#This Row],[DISC 1-]])*NOTA[[#This Row],[DISC 2]])</f>
        <v>0</v>
      </c>
      <c r="AA922" s="66">
        <f>IF(NOTA[[#This Row],[JUMLAH]]="","",(NOTA[[#This Row],[JUMLAH]]-NOTA[[#This Row],[DISC 1-]]-NOTA[[#This Row],[DISC 2-]])*NOTA[[#This Row],[DISC 3]])</f>
        <v>0</v>
      </c>
      <c r="AB922" s="66">
        <f>IF(NOTA[[#This Row],[JUMLAH]]="","",NOTA[[#This Row],[DISC 1-]]+NOTA[[#This Row],[DISC 2-]]+NOTA[[#This Row],[DISC 3-]])</f>
        <v>467500.00000000006</v>
      </c>
      <c r="AC922" s="66">
        <f>IF(NOTA[[#This Row],[JUMLAH]]="","",NOTA[[#This Row],[JUMLAH]]-NOTA[[#This Row],[DISC]])</f>
        <v>2282500</v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922" s="66" t="str">
        <f>IF(OR(NOTA[[#This Row],[QTY]]="",NOTA[[#This Row],[HARGA SATUAN]]="",),"",NOTA[[#This Row],[QTY]]*NOTA[[#This Row],[HARGA SATUAN]])</f>
        <v/>
      </c>
      <c r="AI922" s="60">
        <f ca="1">IF(NOTA[ID_H]="","",INDEX(NOTA[TANGGAL],MATCH(,INDIRECT(ADDRESS(ROW(NOTA[TANGGAL]),COLUMN(NOTA[TANGGAL]))&amp;":"&amp;ADDRESS(ROW(),COLUMN(NOTA[TANGGAL]))),-1)))</f>
        <v>45329</v>
      </c>
      <c r="AJ922" s="55" t="str">
        <f ca="1">IF(NOTA[[#This Row],[NAMA BARANG]]="","",INDEX(NOTA[SUPPLIER],MATCH(,INDIRECT(ADDRESS(ROW(NOTA[ID]),COLUMN(NOTA[ID]))&amp;":"&amp;ADDRESS(ROW(),COLUMN(NOTA[ID]))),-1)))</f>
        <v>KENKO SINAR INDONESIA</v>
      </c>
      <c r="AK922" s="55" t="str">
        <f ca="1">IF(NOTA[[#This Row],[ID_H]]="","",IF(NOTA[[#This Row],[FAKTUR]]="",INDIRECT(ADDRESS(ROW()-1,COLUMN())),NOTA[[#This Row],[FAKTUR]]))</f>
        <v>ARTO MORO</v>
      </c>
      <c r="AL922" s="56" t="str">
        <f ca="1">IF(NOTA[[#This Row],[ID]]="","",COUNTIF(NOTA[ID_H],NOTA[[#This Row],[ID_H]]))</f>
        <v/>
      </c>
      <c r="AM922" s="56">
        <f ca="1">IF(NOTA[[#This Row],[TGL.NOTA]]="",IF(NOTA[[#This Row],[SUPPLIER_H]]="","",AM921),MONTH(NOTA[[#This Row],[TGL.NOTA]]))</f>
        <v>2</v>
      </c>
      <c r="AN922" s="5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>
        <f>IF(NOTA[[#This Row],[CONCAT1]]="","",MATCH(NOTA[[#This Row],[CONCAT1]],[3]!db[NB NOTA_C],0))</f>
        <v>1613</v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>50 BOX</v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W922" s="56" t="e">
        <f ca="1">IF(NOTA[[#This Row],[ID_H]]="","",MATCH(NOTA[[#This Row],[NB NOTA_C_QTY]],[4]!db[NB NOTA_C_QTY+F],0))</f>
        <v>#REF!</v>
      </c>
      <c r="AX922" s="68">
        <f ca="1">IF(NOTA[[#This Row],[NB NOTA_C_QTY]]="","",ROW()-2)</f>
        <v>920</v>
      </c>
    </row>
    <row r="923" spans="1:50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>
        <f ca="1">IF(NOTA[[#This Row],[NAMA BARANG]]="","",INDEX(NOTA[ID],MATCH(,INDIRECT(ADDRESS(ROW(NOTA[ID]),COLUMN(NOTA[ID]))&amp;":"&amp;ADDRESS(ROW(),COLUMN(NOTA[ID]))),-1)))</f>
        <v>168</v>
      </c>
      <c r="E923" s="57"/>
      <c r="F923" s="58"/>
      <c r="G923" s="58"/>
      <c r="H923" s="59"/>
      <c r="I923" s="58"/>
      <c r="J923" s="60"/>
      <c r="K923" s="58">
        <v>0</v>
      </c>
      <c r="L923" s="37" t="s">
        <v>974</v>
      </c>
      <c r="M923" s="61">
        <v>1</v>
      </c>
      <c r="N923" s="56"/>
      <c r="O923" s="58"/>
      <c r="P923" s="55"/>
      <c r="Q923" s="62">
        <v>1375000</v>
      </c>
      <c r="R923" s="63"/>
      <c r="S923" s="64">
        <v>0.17</v>
      </c>
      <c r="T923" s="65"/>
      <c r="U923" s="65"/>
      <c r="V923" s="66"/>
      <c r="W923" s="67"/>
      <c r="X923" s="66">
        <f>IF(NOTA[[#This Row],[HARGA/ CTN]]="",NOTA[[#This Row],[JUMLAH_H]],NOTA[[#This Row],[HARGA/ CTN]]*IF(NOTA[[#This Row],[C]]="",0,NOTA[[#This Row],[C]]))</f>
        <v>1375000</v>
      </c>
      <c r="Y923" s="66">
        <f>IF(NOTA[[#This Row],[JUMLAH]]="","",NOTA[[#This Row],[JUMLAH]]*NOTA[[#This Row],[DISC 1]])</f>
        <v>233750.00000000003</v>
      </c>
      <c r="Z923" s="66">
        <f>IF(NOTA[[#This Row],[JUMLAH]]="","",(NOTA[[#This Row],[JUMLAH]]-NOTA[[#This Row],[DISC 1-]])*NOTA[[#This Row],[DISC 2]])</f>
        <v>0</v>
      </c>
      <c r="AA923" s="66">
        <f>IF(NOTA[[#This Row],[JUMLAH]]="","",(NOTA[[#This Row],[JUMLAH]]-NOTA[[#This Row],[DISC 1-]]-NOTA[[#This Row],[DISC 2-]])*NOTA[[#This Row],[DISC 3]])</f>
        <v>0</v>
      </c>
      <c r="AB923" s="66">
        <f>IF(NOTA[[#This Row],[JUMLAH]]="","",NOTA[[#This Row],[DISC 1-]]+NOTA[[#This Row],[DISC 2-]]+NOTA[[#This Row],[DISC 3-]])</f>
        <v>233750.00000000003</v>
      </c>
      <c r="AC923" s="66">
        <f>IF(NOTA[[#This Row],[JUMLAH]]="","",NOTA[[#This Row],[JUMLAH]]-NOTA[[#This Row],[DISC]])</f>
        <v>1141250</v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923" s="66" t="str">
        <f>IF(OR(NOTA[[#This Row],[QTY]]="",NOTA[[#This Row],[HARGA SATUAN]]="",),"",NOTA[[#This Row],[QTY]]*NOTA[[#This Row],[HARGA SATUAN]])</f>
        <v/>
      </c>
      <c r="AI923" s="60">
        <f ca="1">IF(NOTA[ID_H]="","",INDEX(NOTA[TANGGAL],MATCH(,INDIRECT(ADDRESS(ROW(NOTA[TANGGAL]),COLUMN(NOTA[TANGGAL]))&amp;":"&amp;ADDRESS(ROW(),COLUMN(NOTA[TANGGAL]))),-1)))</f>
        <v>45329</v>
      </c>
      <c r="AJ923" s="55" t="str">
        <f ca="1">IF(NOTA[[#This Row],[NAMA BARANG]]="","",INDEX(NOTA[SUPPLIER],MATCH(,INDIRECT(ADDRESS(ROW(NOTA[ID]),COLUMN(NOTA[ID]))&amp;":"&amp;ADDRESS(ROW(),COLUMN(NOTA[ID]))),-1)))</f>
        <v>KENKO SINAR INDONESIA</v>
      </c>
      <c r="AK923" s="55" t="str">
        <f ca="1">IF(NOTA[[#This Row],[ID_H]]="","",IF(NOTA[[#This Row],[FAKTUR]]="",INDIRECT(ADDRESS(ROW()-1,COLUMN())),NOTA[[#This Row],[FAKTUR]]))</f>
        <v>ARTO MORO</v>
      </c>
      <c r="AL923" s="56" t="str">
        <f ca="1">IF(NOTA[[#This Row],[ID]]="","",COUNTIF(NOTA[ID_H],NOTA[[#This Row],[ID_H]]))</f>
        <v/>
      </c>
      <c r="AM923" s="56">
        <f ca="1">IF(NOTA[[#This Row],[TGL.NOTA]]="",IF(NOTA[[#This Row],[SUPPLIER_H]]="","",AM922),MONTH(NOTA[[#This Row],[TGL.NOTA]]))</f>
        <v>2</v>
      </c>
      <c r="AN923" s="56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>
        <f>IF(NOTA[[#This Row],[CONCAT1]]="","",MATCH(NOTA[[#This Row],[CONCAT1]],[3]!db[NB NOTA_C],0))</f>
        <v>1612</v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>50 BOX</v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W923" s="56" t="e">
        <f ca="1">IF(NOTA[[#This Row],[ID_H]]="","",MATCH(NOTA[[#This Row],[NB NOTA_C_QTY]],[4]!db[NB NOTA_C_QTY+F],0))</f>
        <v>#REF!</v>
      </c>
      <c r="AX923" s="68">
        <f ca="1">IF(NOTA[[#This Row],[NB NOTA_C_QTY]]="","",ROW()-2)</f>
        <v>921</v>
      </c>
    </row>
    <row r="924" spans="1:50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>
        <f ca="1">IF(NOTA[[#This Row],[NAMA BARANG]]="","",INDEX(NOTA[ID],MATCH(,INDIRECT(ADDRESS(ROW(NOTA[ID]),COLUMN(NOTA[ID]))&amp;":"&amp;ADDRESS(ROW(),COLUMN(NOTA[ID]))),-1)))</f>
        <v>168</v>
      </c>
      <c r="E924" s="57"/>
      <c r="F924" s="58"/>
      <c r="G924" s="58"/>
      <c r="H924" s="59"/>
      <c r="I924" s="58"/>
      <c r="J924" s="60"/>
      <c r="K924" s="58">
        <v>1</v>
      </c>
      <c r="L924" s="37" t="s">
        <v>977</v>
      </c>
      <c r="M924" s="61">
        <v>3</v>
      </c>
      <c r="N924" s="56"/>
      <c r="O924" s="58"/>
      <c r="P924" s="55"/>
      <c r="Q924" s="62">
        <v>1050000</v>
      </c>
      <c r="R924" s="63"/>
      <c r="S924" s="64">
        <v>0.17</v>
      </c>
      <c r="T924" s="65"/>
      <c r="U924" s="65"/>
      <c r="V924" s="66"/>
      <c r="W924" s="67"/>
      <c r="X924" s="66">
        <f>IF(NOTA[[#This Row],[HARGA/ CTN]]="",NOTA[[#This Row],[JUMLAH_H]],NOTA[[#This Row],[HARGA/ CTN]]*IF(NOTA[[#This Row],[C]]="",0,NOTA[[#This Row],[C]]))</f>
        <v>3150000</v>
      </c>
      <c r="Y924" s="66">
        <f>IF(NOTA[[#This Row],[JUMLAH]]="","",NOTA[[#This Row],[JUMLAH]]*NOTA[[#This Row],[DISC 1]])</f>
        <v>535500</v>
      </c>
      <c r="Z924" s="66">
        <f>IF(NOTA[[#This Row],[JUMLAH]]="","",(NOTA[[#This Row],[JUMLAH]]-NOTA[[#This Row],[DISC 1-]])*NOTA[[#This Row],[DISC 2]])</f>
        <v>0</v>
      </c>
      <c r="AA924" s="66">
        <f>IF(NOTA[[#This Row],[JUMLAH]]="","",(NOTA[[#This Row],[JUMLAH]]-NOTA[[#This Row],[DISC 1-]]-NOTA[[#This Row],[DISC 2-]])*NOTA[[#This Row],[DISC 3]])</f>
        <v>0</v>
      </c>
      <c r="AB924" s="66">
        <f>IF(NOTA[[#This Row],[JUMLAH]]="","",NOTA[[#This Row],[DISC 1-]]+NOTA[[#This Row],[DISC 2-]]+NOTA[[#This Row],[DISC 3-]])</f>
        <v>535500</v>
      </c>
      <c r="AC924" s="66">
        <f>IF(NOTA[[#This Row],[JUMLAH]]="","",NOTA[[#This Row],[JUMLAH]]-NOTA[[#This Row],[DISC]])</f>
        <v>2614500</v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924" s="66" t="str">
        <f>IF(OR(NOTA[[#This Row],[QTY]]="",NOTA[[#This Row],[HARGA SATUAN]]="",),"",NOTA[[#This Row],[QTY]]*NOTA[[#This Row],[HARGA SATUAN]])</f>
        <v/>
      </c>
      <c r="AI924" s="60">
        <f ca="1">IF(NOTA[ID_H]="","",INDEX(NOTA[TANGGAL],MATCH(,INDIRECT(ADDRESS(ROW(NOTA[TANGGAL]),COLUMN(NOTA[TANGGAL]))&amp;":"&amp;ADDRESS(ROW(),COLUMN(NOTA[TANGGAL]))),-1)))</f>
        <v>45329</v>
      </c>
      <c r="AJ924" s="55" t="str">
        <f ca="1">IF(NOTA[[#This Row],[NAMA BARANG]]="","",INDEX(NOTA[SUPPLIER],MATCH(,INDIRECT(ADDRESS(ROW(NOTA[ID]),COLUMN(NOTA[ID]))&amp;":"&amp;ADDRESS(ROW(),COLUMN(NOTA[ID]))),-1)))</f>
        <v>KENKO SINAR INDONESIA</v>
      </c>
      <c r="AK924" s="55" t="str">
        <f ca="1">IF(NOTA[[#This Row],[ID_H]]="","",IF(NOTA[[#This Row],[FAKTUR]]="",INDIRECT(ADDRESS(ROW()-1,COLUMN())),NOTA[[#This Row],[FAKTUR]]))</f>
        <v>ARTO MORO</v>
      </c>
      <c r="AL924" s="56" t="str">
        <f ca="1">IF(NOTA[[#This Row],[ID]]="","",COUNTIF(NOTA[ID_H],NOTA[[#This Row],[ID_H]]))</f>
        <v/>
      </c>
      <c r="AM924" s="56">
        <f ca="1">IF(NOTA[[#This Row],[TGL.NOTA]]="",IF(NOTA[[#This Row],[SUPPLIER_H]]="","",AM923),MONTH(NOTA[[#This Row],[TGL.NOTA]]))</f>
        <v>2</v>
      </c>
      <c r="AN924" s="56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O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P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4" s="56" t="str">
        <f>IF(NOTA[[#This Row],[CONCAT4]]="","",_xlfn.IFNA(MATCH(NOTA[[#This Row],[CONCAT4]],[2]!RAW[CONCAT_H],0),FALSE))</f>
        <v/>
      </c>
      <c r="AS924" s="56">
        <f>IF(NOTA[[#This Row],[CONCAT1]]="","",MATCH(NOTA[[#This Row],[CONCAT1]],[3]!db[NB NOTA_C],0))</f>
        <v>1741</v>
      </c>
      <c r="AT924" s="56" t="str">
        <f>IF(NOTA[[#This Row],[QTY/ CTN]]="","",TRUE)</f>
        <v/>
      </c>
      <c r="AU924" s="56" t="str">
        <f ca="1">IF(NOTA[[#This Row],[ID_H]]="","",IF(NOTA[[#This Row],[Column3]]=TRUE,NOTA[[#This Row],[QTY/ CTN]],INDEX([3]!db[QTY/ CTN],NOTA[[#This Row],[//DB]])))</f>
        <v>50 TUB</v>
      </c>
      <c r="AV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W924" s="56" t="e">
        <f ca="1">IF(NOTA[[#This Row],[ID_H]]="","",MATCH(NOTA[[#This Row],[NB NOTA_C_QTY]],[4]!db[NB NOTA_C_QTY+F],0))</f>
        <v>#REF!</v>
      </c>
      <c r="AX924" s="68">
        <f ca="1">IF(NOTA[[#This Row],[NB NOTA_C_QTY]]="","",ROW()-2)</f>
        <v>922</v>
      </c>
    </row>
    <row r="925" spans="1:50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>
        <f ca="1">IF(NOTA[[#This Row],[NAMA BARANG]]="","",INDEX(NOTA[ID],MATCH(,INDIRECT(ADDRESS(ROW(NOTA[ID]),COLUMN(NOTA[ID]))&amp;":"&amp;ADDRESS(ROW(),COLUMN(NOTA[ID]))),-1)))</f>
        <v>168</v>
      </c>
      <c r="E925" s="57"/>
      <c r="F925" s="58"/>
      <c r="G925" s="58"/>
      <c r="H925" s="59"/>
      <c r="I925" s="58"/>
      <c r="J925" s="60"/>
      <c r="K925" s="58">
        <v>0</v>
      </c>
      <c r="L925" s="37" t="s">
        <v>975</v>
      </c>
      <c r="M925" s="61">
        <v>1</v>
      </c>
      <c r="N925" s="56"/>
      <c r="O925" s="58"/>
      <c r="P925" s="55"/>
      <c r="Q925" s="62">
        <v>1464000</v>
      </c>
      <c r="R925" s="63"/>
      <c r="S925" s="64">
        <v>0.17</v>
      </c>
      <c r="T925" s="65"/>
      <c r="U925" s="65"/>
      <c r="V925" s="66"/>
      <c r="W925" s="67"/>
      <c r="X925" s="66">
        <f>IF(NOTA[[#This Row],[HARGA/ CTN]]="",NOTA[[#This Row],[JUMLAH_H]],NOTA[[#This Row],[HARGA/ CTN]]*IF(NOTA[[#This Row],[C]]="",0,NOTA[[#This Row],[C]]))</f>
        <v>1464000</v>
      </c>
      <c r="Y925" s="66">
        <f>IF(NOTA[[#This Row],[JUMLAH]]="","",NOTA[[#This Row],[JUMLAH]]*NOTA[[#This Row],[DISC 1]])</f>
        <v>248880.00000000003</v>
      </c>
      <c r="Z925" s="66">
        <f>IF(NOTA[[#This Row],[JUMLAH]]="","",(NOTA[[#This Row],[JUMLAH]]-NOTA[[#This Row],[DISC 1-]])*NOTA[[#This Row],[DISC 2]])</f>
        <v>0</v>
      </c>
      <c r="AA925" s="66">
        <f>IF(NOTA[[#This Row],[JUMLAH]]="","",(NOTA[[#This Row],[JUMLAH]]-NOTA[[#This Row],[DISC 1-]]-NOTA[[#This Row],[DISC 2-]])*NOTA[[#This Row],[DISC 3]])</f>
        <v>0</v>
      </c>
      <c r="AB925" s="66">
        <f>IF(NOTA[[#This Row],[JUMLAH]]="","",NOTA[[#This Row],[DISC 1-]]+NOTA[[#This Row],[DISC 2-]]+NOTA[[#This Row],[DISC 3-]])</f>
        <v>248880.00000000003</v>
      </c>
      <c r="AC925" s="66">
        <f>IF(NOTA[[#This Row],[JUMLAH]]="","",NOTA[[#This Row],[JUMLAH]]-NOTA[[#This Row],[DISC]])</f>
        <v>1215120</v>
      </c>
      <c r="AD925" s="66"/>
      <c r="AE9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6430590.0000000009</v>
      </c>
      <c r="AF9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31396410</v>
      </c>
      <c r="AG925" s="55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H925" s="66" t="str">
        <f>IF(OR(NOTA[[#This Row],[QTY]]="",NOTA[[#This Row],[HARGA SATUAN]]="",),"",NOTA[[#This Row],[QTY]]*NOTA[[#This Row],[HARGA SATUAN]])</f>
        <v/>
      </c>
      <c r="AI925" s="60">
        <f ca="1">IF(NOTA[ID_H]="","",INDEX(NOTA[TANGGAL],MATCH(,INDIRECT(ADDRESS(ROW(NOTA[TANGGAL]),COLUMN(NOTA[TANGGAL]))&amp;":"&amp;ADDRESS(ROW(),COLUMN(NOTA[TANGGAL]))),-1)))</f>
        <v>45329</v>
      </c>
      <c r="AJ925" s="55" t="str">
        <f ca="1">IF(NOTA[[#This Row],[NAMA BARANG]]="","",INDEX(NOTA[SUPPLIER],MATCH(,INDIRECT(ADDRESS(ROW(NOTA[ID]),COLUMN(NOTA[ID]))&amp;":"&amp;ADDRESS(ROW(),COLUMN(NOTA[ID]))),-1)))</f>
        <v>KENKO SINAR INDONESIA</v>
      </c>
      <c r="AK925" s="55" t="str">
        <f ca="1">IF(NOTA[[#This Row],[ID_H]]="","",IF(NOTA[[#This Row],[FAKTUR]]="",INDIRECT(ADDRESS(ROW()-1,COLUMN())),NOTA[[#This Row],[FAKTUR]]))</f>
        <v>ARTO MORO</v>
      </c>
      <c r="AL925" s="56" t="str">
        <f ca="1">IF(NOTA[[#This Row],[ID]]="","",COUNTIF(NOTA[ID_H],NOTA[[#This Row],[ID_H]]))</f>
        <v/>
      </c>
      <c r="AM925" s="56">
        <f ca="1">IF(NOTA[[#This Row],[TGL.NOTA]]="",IF(NOTA[[#This Row],[SUPPLIER_H]]="","",AM924),MONTH(NOTA[[#This Row],[TGL.NOTA]]))</f>
        <v>2</v>
      </c>
      <c r="AN925" s="56" t="str">
        <f>LOWER(SUBSTITUTE(SUBSTITUTE(SUBSTITUTE(SUBSTITUTE(SUBSTITUTE(SUBSTITUTE(SUBSTITUTE(SUBSTITUTE(SUBSTITUTE(NOTA[NAMA BARANG]," ",),".",""),"-",""),"(",""),")",""),",",""),"/",""),"""",""),"+",""))</f>
        <v>kenkohighlighterhl100purple</v>
      </c>
      <c r="AO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kenkohighlighterhl100purple14640000.17</v>
      </c>
      <c r="AP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kenkohighlighterhl100purple14640000.17</v>
      </c>
      <c r="AQ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5" s="56" t="str">
        <f>IF(NOTA[[#This Row],[CONCAT4]]="","",_xlfn.IFNA(MATCH(NOTA[[#This Row],[CONCAT4]],[2]!RAW[CONCAT_H],0),FALSE))</f>
        <v/>
      </c>
      <c r="AS925" s="56">
        <f>IF(NOTA[[#This Row],[CONCAT1]]="","",MATCH(NOTA[[#This Row],[CONCAT1]],[3]!db[NB NOTA_C],0))</f>
        <v>1677</v>
      </c>
      <c r="AT925" s="56" t="str">
        <f>IF(NOTA[[#This Row],[QTY/ CTN]]="","",TRUE)</f>
        <v/>
      </c>
      <c r="AU925" s="56" t="str">
        <f ca="1">IF(NOTA[[#This Row],[ID_H]]="","",IF(NOTA[[#This Row],[Column3]]=TRUE,NOTA[[#This Row],[QTY/ CTN]],INDEX([3]!db[QTY/ CTN],NOTA[[#This Row],[//DB]])))</f>
        <v>48 BOX (10 PCS)</v>
      </c>
      <c r="AV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kenkohighlighterhl100purple48box10pcsartomoro</v>
      </c>
      <c r="AW925" s="56" t="e">
        <f ca="1">IF(NOTA[[#This Row],[ID_H]]="","",MATCH(NOTA[[#This Row],[NB NOTA_C_QTY]],[4]!db[NB NOTA_C_QTY+F],0))</f>
        <v>#REF!</v>
      </c>
      <c r="AX925" s="68">
        <f ca="1">IF(NOTA[[#This Row],[NB NOTA_C_QTY]]="","",ROW()-2)</f>
        <v>923</v>
      </c>
    </row>
    <row r="926" spans="1:50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55" t="str">
        <f ca="1">IF(NOTA[[#This Row],[NAMA BARANG]]="","",INDEX(NOTA[SUPPLIER],MATCH(,INDIRECT(ADDRESS(ROW(NOTA[ID]),COLUMN(NOTA[ID]))&amp;":"&amp;ADDRESS(ROW(),COLUMN(NOTA[ID]))),-1)))</f>
        <v/>
      </c>
      <c r="AK926" s="55" t="str">
        <f ca="1">IF(NOTA[[#This Row],[ID_H]]="","",IF(NOTA[[#This Row],[FAKTUR]]="",INDIRECT(ADDRESS(ROW()-1,COLUMN())),NOTA[[#This Row],[FAKTUR]]))</f>
        <v/>
      </c>
      <c r="AL926" s="56" t="str">
        <f ca="1">IF(NOTA[[#This Row],[ID]]="","",COUNTIF(NOTA[ID_H],NOTA[[#This Row],[ID_H]]))</f>
        <v/>
      </c>
      <c r="AM926" s="56" t="str">
        <f ca="1">IF(NOTA[[#This Row],[TGL.NOTA]]="",IF(NOTA[[#This Row],[SUPPLIER_H]]="","",AM925),MONTH(NOTA[[#This Row],[TGL.NOTA]]))</f>
        <v/>
      </c>
      <c r="AN926" s="56" t="str">
        <f>LOWER(SUBSTITUTE(SUBSTITUTE(SUBSTITUTE(SUBSTITUTE(SUBSTITUTE(SUBSTITUTE(SUBSTITUTE(SUBSTITUTE(SUBSTITUTE(NOTA[NAMA BARANG]," ",),".",""),"-",""),"(",""),")",""),",",""),"/",""),"""",""),"+",""))</f>
        <v/>
      </c>
      <c r="AO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6" s="56" t="str">
        <f>IF(NOTA[[#This Row],[CONCAT4]]="","",_xlfn.IFNA(MATCH(NOTA[[#This Row],[CONCAT4]],[2]!RAW[CONCAT_H],0),FALSE))</f>
        <v/>
      </c>
      <c r="AS926" s="56" t="str">
        <f>IF(NOTA[[#This Row],[CONCAT1]]="","",MATCH(NOTA[[#This Row],[CONCAT1]],[3]!db[NB NOTA_C],0))</f>
        <v/>
      </c>
      <c r="AT926" s="56" t="str">
        <f>IF(NOTA[[#This Row],[QTY/ CTN]]="","",TRUE)</f>
        <v/>
      </c>
      <c r="AU926" s="56" t="str">
        <f ca="1">IF(NOTA[[#This Row],[ID_H]]="","",IF(NOTA[[#This Row],[Column3]]=TRUE,NOTA[[#This Row],[QTY/ CTN]],INDEX([3]!db[QTY/ CTN],NOTA[[#This Row],[//DB]])))</f>
        <v/>
      </c>
      <c r="AV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6" s="56" t="str">
        <f ca="1">IF(NOTA[[#This Row],[ID_H]]="","",MATCH(NOTA[[#This Row],[NB NOTA_C_QTY]],[4]!db[NB NOTA_C_QTY+F],0))</f>
        <v/>
      </c>
      <c r="AX926" s="68" t="str">
        <f ca="1">IF(NOTA[[#This Row],[NB NOTA_C_QTY]]="","",ROW()-2)</f>
        <v/>
      </c>
    </row>
    <row r="927" spans="1:50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55" t="str">
        <f ca="1">IF(NOTA[[#This Row],[NAMA BARANG]]="","",INDEX(NOTA[SUPPLIER],MATCH(,INDIRECT(ADDRESS(ROW(NOTA[ID]),COLUMN(NOTA[ID]))&amp;":"&amp;ADDRESS(ROW(),COLUMN(NOTA[ID]))),-1)))</f>
        <v/>
      </c>
      <c r="AK927" s="55" t="str">
        <f ca="1">IF(NOTA[[#This Row],[ID_H]]="","",IF(NOTA[[#This Row],[FAKTUR]]="",INDIRECT(ADDRESS(ROW()-1,COLUMN())),NOTA[[#This Row],[FAKTUR]]))</f>
        <v/>
      </c>
      <c r="AL927" s="56" t="str">
        <f ca="1">IF(NOTA[[#This Row],[ID]]="","",COUNTIF(NOTA[ID_H],NOTA[[#This Row],[ID_H]]))</f>
        <v/>
      </c>
      <c r="AM927" s="56" t="str">
        <f ca="1">IF(NOTA[[#This Row],[TGL.NOTA]]="",IF(NOTA[[#This Row],[SUPPLIER_H]]="","",AM926),MONTH(NOTA[[#This Row],[TGL.NOTA]]))</f>
        <v/>
      </c>
      <c r="AN927" s="56" t="str">
        <f>LOWER(SUBSTITUTE(SUBSTITUTE(SUBSTITUTE(SUBSTITUTE(SUBSTITUTE(SUBSTITUTE(SUBSTITUTE(SUBSTITUTE(SUBSTITUTE(NOTA[NAMA BARANG]," ",),".",""),"-",""),"(",""),")",""),",",""),"/",""),"""",""),"+",""))</f>
        <v/>
      </c>
      <c r="AO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7" s="56" t="str">
        <f>IF(NOTA[[#This Row],[CONCAT4]]="","",_xlfn.IFNA(MATCH(NOTA[[#This Row],[CONCAT4]],[2]!RAW[CONCAT_H],0),FALSE))</f>
        <v/>
      </c>
      <c r="AS927" s="56" t="str">
        <f>IF(NOTA[[#This Row],[CONCAT1]]="","",MATCH(NOTA[[#This Row],[CONCAT1]],[3]!db[NB NOTA_C],0))</f>
        <v/>
      </c>
      <c r="AT927" s="56" t="str">
        <f>IF(NOTA[[#This Row],[QTY/ CTN]]="","",TRUE)</f>
        <v/>
      </c>
      <c r="AU927" s="56" t="str">
        <f ca="1">IF(NOTA[[#This Row],[ID_H]]="","",IF(NOTA[[#This Row],[Column3]]=TRUE,NOTA[[#This Row],[QTY/ CTN]],INDEX([3]!db[QTY/ CTN],NOTA[[#This Row],[//DB]])))</f>
        <v/>
      </c>
      <c r="AV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7" s="56" t="str">
        <f ca="1">IF(NOTA[[#This Row],[ID_H]]="","",MATCH(NOTA[[#This Row],[NB NOTA_C_QTY]],[4]!db[NB NOTA_C_QTY+F],0))</f>
        <v/>
      </c>
      <c r="AX927" s="68" t="str">
        <f ca="1">IF(NOTA[[#This Row],[NB NOTA_C_QTY]]="","",ROW()-2)</f>
        <v/>
      </c>
    </row>
    <row r="928" spans="1:50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55" t="str">
        <f ca="1">IF(NOTA[[#This Row],[NAMA BARANG]]="","",INDEX(NOTA[SUPPLIER],MATCH(,INDIRECT(ADDRESS(ROW(NOTA[ID]),COLUMN(NOTA[ID]))&amp;":"&amp;ADDRESS(ROW(),COLUMN(NOTA[ID]))),-1)))</f>
        <v/>
      </c>
      <c r="AK928" s="55" t="str">
        <f ca="1">IF(NOTA[[#This Row],[ID_H]]="","",IF(NOTA[[#This Row],[FAKTUR]]="",INDIRECT(ADDRESS(ROW()-1,COLUMN())),NOTA[[#This Row],[FAKTUR]]))</f>
        <v/>
      </c>
      <c r="AL928" s="56" t="str">
        <f ca="1">IF(NOTA[[#This Row],[ID]]="","",COUNTIF(NOTA[ID_H],NOTA[[#This Row],[ID_H]]))</f>
        <v/>
      </c>
      <c r="AM928" s="56" t="str">
        <f ca="1">IF(NOTA[[#This Row],[TGL.NOTA]]="",IF(NOTA[[#This Row],[SUPPLIER_H]]="","",AM927),MONTH(NOTA[[#This Row],[TGL.NOTA]]))</f>
        <v/>
      </c>
      <c r="AN928" s="56" t="str">
        <f>LOWER(SUBSTITUTE(SUBSTITUTE(SUBSTITUTE(SUBSTITUTE(SUBSTITUTE(SUBSTITUTE(SUBSTITUTE(SUBSTITUTE(SUBSTITUTE(NOTA[NAMA BARANG]," ",),".",""),"-",""),"(",""),")",""),",",""),"/",""),"""",""),"+",""))</f>
        <v/>
      </c>
      <c r="AO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8" s="56" t="str">
        <f>IF(NOTA[[#This Row],[CONCAT4]]="","",_xlfn.IFNA(MATCH(NOTA[[#This Row],[CONCAT4]],[2]!RAW[CONCAT_H],0),FALSE))</f>
        <v/>
      </c>
      <c r="AS928" s="56" t="str">
        <f>IF(NOTA[[#This Row],[CONCAT1]]="","",MATCH(NOTA[[#This Row],[CONCAT1]],[3]!db[NB NOTA_C],0))</f>
        <v/>
      </c>
      <c r="AT928" s="56" t="str">
        <f>IF(NOTA[[#This Row],[QTY/ CTN]]="","",TRUE)</f>
        <v/>
      </c>
      <c r="AU928" s="56" t="str">
        <f ca="1">IF(NOTA[[#This Row],[ID_H]]="","",IF(NOTA[[#This Row],[Column3]]=TRUE,NOTA[[#This Row],[QTY/ CTN]],INDEX([3]!db[QTY/ CTN],NOTA[[#This Row],[//DB]])))</f>
        <v/>
      </c>
      <c r="AV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8" s="56" t="str">
        <f ca="1">IF(NOTA[[#This Row],[ID_H]]="","",MATCH(NOTA[[#This Row],[NB NOTA_C_QTY]],[4]!db[NB NOTA_C_QTY+F],0))</f>
        <v/>
      </c>
      <c r="AX928" s="68" t="str">
        <f ca="1">IF(NOTA[[#This Row],[NB NOTA_C_QTY]]="","",ROW()-2)</f>
        <v/>
      </c>
    </row>
    <row r="929" spans="1:50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7"/>
      <c r="X929" s="66" t="str">
        <f>IF(NOTA[[#This Row],[HARGA/ CTN]]="",NOTA[[#This Row],[JUMLAH_H]],NOTA[[#This Row],[HARGA/ CTN]]*IF(NOTA[[#This Row],[C]]="",0,NOTA[[#This Row],[C]]))</f>
        <v/>
      </c>
      <c r="Y929" s="66" t="str">
        <f>IF(NOTA[[#This Row],[JUMLAH]]="","",NOTA[[#This Row],[JUMLAH]]*NOTA[[#This Row],[DISC 1]])</f>
        <v/>
      </c>
      <c r="Z929" s="66" t="str">
        <f>IF(NOTA[[#This Row],[JUMLAH]]="","",(NOTA[[#This Row],[JUMLAH]]-NOTA[[#This Row],[DISC 1-]])*NOTA[[#This Row],[DISC 2]])</f>
        <v/>
      </c>
      <c r="AA929" s="66" t="str">
        <f>IF(NOTA[[#This Row],[JUMLAH]]="","",(NOTA[[#This Row],[JUMLAH]]-NOTA[[#This Row],[DISC 1-]]-NOTA[[#This Row],[DISC 2-]])*NOTA[[#This Row],[DISC 3]])</f>
        <v/>
      </c>
      <c r="AB929" s="66" t="str">
        <f>IF(NOTA[[#This Row],[JUMLAH]]="","",NOTA[[#This Row],[DISC 1-]]+NOTA[[#This Row],[DISC 2-]]+NOTA[[#This Row],[DISC 3-]])</f>
        <v/>
      </c>
      <c r="AC929" s="66" t="str">
        <f>IF(NOTA[[#This Row],[JUMLAH]]="","",NOTA[[#This Row],[JUMLAH]]-NOTA[[#This Row],[DISC]])</f>
        <v/>
      </c>
      <c r="AD929" s="66"/>
      <c r="AE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9" s="66" t="str">
        <f>IF(OR(NOTA[[#This Row],[QTY]]="",NOTA[[#This Row],[HARGA SATUAN]]="",),"",NOTA[[#This Row],[QTY]]*NOTA[[#This Row],[HARGA SATUAN]])</f>
        <v/>
      </c>
      <c r="AI929" s="60" t="str">
        <f ca="1">IF(NOTA[ID_H]="","",INDEX(NOTA[TANGGAL],MATCH(,INDIRECT(ADDRESS(ROW(NOTA[TANGGAL]),COLUMN(NOTA[TANGGAL]))&amp;":"&amp;ADDRESS(ROW(),COLUMN(NOTA[TANGGAL]))),-1)))</f>
        <v/>
      </c>
      <c r="AJ929" s="55" t="str">
        <f ca="1">IF(NOTA[[#This Row],[NAMA BARANG]]="","",INDEX(NOTA[SUPPLIER],MATCH(,INDIRECT(ADDRESS(ROW(NOTA[ID]),COLUMN(NOTA[ID]))&amp;":"&amp;ADDRESS(ROW(),COLUMN(NOTA[ID]))),-1)))</f>
        <v/>
      </c>
      <c r="AK929" s="55" t="str">
        <f ca="1">IF(NOTA[[#This Row],[ID_H]]="","",IF(NOTA[[#This Row],[FAKTUR]]="",INDIRECT(ADDRESS(ROW()-1,COLUMN())),NOTA[[#This Row],[FAKTUR]]))</f>
        <v/>
      </c>
      <c r="AL929" s="56" t="str">
        <f ca="1">IF(NOTA[[#This Row],[ID]]="","",COUNTIF(NOTA[ID_H],NOTA[[#This Row],[ID_H]]))</f>
        <v/>
      </c>
      <c r="AM929" s="56" t="str">
        <f ca="1">IF(NOTA[[#This Row],[TGL.NOTA]]="",IF(NOTA[[#This Row],[SUPPLIER_H]]="","",AM928),MONTH(NOTA[[#This Row],[TGL.NOTA]]))</f>
        <v/>
      </c>
      <c r="AN929" s="56" t="str">
        <f>LOWER(SUBSTITUTE(SUBSTITUTE(SUBSTITUTE(SUBSTITUTE(SUBSTITUTE(SUBSTITUTE(SUBSTITUTE(SUBSTITUTE(SUBSTITUTE(NOTA[NAMA BARANG]," ",),".",""),"-",""),"(",""),")",""),",",""),"/",""),"""",""),"+",""))</f>
        <v/>
      </c>
      <c r="AO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9" s="56" t="str">
        <f>IF(NOTA[[#This Row],[CONCAT4]]="","",_xlfn.IFNA(MATCH(NOTA[[#This Row],[CONCAT4]],[2]!RAW[CONCAT_H],0),FALSE))</f>
        <v/>
      </c>
      <c r="AS929" s="56" t="str">
        <f>IF(NOTA[[#This Row],[CONCAT1]]="","",MATCH(NOTA[[#This Row],[CONCAT1]],[3]!db[NB NOTA_C],0))</f>
        <v/>
      </c>
      <c r="AT929" s="56" t="str">
        <f>IF(NOTA[[#This Row],[QTY/ CTN]]="","",TRUE)</f>
        <v/>
      </c>
      <c r="AU929" s="56" t="str">
        <f ca="1">IF(NOTA[[#This Row],[ID_H]]="","",IF(NOTA[[#This Row],[Column3]]=TRUE,NOTA[[#This Row],[QTY/ CTN]],INDEX([3]!db[QTY/ CTN],NOTA[[#This Row],[//DB]])))</f>
        <v/>
      </c>
      <c r="AV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9" s="56" t="str">
        <f ca="1">IF(NOTA[[#This Row],[ID_H]]="","",MATCH(NOTA[[#This Row],[NB NOTA_C_QTY]],[4]!db[NB NOTA_C_QTY+F],0))</f>
        <v/>
      </c>
      <c r="AX929" s="68" t="str">
        <f ca="1">IF(NOTA[[#This Row],[NB NOTA_C_QTY]]="","",ROW()-2)</f>
        <v/>
      </c>
    </row>
    <row r="930" spans="1:50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7"/>
      <c r="X930" s="66" t="str">
        <f>IF(NOTA[[#This Row],[HARGA/ CTN]]="",NOTA[[#This Row],[JUMLAH_H]],NOTA[[#This Row],[HARGA/ CTN]]*IF(NOTA[[#This Row],[C]]="",0,NOTA[[#This Row],[C]]))</f>
        <v/>
      </c>
      <c r="Y930" s="66" t="str">
        <f>IF(NOTA[[#This Row],[JUMLAH]]="","",NOTA[[#This Row],[JUMLAH]]*NOTA[[#This Row],[DISC 1]])</f>
        <v/>
      </c>
      <c r="Z930" s="66" t="str">
        <f>IF(NOTA[[#This Row],[JUMLAH]]="","",(NOTA[[#This Row],[JUMLAH]]-NOTA[[#This Row],[DISC 1-]])*NOTA[[#This Row],[DISC 2]])</f>
        <v/>
      </c>
      <c r="AA930" s="66" t="str">
        <f>IF(NOTA[[#This Row],[JUMLAH]]="","",(NOTA[[#This Row],[JUMLAH]]-NOTA[[#This Row],[DISC 1-]]-NOTA[[#This Row],[DISC 2-]])*NOTA[[#This Row],[DISC 3]])</f>
        <v/>
      </c>
      <c r="AB930" s="66" t="str">
        <f>IF(NOTA[[#This Row],[JUMLAH]]="","",NOTA[[#This Row],[DISC 1-]]+NOTA[[#This Row],[DISC 2-]]+NOTA[[#This Row],[DISC 3-]])</f>
        <v/>
      </c>
      <c r="AC930" s="66" t="str">
        <f>IF(NOTA[[#This Row],[JUMLAH]]="","",NOTA[[#This Row],[JUMLAH]]-NOTA[[#This Row],[DISC]])</f>
        <v/>
      </c>
      <c r="AD930" s="66"/>
      <c r="AE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0" s="66" t="str">
        <f>IF(OR(NOTA[[#This Row],[QTY]]="",NOTA[[#This Row],[HARGA SATUAN]]="",),"",NOTA[[#This Row],[QTY]]*NOTA[[#This Row],[HARGA SATUAN]])</f>
        <v/>
      </c>
      <c r="AI930" s="60" t="str">
        <f ca="1">IF(NOTA[ID_H]="","",INDEX(NOTA[TANGGAL],MATCH(,INDIRECT(ADDRESS(ROW(NOTA[TANGGAL]),COLUMN(NOTA[TANGGAL]))&amp;":"&amp;ADDRESS(ROW(),COLUMN(NOTA[TANGGAL]))),-1)))</f>
        <v/>
      </c>
      <c r="AJ930" s="55" t="str">
        <f ca="1">IF(NOTA[[#This Row],[NAMA BARANG]]="","",INDEX(NOTA[SUPPLIER],MATCH(,INDIRECT(ADDRESS(ROW(NOTA[ID]),COLUMN(NOTA[ID]))&amp;":"&amp;ADDRESS(ROW(),COLUMN(NOTA[ID]))),-1)))</f>
        <v/>
      </c>
      <c r="AK930" s="55" t="str">
        <f ca="1">IF(NOTA[[#This Row],[ID_H]]="","",IF(NOTA[[#This Row],[FAKTUR]]="",INDIRECT(ADDRESS(ROW()-1,COLUMN())),NOTA[[#This Row],[FAKTUR]]))</f>
        <v/>
      </c>
      <c r="AL930" s="56" t="str">
        <f ca="1">IF(NOTA[[#This Row],[ID]]="","",COUNTIF(NOTA[ID_H],NOTA[[#This Row],[ID_H]]))</f>
        <v/>
      </c>
      <c r="AM930" s="56" t="str">
        <f ca="1">IF(NOTA[[#This Row],[TGL.NOTA]]="",IF(NOTA[[#This Row],[SUPPLIER_H]]="","",AM929),MONTH(NOTA[[#This Row],[TGL.NOTA]]))</f>
        <v/>
      </c>
      <c r="AN930" s="56" t="str">
        <f>LOWER(SUBSTITUTE(SUBSTITUTE(SUBSTITUTE(SUBSTITUTE(SUBSTITUTE(SUBSTITUTE(SUBSTITUTE(SUBSTITUTE(SUBSTITUTE(NOTA[NAMA BARANG]," ",),".",""),"-",""),"(",""),")",""),",",""),"/",""),"""",""),"+",""))</f>
        <v/>
      </c>
      <c r="AO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0" s="56" t="str">
        <f>IF(NOTA[[#This Row],[CONCAT4]]="","",_xlfn.IFNA(MATCH(NOTA[[#This Row],[CONCAT4]],[2]!RAW[CONCAT_H],0),FALSE))</f>
        <v/>
      </c>
      <c r="AS930" s="56" t="str">
        <f>IF(NOTA[[#This Row],[CONCAT1]]="","",MATCH(NOTA[[#This Row],[CONCAT1]],[3]!db[NB NOTA_C],0))</f>
        <v/>
      </c>
      <c r="AT930" s="56" t="str">
        <f>IF(NOTA[[#This Row],[QTY/ CTN]]="","",TRUE)</f>
        <v/>
      </c>
      <c r="AU930" s="56" t="str">
        <f ca="1">IF(NOTA[[#This Row],[ID_H]]="","",IF(NOTA[[#This Row],[Column3]]=TRUE,NOTA[[#This Row],[QTY/ CTN]],INDEX([3]!db[QTY/ CTN],NOTA[[#This Row],[//DB]])))</f>
        <v/>
      </c>
      <c r="AV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0" s="56" t="str">
        <f ca="1">IF(NOTA[[#This Row],[ID_H]]="","",MATCH(NOTA[[#This Row],[NB NOTA_C_QTY]],[4]!db[NB NOTA_C_QTY+F],0))</f>
        <v/>
      </c>
      <c r="AX930" s="68" t="str">
        <f ca="1">IF(NOTA[[#This Row],[NB NOTA_C_QTY]]="","",ROW()-2)</f>
        <v/>
      </c>
    </row>
    <row r="931" spans="1:50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7"/>
      <c r="X931" s="66" t="str">
        <f>IF(NOTA[[#This Row],[HARGA/ CTN]]="",NOTA[[#This Row],[JUMLAH_H]],NOTA[[#This Row],[HARGA/ CTN]]*IF(NOTA[[#This Row],[C]]="",0,NOTA[[#This Row],[C]]))</f>
        <v/>
      </c>
      <c r="Y931" s="66" t="str">
        <f>IF(NOTA[[#This Row],[JUMLAH]]="","",NOTA[[#This Row],[JUMLAH]]*NOTA[[#This Row],[DISC 1]])</f>
        <v/>
      </c>
      <c r="Z931" s="66" t="str">
        <f>IF(NOTA[[#This Row],[JUMLAH]]="","",(NOTA[[#This Row],[JUMLAH]]-NOTA[[#This Row],[DISC 1-]])*NOTA[[#This Row],[DISC 2]])</f>
        <v/>
      </c>
      <c r="AA931" s="66" t="str">
        <f>IF(NOTA[[#This Row],[JUMLAH]]="","",(NOTA[[#This Row],[JUMLAH]]-NOTA[[#This Row],[DISC 1-]]-NOTA[[#This Row],[DISC 2-]])*NOTA[[#This Row],[DISC 3]])</f>
        <v/>
      </c>
      <c r="AB931" s="66" t="str">
        <f>IF(NOTA[[#This Row],[JUMLAH]]="","",NOTA[[#This Row],[DISC 1-]]+NOTA[[#This Row],[DISC 2-]]+NOTA[[#This Row],[DISC 3-]])</f>
        <v/>
      </c>
      <c r="AC931" s="66" t="str">
        <f>IF(NOTA[[#This Row],[JUMLAH]]="","",NOTA[[#This Row],[JUMLAH]]-NOTA[[#This Row],[DISC]])</f>
        <v/>
      </c>
      <c r="AD931" s="66"/>
      <c r="AE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1" s="66" t="str">
        <f>IF(OR(NOTA[[#This Row],[QTY]]="",NOTA[[#This Row],[HARGA SATUAN]]="",),"",NOTA[[#This Row],[QTY]]*NOTA[[#This Row],[HARGA SATUAN]])</f>
        <v/>
      </c>
      <c r="AI931" s="60" t="str">
        <f ca="1">IF(NOTA[ID_H]="","",INDEX(NOTA[TANGGAL],MATCH(,INDIRECT(ADDRESS(ROW(NOTA[TANGGAL]),COLUMN(NOTA[TANGGAL]))&amp;":"&amp;ADDRESS(ROW(),COLUMN(NOTA[TANGGAL]))),-1)))</f>
        <v/>
      </c>
      <c r="AJ931" s="55" t="str">
        <f ca="1">IF(NOTA[[#This Row],[NAMA BARANG]]="","",INDEX(NOTA[SUPPLIER],MATCH(,INDIRECT(ADDRESS(ROW(NOTA[ID]),COLUMN(NOTA[ID]))&amp;":"&amp;ADDRESS(ROW(),COLUMN(NOTA[ID]))),-1)))</f>
        <v/>
      </c>
      <c r="AK931" s="55" t="str">
        <f ca="1">IF(NOTA[[#This Row],[ID_H]]="","",IF(NOTA[[#This Row],[FAKTUR]]="",INDIRECT(ADDRESS(ROW()-1,COLUMN())),NOTA[[#This Row],[FAKTUR]]))</f>
        <v/>
      </c>
      <c r="AL931" s="56" t="str">
        <f ca="1">IF(NOTA[[#This Row],[ID]]="","",COUNTIF(NOTA[ID_H],NOTA[[#This Row],[ID_H]]))</f>
        <v/>
      </c>
      <c r="AM931" s="56" t="str">
        <f ca="1">IF(NOTA[[#This Row],[TGL.NOTA]]="",IF(NOTA[[#This Row],[SUPPLIER_H]]="","",AM930),MONTH(NOTA[[#This Row],[TGL.NOTA]]))</f>
        <v/>
      </c>
      <c r="AN931" s="56" t="str">
        <f>LOWER(SUBSTITUTE(SUBSTITUTE(SUBSTITUTE(SUBSTITUTE(SUBSTITUTE(SUBSTITUTE(SUBSTITUTE(SUBSTITUTE(SUBSTITUTE(NOTA[NAMA BARANG]," ",),".",""),"-",""),"(",""),")",""),",",""),"/",""),"""",""),"+",""))</f>
        <v/>
      </c>
      <c r="AO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1" s="56" t="str">
        <f>IF(NOTA[[#This Row],[CONCAT4]]="","",_xlfn.IFNA(MATCH(NOTA[[#This Row],[CONCAT4]],[2]!RAW[CONCAT_H],0),FALSE))</f>
        <v/>
      </c>
      <c r="AS931" s="56" t="str">
        <f>IF(NOTA[[#This Row],[CONCAT1]]="","",MATCH(NOTA[[#This Row],[CONCAT1]],[3]!db[NB NOTA_C],0))</f>
        <v/>
      </c>
      <c r="AT931" s="56" t="str">
        <f>IF(NOTA[[#This Row],[QTY/ CTN]]="","",TRUE)</f>
        <v/>
      </c>
      <c r="AU931" s="56" t="str">
        <f ca="1">IF(NOTA[[#This Row],[ID_H]]="","",IF(NOTA[[#This Row],[Column3]]=TRUE,NOTA[[#This Row],[QTY/ CTN]],INDEX([3]!db[QTY/ CTN],NOTA[[#This Row],[//DB]])))</f>
        <v/>
      </c>
      <c r="AV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1" s="56" t="str">
        <f ca="1">IF(NOTA[[#This Row],[ID_H]]="","",MATCH(NOTA[[#This Row],[NB NOTA_C_QTY]],[4]!db[NB NOTA_C_QTY+F],0))</f>
        <v/>
      </c>
      <c r="AX931" s="68" t="str">
        <f ca="1">IF(NOTA[[#This Row],[NB NOTA_C_QTY]]="","",ROW()-2)</f>
        <v/>
      </c>
    </row>
    <row r="932" spans="1:50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7"/>
      <c r="X932" s="66" t="str">
        <f>IF(NOTA[[#This Row],[HARGA/ CTN]]="",NOTA[[#This Row],[JUMLAH_H]],NOTA[[#This Row],[HARGA/ CTN]]*IF(NOTA[[#This Row],[C]]="",0,NOTA[[#This Row],[C]]))</f>
        <v/>
      </c>
      <c r="Y932" s="66" t="str">
        <f>IF(NOTA[[#This Row],[JUMLAH]]="","",NOTA[[#This Row],[JUMLAH]]*NOTA[[#This Row],[DISC 1]])</f>
        <v/>
      </c>
      <c r="Z932" s="66" t="str">
        <f>IF(NOTA[[#This Row],[JUMLAH]]="","",(NOTA[[#This Row],[JUMLAH]]-NOTA[[#This Row],[DISC 1-]])*NOTA[[#This Row],[DISC 2]])</f>
        <v/>
      </c>
      <c r="AA932" s="66" t="str">
        <f>IF(NOTA[[#This Row],[JUMLAH]]="","",(NOTA[[#This Row],[JUMLAH]]-NOTA[[#This Row],[DISC 1-]]-NOTA[[#This Row],[DISC 2-]])*NOTA[[#This Row],[DISC 3]])</f>
        <v/>
      </c>
      <c r="AB932" s="66" t="str">
        <f>IF(NOTA[[#This Row],[JUMLAH]]="","",NOTA[[#This Row],[DISC 1-]]+NOTA[[#This Row],[DISC 2-]]+NOTA[[#This Row],[DISC 3-]])</f>
        <v/>
      </c>
      <c r="AC932" s="66" t="str">
        <f>IF(NOTA[[#This Row],[JUMLAH]]="","",NOTA[[#This Row],[JUMLAH]]-NOTA[[#This Row],[DISC]])</f>
        <v/>
      </c>
      <c r="AD932" s="66"/>
      <c r="AE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2" s="66" t="str">
        <f>IF(OR(NOTA[[#This Row],[QTY]]="",NOTA[[#This Row],[HARGA SATUAN]]="",),"",NOTA[[#This Row],[QTY]]*NOTA[[#This Row],[HARGA SATUAN]])</f>
        <v/>
      </c>
      <c r="AI932" s="60" t="str">
        <f ca="1">IF(NOTA[ID_H]="","",INDEX(NOTA[TANGGAL],MATCH(,INDIRECT(ADDRESS(ROW(NOTA[TANGGAL]),COLUMN(NOTA[TANGGAL]))&amp;":"&amp;ADDRESS(ROW(),COLUMN(NOTA[TANGGAL]))),-1)))</f>
        <v/>
      </c>
      <c r="AJ932" s="55" t="str">
        <f ca="1">IF(NOTA[[#This Row],[NAMA BARANG]]="","",INDEX(NOTA[SUPPLIER],MATCH(,INDIRECT(ADDRESS(ROW(NOTA[ID]),COLUMN(NOTA[ID]))&amp;":"&amp;ADDRESS(ROW(),COLUMN(NOTA[ID]))),-1)))</f>
        <v/>
      </c>
      <c r="AK932" s="55" t="str">
        <f ca="1">IF(NOTA[[#This Row],[ID_H]]="","",IF(NOTA[[#This Row],[FAKTUR]]="",INDIRECT(ADDRESS(ROW()-1,COLUMN())),NOTA[[#This Row],[FAKTUR]]))</f>
        <v/>
      </c>
      <c r="AL932" s="56" t="str">
        <f ca="1">IF(NOTA[[#This Row],[ID]]="","",COUNTIF(NOTA[ID_H],NOTA[[#This Row],[ID_H]]))</f>
        <v/>
      </c>
      <c r="AM932" s="56" t="str">
        <f ca="1">IF(NOTA[[#This Row],[TGL.NOTA]]="",IF(NOTA[[#This Row],[SUPPLIER_H]]="","",AM931),MONTH(NOTA[[#This Row],[TGL.NOTA]]))</f>
        <v/>
      </c>
      <c r="AN932" s="56" t="str">
        <f>LOWER(SUBSTITUTE(SUBSTITUTE(SUBSTITUTE(SUBSTITUTE(SUBSTITUTE(SUBSTITUTE(SUBSTITUTE(SUBSTITUTE(SUBSTITUTE(NOTA[NAMA BARANG]," ",),".",""),"-",""),"(",""),")",""),",",""),"/",""),"""",""),"+",""))</f>
        <v/>
      </c>
      <c r="AO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2" s="56" t="str">
        <f>IF(NOTA[[#This Row],[CONCAT4]]="","",_xlfn.IFNA(MATCH(NOTA[[#This Row],[CONCAT4]],[2]!RAW[CONCAT_H],0),FALSE))</f>
        <v/>
      </c>
      <c r="AS932" s="56" t="str">
        <f>IF(NOTA[[#This Row],[CONCAT1]]="","",MATCH(NOTA[[#This Row],[CONCAT1]],[3]!db[NB NOTA_C],0))</f>
        <v/>
      </c>
      <c r="AT932" s="56" t="str">
        <f>IF(NOTA[[#This Row],[QTY/ CTN]]="","",TRUE)</f>
        <v/>
      </c>
      <c r="AU932" s="56" t="str">
        <f ca="1">IF(NOTA[[#This Row],[ID_H]]="","",IF(NOTA[[#This Row],[Column3]]=TRUE,NOTA[[#This Row],[QTY/ CTN]],INDEX([3]!db[QTY/ CTN],NOTA[[#This Row],[//DB]])))</f>
        <v/>
      </c>
      <c r="AV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2" s="56" t="str">
        <f ca="1">IF(NOTA[[#This Row],[ID_H]]="","",MATCH(NOTA[[#This Row],[NB NOTA_C_QTY]],[4]!db[NB NOTA_C_QTY+F],0))</f>
        <v/>
      </c>
      <c r="AX932" s="68" t="str">
        <f ca="1">IF(NOTA[[#This Row],[NB NOTA_C_QTY]]="","",ROW()-2)</f>
        <v/>
      </c>
    </row>
    <row r="933" spans="1:50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7"/>
      <c r="X933" s="66" t="str">
        <f>IF(NOTA[[#This Row],[HARGA/ CTN]]="",NOTA[[#This Row],[JUMLAH_H]],NOTA[[#This Row],[HARGA/ CTN]]*IF(NOTA[[#This Row],[C]]="",0,NOTA[[#This Row],[C]]))</f>
        <v/>
      </c>
      <c r="Y933" s="66" t="str">
        <f>IF(NOTA[[#This Row],[JUMLAH]]="","",NOTA[[#This Row],[JUMLAH]]*NOTA[[#This Row],[DISC 1]])</f>
        <v/>
      </c>
      <c r="Z933" s="66" t="str">
        <f>IF(NOTA[[#This Row],[JUMLAH]]="","",(NOTA[[#This Row],[JUMLAH]]-NOTA[[#This Row],[DISC 1-]])*NOTA[[#This Row],[DISC 2]])</f>
        <v/>
      </c>
      <c r="AA933" s="66" t="str">
        <f>IF(NOTA[[#This Row],[JUMLAH]]="","",(NOTA[[#This Row],[JUMLAH]]-NOTA[[#This Row],[DISC 1-]]-NOTA[[#This Row],[DISC 2-]])*NOTA[[#This Row],[DISC 3]])</f>
        <v/>
      </c>
      <c r="AB933" s="66" t="str">
        <f>IF(NOTA[[#This Row],[JUMLAH]]="","",NOTA[[#This Row],[DISC 1-]]+NOTA[[#This Row],[DISC 2-]]+NOTA[[#This Row],[DISC 3-]])</f>
        <v/>
      </c>
      <c r="AC933" s="66" t="str">
        <f>IF(NOTA[[#This Row],[JUMLAH]]="","",NOTA[[#This Row],[JUMLAH]]-NOTA[[#This Row],[DISC]])</f>
        <v/>
      </c>
      <c r="AD933" s="66"/>
      <c r="AE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3" s="66" t="str">
        <f>IF(OR(NOTA[[#This Row],[QTY]]="",NOTA[[#This Row],[HARGA SATUAN]]="",),"",NOTA[[#This Row],[QTY]]*NOTA[[#This Row],[HARGA SATUAN]])</f>
        <v/>
      </c>
      <c r="AI933" s="60" t="str">
        <f ca="1">IF(NOTA[ID_H]="","",INDEX(NOTA[TANGGAL],MATCH(,INDIRECT(ADDRESS(ROW(NOTA[TANGGAL]),COLUMN(NOTA[TANGGAL]))&amp;":"&amp;ADDRESS(ROW(),COLUMN(NOTA[TANGGAL]))),-1)))</f>
        <v/>
      </c>
      <c r="AJ933" s="55" t="str">
        <f ca="1">IF(NOTA[[#This Row],[NAMA BARANG]]="","",INDEX(NOTA[SUPPLIER],MATCH(,INDIRECT(ADDRESS(ROW(NOTA[ID]),COLUMN(NOTA[ID]))&amp;":"&amp;ADDRESS(ROW(),COLUMN(NOTA[ID]))),-1)))</f>
        <v/>
      </c>
      <c r="AK933" s="55" t="str">
        <f ca="1">IF(NOTA[[#This Row],[ID_H]]="","",IF(NOTA[[#This Row],[FAKTUR]]="",INDIRECT(ADDRESS(ROW()-1,COLUMN())),NOTA[[#This Row],[FAKTUR]]))</f>
        <v/>
      </c>
      <c r="AL933" s="56" t="str">
        <f ca="1">IF(NOTA[[#This Row],[ID]]="","",COUNTIF(NOTA[ID_H],NOTA[[#This Row],[ID_H]]))</f>
        <v/>
      </c>
      <c r="AM933" s="56" t="str">
        <f ca="1">IF(NOTA[[#This Row],[TGL.NOTA]]="",IF(NOTA[[#This Row],[SUPPLIER_H]]="","",AM932),MONTH(NOTA[[#This Row],[TGL.NOTA]]))</f>
        <v/>
      </c>
      <c r="AN933" s="56" t="str">
        <f>LOWER(SUBSTITUTE(SUBSTITUTE(SUBSTITUTE(SUBSTITUTE(SUBSTITUTE(SUBSTITUTE(SUBSTITUTE(SUBSTITUTE(SUBSTITUTE(NOTA[NAMA BARANG]," ",),".",""),"-",""),"(",""),")",""),",",""),"/",""),"""",""),"+",""))</f>
        <v/>
      </c>
      <c r="AO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3" s="56" t="str">
        <f>IF(NOTA[[#This Row],[CONCAT4]]="","",_xlfn.IFNA(MATCH(NOTA[[#This Row],[CONCAT4]],[2]!RAW[CONCAT_H],0),FALSE))</f>
        <v/>
      </c>
      <c r="AS933" s="56" t="str">
        <f>IF(NOTA[[#This Row],[CONCAT1]]="","",MATCH(NOTA[[#This Row],[CONCAT1]],[3]!db[NB NOTA_C],0))</f>
        <v/>
      </c>
      <c r="AT933" s="56" t="str">
        <f>IF(NOTA[[#This Row],[QTY/ CTN]]="","",TRUE)</f>
        <v/>
      </c>
      <c r="AU933" s="56" t="str">
        <f ca="1">IF(NOTA[[#This Row],[ID_H]]="","",IF(NOTA[[#This Row],[Column3]]=TRUE,NOTA[[#This Row],[QTY/ CTN]],INDEX([3]!db[QTY/ CTN],NOTA[[#This Row],[//DB]])))</f>
        <v/>
      </c>
      <c r="AV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3" s="56" t="str">
        <f ca="1">IF(NOTA[[#This Row],[ID_H]]="","",MATCH(NOTA[[#This Row],[NB NOTA_C_QTY]],[4]!db[NB NOTA_C_QTY+F],0))</f>
        <v/>
      </c>
      <c r="AX933" s="68" t="str">
        <f ca="1">IF(NOTA[[#This Row],[NB NOTA_C_QTY]]="","",ROW()-2)</f>
        <v/>
      </c>
    </row>
    <row r="934" spans="1:50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7"/>
      <c r="X934" s="66" t="str">
        <f>IF(NOTA[[#This Row],[HARGA/ CTN]]="",NOTA[[#This Row],[JUMLAH_H]],NOTA[[#This Row],[HARGA/ CTN]]*IF(NOTA[[#This Row],[C]]="",0,NOTA[[#This Row],[C]]))</f>
        <v/>
      </c>
      <c r="Y934" s="66" t="str">
        <f>IF(NOTA[[#This Row],[JUMLAH]]="","",NOTA[[#This Row],[JUMLAH]]*NOTA[[#This Row],[DISC 1]])</f>
        <v/>
      </c>
      <c r="Z934" s="66" t="str">
        <f>IF(NOTA[[#This Row],[JUMLAH]]="","",(NOTA[[#This Row],[JUMLAH]]-NOTA[[#This Row],[DISC 1-]])*NOTA[[#This Row],[DISC 2]])</f>
        <v/>
      </c>
      <c r="AA934" s="66" t="str">
        <f>IF(NOTA[[#This Row],[JUMLAH]]="","",(NOTA[[#This Row],[JUMLAH]]-NOTA[[#This Row],[DISC 1-]]-NOTA[[#This Row],[DISC 2-]])*NOTA[[#This Row],[DISC 3]])</f>
        <v/>
      </c>
      <c r="AB934" s="66" t="str">
        <f>IF(NOTA[[#This Row],[JUMLAH]]="","",NOTA[[#This Row],[DISC 1-]]+NOTA[[#This Row],[DISC 2-]]+NOTA[[#This Row],[DISC 3-]])</f>
        <v/>
      </c>
      <c r="AC934" s="66" t="str">
        <f>IF(NOTA[[#This Row],[JUMLAH]]="","",NOTA[[#This Row],[JUMLAH]]-NOTA[[#This Row],[DISC]])</f>
        <v/>
      </c>
      <c r="AD934" s="66"/>
      <c r="AE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4" s="66" t="str">
        <f>IF(OR(NOTA[[#This Row],[QTY]]="",NOTA[[#This Row],[HARGA SATUAN]]="",),"",NOTA[[#This Row],[QTY]]*NOTA[[#This Row],[HARGA SATUAN]])</f>
        <v/>
      </c>
      <c r="AI934" s="60" t="str">
        <f ca="1">IF(NOTA[ID_H]="","",INDEX(NOTA[TANGGAL],MATCH(,INDIRECT(ADDRESS(ROW(NOTA[TANGGAL]),COLUMN(NOTA[TANGGAL]))&amp;":"&amp;ADDRESS(ROW(),COLUMN(NOTA[TANGGAL]))),-1)))</f>
        <v/>
      </c>
      <c r="AJ934" s="55" t="str">
        <f ca="1">IF(NOTA[[#This Row],[NAMA BARANG]]="","",INDEX(NOTA[SUPPLIER],MATCH(,INDIRECT(ADDRESS(ROW(NOTA[ID]),COLUMN(NOTA[ID]))&amp;":"&amp;ADDRESS(ROW(),COLUMN(NOTA[ID]))),-1)))</f>
        <v/>
      </c>
      <c r="AK934" s="55" t="str">
        <f ca="1">IF(NOTA[[#This Row],[ID_H]]="","",IF(NOTA[[#This Row],[FAKTUR]]="",INDIRECT(ADDRESS(ROW()-1,COLUMN())),NOTA[[#This Row],[FAKTUR]]))</f>
        <v/>
      </c>
      <c r="AL934" s="56" t="str">
        <f ca="1">IF(NOTA[[#This Row],[ID]]="","",COUNTIF(NOTA[ID_H],NOTA[[#This Row],[ID_H]]))</f>
        <v/>
      </c>
      <c r="AM934" s="56" t="str">
        <f ca="1">IF(NOTA[[#This Row],[TGL.NOTA]]="",IF(NOTA[[#This Row],[SUPPLIER_H]]="","",AM933),MONTH(NOTA[[#This Row],[TGL.NOTA]]))</f>
        <v/>
      </c>
      <c r="AN934" s="56" t="str">
        <f>LOWER(SUBSTITUTE(SUBSTITUTE(SUBSTITUTE(SUBSTITUTE(SUBSTITUTE(SUBSTITUTE(SUBSTITUTE(SUBSTITUTE(SUBSTITUTE(NOTA[NAMA BARANG]," ",),".",""),"-",""),"(",""),")",""),",",""),"/",""),"""",""),"+",""))</f>
        <v/>
      </c>
      <c r="AO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4" s="56" t="str">
        <f>IF(NOTA[[#This Row],[CONCAT4]]="","",_xlfn.IFNA(MATCH(NOTA[[#This Row],[CONCAT4]],[2]!RAW[CONCAT_H],0),FALSE))</f>
        <v/>
      </c>
      <c r="AS934" s="56" t="str">
        <f>IF(NOTA[[#This Row],[CONCAT1]]="","",MATCH(NOTA[[#This Row],[CONCAT1]],[3]!db[NB NOTA_C],0))</f>
        <v/>
      </c>
      <c r="AT934" s="56" t="str">
        <f>IF(NOTA[[#This Row],[QTY/ CTN]]="","",TRUE)</f>
        <v/>
      </c>
      <c r="AU934" s="56" t="str">
        <f ca="1">IF(NOTA[[#This Row],[ID_H]]="","",IF(NOTA[[#This Row],[Column3]]=TRUE,NOTA[[#This Row],[QTY/ CTN]],INDEX([3]!db[QTY/ CTN],NOTA[[#This Row],[//DB]])))</f>
        <v/>
      </c>
      <c r="AV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4" s="56" t="str">
        <f ca="1">IF(NOTA[[#This Row],[ID_H]]="","",MATCH(NOTA[[#This Row],[NB NOTA_C_QTY]],[4]!db[NB NOTA_C_QTY+F],0))</f>
        <v/>
      </c>
      <c r="AX934" s="68" t="str">
        <f ca="1">IF(NOTA[[#This Row],[NB NOTA_C_QTY]]="","",ROW()-2)</f>
        <v/>
      </c>
    </row>
    <row r="935" spans="1:50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7"/>
      <c r="X935" s="66" t="str">
        <f>IF(NOTA[[#This Row],[HARGA/ CTN]]="",NOTA[[#This Row],[JUMLAH_H]],NOTA[[#This Row],[HARGA/ CTN]]*IF(NOTA[[#This Row],[C]]="",0,NOTA[[#This Row],[C]]))</f>
        <v/>
      </c>
      <c r="Y935" s="66" t="str">
        <f>IF(NOTA[[#This Row],[JUMLAH]]="","",NOTA[[#This Row],[JUMLAH]]*NOTA[[#This Row],[DISC 1]])</f>
        <v/>
      </c>
      <c r="Z935" s="66" t="str">
        <f>IF(NOTA[[#This Row],[JUMLAH]]="","",(NOTA[[#This Row],[JUMLAH]]-NOTA[[#This Row],[DISC 1-]])*NOTA[[#This Row],[DISC 2]])</f>
        <v/>
      </c>
      <c r="AA935" s="66" t="str">
        <f>IF(NOTA[[#This Row],[JUMLAH]]="","",(NOTA[[#This Row],[JUMLAH]]-NOTA[[#This Row],[DISC 1-]]-NOTA[[#This Row],[DISC 2-]])*NOTA[[#This Row],[DISC 3]])</f>
        <v/>
      </c>
      <c r="AB935" s="66" t="str">
        <f>IF(NOTA[[#This Row],[JUMLAH]]="","",NOTA[[#This Row],[DISC 1-]]+NOTA[[#This Row],[DISC 2-]]+NOTA[[#This Row],[DISC 3-]])</f>
        <v/>
      </c>
      <c r="AC935" s="66" t="str">
        <f>IF(NOTA[[#This Row],[JUMLAH]]="","",NOTA[[#This Row],[JUMLAH]]-NOTA[[#This Row],[DISC]])</f>
        <v/>
      </c>
      <c r="AD935" s="66"/>
      <c r="AE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5" s="66" t="str">
        <f>IF(OR(NOTA[[#This Row],[QTY]]="",NOTA[[#This Row],[HARGA SATUAN]]="",),"",NOTA[[#This Row],[QTY]]*NOTA[[#This Row],[HARGA SATUAN]])</f>
        <v/>
      </c>
      <c r="AI935" s="60" t="str">
        <f ca="1">IF(NOTA[ID_H]="","",INDEX(NOTA[TANGGAL],MATCH(,INDIRECT(ADDRESS(ROW(NOTA[TANGGAL]),COLUMN(NOTA[TANGGAL]))&amp;":"&amp;ADDRESS(ROW(),COLUMN(NOTA[TANGGAL]))),-1)))</f>
        <v/>
      </c>
      <c r="AJ935" s="55" t="str">
        <f ca="1">IF(NOTA[[#This Row],[NAMA BARANG]]="","",INDEX(NOTA[SUPPLIER],MATCH(,INDIRECT(ADDRESS(ROW(NOTA[ID]),COLUMN(NOTA[ID]))&amp;":"&amp;ADDRESS(ROW(),COLUMN(NOTA[ID]))),-1)))</f>
        <v/>
      </c>
      <c r="AK935" s="55" t="str">
        <f ca="1">IF(NOTA[[#This Row],[ID_H]]="","",IF(NOTA[[#This Row],[FAKTUR]]="",INDIRECT(ADDRESS(ROW()-1,COLUMN())),NOTA[[#This Row],[FAKTUR]]))</f>
        <v/>
      </c>
      <c r="AL935" s="56" t="str">
        <f ca="1">IF(NOTA[[#This Row],[ID]]="","",COUNTIF(NOTA[ID_H],NOTA[[#This Row],[ID_H]]))</f>
        <v/>
      </c>
      <c r="AM935" s="56" t="str">
        <f ca="1">IF(NOTA[[#This Row],[TGL.NOTA]]="",IF(NOTA[[#This Row],[SUPPLIER_H]]="","",AM934),MONTH(NOTA[[#This Row],[TGL.NOTA]]))</f>
        <v/>
      </c>
      <c r="AN935" s="56" t="str">
        <f>LOWER(SUBSTITUTE(SUBSTITUTE(SUBSTITUTE(SUBSTITUTE(SUBSTITUTE(SUBSTITUTE(SUBSTITUTE(SUBSTITUTE(SUBSTITUTE(NOTA[NAMA BARANG]," ",),".",""),"-",""),"(",""),")",""),",",""),"/",""),"""",""),"+",""))</f>
        <v/>
      </c>
      <c r="AO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5" s="56" t="str">
        <f>IF(NOTA[[#This Row],[CONCAT4]]="","",_xlfn.IFNA(MATCH(NOTA[[#This Row],[CONCAT4]],[2]!RAW[CONCAT_H],0),FALSE))</f>
        <v/>
      </c>
      <c r="AS935" s="56" t="str">
        <f>IF(NOTA[[#This Row],[CONCAT1]]="","",MATCH(NOTA[[#This Row],[CONCAT1]],[3]!db[NB NOTA_C],0))</f>
        <v/>
      </c>
      <c r="AT935" s="56" t="str">
        <f>IF(NOTA[[#This Row],[QTY/ CTN]]="","",TRUE)</f>
        <v/>
      </c>
      <c r="AU935" s="56" t="str">
        <f ca="1">IF(NOTA[[#This Row],[ID_H]]="","",IF(NOTA[[#This Row],[Column3]]=TRUE,NOTA[[#This Row],[QTY/ CTN]],INDEX([3]!db[QTY/ CTN],NOTA[[#This Row],[//DB]])))</f>
        <v/>
      </c>
      <c r="AV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5" s="56" t="str">
        <f ca="1">IF(NOTA[[#This Row],[ID_H]]="","",MATCH(NOTA[[#This Row],[NB NOTA_C_QTY]],[4]!db[NB NOTA_C_QTY+F],0))</f>
        <v/>
      </c>
      <c r="AX935" s="68" t="str">
        <f ca="1">IF(NOTA[[#This Row],[NB NOTA_C_QTY]]="","",ROW()-2)</f>
        <v/>
      </c>
    </row>
    <row r="936" spans="1:50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7"/>
      <c r="X936" s="66" t="str">
        <f>IF(NOTA[[#This Row],[HARGA/ CTN]]="",NOTA[[#This Row],[JUMLAH_H]],NOTA[[#This Row],[HARGA/ CTN]]*IF(NOTA[[#This Row],[C]]="",0,NOTA[[#This Row],[C]]))</f>
        <v/>
      </c>
      <c r="Y936" s="66" t="str">
        <f>IF(NOTA[[#This Row],[JUMLAH]]="","",NOTA[[#This Row],[JUMLAH]]*NOTA[[#This Row],[DISC 1]])</f>
        <v/>
      </c>
      <c r="Z936" s="66" t="str">
        <f>IF(NOTA[[#This Row],[JUMLAH]]="","",(NOTA[[#This Row],[JUMLAH]]-NOTA[[#This Row],[DISC 1-]])*NOTA[[#This Row],[DISC 2]])</f>
        <v/>
      </c>
      <c r="AA936" s="66" t="str">
        <f>IF(NOTA[[#This Row],[JUMLAH]]="","",(NOTA[[#This Row],[JUMLAH]]-NOTA[[#This Row],[DISC 1-]]-NOTA[[#This Row],[DISC 2-]])*NOTA[[#This Row],[DISC 3]])</f>
        <v/>
      </c>
      <c r="AB936" s="66" t="str">
        <f>IF(NOTA[[#This Row],[JUMLAH]]="","",NOTA[[#This Row],[DISC 1-]]+NOTA[[#This Row],[DISC 2-]]+NOTA[[#This Row],[DISC 3-]])</f>
        <v/>
      </c>
      <c r="AC936" s="66" t="str">
        <f>IF(NOTA[[#This Row],[JUMLAH]]="","",NOTA[[#This Row],[JUMLAH]]-NOTA[[#This Row],[DISC]])</f>
        <v/>
      </c>
      <c r="AD936" s="66"/>
      <c r="AE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6" s="66" t="str">
        <f>IF(OR(NOTA[[#This Row],[QTY]]="",NOTA[[#This Row],[HARGA SATUAN]]="",),"",NOTA[[#This Row],[QTY]]*NOTA[[#This Row],[HARGA SATUAN]])</f>
        <v/>
      </c>
      <c r="AI936" s="60" t="str">
        <f ca="1">IF(NOTA[ID_H]="","",INDEX(NOTA[TANGGAL],MATCH(,INDIRECT(ADDRESS(ROW(NOTA[TANGGAL]),COLUMN(NOTA[TANGGAL]))&amp;":"&amp;ADDRESS(ROW(),COLUMN(NOTA[TANGGAL]))),-1)))</f>
        <v/>
      </c>
      <c r="AJ936" s="55" t="str">
        <f ca="1">IF(NOTA[[#This Row],[NAMA BARANG]]="","",INDEX(NOTA[SUPPLIER],MATCH(,INDIRECT(ADDRESS(ROW(NOTA[ID]),COLUMN(NOTA[ID]))&amp;":"&amp;ADDRESS(ROW(),COLUMN(NOTA[ID]))),-1)))</f>
        <v/>
      </c>
      <c r="AK936" s="55" t="str">
        <f ca="1">IF(NOTA[[#This Row],[ID_H]]="","",IF(NOTA[[#This Row],[FAKTUR]]="",INDIRECT(ADDRESS(ROW()-1,COLUMN())),NOTA[[#This Row],[FAKTUR]]))</f>
        <v/>
      </c>
      <c r="AL936" s="56" t="str">
        <f ca="1">IF(NOTA[[#This Row],[ID]]="","",COUNTIF(NOTA[ID_H],NOTA[[#This Row],[ID_H]]))</f>
        <v/>
      </c>
      <c r="AM936" s="56" t="str">
        <f ca="1">IF(NOTA[[#This Row],[TGL.NOTA]]="",IF(NOTA[[#This Row],[SUPPLIER_H]]="","",AM935),MONTH(NOTA[[#This Row],[TGL.NOTA]]))</f>
        <v/>
      </c>
      <c r="AN936" s="56" t="str">
        <f>LOWER(SUBSTITUTE(SUBSTITUTE(SUBSTITUTE(SUBSTITUTE(SUBSTITUTE(SUBSTITUTE(SUBSTITUTE(SUBSTITUTE(SUBSTITUTE(NOTA[NAMA BARANG]," ",),".",""),"-",""),"(",""),")",""),",",""),"/",""),"""",""),"+",""))</f>
        <v/>
      </c>
      <c r="AO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6" s="56" t="str">
        <f>IF(NOTA[[#This Row],[CONCAT4]]="","",_xlfn.IFNA(MATCH(NOTA[[#This Row],[CONCAT4]],[2]!RAW[CONCAT_H],0),FALSE))</f>
        <v/>
      </c>
      <c r="AS936" s="56" t="str">
        <f>IF(NOTA[[#This Row],[CONCAT1]]="","",MATCH(NOTA[[#This Row],[CONCAT1]],[3]!db[NB NOTA_C],0))</f>
        <v/>
      </c>
      <c r="AT936" s="56" t="str">
        <f>IF(NOTA[[#This Row],[QTY/ CTN]]="","",TRUE)</f>
        <v/>
      </c>
      <c r="AU936" s="56" t="str">
        <f ca="1">IF(NOTA[[#This Row],[ID_H]]="","",IF(NOTA[[#This Row],[Column3]]=TRUE,NOTA[[#This Row],[QTY/ CTN]],INDEX([3]!db[QTY/ CTN],NOTA[[#This Row],[//DB]])))</f>
        <v/>
      </c>
      <c r="AV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6" s="56" t="str">
        <f ca="1">IF(NOTA[[#This Row],[ID_H]]="","",MATCH(NOTA[[#This Row],[NB NOTA_C_QTY]],[4]!db[NB NOTA_C_QTY+F],0))</f>
        <v/>
      </c>
      <c r="AX936" s="68" t="str">
        <f ca="1">IF(NOTA[[#This Row],[NB NOTA_C_QTY]]="","",ROW()-2)</f>
        <v/>
      </c>
    </row>
    <row r="937" spans="1:50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7"/>
      <c r="X937" s="66" t="str">
        <f>IF(NOTA[[#This Row],[HARGA/ CTN]]="",NOTA[[#This Row],[JUMLAH_H]],NOTA[[#This Row],[HARGA/ CTN]]*IF(NOTA[[#This Row],[C]]="",0,NOTA[[#This Row],[C]]))</f>
        <v/>
      </c>
      <c r="Y937" s="66" t="str">
        <f>IF(NOTA[[#This Row],[JUMLAH]]="","",NOTA[[#This Row],[JUMLAH]]*NOTA[[#This Row],[DISC 1]])</f>
        <v/>
      </c>
      <c r="Z937" s="66" t="str">
        <f>IF(NOTA[[#This Row],[JUMLAH]]="","",(NOTA[[#This Row],[JUMLAH]]-NOTA[[#This Row],[DISC 1-]])*NOTA[[#This Row],[DISC 2]])</f>
        <v/>
      </c>
      <c r="AA937" s="66" t="str">
        <f>IF(NOTA[[#This Row],[JUMLAH]]="","",(NOTA[[#This Row],[JUMLAH]]-NOTA[[#This Row],[DISC 1-]]-NOTA[[#This Row],[DISC 2-]])*NOTA[[#This Row],[DISC 3]])</f>
        <v/>
      </c>
      <c r="AB937" s="66" t="str">
        <f>IF(NOTA[[#This Row],[JUMLAH]]="","",NOTA[[#This Row],[DISC 1-]]+NOTA[[#This Row],[DISC 2-]]+NOTA[[#This Row],[DISC 3-]])</f>
        <v/>
      </c>
      <c r="AC937" s="66" t="str">
        <f>IF(NOTA[[#This Row],[JUMLAH]]="","",NOTA[[#This Row],[JUMLAH]]-NOTA[[#This Row],[DISC]])</f>
        <v/>
      </c>
      <c r="AD937" s="66"/>
      <c r="AE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7" s="66" t="str">
        <f>IF(OR(NOTA[[#This Row],[QTY]]="",NOTA[[#This Row],[HARGA SATUAN]]="",),"",NOTA[[#This Row],[QTY]]*NOTA[[#This Row],[HARGA SATUAN]])</f>
        <v/>
      </c>
      <c r="AI937" s="60" t="str">
        <f ca="1">IF(NOTA[ID_H]="","",INDEX(NOTA[TANGGAL],MATCH(,INDIRECT(ADDRESS(ROW(NOTA[TANGGAL]),COLUMN(NOTA[TANGGAL]))&amp;":"&amp;ADDRESS(ROW(),COLUMN(NOTA[TANGGAL]))),-1)))</f>
        <v/>
      </c>
      <c r="AJ937" s="55" t="str">
        <f ca="1">IF(NOTA[[#This Row],[NAMA BARANG]]="","",INDEX(NOTA[SUPPLIER],MATCH(,INDIRECT(ADDRESS(ROW(NOTA[ID]),COLUMN(NOTA[ID]))&amp;":"&amp;ADDRESS(ROW(),COLUMN(NOTA[ID]))),-1)))</f>
        <v/>
      </c>
      <c r="AK937" s="55" t="str">
        <f ca="1">IF(NOTA[[#This Row],[ID_H]]="","",IF(NOTA[[#This Row],[FAKTUR]]="",INDIRECT(ADDRESS(ROW()-1,COLUMN())),NOTA[[#This Row],[FAKTUR]]))</f>
        <v/>
      </c>
      <c r="AL937" s="56" t="str">
        <f ca="1">IF(NOTA[[#This Row],[ID]]="","",COUNTIF(NOTA[ID_H],NOTA[[#This Row],[ID_H]]))</f>
        <v/>
      </c>
      <c r="AM937" s="56" t="str">
        <f ca="1">IF(NOTA[[#This Row],[TGL.NOTA]]="",IF(NOTA[[#This Row],[SUPPLIER_H]]="","",AM936),MONTH(NOTA[[#This Row],[TGL.NOTA]]))</f>
        <v/>
      </c>
      <c r="AN937" s="56" t="str">
        <f>LOWER(SUBSTITUTE(SUBSTITUTE(SUBSTITUTE(SUBSTITUTE(SUBSTITUTE(SUBSTITUTE(SUBSTITUTE(SUBSTITUTE(SUBSTITUTE(NOTA[NAMA BARANG]," ",),".",""),"-",""),"(",""),")",""),",",""),"/",""),"""",""),"+",""))</f>
        <v/>
      </c>
      <c r="AO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7" s="56" t="str">
        <f>IF(NOTA[[#This Row],[CONCAT4]]="","",_xlfn.IFNA(MATCH(NOTA[[#This Row],[CONCAT4]],[2]!RAW[CONCAT_H],0),FALSE))</f>
        <v/>
      </c>
      <c r="AS937" s="56" t="str">
        <f>IF(NOTA[[#This Row],[CONCAT1]]="","",MATCH(NOTA[[#This Row],[CONCAT1]],[3]!db[NB NOTA_C],0))</f>
        <v/>
      </c>
      <c r="AT937" s="56" t="str">
        <f>IF(NOTA[[#This Row],[QTY/ CTN]]="","",TRUE)</f>
        <v/>
      </c>
      <c r="AU937" s="56" t="str">
        <f ca="1">IF(NOTA[[#This Row],[ID_H]]="","",IF(NOTA[[#This Row],[Column3]]=TRUE,NOTA[[#This Row],[QTY/ CTN]],INDEX([3]!db[QTY/ CTN],NOTA[[#This Row],[//DB]])))</f>
        <v/>
      </c>
      <c r="AV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7" s="56" t="str">
        <f ca="1">IF(NOTA[[#This Row],[ID_H]]="","",MATCH(NOTA[[#This Row],[NB NOTA_C_QTY]],[4]!db[NB NOTA_C_QTY+F],0))</f>
        <v/>
      </c>
      <c r="AX937" s="68" t="str">
        <f ca="1">IF(NOTA[[#This Row],[NB NOTA_C_QTY]]="","",ROW()-2)</f>
        <v/>
      </c>
    </row>
    <row r="938" spans="1:50" s="38" customFormat="1" ht="20.10000000000000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5"/>
      <c r="V938" s="66"/>
      <c r="W938" s="67"/>
      <c r="X938" s="66" t="str">
        <f>IF(NOTA[[#This Row],[HARGA/ CTN]]="",NOTA[[#This Row],[JUMLAH_H]],NOTA[[#This Row],[HARGA/ CTN]]*IF(NOTA[[#This Row],[C]]="",0,NOTA[[#This Row],[C]]))</f>
        <v/>
      </c>
      <c r="Y938" s="66" t="str">
        <f>IF(NOTA[[#This Row],[JUMLAH]]="","",NOTA[[#This Row],[JUMLAH]]*NOTA[[#This Row],[DISC 1]])</f>
        <v/>
      </c>
      <c r="Z938" s="66" t="str">
        <f>IF(NOTA[[#This Row],[JUMLAH]]="","",(NOTA[[#This Row],[JUMLAH]]-NOTA[[#This Row],[DISC 1-]])*NOTA[[#This Row],[DISC 2]])</f>
        <v/>
      </c>
      <c r="AA938" s="66" t="str">
        <f>IF(NOTA[[#This Row],[JUMLAH]]="","",(NOTA[[#This Row],[JUMLAH]]-NOTA[[#This Row],[DISC 1-]]-NOTA[[#This Row],[DISC 2-]])*NOTA[[#This Row],[DISC 3]])</f>
        <v/>
      </c>
      <c r="AB938" s="66" t="str">
        <f>IF(NOTA[[#This Row],[JUMLAH]]="","",NOTA[[#This Row],[DISC 1-]]+NOTA[[#This Row],[DISC 2-]]+NOTA[[#This Row],[DISC 3-]])</f>
        <v/>
      </c>
      <c r="AC938" s="66" t="str">
        <f>IF(NOTA[[#This Row],[JUMLAH]]="","",NOTA[[#This Row],[JUMLAH]]-NOTA[[#This Row],[DISC]])</f>
        <v/>
      </c>
      <c r="AD938" s="66"/>
      <c r="AE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8" s="66" t="str">
        <f>IF(OR(NOTA[[#This Row],[QTY]]="",NOTA[[#This Row],[HARGA SATUAN]]="",),"",NOTA[[#This Row],[QTY]]*NOTA[[#This Row],[HARGA SATUAN]])</f>
        <v/>
      </c>
      <c r="AI938" s="60" t="str">
        <f ca="1">IF(NOTA[ID_H]="","",INDEX(NOTA[TANGGAL],MATCH(,INDIRECT(ADDRESS(ROW(NOTA[TANGGAL]),COLUMN(NOTA[TANGGAL]))&amp;":"&amp;ADDRESS(ROW(),COLUMN(NOTA[TANGGAL]))),-1)))</f>
        <v/>
      </c>
      <c r="AJ938" s="55" t="str">
        <f ca="1">IF(NOTA[[#This Row],[NAMA BARANG]]="","",INDEX(NOTA[SUPPLIER],MATCH(,INDIRECT(ADDRESS(ROW(NOTA[ID]),COLUMN(NOTA[ID]))&amp;":"&amp;ADDRESS(ROW(),COLUMN(NOTA[ID]))),-1)))</f>
        <v/>
      </c>
      <c r="AK938" s="55" t="str">
        <f ca="1">IF(NOTA[[#This Row],[ID_H]]="","",IF(NOTA[[#This Row],[FAKTUR]]="",INDIRECT(ADDRESS(ROW()-1,COLUMN())),NOTA[[#This Row],[FAKTUR]]))</f>
        <v/>
      </c>
      <c r="AL938" s="56" t="str">
        <f ca="1">IF(NOTA[[#This Row],[ID]]="","",COUNTIF(NOTA[ID_H],NOTA[[#This Row],[ID_H]]))</f>
        <v/>
      </c>
      <c r="AM938" s="56" t="str">
        <f ca="1">IF(NOTA[[#This Row],[TGL.NOTA]]="",IF(NOTA[[#This Row],[SUPPLIER_H]]="","",AM937),MONTH(NOTA[[#This Row],[TGL.NOTA]]))</f>
        <v/>
      </c>
      <c r="AN938" s="56" t="str">
        <f>LOWER(SUBSTITUTE(SUBSTITUTE(SUBSTITUTE(SUBSTITUTE(SUBSTITUTE(SUBSTITUTE(SUBSTITUTE(SUBSTITUTE(SUBSTITUTE(NOTA[NAMA BARANG]," ",),".",""),"-",""),"(",""),")",""),",",""),"/",""),"""",""),"+",""))</f>
        <v/>
      </c>
      <c r="AO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8" s="56" t="str">
        <f>IF(NOTA[[#This Row],[CONCAT4]]="","",_xlfn.IFNA(MATCH(NOTA[[#This Row],[CONCAT4]],[2]!RAW[CONCAT_H],0),FALSE))</f>
        <v/>
      </c>
      <c r="AS938" s="56" t="str">
        <f>IF(NOTA[[#This Row],[CONCAT1]]="","",MATCH(NOTA[[#This Row],[CONCAT1]],[3]!db[NB NOTA_C],0))</f>
        <v/>
      </c>
      <c r="AT938" s="56" t="str">
        <f>IF(NOTA[[#This Row],[QTY/ CTN]]="","",TRUE)</f>
        <v/>
      </c>
      <c r="AU938" s="56" t="str">
        <f ca="1">IF(NOTA[[#This Row],[ID_H]]="","",IF(NOTA[[#This Row],[Column3]]=TRUE,NOTA[[#This Row],[QTY/ CTN]],INDEX([3]!db[QTY/ CTN],NOTA[[#This Row],[//DB]])))</f>
        <v/>
      </c>
      <c r="AV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8" s="56" t="str">
        <f ca="1">IF(NOTA[[#This Row],[ID_H]]="","",MATCH(NOTA[[#This Row],[NB NOTA_C_QTY]],[4]!db[NB NOTA_C_QTY+F],0))</f>
        <v/>
      </c>
      <c r="AX938" s="68" t="str">
        <f ca="1">IF(NOTA[[#This Row],[NB NOTA_C_QTY]]="","",ROW()-2)</f>
        <v/>
      </c>
    </row>
    <row r="939" spans="1:50" s="38" customFormat="1" ht="20.100000000000001" customHeight="1" x14ac:dyDescent="0.25">
      <c r="A9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6" t="str">
        <f>IF(NOTA[[#This Row],[ID_P]]="","",MATCH(NOTA[[#This Row],[ID_P]],[1]!B_MSK[N_ID],0))</f>
        <v/>
      </c>
      <c r="D939" s="56" t="str">
        <f ca="1">IF(NOTA[[#This Row],[NAMA BARANG]]="","",INDEX(NOTA[ID],MATCH(,INDIRECT(ADDRESS(ROW(NOTA[ID]),COLUMN(NOTA[ID]))&amp;":"&amp;ADDRESS(ROW(),COLUMN(NOTA[ID]))),-1)))</f>
        <v/>
      </c>
      <c r="E939" s="57"/>
      <c r="F939" s="58"/>
      <c r="G939" s="58"/>
      <c r="H939" s="59"/>
      <c r="I939" s="58"/>
      <c r="J939" s="60"/>
      <c r="K939" s="58"/>
      <c r="L939" s="58"/>
      <c r="M939" s="61"/>
      <c r="N939" s="56"/>
      <c r="O939" s="58"/>
      <c r="P939" s="55"/>
      <c r="Q939" s="62"/>
      <c r="R939" s="63"/>
      <c r="S939" s="64"/>
      <c r="T939" s="65"/>
      <c r="U939" s="65"/>
      <c r="V939" s="66"/>
      <c r="W939" s="67"/>
      <c r="X939" s="66" t="str">
        <f>IF(NOTA[[#This Row],[HARGA/ CTN]]="",NOTA[[#This Row],[JUMLAH_H]],NOTA[[#This Row],[HARGA/ CTN]]*IF(NOTA[[#This Row],[C]]="",0,NOTA[[#This Row],[C]]))</f>
        <v/>
      </c>
      <c r="Y939" s="66" t="str">
        <f>IF(NOTA[[#This Row],[JUMLAH]]="","",NOTA[[#This Row],[JUMLAH]]*NOTA[[#This Row],[DISC 1]])</f>
        <v/>
      </c>
      <c r="Z939" s="66" t="str">
        <f>IF(NOTA[[#This Row],[JUMLAH]]="","",(NOTA[[#This Row],[JUMLAH]]-NOTA[[#This Row],[DISC 1-]])*NOTA[[#This Row],[DISC 2]])</f>
        <v/>
      </c>
      <c r="AA939" s="66" t="str">
        <f>IF(NOTA[[#This Row],[JUMLAH]]="","",(NOTA[[#This Row],[JUMLAH]]-NOTA[[#This Row],[DISC 1-]]-NOTA[[#This Row],[DISC 2-]])*NOTA[[#This Row],[DISC 3]])</f>
        <v/>
      </c>
      <c r="AB939" s="66" t="str">
        <f>IF(NOTA[[#This Row],[JUMLAH]]="","",NOTA[[#This Row],[DISC 1-]]+NOTA[[#This Row],[DISC 2-]]+NOTA[[#This Row],[DISC 3-]])</f>
        <v/>
      </c>
      <c r="AC939" s="66" t="str">
        <f>IF(NOTA[[#This Row],[JUMLAH]]="","",NOTA[[#This Row],[JUMLAH]]-NOTA[[#This Row],[DISC]])</f>
        <v/>
      </c>
      <c r="AD939" s="66"/>
      <c r="AE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9" s="66" t="str">
        <f>IF(OR(NOTA[[#This Row],[QTY]]="",NOTA[[#This Row],[HARGA SATUAN]]="",),"",NOTA[[#This Row],[QTY]]*NOTA[[#This Row],[HARGA SATUAN]])</f>
        <v/>
      </c>
      <c r="AI939" s="60" t="str">
        <f ca="1">IF(NOTA[ID_H]="","",INDEX(NOTA[TANGGAL],MATCH(,INDIRECT(ADDRESS(ROW(NOTA[TANGGAL]),COLUMN(NOTA[TANGGAL]))&amp;":"&amp;ADDRESS(ROW(),COLUMN(NOTA[TANGGAL]))),-1)))</f>
        <v/>
      </c>
      <c r="AJ939" s="55" t="str">
        <f ca="1">IF(NOTA[[#This Row],[NAMA BARANG]]="","",INDEX(NOTA[SUPPLIER],MATCH(,INDIRECT(ADDRESS(ROW(NOTA[ID]),COLUMN(NOTA[ID]))&amp;":"&amp;ADDRESS(ROW(),COLUMN(NOTA[ID]))),-1)))</f>
        <v/>
      </c>
      <c r="AK939" s="55" t="str">
        <f ca="1">IF(NOTA[[#This Row],[ID_H]]="","",IF(NOTA[[#This Row],[FAKTUR]]="",INDIRECT(ADDRESS(ROW()-1,COLUMN())),NOTA[[#This Row],[FAKTUR]]))</f>
        <v/>
      </c>
      <c r="AL939" s="56" t="str">
        <f ca="1">IF(NOTA[[#This Row],[ID]]="","",COUNTIF(NOTA[ID_H],NOTA[[#This Row],[ID_H]]))</f>
        <v/>
      </c>
      <c r="AM939" s="56" t="str">
        <f ca="1">IF(NOTA[[#This Row],[TGL.NOTA]]="",IF(NOTA[[#This Row],[SUPPLIER_H]]="","",AM938),MONTH(NOTA[[#This Row],[TGL.NOTA]]))</f>
        <v/>
      </c>
      <c r="AN939" s="56" t="str">
        <f>LOWER(SUBSTITUTE(SUBSTITUTE(SUBSTITUTE(SUBSTITUTE(SUBSTITUTE(SUBSTITUTE(SUBSTITUTE(SUBSTITUTE(SUBSTITUTE(NOTA[NAMA BARANG]," ",),".",""),"-",""),"(",""),")",""),",",""),"/",""),"""",""),"+",""))</f>
        <v/>
      </c>
      <c r="AO9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9" s="56" t="str">
        <f>IF(NOTA[[#This Row],[CONCAT4]]="","",_xlfn.IFNA(MATCH(NOTA[[#This Row],[CONCAT4]],[2]!RAW[CONCAT_H],0),FALSE))</f>
        <v/>
      </c>
      <c r="AS939" s="56" t="str">
        <f>IF(NOTA[[#This Row],[CONCAT1]]="","",MATCH(NOTA[[#This Row],[CONCAT1]],[3]!db[NB NOTA_C],0))</f>
        <v/>
      </c>
      <c r="AT939" s="56" t="str">
        <f>IF(NOTA[[#This Row],[QTY/ CTN]]="","",TRUE)</f>
        <v/>
      </c>
      <c r="AU939" s="56" t="str">
        <f ca="1">IF(NOTA[[#This Row],[ID_H]]="","",IF(NOTA[[#This Row],[Column3]]=TRUE,NOTA[[#This Row],[QTY/ CTN]],INDEX([3]!db[QTY/ CTN],NOTA[[#This Row],[//DB]])))</f>
        <v/>
      </c>
      <c r="AV9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9" s="56" t="str">
        <f ca="1">IF(NOTA[[#This Row],[ID_H]]="","",MATCH(NOTA[[#This Row],[NB NOTA_C_QTY]],[4]!db[NB NOTA_C_QTY+F],0))</f>
        <v/>
      </c>
      <c r="AX939" s="68" t="str">
        <f ca="1">IF(NOTA[[#This Row],[NB NOTA_C_QTY]]="","",ROW()-2)</f>
        <v/>
      </c>
    </row>
    <row r="940" spans="1:50" s="38" customFormat="1" ht="20.100000000000001" customHeight="1" x14ac:dyDescent="0.25">
      <c r="A9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6" t="str">
        <f>IF(NOTA[[#This Row],[ID_P]]="","",MATCH(NOTA[[#This Row],[ID_P]],[1]!B_MSK[N_ID],0))</f>
        <v/>
      </c>
      <c r="D940" s="56" t="str">
        <f ca="1">IF(NOTA[[#This Row],[NAMA BARANG]]="","",INDEX(NOTA[ID],MATCH(,INDIRECT(ADDRESS(ROW(NOTA[ID]),COLUMN(NOTA[ID]))&amp;":"&amp;ADDRESS(ROW(),COLUMN(NOTA[ID]))),-1)))</f>
        <v/>
      </c>
      <c r="E940" s="57"/>
      <c r="F940" s="58"/>
      <c r="G940" s="58"/>
      <c r="H940" s="59"/>
      <c r="I940" s="58"/>
      <c r="J940" s="60"/>
      <c r="K940" s="58"/>
      <c r="L940" s="58"/>
      <c r="M940" s="61"/>
      <c r="N940" s="56"/>
      <c r="O940" s="58"/>
      <c r="P940" s="55"/>
      <c r="Q940" s="62"/>
      <c r="R940" s="63"/>
      <c r="S940" s="64"/>
      <c r="T940" s="65"/>
      <c r="U940" s="65"/>
      <c r="V940" s="66"/>
      <c r="W940" s="67"/>
      <c r="X940" s="66" t="str">
        <f>IF(NOTA[[#This Row],[HARGA/ CTN]]="",NOTA[[#This Row],[JUMLAH_H]],NOTA[[#This Row],[HARGA/ CTN]]*IF(NOTA[[#This Row],[C]]="",0,NOTA[[#This Row],[C]]))</f>
        <v/>
      </c>
      <c r="Y940" s="66" t="str">
        <f>IF(NOTA[[#This Row],[JUMLAH]]="","",NOTA[[#This Row],[JUMLAH]]*NOTA[[#This Row],[DISC 1]])</f>
        <v/>
      </c>
      <c r="Z940" s="66" t="str">
        <f>IF(NOTA[[#This Row],[JUMLAH]]="","",(NOTA[[#This Row],[JUMLAH]]-NOTA[[#This Row],[DISC 1-]])*NOTA[[#This Row],[DISC 2]])</f>
        <v/>
      </c>
      <c r="AA940" s="66" t="str">
        <f>IF(NOTA[[#This Row],[JUMLAH]]="","",(NOTA[[#This Row],[JUMLAH]]-NOTA[[#This Row],[DISC 1-]]-NOTA[[#This Row],[DISC 2-]])*NOTA[[#This Row],[DISC 3]])</f>
        <v/>
      </c>
      <c r="AB940" s="66" t="str">
        <f>IF(NOTA[[#This Row],[JUMLAH]]="","",NOTA[[#This Row],[DISC 1-]]+NOTA[[#This Row],[DISC 2-]]+NOTA[[#This Row],[DISC 3-]])</f>
        <v/>
      </c>
      <c r="AC940" s="66" t="str">
        <f>IF(NOTA[[#This Row],[JUMLAH]]="","",NOTA[[#This Row],[JUMLAH]]-NOTA[[#This Row],[DISC]])</f>
        <v/>
      </c>
      <c r="AD940" s="66"/>
      <c r="AE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0" s="66" t="str">
        <f>IF(OR(NOTA[[#This Row],[QTY]]="",NOTA[[#This Row],[HARGA SATUAN]]="",),"",NOTA[[#This Row],[QTY]]*NOTA[[#This Row],[HARGA SATUAN]])</f>
        <v/>
      </c>
      <c r="AI940" s="60" t="str">
        <f ca="1">IF(NOTA[ID_H]="","",INDEX(NOTA[TANGGAL],MATCH(,INDIRECT(ADDRESS(ROW(NOTA[TANGGAL]),COLUMN(NOTA[TANGGAL]))&amp;":"&amp;ADDRESS(ROW(),COLUMN(NOTA[TANGGAL]))),-1)))</f>
        <v/>
      </c>
      <c r="AJ940" s="55" t="str">
        <f ca="1">IF(NOTA[[#This Row],[NAMA BARANG]]="","",INDEX(NOTA[SUPPLIER],MATCH(,INDIRECT(ADDRESS(ROW(NOTA[ID]),COLUMN(NOTA[ID]))&amp;":"&amp;ADDRESS(ROW(),COLUMN(NOTA[ID]))),-1)))</f>
        <v/>
      </c>
      <c r="AK940" s="55" t="str">
        <f ca="1">IF(NOTA[[#This Row],[ID_H]]="","",IF(NOTA[[#This Row],[FAKTUR]]="",INDIRECT(ADDRESS(ROW()-1,COLUMN())),NOTA[[#This Row],[FAKTUR]]))</f>
        <v/>
      </c>
      <c r="AL940" s="56" t="str">
        <f ca="1">IF(NOTA[[#This Row],[ID]]="","",COUNTIF(NOTA[ID_H],NOTA[[#This Row],[ID_H]]))</f>
        <v/>
      </c>
      <c r="AM940" s="56" t="str">
        <f ca="1">IF(NOTA[[#This Row],[TGL.NOTA]]="",IF(NOTA[[#This Row],[SUPPLIER_H]]="","",AM939),MONTH(NOTA[[#This Row],[TGL.NOTA]]))</f>
        <v/>
      </c>
      <c r="AN940" s="56" t="str">
        <f>LOWER(SUBSTITUTE(SUBSTITUTE(SUBSTITUTE(SUBSTITUTE(SUBSTITUTE(SUBSTITUTE(SUBSTITUTE(SUBSTITUTE(SUBSTITUTE(NOTA[NAMA BARANG]," ",),".",""),"-",""),"(",""),")",""),",",""),"/",""),"""",""),"+",""))</f>
        <v/>
      </c>
      <c r="AO9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0" s="56" t="str">
        <f>IF(NOTA[[#This Row],[CONCAT4]]="","",_xlfn.IFNA(MATCH(NOTA[[#This Row],[CONCAT4]],[2]!RAW[CONCAT_H],0),FALSE))</f>
        <v/>
      </c>
      <c r="AS940" s="56" t="str">
        <f>IF(NOTA[[#This Row],[CONCAT1]]="","",MATCH(NOTA[[#This Row],[CONCAT1]],[3]!db[NB NOTA_C],0))</f>
        <v/>
      </c>
      <c r="AT940" s="56" t="str">
        <f>IF(NOTA[[#This Row],[QTY/ CTN]]="","",TRUE)</f>
        <v/>
      </c>
      <c r="AU940" s="56" t="str">
        <f ca="1">IF(NOTA[[#This Row],[ID_H]]="","",IF(NOTA[[#This Row],[Column3]]=TRUE,NOTA[[#This Row],[QTY/ CTN]],INDEX([3]!db[QTY/ CTN],NOTA[[#This Row],[//DB]])))</f>
        <v/>
      </c>
      <c r="AV9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0" s="56" t="str">
        <f ca="1">IF(NOTA[[#This Row],[ID_H]]="","",MATCH(NOTA[[#This Row],[NB NOTA_C_QTY]],[4]!db[NB NOTA_C_QTY+F],0))</f>
        <v/>
      </c>
      <c r="AX940" s="68" t="str">
        <f ca="1">IF(NOTA[[#This Row],[NB NOTA_C_QTY]]="","",ROW()-2)</f>
        <v/>
      </c>
    </row>
    <row r="941" spans="1:50" s="38" customFormat="1" ht="20.100000000000001" customHeight="1" x14ac:dyDescent="0.25">
      <c r="A9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6" t="str">
        <f>IF(NOTA[[#This Row],[ID_P]]="","",MATCH(NOTA[[#This Row],[ID_P]],[1]!B_MSK[N_ID],0))</f>
        <v/>
      </c>
      <c r="D941" s="56" t="str">
        <f ca="1">IF(NOTA[[#This Row],[NAMA BARANG]]="","",INDEX(NOTA[ID],MATCH(,INDIRECT(ADDRESS(ROW(NOTA[ID]),COLUMN(NOTA[ID]))&amp;":"&amp;ADDRESS(ROW(),COLUMN(NOTA[ID]))),-1)))</f>
        <v/>
      </c>
      <c r="E941" s="57"/>
      <c r="F941" s="58"/>
      <c r="G941" s="58"/>
      <c r="H941" s="59"/>
      <c r="I941" s="58"/>
      <c r="J941" s="60"/>
      <c r="K941" s="58"/>
      <c r="L941" s="58"/>
      <c r="M941" s="61"/>
      <c r="N941" s="56"/>
      <c r="O941" s="58"/>
      <c r="P941" s="55"/>
      <c r="Q941" s="62"/>
      <c r="R941" s="63"/>
      <c r="S941" s="64"/>
      <c r="T941" s="65"/>
      <c r="U941" s="65"/>
      <c r="V941" s="66"/>
      <c r="W941" s="67"/>
      <c r="X941" s="66" t="str">
        <f>IF(NOTA[[#This Row],[HARGA/ CTN]]="",NOTA[[#This Row],[JUMLAH_H]],NOTA[[#This Row],[HARGA/ CTN]]*IF(NOTA[[#This Row],[C]]="",0,NOTA[[#This Row],[C]]))</f>
        <v/>
      </c>
      <c r="Y941" s="66" t="str">
        <f>IF(NOTA[[#This Row],[JUMLAH]]="","",NOTA[[#This Row],[JUMLAH]]*NOTA[[#This Row],[DISC 1]])</f>
        <v/>
      </c>
      <c r="Z941" s="66" t="str">
        <f>IF(NOTA[[#This Row],[JUMLAH]]="","",(NOTA[[#This Row],[JUMLAH]]-NOTA[[#This Row],[DISC 1-]])*NOTA[[#This Row],[DISC 2]])</f>
        <v/>
      </c>
      <c r="AA941" s="66" t="str">
        <f>IF(NOTA[[#This Row],[JUMLAH]]="","",(NOTA[[#This Row],[JUMLAH]]-NOTA[[#This Row],[DISC 1-]]-NOTA[[#This Row],[DISC 2-]])*NOTA[[#This Row],[DISC 3]])</f>
        <v/>
      </c>
      <c r="AB941" s="66" t="str">
        <f>IF(NOTA[[#This Row],[JUMLAH]]="","",NOTA[[#This Row],[DISC 1-]]+NOTA[[#This Row],[DISC 2-]]+NOTA[[#This Row],[DISC 3-]])</f>
        <v/>
      </c>
      <c r="AC941" s="66" t="str">
        <f>IF(NOTA[[#This Row],[JUMLAH]]="","",NOTA[[#This Row],[JUMLAH]]-NOTA[[#This Row],[DISC]])</f>
        <v/>
      </c>
      <c r="AD941" s="66"/>
      <c r="AE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1" s="66" t="str">
        <f>IF(OR(NOTA[[#This Row],[QTY]]="",NOTA[[#This Row],[HARGA SATUAN]]="",),"",NOTA[[#This Row],[QTY]]*NOTA[[#This Row],[HARGA SATUAN]])</f>
        <v/>
      </c>
      <c r="AI941" s="60" t="str">
        <f ca="1">IF(NOTA[ID_H]="","",INDEX(NOTA[TANGGAL],MATCH(,INDIRECT(ADDRESS(ROW(NOTA[TANGGAL]),COLUMN(NOTA[TANGGAL]))&amp;":"&amp;ADDRESS(ROW(),COLUMN(NOTA[TANGGAL]))),-1)))</f>
        <v/>
      </c>
      <c r="AJ941" s="55" t="str">
        <f ca="1">IF(NOTA[[#This Row],[NAMA BARANG]]="","",INDEX(NOTA[SUPPLIER],MATCH(,INDIRECT(ADDRESS(ROW(NOTA[ID]),COLUMN(NOTA[ID]))&amp;":"&amp;ADDRESS(ROW(),COLUMN(NOTA[ID]))),-1)))</f>
        <v/>
      </c>
      <c r="AK941" s="55" t="str">
        <f ca="1">IF(NOTA[[#This Row],[ID_H]]="","",IF(NOTA[[#This Row],[FAKTUR]]="",INDIRECT(ADDRESS(ROW()-1,COLUMN())),NOTA[[#This Row],[FAKTUR]]))</f>
        <v/>
      </c>
      <c r="AL941" s="56" t="str">
        <f ca="1">IF(NOTA[[#This Row],[ID]]="","",COUNTIF(NOTA[ID_H],NOTA[[#This Row],[ID_H]]))</f>
        <v/>
      </c>
      <c r="AM941" s="56" t="str">
        <f ca="1">IF(NOTA[[#This Row],[TGL.NOTA]]="",IF(NOTA[[#This Row],[SUPPLIER_H]]="","",AM940),MONTH(NOTA[[#This Row],[TGL.NOTA]]))</f>
        <v/>
      </c>
      <c r="AN941" s="56" t="str">
        <f>LOWER(SUBSTITUTE(SUBSTITUTE(SUBSTITUTE(SUBSTITUTE(SUBSTITUTE(SUBSTITUTE(SUBSTITUTE(SUBSTITUTE(SUBSTITUTE(NOTA[NAMA BARANG]," ",),".",""),"-",""),"(",""),")",""),",",""),"/",""),"""",""),"+",""))</f>
        <v/>
      </c>
      <c r="AO9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1" s="56" t="str">
        <f>IF(NOTA[[#This Row],[CONCAT4]]="","",_xlfn.IFNA(MATCH(NOTA[[#This Row],[CONCAT4]],[2]!RAW[CONCAT_H],0),FALSE))</f>
        <v/>
      </c>
      <c r="AS941" s="56" t="str">
        <f>IF(NOTA[[#This Row],[CONCAT1]]="","",MATCH(NOTA[[#This Row],[CONCAT1]],[3]!db[NB NOTA_C],0))</f>
        <v/>
      </c>
      <c r="AT941" s="56" t="str">
        <f>IF(NOTA[[#This Row],[QTY/ CTN]]="","",TRUE)</f>
        <v/>
      </c>
      <c r="AU941" s="56" t="str">
        <f ca="1">IF(NOTA[[#This Row],[ID_H]]="","",IF(NOTA[[#This Row],[Column3]]=TRUE,NOTA[[#This Row],[QTY/ CTN]],INDEX([3]!db[QTY/ CTN],NOTA[[#This Row],[//DB]])))</f>
        <v/>
      </c>
      <c r="AV9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1" s="56" t="str">
        <f ca="1">IF(NOTA[[#This Row],[ID_H]]="","",MATCH(NOTA[[#This Row],[NB NOTA_C_QTY]],[4]!db[NB NOTA_C_QTY+F],0))</f>
        <v/>
      </c>
      <c r="AX941" s="68" t="str">
        <f ca="1">IF(NOTA[[#This Row],[NB NOTA_C_QTY]]="","",ROW()-2)</f>
        <v/>
      </c>
    </row>
  </sheetData>
  <conditionalFormatting sqref="B13:C1048576 B1:C10">
    <cfRule type="duplicateValues" dxfId="309" priority="1639"/>
    <cfRule type="duplicateValues" dxfId="308" priority="1640"/>
  </conditionalFormatting>
  <conditionalFormatting sqref="B13:B1048576 B1:B10">
    <cfRule type="duplicateValues" dxfId="307" priority="1645"/>
  </conditionalFormatting>
  <conditionalFormatting sqref="H567:H612 H1:H2 H51:H230 H614:H1048576 H299:H461 H486:H498 H232:H297 H463:H484 H500:H563">
    <cfRule type="duplicateValues" dxfId="306" priority="1707"/>
  </conditionalFormatting>
  <conditionalFormatting sqref="H3:H7 H9">
    <cfRule type="duplicateValues" dxfId="305" priority="22"/>
  </conditionalFormatting>
  <conditionalFormatting sqref="L422">
    <cfRule type="duplicateValues" dxfId="304" priority="20"/>
  </conditionalFormatting>
  <conditionalFormatting sqref="L422">
    <cfRule type="duplicateValues" dxfId="303" priority="19"/>
  </conditionalFormatting>
  <conditionalFormatting sqref="L426">
    <cfRule type="duplicateValues" dxfId="302" priority="18"/>
  </conditionalFormatting>
  <conditionalFormatting sqref="L426">
    <cfRule type="duplicateValues" dxfId="301" priority="17"/>
  </conditionalFormatting>
  <conditionalFormatting sqref="B11:C12">
    <cfRule type="duplicateValues" dxfId="300" priority="6"/>
    <cfRule type="duplicateValues" dxfId="299" priority="7"/>
  </conditionalFormatting>
  <conditionalFormatting sqref="B11:B12">
    <cfRule type="duplicateValues" dxfId="298" priority="8"/>
  </conditionalFormatting>
  <conditionalFormatting sqref="AR11:AR12">
    <cfRule type="duplicateValues" dxfId="297" priority="10"/>
  </conditionalFormatting>
  <conditionalFormatting sqref="H8">
    <cfRule type="duplicateValues" dxfId="296" priority="5"/>
  </conditionalFormatting>
  <conditionalFormatting sqref="H10:H50">
    <cfRule type="duplicateValues" dxfId="295" priority="4"/>
  </conditionalFormatting>
  <conditionalFormatting sqref="H613">
    <cfRule type="duplicateValues" dxfId="294" priority="3"/>
  </conditionalFormatting>
  <conditionalFormatting sqref="AQ13:AQ941 AQ3:AQ10">
    <cfRule type="duplicateValues" dxfId="293" priority="1770"/>
  </conditionalFormatting>
  <conditionalFormatting sqref="H565">
    <cfRule type="duplicateValues" dxfId="292" priority="2"/>
  </conditionalFormatting>
  <conditionalFormatting sqref="H564">
    <cfRule type="duplicateValues" dxfId="291" priority="1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EXP\BARU\2024\01 JANUARI\[NOTA 01 JANUARI 2024.xlsx]LIE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EXP\BARU\2024\01 JANUARI\[NOTA 01 JANUARI 2024.xlsx]LMA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2</v>
      </c>
      <c r="F1" t="str">
        <f ca="1">MID(G1,FIND("]",G1)+1,LEN(G1)-FIND("]",G1))</f>
        <v>PARAMA</v>
      </c>
      <c r="G1" s="4" t="str">
        <f ca="1">CELL("filename",G1)</f>
        <v>D:\kerja\BANK EXP\BARU\2024\01 JANUARI\[NOTA 01 JANUARI 2024.xlsx]PARAMA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761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63</v>
      </c>
      <c r="C3" s="12">
        <f ca="1">HYPERLINK("[NOTA_.xlsx]PAJAK!b"&amp;PARAMA[[#This Row],[//PAJAK]],IF(PARAMA[[#This Row],[//PAJAK]]="","",INDEX(INDIRECT("PAJAK["&amp;PARAMA[#Headers]&amp;"]"),PARAMA[[#This Row],[//PAJAK]]-1)))</f>
        <v>130</v>
      </c>
      <c r="D3" s="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45321</v>
      </c>
      <c r="F3" s="2">
        <f ca="1">IF(PARAMA[[#This Row],[//PAJAK]]="","",INDEX(INDIRECT("PAJAK["&amp;PARAMA[#Headers]&amp;"]"),PARAMA[[#This Row],[//PAJAK]]-1))</f>
        <v>45318</v>
      </c>
      <c r="G3" s="7">
        <f ca="1">IF(PARAMA[[#This Row],[//PAJAK]]="","",INDEX(INDIRECT("PAJAK["&amp;PARAMA[#Headers]&amp;"]"),PARAMA[[#This Row],[//PAJAK]]-1))</f>
        <v>0</v>
      </c>
      <c r="H3" s="3" t="str">
        <f ca="1">IF(PARAMA[[#This Row],[//PAJAK]]="","",INDEX(INDIRECT("PAJAK["&amp;PARAMA[#Headers]&amp;"]"),PARAMA[[#This Row],[//PAJAK]]-1))</f>
        <v>CV.36</v>
      </c>
      <c r="I3" s="1">
        <f ca="1">IF(PARAMA[[#This Row],[//PAJAK]]="","",INDEX(PAJAK[SUB TOTAL],PARAMA[[#This Row],[//PAJAK]]-1)-PARAMA[[#This Row],[DISKON_H]])</f>
        <v>15916500</v>
      </c>
      <c r="J3" s="1">
        <f ca="1">IF(PARAMA[[#This Row],[//PAJAK]]="","",INDEX(PAJAK[DISKON],PARAMA[[#This Row],[//PAJAK]]-1))</f>
        <v>3733500</v>
      </c>
      <c r="K3" s="1"/>
      <c r="L3" s="1">
        <f ca="1">(PARAMA[[#This Row],[SUB TOTAL]]-PARAMA[[#This Row],[DISKON]])/1.11</f>
        <v>14339189.189189188</v>
      </c>
      <c r="M3" s="1">
        <f ca="1">PARAMA[[#This Row],[DPP]]*11%</f>
        <v>1577310.8108108107</v>
      </c>
      <c r="N3" s="1">
        <f ca="1">PARAMA[[#This Row],[DPP]]+PARAMA[[#This Row],[PPN (11%)]]</f>
        <v>15916499.999999998</v>
      </c>
    </row>
    <row r="4" spans="1:14" x14ac:dyDescent="0.25">
      <c r="A4" s="13" t="e">
        <f ca="1">HYPERLINK("[NOTA_.xlsx]NOTA!A"&amp;MATCH(PARAMA[[#This Row],[ID]],NOTA[ID],0)+2,IF(PARAMA[[#This Row],[//PAJAK]]="","",MATCH(PARAMA[[#This Row],[ID]],NOTA[ID],0)+2))</f>
        <v>#N/A</v>
      </c>
      <c r="B4" s="5" t="e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>#N/A</v>
      </c>
      <c r="C4" s="12" t="e">
        <f ca="1">HYPERLINK("[NOTA_.xlsx]PAJAK!b"&amp;PARAMA[[#This Row],[//PAJAK]],IF(PARAMA[[#This Row],[//PAJAK]]="","",INDEX(INDIRECT("PAJAK["&amp;PARAMA[#Headers]&amp;"]"),PARAMA[[#This Row],[//PAJAK]]-1)))</f>
        <v>#N/A</v>
      </c>
      <c r="D4" t="e">
        <f ca="1">IF(PARAMA[[#This Row],[//PAJAK]]="","",INDEX(INDIRECT("PAJAK["&amp;PARAMA[#Headers]&amp;"]"),PARAMA[[#This Row],[//PAJAK]]-1))</f>
        <v>#N/A</v>
      </c>
      <c r="E4" s="2" t="e">
        <f ca="1">IF(PARAMA[[#This Row],[//PAJAK]]="","",INDEX(INDIRECT("PAJAK["&amp;PARAMA[#Headers]&amp;"]"),PARAMA[[#This Row],[//PAJAK]]-1))</f>
        <v>#N/A</v>
      </c>
      <c r="F4" s="2" t="e">
        <f ca="1">IF(PARAMA[[#This Row],[//PAJAK]]="","",INDEX(INDIRECT("PAJAK["&amp;PARAMA[#Headers]&amp;"]"),PARAMA[[#This Row],[//PAJAK]]-1))</f>
        <v>#N/A</v>
      </c>
      <c r="G4" s="5" t="e">
        <f ca="1">IF(PARAMA[[#This Row],[//PAJAK]]="","",INDEX(INDIRECT("PAJAK["&amp;PARAMA[#Headers]&amp;"]"),PARAMA[[#This Row],[//PAJAK]]-1))</f>
        <v>#N/A</v>
      </c>
      <c r="H4" t="e">
        <f ca="1">IF(PARAMA[[#This Row],[//PAJAK]]="","",INDEX(INDIRECT("PAJAK["&amp;PARAMA[#Headers]&amp;"]"),PARAMA[[#This Row],[//PAJAK]]-1))</f>
        <v>#N/A</v>
      </c>
      <c r="I4" s="1" t="e">
        <f ca="1">IF(PARAMA[[#This Row],[//PAJAK]]="","",INDEX(PAJAK[SUB TOTAL],PARAMA[[#This Row],[//PAJAK]]-1)-PARAMA[[#This Row],[DISKON_H]])</f>
        <v>#N/A</v>
      </c>
      <c r="J4" s="1" t="e">
        <f ca="1">IF(PARAMA[[#This Row],[//PAJAK]]="","",INDEX(PAJAK[DISKON],PARAMA[[#This Row],[//PAJAK]]-1))</f>
        <v>#N/A</v>
      </c>
      <c r="K4" s="1"/>
      <c r="L4" s="1" t="e">
        <f ca="1">(PARAMA[[#This Row],[SUB TOTAL]]-PARAMA[[#This Row],[DISKON]])/1.11</f>
        <v>#N/A</v>
      </c>
      <c r="M4" s="1" t="e">
        <f ca="1">PARAMA[[#This Row],[DPP]]*11%</f>
        <v>#N/A</v>
      </c>
      <c r="N4" s="1" t="e">
        <f ca="1">PARAMA[[#This Row],[DPP]]+PARAMA[[#This Row],[PPN (11%)]]</f>
        <v>#N/A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1</v>
      </c>
      <c r="G1" s="4" t="str">
        <f ca="1">CELL("filename",G1)</f>
        <v>D:\kerja\BANK EXP\BARU\2024\01 JANUARI\[NOTA 01 JANUARI 2024.xlsx]RAP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110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13</v>
      </c>
      <c r="C3" s="12">
        <f ca="1">HYPERLINK("[NOTA_.xlsx]PAJAK!b"&amp;RAP[[#This Row],[//PAJAK]],IF(RAP[[#This Row],[//PAJAK]]="","",INDEX(INDIRECT("PAJAK["&amp;RAP[#Headers]&amp;"]"),RAP[[#This Row],[//PAJAK]]-1)))</f>
        <v>13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45299</v>
      </c>
      <c r="F3" s="2">
        <f ca="1">IF(RAP[[#This Row],[//PAJAK]]="","",INDEX(INDIRECT("PAJAK["&amp;RAP[#Headers]&amp;"]"),RAP[[#This Row],[//PAJAK]]-1))</f>
        <v>45294</v>
      </c>
      <c r="G3" s="14" t="str">
        <f ca="1">IF(RAP[[#This Row],[//PAJAK]]="","",INDEX(INDIRECT("PAJAK["&amp;RAP[#Headers]&amp;"]"),RAP[[#This Row],[//PAJAK]]-1))</f>
        <v>HMP/001/01-24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12338400</v>
      </c>
      <c r="J3" s="1">
        <f ca="1">IF(RAP[[#This Row],[//PAJAK]]="","",INDEX(PAJAK[DISC DLL],RAP[[#This Row],[//PAJAK]]-1))</f>
        <v>0</v>
      </c>
      <c r="K3" s="1">
        <f ca="1">(RAP[[#This Row],[SUB TOTAL]]-RAP[[#This Row],[DISKON]])/1.11</f>
        <v>11115675.675675675</v>
      </c>
      <c r="L3" s="1">
        <f ca="1">RAP[[#This Row],[DPP]]*11%</f>
        <v>1222724.3243243243</v>
      </c>
      <c r="M3" s="1">
        <f ca="1">RAP[[#This Row],[DPP]]+RAP[[#This Row],[PPN (11%)]]</f>
        <v>12338400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1</v>
      </c>
      <c r="G1" s="4" t="str">
        <f ca="1">CELL("filename",G1)</f>
        <v>D:\kerja\BANK EXP\BARU\2024\01 JANUARI\[NOTA 01 JANUARI 2024.xlsx]NCL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HYPERLINK("[NOTA_.xlsx]NOTA!A"&amp;MATCH(NCL[[#This Row],[ID]],NOTA[ID],0)+2,IF(NCL[[#This Row],[//PAJAK]]="","",MATCH(NCL[[#This Row],[ID]],NOTA[ID],0)+2))</f>
        <v>619</v>
      </c>
      <c r="B3" s="5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>47</v>
      </c>
      <c r="C3" s="12">
        <f ca="1">HYPERLINK("[NOTA_.xlsx]PAJAK!b"&amp;NCL[[#This Row],[//PAJAK]],IF(NCL[[#This Row],[//PAJAK]]="","",INDEX(INDIRECT("PAJAK["&amp;NCL[#Headers]&amp;"]"),NCL[[#This Row],[//PAJAK]]-1)))</f>
        <v>101</v>
      </c>
      <c r="D3" s="3" t="str">
        <f ca="1">IF(NCL[[#This Row],[//PAJAK]]="","",INDEX(INDIRECT("PAJAK["&amp;NCL[#Headers]&amp;"]"),NCL[[#This Row],[//PAJAK]]-1))</f>
        <v>NATURAL CAHAYA LESTARI</v>
      </c>
      <c r="E3" s="2">
        <f ca="1">IF(NCL[[#This Row],[//PAJAK]]="","",INDEX(INDIRECT("PAJAK["&amp;NCL[#Headers]&amp;"]"),NCL[[#This Row],[//PAJAK]]-1))</f>
        <v>45310</v>
      </c>
      <c r="F3" s="2">
        <f ca="1">IF(NCL[[#This Row],[//PAJAK]]="","",INDEX(INDIRECT("PAJAK["&amp;NCL[#Headers]&amp;"]"),NCL[[#This Row],[//PAJAK]]-1))</f>
        <v>45306</v>
      </c>
      <c r="G3" s="14">
        <f ca="1">IF(NCL[[#This Row],[//PAJAK]]="","",INDEX(INDIRECT("PAJAK["&amp;NCL[#Headers]&amp;"]"),NCL[[#This Row],[//PAJAK]]-1))</f>
        <v>0</v>
      </c>
      <c r="H3" s="3" t="str">
        <f ca="1">IF(NCL[[#This Row],[//PAJAK]]="","",INDEX(INDIRECT("PAJAK["&amp;NCL[#Headers]&amp;"]"),NCL[[#This Row],[//PAJAK]]-1))</f>
        <v/>
      </c>
      <c r="I3" s="1">
        <f ca="1">IF(NCL[[#This Row],[//PAJAK]]="","",INDEX(PAJAK[SUB T-DISC],NCL[[#This Row],[//PAJAK]]-1)*1.11)</f>
        <v>22448142.720000003</v>
      </c>
      <c r="J3" s="1">
        <f ca="1">IF(NCL[[#This Row],[//PAJAK]]="","",INDEX(PAJAK[DISC DLL],NCL[[#This Row],[//PAJAK]]-1))</f>
        <v>0</v>
      </c>
      <c r="K3" s="1">
        <f ca="1">(NCL[[#This Row],[SUB TOTAL]]-NCL[[#This Row],[DISKON]])/1.11</f>
        <v>20223552</v>
      </c>
      <c r="L3" s="1">
        <f ca="1">NCL[[#This Row],[DPP]]*11%</f>
        <v>2224590.7200000002</v>
      </c>
      <c r="M3" s="1">
        <f ca="1">NCL[[#This Row],[DPP]]+NCL[[#This Row],[PPN (11%)]]</f>
        <v>22448142.719999999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A3" sqref="A3:A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168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919</v>
      </c>
      <c r="D2" t="s">
        <v>22</v>
      </c>
      <c r="E2" t="s">
        <v>59</v>
      </c>
      <c r="F2" t="s">
        <v>69</v>
      </c>
      <c r="G2">
        <f>COUNTIF(NOTA[SUPPLIER],CONV[[#This Row],[1]])</f>
        <v>38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33</v>
      </c>
    </row>
    <row r="4" spans="1:7" x14ac:dyDescent="0.25">
      <c r="A4" t="s">
        <v>34</v>
      </c>
      <c r="B4">
        <f>COUNTIF(NOTA[FAKTUR],NM_FAKTUR)</f>
        <v>81</v>
      </c>
      <c r="D4" t="s">
        <v>27</v>
      </c>
      <c r="E4" t="s">
        <v>61</v>
      </c>
      <c r="F4" t="s">
        <v>77</v>
      </c>
      <c r="G4">
        <f>COUNTIF(NOTA[SUPPLIER],CONV[[#This Row],[1]])</f>
        <v>2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3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1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2</v>
      </c>
    </row>
    <row r="14" spans="1:7" x14ac:dyDescent="0.25">
      <c r="D14" t="s">
        <v>108</v>
      </c>
      <c r="E14" t="s">
        <v>107</v>
      </c>
      <c r="F14" t="s">
        <v>108</v>
      </c>
      <c r="G14" s="3">
        <f>COUNTIF(NOTA[SUPPLIER],CONV[[#This Row],[1]])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55" zoomScale="85" zoomScaleNormal="85" workbookViewId="0">
      <selection activeCell="F60" sqref="F60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9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17</v>
      </c>
      <c r="B2" s="21">
        <f ca="1">HYPERLINK("[NOTA_.XLSX]NOTA!c"&amp;PAJAK[[#This Row],[//]],IF(PAJAK[[#This Row],[//]]="","",INDEX(INDIRECT("NOTA["&amp;PAJAK[#Headers]&amp;"]"),PAJAK[[#This Row],[//]]-2)))</f>
        <v>2</v>
      </c>
      <c r="C2" s="19" t="str">
        <f ca="1">IF(PAJAK[[#This Row],[//]]="","",INDEX(INDIRECT("NOTA["&amp;PAJAK[#Headers]&amp;"]"),PAJAK[[#This Row],[//]]-2))</f>
        <v>KAL_0601_018-5</v>
      </c>
      <c r="D2" s="19" t="e">
        <f ca="1">MATCH(PAJAK[[#This Row],[ID]],[5]!Table1[ID],0)</f>
        <v>#REF!</v>
      </c>
      <c r="E2" s="20">
        <f ca="1">IF(PAJAK[[#This Row],[ID]]="","",COUNTIF(NOTA[ID_H],PAJAK[[#This Row],[ID]]))</f>
        <v>5</v>
      </c>
      <c r="F2" s="15" t="str">
        <f ca="1">IF(PAJAK[[#This Row],[//]]="","",INDEX(CONV[2],MATCH(INDEX(INDIRECT("NOTA["&amp;PAJAK[#Headers]&amp;"]"),PAJAK[[#This Row],[//]]-2),CONV[1],0),0))</f>
        <v>PT KALINDO SUKSES</v>
      </c>
      <c r="G2" s="17">
        <f ca="1">IF(PAJAK[[#This Row],[//]]="","",INDEX(NOTA[TGL_H],PAJAK[[#This Row],[//]]-2))</f>
        <v>45297</v>
      </c>
      <c r="H2" s="17">
        <f ca="1">IF(PAJAK[[#This Row],[//]]="","",INDEX(INDIRECT("NOTA["&amp;PAJAK[#Headers]&amp;"]"),PAJAK[[#This Row],[//]]-2))</f>
        <v>44929</v>
      </c>
      <c r="I2" s="16" t="str">
        <f ca="1">IF(PAJAK[[#This Row],[//]]="","",INDEX(INDIRECT("NOTA["&amp;PAJAK[#Headers]&amp;"]"),PAJAK[[#This Row],[//]]-2))</f>
        <v>SN24010018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14080000</v>
      </c>
      <c r="L2" s="23">
        <f ca="1">IF(PAJAK[[#This Row],[//]]="","",SUMIF(NOTA[ID_H],PAJAK[[#This Row],[ID]],NOTA[DISC]))</f>
        <v>2376000</v>
      </c>
      <c r="M2" s="23">
        <f ca="1">PAJAK[[#This Row],[SUB TOTAL]]-PAJAK[[#This Row],[DISKON]]</f>
        <v>11704000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10544144.144144144</v>
      </c>
      <c r="P2" s="23">
        <f ca="1">PAJAK[[#This Row],[DPP]]*PAJAK[[#This Row],[PPN]]</f>
        <v>1159855.8558558559</v>
      </c>
      <c r="Q2" s="23">
        <f ca="1">PAJAK[[#This Row],[DPP]]+PAJAK[[#This Row],[PPN 11%]]</f>
        <v>11704000</v>
      </c>
      <c r="R2" s="18" t="str">
        <f ca="1">IF(ISNUMBER(PAJAK[[#This Row],[//]]),PPN,"")</f>
        <v>11%</v>
      </c>
    </row>
    <row r="3" spans="1:18" x14ac:dyDescent="0.25">
      <c r="A3" s="15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23</v>
      </c>
      <c r="B3" s="15">
        <f ca="1">HYPERLINK("[NOTA_.XLSX]NOTA!c"&amp;PAJAK[[#This Row],[//]],IF(PAJAK[[#This Row],[//]]="","",INDEX(INDIRECT("NOTA["&amp;PAJAK[#Headers]&amp;"]"),PAJAK[[#This Row],[//]]-2)))</f>
        <v>3</v>
      </c>
      <c r="C3" s="15" t="str">
        <f ca="1">IF(PAJAK[[#This Row],[//]]="","",INDEX(INDIRECT("NOTA["&amp;PAJAK[#Headers]&amp;"]"),PAJAK[[#This Row],[//]]-2))</f>
        <v>ATA_0601_069-8</v>
      </c>
      <c r="D3" s="15" t="e">
        <f ca="1">MATCH(PAJAK[[#This Row],[ID]],[5]!Table1[ID],0)</f>
        <v>#REF!</v>
      </c>
      <c r="E3" s="16">
        <f ca="1">IF(PAJAK[[#This Row],[ID]]="","",COUNTIF(NOTA[ID_H],PAJAK[[#This Row],[ID]]))</f>
        <v>8</v>
      </c>
      <c r="F3" s="15" t="str">
        <f ca="1">IF(PAJAK[[#This Row],[//]]="","",INDEX(CONV[2],MATCH(INDEX(INDIRECT("NOTA["&amp;PAJAK[#Headers]&amp;"]"),PAJAK[[#This Row],[//]]-2),CONV[1],0),0))</f>
        <v>PT ATALI MAKMUR</v>
      </c>
      <c r="G3" s="17">
        <f ca="1">IF(PAJAK[[#This Row],[//]]="","",INDEX(NOTA[TGL_H],PAJAK[[#This Row],[//]]-2))</f>
        <v>45297</v>
      </c>
      <c r="H3" s="17">
        <f ca="1">IF(PAJAK[[#This Row],[//]]="","",INDEX(INDIRECT("NOTA["&amp;PAJAK[#Headers]&amp;"]"),PAJAK[[#This Row],[//]]-2))</f>
        <v>44929</v>
      </c>
      <c r="I3" s="16" t="str">
        <f ca="1">IF(PAJAK[[#This Row],[//]]="","",INDEX(INDIRECT("NOTA["&amp;PAJAK[#Headers]&amp;"]"),PAJAK[[#This Row],[//]]-2))</f>
        <v>SA240100069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16502400</v>
      </c>
      <c r="L3" s="23">
        <f ca="1">IF(PAJAK[[#This Row],[//]]="","",SUMIF(NOTA[ID_H],PAJAK[[#This Row],[ID]],NOTA[DISC]))</f>
        <v>2784780</v>
      </c>
      <c r="M3" s="23">
        <f ca="1">PAJAK[[#This Row],[SUB TOTAL]]-PAJAK[[#This Row],[DISKON]]</f>
        <v>13717620</v>
      </c>
      <c r="N3" s="23">
        <f ca="1">IF(PAJAK[[#This Row],[//]]="","",INDEX(INDIRECT("NOTA["&amp;PAJAK[#Headers]&amp;"]"),PAJAK[[#This Row],[//]]-2+PAJAK[[#This Row],[QB]]-1))</f>
        <v>183540</v>
      </c>
      <c r="O3" s="23">
        <f ca="1">(PAJAK[[#This Row],[SUB T-DISC]]-PAJAK[[#This Row],[DISC DLL]])/111%</f>
        <v>12192864.864864863</v>
      </c>
      <c r="P3" s="23">
        <f ca="1">PAJAK[[#This Row],[DPP]]*PAJAK[[#This Row],[PPN]]</f>
        <v>1341215.1351351349</v>
      </c>
      <c r="Q3" s="23">
        <f ca="1">PAJAK[[#This Row],[DPP]]+PAJAK[[#This Row],[PPN 11%]]</f>
        <v>13534079.999999998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32</v>
      </c>
      <c r="B4" s="15">
        <f ca="1">HYPERLINK("[NOTA_.XLSX]NOTA!c"&amp;PAJAK[[#This Row],[//]],IF(PAJAK[[#This Row],[//]]="","",INDEX(INDIRECT("NOTA["&amp;PAJAK[#Headers]&amp;"]"),PAJAK[[#This Row],[//]]-2)))</f>
        <v>4</v>
      </c>
      <c r="C4" s="15" t="str">
        <f ca="1">IF(PAJAK[[#This Row],[//]]="","",INDEX(INDIRECT("NOTA["&amp;PAJAK[#Headers]&amp;"]"),PAJAK[[#This Row],[//]]-2))</f>
        <v>ATA_0601_067-11</v>
      </c>
      <c r="D4" s="15" t="e">
        <f ca="1">MATCH(PAJAK[[#This Row],[ID]],[5]!Table1[ID],0)</f>
        <v>#REF!</v>
      </c>
      <c r="E4" s="16">
        <f ca="1">IF(PAJAK[[#This Row],[ID]]="","",COUNTIF(NOTA[ID_H],PAJAK[[#This Row],[ID]]))</f>
        <v>11</v>
      </c>
      <c r="F4" s="15" t="str">
        <f ca="1">IF(PAJAK[[#This Row],[//]]="","",INDEX(CONV[2],MATCH(INDEX(INDIRECT("NOTA["&amp;PAJAK[#Headers]&amp;"]"),PAJAK[[#This Row],[//]]-2),CONV[1],0),0))</f>
        <v>PT ATALI MAKMUR</v>
      </c>
      <c r="G4" s="17">
        <f ca="1">IF(PAJAK[[#This Row],[//]]="","",INDEX(NOTA[TGL_H],PAJAK[[#This Row],[//]]-2))</f>
        <v>45297</v>
      </c>
      <c r="H4" s="17">
        <f ca="1">IF(PAJAK[[#This Row],[//]]="","",INDEX(INDIRECT("NOTA["&amp;PAJAK[#Headers]&amp;"]"),PAJAK[[#This Row],[//]]-2))</f>
        <v>45294</v>
      </c>
      <c r="I4" s="16" t="str">
        <f ca="1">IF(PAJAK[[#This Row],[//]]="","",INDEX(INDIRECT("NOTA["&amp;PAJAK[#Headers]&amp;"]"),PAJAK[[#This Row],[//]]-2))</f>
        <v>SA240100067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99359600</v>
      </c>
      <c r="L4" s="23">
        <f ca="1">IF(PAJAK[[#This Row],[//]]="","",SUMIF(NOTA[ID_H],PAJAK[[#This Row],[ID]],NOTA[DISC]))</f>
        <v>16766932.5</v>
      </c>
      <c r="M4" s="23">
        <f ca="1">PAJAK[[#This Row],[SUB TOTAL]]-PAJAK[[#This Row],[DISKON]]</f>
        <v>82592667.5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74407808.558558553</v>
      </c>
      <c r="P4" s="23">
        <f ca="1">PAJAK[[#This Row],[DPP]]*PAJAK[[#This Row],[PPN]]</f>
        <v>8184858.941441441</v>
      </c>
      <c r="Q4" s="23">
        <f ca="1">PAJAK[[#This Row],[DPP]]+PAJAK[[#This Row],[PPN 11%]]</f>
        <v>82592667.5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44</v>
      </c>
      <c r="B5" s="21">
        <f ca="1">HYPERLINK("[NOTA_.XLSX]NOTA!c"&amp;PAJAK[[#This Row],[//]],IF(PAJAK[[#This Row],[//]]="","",INDEX(INDIRECT("NOTA["&amp;PAJAK[#Headers]&amp;"]"),PAJAK[[#This Row],[//]]-2)))</f>
        <v>5</v>
      </c>
      <c r="C5" s="19" t="str">
        <f ca="1">IF(PAJAK[[#This Row],[//]]="","",INDEX(INDIRECT("NOTA["&amp;PAJAK[#Headers]&amp;"]"),PAJAK[[#This Row],[//]]-2))</f>
        <v>ATA_0601_046-9</v>
      </c>
      <c r="D5" s="19" t="e">
        <f ca="1">MATCH(PAJAK[[#This Row],[ID]],[5]!Table1[ID],0)</f>
        <v>#REF!</v>
      </c>
      <c r="E5" s="20">
        <f ca="1">IF(PAJAK[[#This Row],[ID]]="","",COUNTIF(NOTA[ID_H],PAJAK[[#This Row],[ID]]))</f>
        <v>9</v>
      </c>
      <c r="F5" s="15" t="str">
        <f ca="1">IF(PAJAK[[#This Row],[//]]="","",INDEX(CONV[2],MATCH(INDEX(INDIRECT("NOTA["&amp;PAJAK[#Headers]&amp;"]"),PAJAK[[#This Row],[//]]-2),CONV[1],0),0))</f>
        <v>PT ATALI MAKMUR</v>
      </c>
      <c r="G5" s="17">
        <f ca="1">IF(PAJAK[[#This Row],[//]]="","",INDEX(NOTA[TGL_H],PAJAK[[#This Row],[//]]-2))</f>
        <v>45297</v>
      </c>
      <c r="H5" s="17">
        <f ca="1">IF(PAJAK[[#This Row],[//]]="","",INDEX(INDIRECT("NOTA["&amp;PAJAK[#Headers]&amp;"]"),PAJAK[[#This Row],[//]]-2))</f>
        <v>45294</v>
      </c>
      <c r="I5" s="16" t="str">
        <f ca="1">IF(PAJAK[[#This Row],[//]]="","",INDEX(INDIRECT("NOTA["&amp;PAJAK[#Headers]&amp;"]"),PAJAK[[#This Row],[//]]-2))</f>
        <v>SA240100046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17390000</v>
      </c>
      <c r="L5" s="23">
        <f ca="1">IF(PAJAK[[#This Row],[//]]="","",SUMIF(NOTA[ID_H],PAJAK[[#This Row],[ID]],NOTA[DISC]))</f>
        <v>2934562.5</v>
      </c>
      <c r="M5" s="23">
        <f ca="1">PAJAK[[#This Row],[SUB TOTAL]]-PAJAK[[#This Row],[DISKON]]</f>
        <v>14455437.5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13022916.666666666</v>
      </c>
      <c r="P5" s="23">
        <f ca="1">PAJAK[[#This Row],[DPP]]*PAJAK[[#This Row],[PPN]]</f>
        <v>1432520.8333333333</v>
      </c>
      <c r="Q5" s="23">
        <f ca="1">PAJAK[[#This Row],[DPP]]+PAJAK[[#This Row],[PPN 11%]]</f>
        <v>14455437.5</v>
      </c>
      <c r="R5" s="18" t="str">
        <f ca="1">IF(ISNUMBER(PAJAK[[#This Row],[//]]),PPN,"")</f>
        <v>11%</v>
      </c>
    </row>
    <row r="6" spans="1:18" x14ac:dyDescent="0.25">
      <c r="A6" s="15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54</v>
      </c>
      <c r="B6" s="15">
        <f ca="1">HYPERLINK("[NOTA_.XLSX]NOTA!c"&amp;PAJAK[[#This Row],[//]],IF(PAJAK[[#This Row],[//]]="","",INDEX(INDIRECT("NOTA["&amp;PAJAK[#Headers]&amp;"]"),PAJAK[[#This Row],[//]]-2)))</f>
        <v>6</v>
      </c>
      <c r="C6" s="15" t="str">
        <f ca="1">IF(PAJAK[[#This Row],[//]]="","",INDEX(INDIRECT("NOTA["&amp;PAJAK[#Headers]&amp;"]"),PAJAK[[#This Row],[//]]-2))</f>
        <v>ATA_0601_047-4</v>
      </c>
      <c r="D6" s="15" t="e">
        <f ca="1">MATCH(PAJAK[[#This Row],[ID]],[5]!Table1[ID],0)</f>
        <v>#REF!</v>
      </c>
      <c r="E6" s="16">
        <f ca="1">IF(PAJAK[[#This Row],[ID]]="","",COUNTIF(NOTA[ID_H],PAJAK[[#This Row],[ID]]))</f>
        <v>4</v>
      </c>
      <c r="F6" s="15" t="str">
        <f ca="1">IF(PAJAK[[#This Row],[//]]="","",INDEX(CONV[2],MATCH(INDEX(INDIRECT("NOTA["&amp;PAJAK[#Headers]&amp;"]"),PAJAK[[#This Row],[//]]-2),CONV[1],0),0))</f>
        <v>PT ATALI MAKMUR</v>
      </c>
      <c r="G6" s="17">
        <f ca="1">IF(PAJAK[[#This Row],[//]]="","",INDEX(NOTA[TGL_H],PAJAK[[#This Row],[//]]-2))</f>
        <v>45297</v>
      </c>
      <c r="H6" s="17">
        <f ca="1">IF(PAJAK[[#This Row],[//]]="","",INDEX(INDIRECT("NOTA["&amp;PAJAK[#Headers]&amp;"]"),PAJAK[[#This Row],[//]]-2))</f>
        <v>45294</v>
      </c>
      <c r="I6" s="16" t="str">
        <f ca="1">IF(PAJAK[[#This Row],[//]]="","",INDEX(INDIRECT("NOTA["&amp;PAJAK[#Headers]&amp;"]"),PAJAK[[#This Row],[//]]-2))</f>
        <v>SA240100047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15537600</v>
      </c>
      <c r="L6" s="23">
        <f ca="1">IF(PAJAK[[#This Row],[//]]="","",SUMIF(NOTA[ID_H],PAJAK[[#This Row],[ID]],NOTA[DISC]))</f>
        <v>2621970</v>
      </c>
      <c r="M6" s="23">
        <f ca="1">PAJAK[[#This Row],[SUB TOTAL]]-PAJAK[[#This Row],[DISKON]]</f>
        <v>12915630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11635702.702702701</v>
      </c>
      <c r="P6" s="23">
        <f ca="1">PAJAK[[#This Row],[DPP]]*PAJAK[[#This Row],[PPN]]</f>
        <v>1279927.297297297</v>
      </c>
      <c r="Q6" s="23">
        <f ca="1">PAJAK[[#This Row],[DPP]]+PAJAK[[#This Row],[PPN 11%]]</f>
        <v>12915629.999999998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59</v>
      </c>
      <c r="B7" s="15">
        <f ca="1">HYPERLINK("[NOTA_.XLSX]NOTA!c"&amp;PAJAK[[#This Row],[//]],IF(PAJAK[[#This Row],[//]]="","",INDEX(INDIRECT("NOTA["&amp;PAJAK[#Headers]&amp;"]"),PAJAK[[#This Row],[//]]-2)))</f>
        <v>7</v>
      </c>
      <c r="C7" s="15" t="str">
        <f ca="1">IF(PAJAK[[#This Row],[//]]="","",INDEX(INDIRECT("NOTA["&amp;PAJAK[#Headers]&amp;"]"),PAJAK[[#This Row],[//]]-2))</f>
        <v>ATA_0601_068-9</v>
      </c>
      <c r="D7" s="15" t="e">
        <f ca="1">MATCH(PAJAK[[#This Row],[ID]],[5]!Table1[ID],0)</f>
        <v>#REF!</v>
      </c>
      <c r="E7" s="16">
        <f ca="1">IF(PAJAK[[#This Row],[ID]]="","",COUNTIF(NOTA[ID_H],PAJAK[[#This Row],[ID]]))</f>
        <v>9</v>
      </c>
      <c r="F7" s="15" t="str">
        <f ca="1">IF(PAJAK[[#This Row],[//]]="","",INDEX(CONV[2],MATCH(INDEX(INDIRECT("NOTA["&amp;PAJAK[#Headers]&amp;"]"),PAJAK[[#This Row],[//]]-2),CONV[1],0),0))</f>
        <v>PT ATALI MAKMUR</v>
      </c>
      <c r="G7" s="17">
        <f ca="1">IF(PAJAK[[#This Row],[//]]="","",INDEX(NOTA[TGL_H],PAJAK[[#This Row],[//]]-2))</f>
        <v>45297</v>
      </c>
      <c r="H7" s="17">
        <f ca="1">IF(PAJAK[[#This Row],[//]]="","",INDEX(INDIRECT("NOTA["&amp;PAJAK[#Headers]&amp;"]"),PAJAK[[#This Row],[//]]-2))</f>
        <v>45294</v>
      </c>
      <c r="I7" s="16" t="str">
        <f ca="1">IF(PAJAK[[#This Row],[//]]="","",INDEX(INDIRECT("NOTA["&amp;PAJAK[#Headers]&amp;"]"),PAJAK[[#This Row],[//]]-2))</f>
        <v>SA240100068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61027800</v>
      </c>
      <c r="L7" s="23">
        <f ca="1">IF(PAJAK[[#This Row],[//]]="","",SUMIF(NOTA[ID_H],PAJAK[[#This Row],[ID]],NOTA[DISC]))</f>
        <v>10298441.25</v>
      </c>
      <c r="M7" s="23">
        <f ca="1">PAJAK[[#This Row],[SUB TOTAL]]-PAJAK[[#This Row],[DISKON]]</f>
        <v>50729358.75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45702124.999999993</v>
      </c>
      <c r="P7" s="23">
        <f ca="1">PAJAK[[#This Row],[DPP]]*PAJAK[[#This Row],[PPN]]</f>
        <v>5027233.7499999991</v>
      </c>
      <c r="Q7" s="23">
        <f ca="1">PAJAK[[#This Row],[DPP]]+PAJAK[[#This Row],[PPN 11%]]</f>
        <v>50729358.749999993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69</v>
      </c>
      <c r="B8" s="21">
        <f ca="1">HYPERLINK("[NOTA_.XLSX]NOTA!c"&amp;PAJAK[[#This Row],[//]],IF(PAJAK[[#This Row],[//]]="","",INDEX(INDIRECT("NOTA["&amp;PAJAK[#Headers]&amp;"]"),PAJAK[[#This Row],[//]]-2)))</f>
        <v>8</v>
      </c>
      <c r="C8" s="19" t="str">
        <f ca="1">IF(PAJAK[[#This Row],[//]]="","",INDEX(INDIRECT("NOTA["&amp;PAJAK[#Headers]&amp;"]"),PAJAK[[#This Row],[//]]-2))</f>
        <v>ATA_0801_178-2</v>
      </c>
      <c r="D8" s="19" t="e">
        <f ca="1">MATCH(PAJAK[[#This Row],[ID]],[5]!Table1[ID],0)</f>
        <v>#REF!</v>
      </c>
      <c r="E8" s="20">
        <f ca="1">IF(PAJAK[[#This Row],[ID]]="","",COUNTIF(NOTA[ID_H],PAJAK[[#This Row],[ID]]))</f>
        <v>2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45299</v>
      </c>
      <c r="H8" s="17">
        <f ca="1">IF(PAJAK[[#This Row],[//]]="","",INDEX(INDIRECT("NOTA["&amp;PAJAK[#Headers]&amp;"]"),PAJAK[[#This Row],[//]]-2))</f>
        <v>45295</v>
      </c>
      <c r="I8" s="16" t="str">
        <f ca="1">IF(PAJAK[[#This Row],[//]]="","",INDEX(INDIRECT("NOTA["&amp;PAJAK[#Headers]&amp;"]"),PAJAK[[#This Row],[//]]-2))</f>
        <v>SA240100178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2780000</v>
      </c>
      <c r="L8" s="23">
        <f ca="1">IF(PAJAK[[#This Row],[//]]="","",SUMIF(NOTA[ID_H],PAJAK[[#This Row],[ID]],NOTA[DISC]))</f>
        <v>469125</v>
      </c>
      <c r="M8" s="23">
        <f ca="1">PAJAK[[#This Row],[SUB TOTAL]]-PAJAK[[#This Row],[DISKON]]</f>
        <v>2310875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2081869.3693693692</v>
      </c>
      <c r="P8" s="23">
        <f ca="1">PAJAK[[#This Row],[DPP]]*PAJAK[[#This Row],[PPN]]</f>
        <v>229005.63063063062</v>
      </c>
      <c r="Q8" s="23">
        <f ca="1">PAJAK[[#This Row],[DPP]]+PAJAK[[#This Row],[PPN 11%]]</f>
        <v>2310875</v>
      </c>
      <c r="R8" s="18" t="str">
        <f ca="1">IF(ISNUMBER(PAJAK[[#This Row],[//]]),PPN,"")</f>
        <v>11%</v>
      </c>
    </row>
    <row r="9" spans="1:18" x14ac:dyDescent="0.25">
      <c r="A9" s="1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72</v>
      </c>
      <c r="B9" s="21">
        <f ca="1">HYPERLINK("[NOTA_.XLSX]NOTA!c"&amp;PAJAK[[#This Row],[//]],IF(PAJAK[[#This Row],[//]]="","",INDEX(INDIRECT("NOTA["&amp;PAJAK[#Headers]&amp;"]"),PAJAK[[#This Row],[//]]-2)))</f>
        <v>9</v>
      </c>
      <c r="C9" s="19" t="str">
        <f ca="1">IF(PAJAK[[#This Row],[//]]="","",INDEX(INDIRECT("NOTA["&amp;PAJAK[#Headers]&amp;"]"),PAJAK[[#This Row],[//]]-2))</f>
        <v>KEN_0601_061-10</v>
      </c>
      <c r="D9" s="19" t="e">
        <f ca="1">MATCH(PAJAK[[#This Row],[ID]],[5]!Table1[ID],0)</f>
        <v>#REF!</v>
      </c>
      <c r="E9" s="20">
        <f ca="1">IF(PAJAK[[#This Row],[ID]]="","",COUNTIF(NOTA[ID_H],PAJAK[[#This Row],[ID]]))</f>
        <v>10</v>
      </c>
      <c r="F9" s="15" t="str">
        <f ca="1">IF(PAJAK[[#This Row],[//]]="","",INDEX(CONV[2],MATCH(INDEX(INDIRECT("NOTA["&amp;PAJAK[#Headers]&amp;"]"),PAJAK[[#This Row],[//]]-2),CONV[1],0),0))</f>
        <v>PT KENKO SINAR INDONESIA</v>
      </c>
      <c r="G9" s="17">
        <f ca="1">IF(PAJAK[[#This Row],[//]]="","",INDEX(NOTA[TGL_H],PAJAK[[#This Row],[//]]-2))</f>
        <v>45297</v>
      </c>
      <c r="H9" s="17">
        <f ca="1">IF(PAJAK[[#This Row],[//]]="","",INDEX(INDIRECT("NOTA["&amp;PAJAK[#Headers]&amp;"]"),PAJAK[[#This Row],[//]]-2))</f>
        <v>45295</v>
      </c>
      <c r="I9" s="16" t="str">
        <f ca="1">IF(PAJAK[[#This Row],[//]]="","",INDEX(INDIRECT("NOTA["&amp;PAJAK[#Headers]&amp;"]"),PAJAK[[#This Row],[//]]-2))</f>
        <v>24010061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12779600</v>
      </c>
      <c r="L9" s="23">
        <f ca="1">IF(PAJAK[[#This Row],[//]]="","",SUMIF(NOTA[ID_H],PAJAK[[#This Row],[ID]],NOTA[DISC]))</f>
        <v>2172532</v>
      </c>
      <c r="M9" s="23">
        <f ca="1">PAJAK[[#This Row],[SUB TOTAL]]-PAJAK[[#This Row],[DISKON]]</f>
        <v>10607068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9555917.1171171162</v>
      </c>
      <c r="P9" s="23">
        <f ca="1">PAJAK[[#This Row],[DPP]]*PAJAK[[#This Row],[PPN]]</f>
        <v>1051150.8828828828</v>
      </c>
      <c r="Q9" s="23">
        <f ca="1">PAJAK[[#This Row],[DPP]]+PAJAK[[#This Row],[PPN 11%]]</f>
        <v>10607068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83</v>
      </c>
      <c r="B10" s="21">
        <f ca="1">HYPERLINK("[NOTA_.XLSX]NOTA!c"&amp;PAJAK[[#This Row],[//]],IF(PAJAK[[#This Row],[//]]="","",INDEX(INDIRECT("NOTA["&amp;PAJAK[#Headers]&amp;"]"),PAJAK[[#This Row],[//]]-2)))</f>
        <v>10</v>
      </c>
      <c r="C10" s="19" t="str">
        <f ca="1">IF(PAJAK[[#This Row],[//]]="","",INDEX(INDIRECT("NOTA["&amp;PAJAK[#Headers]&amp;"]"),PAJAK[[#This Row],[//]]-2))</f>
        <v>KEN_0601_080-6</v>
      </c>
      <c r="D10" s="19" t="e">
        <f ca="1">MATCH(PAJAK[[#This Row],[ID]],[5]!Table1[ID],0)</f>
        <v>#REF!</v>
      </c>
      <c r="E10" s="20">
        <f ca="1">IF(PAJAK[[#This Row],[ID]]="","",COUNTIF(NOTA[ID_H],PAJAK[[#This Row],[ID]]))</f>
        <v>6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45297</v>
      </c>
      <c r="H10" s="17">
        <f ca="1">IF(PAJAK[[#This Row],[//]]="","",INDEX(INDIRECT("NOTA["&amp;PAJAK[#Headers]&amp;"]"),PAJAK[[#This Row],[//]]-2))</f>
        <v>45295</v>
      </c>
      <c r="I10" s="16" t="str">
        <f ca="1">IF(PAJAK[[#This Row],[//]]="","",INDEX(INDIRECT("NOTA["&amp;PAJAK[#Headers]&amp;"]"),PAJAK[[#This Row],[//]]-2))</f>
        <v>24010080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18136800</v>
      </c>
      <c r="L10" s="23">
        <f ca="1">IF(PAJAK[[#This Row],[//]]="","",SUMIF(NOTA[ID_H],PAJAK[[#This Row],[ID]],NOTA[DISC]))</f>
        <v>3083256</v>
      </c>
      <c r="M10" s="23">
        <f ca="1">PAJAK[[#This Row],[SUB TOTAL]]-PAJAK[[#This Row],[DISKON]]</f>
        <v>15053544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13561751.351351351</v>
      </c>
      <c r="P10" s="23">
        <f ca="1">PAJAK[[#This Row],[DPP]]*PAJAK[[#This Row],[PPN]]</f>
        <v>1491792.6486486485</v>
      </c>
      <c r="Q10" s="23">
        <f ca="1">PAJAK[[#This Row],[DPP]]+PAJAK[[#This Row],[PPN 11%]]</f>
        <v>15053544</v>
      </c>
      <c r="R10" s="18" t="str">
        <f ca="1">IF(ISNUMBER(PAJAK[[#This Row],[//]]),PPN,"")</f>
        <v>11%</v>
      </c>
    </row>
    <row r="11" spans="1:18" x14ac:dyDescent="0.25">
      <c r="A11" s="15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90</v>
      </c>
      <c r="B11" s="15">
        <f ca="1">HYPERLINK("[NOTA_.XLSX]NOTA!c"&amp;PAJAK[[#This Row],[//]],IF(PAJAK[[#This Row],[//]]="","",INDEX(INDIRECT("NOTA["&amp;PAJAK[#Headers]&amp;"]"),PAJAK[[#This Row],[//]]-2)))</f>
        <v>11</v>
      </c>
      <c r="C11" s="15" t="str">
        <f ca="1">IF(PAJAK[[#This Row],[//]]="","",INDEX(INDIRECT("NOTA["&amp;PAJAK[#Headers]&amp;"]"),PAJAK[[#This Row],[//]]-2))</f>
        <v>KEN_0601_062-7</v>
      </c>
      <c r="D11" s="15" t="e">
        <f ca="1">MATCH(PAJAK[[#This Row],[ID]],[5]!Table1[ID],0)</f>
        <v>#REF!</v>
      </c>
      <c r="E11" s="16">
        <f ca="1">IF(PAJAK[[#This Row],[ID]]="","",COUNTIF(NOTA[ID_H],PAJAK[[#This Row],[ID]]))</f>
        <v>7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45297</v>
      </c>
      <c r="H11" s="17">
        <f ca="1">IF(PAJAK[[#This Row],[//]]="","",INDEX(INDIRECT("NOTA["&amp;PAJAK[#Headers]&amp;"]"),PAJAK[[#This Row],[//]]-2))</f>
        <v>45295</v>
      </c>
      <c r="I11" s="16" t="str">
        <f ca="1">IF(PAJAK[[#This Row],[//]]="","",INDEX(INDIRECT("NOTA["&amp;PAJAK[#Headers]&amp;"]"),PAJAK[[#This Row],[//]]-2))</f>
        <v>24010062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16611600</v>
      </c>
      <c r="L11" s="23">
        <f ca="1">IF(PAJAK[[#This Row],[//]]="","",SUMIF(NOTA[ID_H],PAJAK[[#This Row],[ID]],NOTA[DISC]))</f>
        <v>2823972</v>
      </c>
      <c r="M11" s="23">
        <f ca="1">PAJAK[[#This Row],[SUB TOTAL]]-PAJAK[[#This Row],[DISKON]]</f>
        <v>13787628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12421286.486486485</v>
      </c>
      <c r="P11" s="23">
        <f ca="1">PAJAK[[#This Row],[DPP]]*PAJAK[[#This Row],[PPN]]</f>
        <v>1366341.5135135134</v>
      </c>
      <c r="Q11" s="23">
        <f ca="1">PAJAK[[#This Row],[DPP]]+PAJAK[[#This Row],[PPN 11%]]</f>
        <v>13787627.999999998</v>
      </c>
      <c r="R11" s="18" t="str">
        <f ca="1">IF(ISNUMBER(PAJAK[[#This Row],[//]]),PPN,"")</f>
        <v>11%</v>
      </c>
    </row>
    <row r="12" spans="1:18" x14ac:dyDescent="0.25">
      <c r="A12" s="15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98</v>
      </c>
      <c r="B12" s="15">
        <f ca="1">HYPERLINK("[NOTA_.XLSX]NOTA!c"&amp;PAJAK[[#This Row],[//]],IF(PAJAK[[#This Row],[//]]="","",INDEX(INDIRECT("NOTA["&amp;PAJAK[#Headers]&amp;"]"),PAJAK[[#This Row],[//]]-2)))</f>
        <v>12</v>
      </c>
      <c r="C12" s="15" t="str">
        <f ca="1">IF(PAJAK[[#This Row],[//]]="","",INDEX(INDIRECT("NOTA["&amp;PAJAK[#Headers]&amp;"]"),PAJAK[[#This Row],[//]]-2))</f>
        <v>KEN_0601_114-11</v>
      </c>
      <c r="D12" s="15" t="e">
        <f ca="1">MATCH(PAJAK[[#This Row],[ID]],[5]!Table1[ID],0)</f>
        <v>#REF!</v>
      </c>
      <c r="E12" s="16">
        <f ca="1">IF(PAJAK[[#This Row],[ID]]="","",COUNTIF(NOTA[ID_H],PAJAK[[#This Row],[ID]]))</f>
        <v>11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45297</v>
      </c>
      <c r="H12" s="17">
        <f ca="1">IF(PAJAK[[#This Row],[//]]="","",INDEX(INDIRECT("NOTA["&amp;PAJAK[#Headers]&amp;"]"),PAJAK[[#This Row],[//]]-2))</f>
        <v>45295</v>
      </c>
      <c r="I12" s="16" t="str">
        <f ca="1">IF(PAJAK[[#This Row],[//]]="","",INDEX(INDIRECT("NOTA["&amp;PAJAK[#Headers]&amp;"]"),PAJAK[[#This Row],[//]]-2))</f>
        <v>24010114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36746400</v>
      </c>
      <c r="L12" s="23">
        <f ca="1">IF(PAJAK[[#This Row],[//]]="","",SUMIF(NOTA[ID_H],PAJAK[[#This Row],[ID]],NOTA[DISC]))</f>
        <v>6246888</v>
      </c>
      <c r="M12" s="23">
        <f ca="1">PAJAK[[#This Row],[SUB TOTAL]]-PAJAK[[#This Row],[DISKON]]</f>
        <v>30499512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27477037.837837834</v>
      </c>
      <c r="P12" s="23">
        <f ca="1">PAJAK[[#This Row],[DPP]]*PAJAK[[#This Row],[PPN]]</f>
        <v>3022474.1621621619</v>
      </c>
      <c r="Q12" s="23">
        <f ca="1">PAJAK[[#This Row],[DPP]]+PAJAK[[#This Row],[PPN 11%]]</f>
        <v>30499511.999999996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110</v>
      </c>
      <c r="B13" s="21">
        <f ca="1">HYPERLINK("[NOTA_.XLSX]NOTA!c"&amp;PAJAK[[#This Row],[//]],IF(PAJAK[[#This Row],[//]]="","",INDEX(INDIRECT("NOTA["&amp;PAJAK[#Headers]&amp;"]"),PAJAK[[#This Row],[//]]-2)))</f>
        <v>13</v>
      </c>
      <c r="C13" s="19" t="str">
        <f ca="1">IF(PAJAK[[#This Row],[//]]="","",INDEX(INDIRECT("NOTA["&amp;PAJAK[#Headers]&amp;"]"),PAJAK[[#This Row],[//]]-2))</f>
        <v>RAP_0801_-24-2</v>
      </c>
      <c r="D13" s="19" t="e">
        <f ca="1">MATCH(PAJAK[[#This Row],[ID]],[5]!Table1[ID],0)</f>
        <v>#REF!</v>
      </c>
      <c r="E13" s="20">
        <f ca="1">IF(PAJAK[[#This Row],[ID]]="","",COUNTIF(NOTA[ID_H],PAJAK[[#This Row],[ID]]))</f>
        <v>2</v>
      </c>
      <c r="F13" s="15" t="str">
        <f ca="1">IF(PAJAK[[#This Row],[//]]="","",INDEX(CONV[2],MATCH(INDEX(INDIRECT("NOTA["&amp;PAJAK[#Headers]&amp;"]"),PAJAK[[#This Row],[//]]-2),CONV[1],0),0))</f>
        <v>PT RAPINAN BROTHER</v>
      </c>
      <c r="G13" s="17">
        <f ca="1">IF(PAJAK[[#This Row],[//]]="","",INDEX(NOTA[TGL_H],PAJAK[[#This Row],[//]]-2))</f>
        <v>45299</v>
      </c>
      <c r="H13" s="17">
        <f ca="1">IF(PAJAK[[#This Row],[//]]="","",INDEX(INDIRECT("NOTA["&amp;PAJAK[#Headers]&amp;"]"),PAJAK[[#This Row],[//]]-2))</f>
        <v>45294</v>
      </c>
      <c r="I13" s="16" t="str">
        <f ca="1">IF(PAJAK[[#This Row],[//]]="","",INDEX(INDIRECT("NOTA["&amp;PAJAK[#Headers]&amp;"]"),PAJAK[[#This Row],[//]]-2))</f>
        <v>HMP/001/01-24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12720000</v>
      </c>
      <c r="L13" s="23">
        <f ca="1">IF(PAJAK[[#This Row],[//]]="","",SUMIF(NOTA[ID_H],PAJAK[[#This Row],[ID]],NOTA[DISC]))</f>
        <v>381600</v>
      </c>
      <c r="M13" s="23">
        <f ca="1">PAJAK[[#This Row],[SUB TOTAL]]-PAJAK[[#This Row],[DISKON]]</f>
        <v>12338400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11115675.675675675</v>
      </c>
      <c r="P13" s="23">
        <f ca="1">PAJAK[[#This Row],[DPP]]*PAJAK[[#This Row],[PPN]]</f>
        <v>1222724.3243243243</v>
      </c>
      <c r="Q13" s="23">
        <f ca="1">PAJAK[[#This Row],[DPP]]+PAJAK[[#This Row],[PPN 11%]]</f>
        <v>12338400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195</v>
      </c>
      <c r="B14" s="21">
        <f ca="1">HYPERLINK("[NOTA_.XLSX]NOTA!c"&amp;PAJAK[[#This Row],[//]],IF(PAJAK[[#This Row],[//]]="","",INDEX(INDIRECT("NOTA["&amp;PAJAK[#Headers]&amp;"]"),PAJAK[[#This Row],[//]]-2)))</f>
        <v>28</v>
      </c>
      <c r="C14" s="19" t="str">
        <f ca="1">IF(PAJAK[[#This Row],[//]]="","",INDEX(INDIRECT("NOTA["&amp;PAJAK[#Headers]&amp;"]"),PAJAK[[#This Row],[//]]-2))</f>
        <v>LAY_1101_079-2</v>
      </c>
      <c r="D14" s="19" t="e">
        <f ca="1">MATCH(PAJAK[[#This Row],[ID]],[5]!Table1[ID],0)</f>
        <v>#REF!</v>
      </c>
      <c r="E14" s="20">
        <f ca="1">IF(PAJAK[[#This Row],[ID]]="","",COUNTIF(NOTA[ID_H],PAJAK[[#This Row],[ID]]))</f>
        <v>2</v>
      </c>
      <c r="F14" s="15" t="str">
        <f ca="1">IF(PAJAK[[#This Row],[//]]="","",INDEX(CONV[2],MATCH(INDEX(INDIRECT("NOTA["&amp;PAJAK[#Headers]&amp;"]"),PAJAK[[#This Row],[//]]-2),CONV[1],0),0))</f>
        <v>PT MITRA GLOBAL NIAGA</v>
      </c>
      <c r="G14" s="17">
        <f ca="1">IF(PAJAK[[#This Row],[//]]="","",INDEX(NOTA[TGL_H],PAJAK[[#This Row],[//]]-2))</f>
        <v>45302</v>
      </c>
      <c r="H14" s="17">
        <f ca="1">IF(PAJAK[[#This Row],[//]]="","",INDEX(INDIRECT("NOTA["&amp;PAJAK[#Headers]&amp;"]"),PAJAK[[#This Row],[//]]-2))</f>
        <v>45300</v>
      </c>
      <c r="I14" s="16" t="str">
        <f ca="1">IF(PAJAK[[#This Row],[//]]="","",INDEX(INDIRECT("NOTA["&amp;PAJAK[#Headers]&amp;"]"),PAJAK[[#This Row],[//]]-2))</f>
        <v>L:101079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29200000</v>
      </c>
      <c r="L14" s="23">
        <f ca="1">IF(PAJAK[[#This Row],[//]]="","",SUMIF(NOTA[ID_H],PAJAK[[#This Row],[ID]],NOTA[DISC]))</f>
        <v>2800000</v>
      </c>
      <c r="M14" s="23">
        <f ca="1">PAJAK[[#This Row],[SUB TOTAL]]-PAJAK[[#This Row],[DISKON]]</f>
        <v>26400000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23783783.783783782</v>
      </c>
      <c r="P14" s="23">
        <f ca="1">PAJAK[[#This Row],[DPP]]*PAJAK[[#This Row],[PPN]]</f>
        <v>2616216.2162162159</v>
      </c>
      <c r="Q14" s="23">
        <f ca="1">PAJAK[[#This Row],[DPP]]+PAJAK[[#This Row],[PPN 11%]]</f>
        <v>26400000</v>
      </c>
      <c r="R14" s="18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198</v>
      </c>
      <c r="B15" s="21">
        <f ca="1">HYPERLINK("[NOTA_.XLSX]NOTA!c"&amp;PAJAK[[#This Row],[//]],IF(PAJAK[[#This Row],[//]]="","",INDEX(INDIRECT("NOTA["&amp;PAJAK[#Headers]&amp;"]"),PAJAK[[#This Row],[//]]-2)))</f>
        <v>29</v>
      </c>
      <c r="C15" s="19" t="str">
        <f ca="1">IF(PAJAK[[#This Row],[//]]="","",INDEX(INDIRECT("NOTA["&amp;PAJAK[#Headers]&amp;"]"),PAJAK[[#This Row],[//]]-2))</f>
        <v>KEN_0901_285-6</v>
      </c>
      <c r="D15" s="19" t="e">
        <f ca="1">MATCH(PAJAK[[#This Row],[ID]],[5]!Table1[ID],0)</f>
        <v>#REF!</v>
      </c>
      <c r="E15" s="20">
        <f ca="1">IF(PAJAK[[#This Row],[ID]]="","",COUNTIF(NOTA[ID_H],PAJAK[[#This Row],[ID]]))</f>
        <v>6</v>
      </c>
      <c r="F15" s="15" t="str">
        <f ca="1">IF(PAJAK[[#This Row],[//]]="","",INDEX(CONV[2],MATCH(INDEX(INDIRECT("NOTA["&amp;PAJAK[#Headers]&amp;"]"),PAJAK[[#This Row],[//]]-2),CONV[1],0),0))</f>
        <v>PT KENKO SINAR INDONESIA</v>
      </c>
      <c r="G15" s="17">
        <f ca="1">IF(PAJAK[[#This Row],[//]]="","",INDEX(NOTA[TGL_H],PAJAK[[#This Row],[//]]-2))</f>
        <v>45300</v>
      </c>
      <c r="H15" s="17">
        <f ca="1">IF(PAJAK[[#This Row],[//]]="","",INDEX(INDIRECT("NOTA["&amp;PAJAK[#Headers]&amp;"]"),PAJAK[[#This Row],[//]]-2))</f>
        <v>45299</v>
      </c>
      <c r="I15" s="16" t="str">
        <f ca="1">IF(PAJAK[[#This Row],[//]]="","",INDEX(INDIRECT("NOTA["&amp;PAJAK[#Headers]&amp;"]"),PAJAK[[#This Row],[//]]-2))</f>
        <v>24010285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34750800</v>
      </c>
      <c r="L15" s="23">
        <f ca="1">IF(PAJAK[[#This Row],[//]]="","",SUMIF(NOTA[ID_H],PAJAK[[#This Row],[ID]],NOTA[DISC]))</f>
        <v>5907636</v>
      </c>
      <c r="M15" s="23">
        <f ca="1">PAJAK[[#This Row],[SUB TOTAL]]-PAJAK[[#This Row],[DISKON]]</f>
        <v>28843164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25984832.432432432</v>
      </c>
      <c r="P15" s="23">
        <f ca="1">PAJAK[[#This Row],[DPP]]*PAJAK[[#This Row],[PPN]]</f>
        <v>2858331.5675675673</v>
      </c>
      <c r="Q15" s="23">
        <f ca="1">PAJAK[[#This Row],[DPP]]+PAJAK[[#This Row],[PPN 11%]]</f>
        <v>28843164</v>
      </c>
      <c r="R15" s="18" t="str">
        <f ca="1">IF(ISNUMBER(PAJAK[[#This Row],[//]]),PPN,"")</f>
        <v>11%</v>
      </c>
    </row>
    <row r="16" spans="1:18" x14ac:dyDescent="0.25">
      <c r="A16" s="27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205</v>
      </c>
      <c r="B16" s="27">
        <f ca="1">HYPERLINK("[NOTA_.XLSX]NOTA!c"&amp;PAJAK[[#This Row],[//]],IF(PAJAK[[#This Row],[//]]="","",INDEX(INDIRECT("NOTA["&amp;PAJAK[#Headers]&amp;"]"),PAJAK[[#This Row],[//]]-2)))</f>
        <v>30</v>
      </c>
      <c r="C16" s="27" t="str">
        <f ca="1">IF(PAJAK[[#This Row],[//]]="","",INDEX(INDIRECT("NOTA["&amp;PAJAK[#Headers]&amp;"]"),PAJAK[[#This Row],[//]]-2))</f>
        <v>ATA_0901_363-5</v>
      </c>
      <c r="D16" s="27" t="e">
        <f ca="1">MATCH(PAJAK[[#This Row],[ID]],[5]!Table1[ID],0)</f>
        <v>#REF!</v>
      </c>
      <c r="E16" s="28">
        <f ca="1">IF(PAJAK[[#This Row],[ID]]="","",COUNTIF(NOTA[ID_H],PAJAK[[#This Row],[ID]]))</f>
        <v>5</v>
      </c>
      <c r="F16" s="27" t="str">
        <f ca="1">IF(PAJAK[[#This Row],[//]]="","",INDEX(CONV[2],MATCH(INDEX(INDIRECT("NOTA["&amp;PAJAK[#Headers]&amp;"]"),PAJAK[[#This Row],[//]]-2),CONV[1],0),0))</f>
        <v>PT ATALI MAKMUR</v>
      </c>
      <c r="G16" s="29">
        <f ca="1">IF(PAJAK[[#This Row],[//]]="","",INDEX(NOTA[TGL_H],PAJAK[[#This Row],[//]]-2))</f>
        <v>45300</v>
      </c>
      <c r="H16" s="29">
        <f ca="1">IF(PAJAK[[#This Row],[//]]="","",INDEX(INDIRECT("NOTA["&amp;PAJAK[#Headers]&amp;"]"),PAJAK[[#This Row],[//]]-2))</f>
        <v>45297</v>
      </c>
      <c r="I16" s="28" t="str">
        <f ca="1">IF(PAJAK[[#This Row],[//]]="","",INDEX(INDIRECT("NOTA["&amp;PAJAK[#Headers]&amp;"]"),PAJAK[[#This Row],[//]]-2))</f>
        <v>SA240100363</v>
      </c>
      <c r="J16" s="27" t="str">
        <f ca="1">IF(OR(PAJAK[[#This Row],[//]]="",INDEX(INDIRECT("NOTA["&amp;PAJAK[#Headers]&amp;"]"),PAJAK[[#This Row],[//]]-2)=""),"",INDEX(INDIRECT("NOTA["&amp;PAJAK[#Headers]&amp;"]"),PAJAK[[#This Row],[//]]-2))</f>
        <v/>
      </c>
      <c r="K16" s="33">
        <f ca="1">IF(PAJAK[[#This Row],[//]]="","",SUMIF(NOTA[ID_H],PAJAK[[#This Row],[ID]],NOTA[JUMLAH]))</f>
        <v>20498800</v>
      </c>
      <c r="L16" s="33">
        <f ca="1">IF(PAJAK[[#This Row],[//]]="","",SUMIF(NOTA[ID_H],PAJAK[[#This Row],[ID]],NOTA[DISC]))</f>
        <v>3459172.5</v>
      </c>
      <c r="M16" s="33">
        <f ca="1">PAJAK[[#This Row],[SUB TOTAL]]-PAJAK[[#This Row],[DISKON]]</f>
        <v>17039627.5</v>
      </c>
      <c r="N16" s="33">
        <f ca="1">IF(PAJAK[[#This Row],[//]]="","",INDEX(INDIRECT("NOTA["&amp;PAJAK[#Headers]&amp;"]"),PAJAK[[#This Row],[//]]-2+PAJAK[[#This Row],[QB]]-1))</f>
        <v>3093842</v>
      </c>
      <c r="O16" s="33">
        <f ca="1">(PAJAK[[#This Row],[SUB T-DISC]]-PAJAK[[#This Row],[DISC DLL]])/111%</f>
        <v>12563770.72072072</v>
      </c>
      <c r="P16" s="33">
        <f ca="1">PAJAK[[#This Row],[DPP]]*PAJAK[[#This Row],[PPN]]</f>
        <v>1382014.7792792791</v>
      </c>
      <c r="Q16" s="33">
        <f ca="1">PAJAK[[#This Row],[DPP]]+PAJAK[[#This Row],[PPN 11%]]</f>
        <v>13945785.499999998</v>
      </c>
      <c r="R16" s="34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211</v>
      </c>
      <c r="B17" s="21">
        <f ca="1">HYPERLINK("[NOTA_.XLSX]NOTA!c"&amp;PAJAK[[#This Row],[//]],IF(PAJAK[[#This Row],[//]]="","",INDEX(INDIRECT("NOTA["&amp;PAJAK[#Headers]&amp;"]"),PAJAK[[#This Row],[//]]-2)))</f>
        <v>31</v>
      </c>
      <c r="C17" s="19" t="str">
        <f ca="1">IF(PAJAK[[#This Row],[//]]="","",INDEX(INDIRECT("NOTA["&amp;PAJAK[#Headers]&amp;"]"),PAJAK[[#This Row],[//]]-2))</f>
        <v>ATA_0901_277-6</v>
      </c>
      <c r="D17" s="19" t="e">
        <f ca="1">MATCH(PAJAK[[#This Row],[ID]],[5]!Table1[ID],0)</f>
        <v>#REF!</v>
      </c>
      <c r="E17" s="20">
        <f ca="1">IF(PAJAK[[#This Row],[ID]]="","",COUNTIF(NOTA[ID_H],PAJAK[[#This Row],[ID]]))</f>
        <v>6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45300</v>
      </c>
      <c r="H17" s="17">
        <f ca="1">IF(PAJAK[[#This Row],[//]]="","",INDEX(INDIRECT("NOTA["&amp;PAJAK[#Headers]&amp;"]"),PAJAK[[#This Row],[//]]-2))</f>
        <v>45296</v>
      </c>
      <c r="I17" s="16" t="str">
        <f ca="1">IF(PAJAK[[#This Row],[//]]="","",INDEX(INDIRECT("NOTA["&amp;PAJAK[#Headers]&amp;"]"),PAJAK[[#This Row],[//]]-2))</f>
        <v>SA240100277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9978600</v>
      </c>
      <c r="L17" s="23">
        <f ca="1">IF(PAJAK[[#This Row],[//]]="","",SUMIF(NOTA[ID_H],PAJAK[[#This Row],[ID]],NOTA[DISC]))</f>
        <v>1683888.75</v>
      </c>
      <c r="M17" s="23">
        <f ca="1">PAJAK[[#This Row],[SUB TOTAL]]-PAJAK[[#This Row],[DISKON]]</f>
        <v>8294711.25</v>
      </c>
      <c r="N17" s="23">
        <f ca="1">IF(PAJAK[[#This Row],[//]]="","",INDEX(INDIRECT("NOTA["&amp;PAJAK[#Headers]&amp;"]"),PAJAK[[#This Row],[//]]-2+PAJAK[[#This Row],[QB]]-1))</f>
        <v>526680</v>
      </c>
      <c r="O17" s="23">
        <f ca="1">(PAJAK[[#This Row],[SUB T-DISC]]-PAJAK[[#This Row],[DISC DLL]])/111%</f>
        <v>6998226.3513513505</v>
      </c>
      <c r="P17" s="23">
        <f ca="1">PAJAK[[#This Row],[DPP]]*PAJAK[[#This Row],[PPN]]</f>
        <v>769804.89864864852</v>
      </c>
      <c r="Q17" s="23">
        <f ca="1">PAJAK[[#This Row],[DPP]]+PAJAK[[#This Row],[PPN 11%]]</f>
        <v>7768031.2499999991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218</v>
      </c>
      <c r="B18" s="21">
        <f ca="1">HYPERLINK("[NOTA_.XLSX]NOTA!c"&amp;PAJAK[[#This Row],[//]],IF(PAJAK[[#This Row],[//]]="","",INDEX(INDIRECT("NOTA["&amp;PAJAK[#Headers]&amp;"]"),PAJAK[[#This Row],[//]]-2)))</f>
        <v>32</v>
      </c>
      <c r="C18" s="19" t="str">
        <f ca="1">IF(PAJAK[[#This Row],[//]]="","",INDEX(INDIRECT("NOTA["&amp;PAJAK[#Headers]&amp;"]"),PAJAK[[#This Row],[//]]-2))</f>
        <v>ATA_0901_284-5</v>
      </c>
      <c r="D18" s="19" t="e">
        <f ca="1">MATCH(PAJAK[[#This Row],[ID]],[5]!Table1[ID],0)</f>
        <v>#REF!</v>
      </c>
      <c r="E18" s="20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45300</v>
      </c>
      <c r="H18" s="17">
        <f ca="1">IF(PAJAK[[#This Row],[//]]="","",INDEX(INDIRECT("NOTA["&amp;PAJAK[#Headers]&amp;"]"),PAJAK[[#This Row],[//]]-2))</f>
        <v>45296</v>
      </c>
      <c r="I18" s="16" t="str">
        <f ca="1">IF(PAJAK[[#This Row],[//]]="","",INDEX(INDIRECT("NOTA["&amp;PAJAK[#Headers]&amp;"]"),PAJAK[[#This Row],[//]]-2))</f>
        <v>SA240100284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8772800</v>
      </c>
      <c r="L18" s="23">
        <f ca="1">IF(PAJAK[[#This Row],[//]]="","",SUMIF(NOTA[ID_H],PAJAK[[#This Row],[ID]],NOTA[DISC]))</f>
        <v>1480410</v>
      </c>
      <c r="M18" s="23">
        <f ca="1">PAJAK[[#This Row],[SUB TOTAL]]-PAJAK[[#This Row],[DISKON]]</f>
        <v>7292390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6569720.7207207205</v>
      </c>
      <c r="P18" s="23">
        <f ca="1">PAJAK[[#This Row],[DPP]]*PAJAK[[#This Row],[PPN]]</f>
        <v>722669.27927927929</v>
      </c>
      <c r="Q18" s="23">
        <f ca="1">PAJAK[[#This Row],[DPP]]+PAJAK[[#This Row],[PPN 11%]]</f>
        <v>7292390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224</v>
      </c>
      <c r="B19" s="21">
        <f ca="1">HYPERLINK("[NOTA_.XLSX]NOTA!c"&amp;PAJAK[[#This Row],[//]],IF(PAJAK[[#This Row],[//]]="","",INDEX(INDIRECT("NOTA["&amp;PAJAK[#Headers]&amp;"]"),PAJAK[[#This Row],[//]]-2)))</f>
        <v>33</v>
      </c>
      <c r="C19" s="19" t="str">
        <f ca="1">IF(PAJAK[[#This Row],[//]]="","",INDEX(INDIRECT("NOTA["&amp;PAJAK[#Headers]&amp;"]"),PAJAK[[#This Row],[//]]-2))</f>
        <v>KEN_0901_205-10</v>
      </c>
      <c r="D19" s="19" t="e">
        <f ca="1">MATCH(PAJAK[[#This Row],[ID]],[5]!Table1[ID],0)</f>
        <v>#REF!</v>
      </c>
      <c r="E19" s="20">
        <f ca="1">IF(PAJAK[[#This Row],[ID]]="","",COUNTIF(NOTA[ID_H],PAJAK[[#This Row],[ID]]))</f>
        <v>10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45300</v>
      </c>
      <c r="H19" s="17">
        <f ca="1">IF(PAJAK[[#This Row],[//]]="","",INDEX(INDIRECT("NOTA["&amp;PAJAK[#Headers]&amp;"]"),PAJAK[[#This Row],[//]]-2))</f>
        <v>45297</v>
      </c>
      <c r="I19" s="16" t="str">
        <f ca="1">IF(PAJAK[[#This Row],[//]]="","",INDEX(INDIRECT("NOTA["&amp;PAJAK[#Headers]&amp;"]"),PAJAK[[#This Row],[//]]-2))</f>
        <v>24010205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69790800</v>
      </c>
      <c r="L19" s="23">
        <f ca="1">IF(PAJAK[[#This Row],[//]]="","",SUMIF(NOTA[ID_H],PAJAK[[#This Row],[ID]],NOTA[DISC]))</f>
        <v>11864436</v>
      </c>
      <c r="M19" s="23">
        <f ca="1">PAJAK[[#This Row],[SUB TOTAL]]-PAJAK[[#This Row],[DISKON]]</f>
        <v>57926364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52185913.513513505</v>
      </c>
      <c r="P19" s="23">
        <f ca="1">PAJAK[[#This Row],[DPP]]*PAJAK[[#This Row],[PPN]]</f>
        <v>5740450.4864864852</v>
      </c>
      <c r="Q19" s="23">
        <f ca="1">PAJAK[[#This Row],[DPP]]+PAJAK[[#This Row],[PPN 11%]]</f>
        <v>57926363.999999993</v>
      </c>
      <c r="R19" s="18" t="str">
        <f ca="1">IF(ISNUMBER(PAJAK[[#This Row],[//]]),PPN,"")</f>
        <v>11%</v>
      </c>
    </row>
    <row r="20" spans="1:18" x14ac:dyDescent="0.25">
      <c r="A20" s="1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235</v>
      </c>
      <c r="B20" s="21">
        <f ca="1">HYPERLINK("[NOTA_.XLSX]NOTA!c"&amp;PAJAK[[#This Row],[//]],IF(PAJAK[[#This Row],[//]]="","",INDEX(INDIRECT("NOTA["&amp;PAJAK[#Headers]&amp;"]"),PAJAK[[#This Row],[//]]-2)))</f>
        <v>34</v>
      </c>
      <c r="C20" s="19" t="str">
        <f ca="1">IF(PAJAK[[#This Row],[//]]="","",INDEX(INDIRECT("NOTA["&amp;PAJAK[#Headers]&amp;"]"),PAJAK[[#This Row],[//]]-2))</f>
        <v>KEN_0901_206-8</v>
      </c>
      <c r="D20" s="19" t="e">
        <f ca="1">MATCH(PAJAK[[#This Row],[ID]],[5]!Table1[ID],0)</f>
        <v>#REF!</v>
      </c>
      <c r="E20" s="20">
        <f ca="1">IF(PAJAK[[#This Row],[ID]]="","",COUNTIF(NOTA[ID_H],PAJAK[[#This Row],[ID]]))</f>
        <v>8</v>
      </c>
      <c r="F20" s="15" t="str">
        <f ca="1">IF(PAJAK[[#This Row],[//]]="","",INDEX(CONV[2],MATCH(INDEX(INDIRECT("NOTA["&amp;PAJAK[#Headers]&amp;"]"),PAJAK[[#This Row],[//]]-2),CONV[1],0),0))</f>
        <v>PT KENKO SINAR INDONESIA</v>
      </c>
      <c r="G20" s="17">
        <f ca="1">IF(PAJAK[[#This Row],[//]]="","",INDEX(NOTA[TGL_H],PAJAK[[#This Row],[//]]-2))</f>
        <v>45300</v>
      </c>
      <c r="H20" s="17">
        <f ca="1">IF(PAJAK[[#This Row],[//]]="","",INDEX(INDIRECT("NOTA["&amp;PAJAK[#Headers]&amp;"]"),PAJAK[[#This Row],[//]]-2))</f>
        <v>45297</v>
      </c>
      <c r="I20" s="16" t="str">
        <f ca="1">IF(PAJAK[[#This Row],[//]]="","",INDEX(INDIRECT("NOTA["&amp;PAJAK[#Headers]&amp;"]"),PAJAK[[#This Row],[//]]-2))</f>
        <v>24010206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20548000</v>
      </c>
      <c r="L20" s="23">
        <f ca="1">IF(PAJAK[[#This Row],[//]]="","",SUMIF(NOTA[ID_H],PAJAK[[#This Row],[ID]],NOTA[DISC]))</f>
        <v>3493160</v>
      </c>
      <c r="M20" s="23">
        <f ca="1">PAJAK[[#This Row],[SUB TOTAL]]-PAJAK[[#This Row],[DISKON]]</f>
        <v>17054840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15364720.72072072</v>
      </c>
      <c r="P20" s="23">
        <f ca="1">PAJAK[[#This Row],[DPP]]*PAJAK[[#This Row],[PPN]]</f>
        <v>1690119.2792792791</v>
      </c>
      <c r="Q20" s="23">
        <f ca="1">PAJAK[[#This Row],[DPP]]+PAJAK[[#This Row],[PPN 11%]]</f>
        <v>17054840</v>
      </c>
      <c r="R20" s="18" t="str">
        <f ca="1">IF(ISNUMBER(PAJAK[[#This Row],[//]]),PPN,"")</f>
        <v>11%</v>
      </c>
    </row>
    <row r="21" spans="1:18" x14ac:dyDescent="0.25">
      <c r="A21" s="15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340</v>
      </c>
      <c r="B21" s="15">
        <f ca="1">HYPERLINK("[NOTA_.XLSX]NOTA!c"&amp;PAJAK[[#This Row],[//]],IF(PAJAK[[#This Row],[//]]="","",INDEX(INDIRECT("NOTA["&amp;PAJAK[#Headers]&amp;"]"),PAJAK[[#This Row],[//]]-2)))</f>
        <v>55</v>
      </c>
      <c r="C21" s="15" t="str">
        <f ca="1">IF(PAJAK[[#This Row],[//]]="","",INDEX(INDIRECT("NOTA["&amp;PAJAK[#Headers]&amp;"]"),PAJAK[[#This Row],[//]]-2))</f>
        <v>SAM_1201_963-4</v>
      </c>
      <c r="D21" s="15" t="e">
        <f ca="1">MATCH(PAJAK[[#This Row],[ID]],[5]!Table1[ID],0)</f>
        <v>#REF!</v>
      </c>
      <c r="E21" s="16">
        <f ca="1">IF(PAJAK[[#This Row],[ID]]="","",COUNTIF(NOTA[ID_H],PAJAK[[#This Row],[ID]]))</f>
        <v>4</v>
      </c>
      <c r="F21" s="15" t="str">
        <f ca="1">IF(PAJAK[[#This Row],[//]]="","",INDEX(CONV[2],MATCH(INDEX(INDIRECT("NOTA["&amp;PAJAK[#Headers]&amp;"]"),PAJAK[[#This Row],[//]]-2),CONV[1],0),0))</f>
        <v>CV SAMUDERA ANGKASA JAYA</v>
      </c>
      <c r="G21" s="17">
        <f ca="1">IF(PAJAK[[#This Row],[//]]="","",INDEX(NOTA[TGL_H],PAJAK[[#This Row],[//]]-2))</f>
        <v>45303</v>
      </c>
      <c r="H21" s="17">
        <f ca="1">IF(PAJAK[[#This Row],[//]]="","",INDEX(INDIRECT("NOTA["&amp;PAJAK[#Headers]&amp;"]"),PAJAK[[#This Row],[//]]-2))</f>
        <v>45301</v>
      </c>
      <c r="I21" s="16" t="str">
        <f ca="1">IF(PAJAK[[#This Row],[//]]="","",INDEX(INDIRECT("NOTA["&amp;PAJAK[#Headers]&amp;"]"),PAJAK[[#This Row],[//]]-2))</f>
        <v>JL-16963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20520000</v>
      </c>
      <c r="L21" s="23">
        <f ca="1">IF(PAJAK[[#This Row],[//]]="","",SUMIF(NOTA[ID_H],PAJAK[[#This Row],[ID]],NOTA[DISC]))</f>
        <v>1436400.0000000002</v>
      </c>
      <c r="M21" s="23">
        <f ca="1">PAJAK[[#This Row],[SUB TOTAL]]-PAJAK[[#This Row],[DISKON]]</f>
        <v>19083600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17192432.432432432</v>
      </c>
      <c r="P21" s="23">
        <f ca="1">PAJAK[[#This Row],[DPP]]*PAJAK[[#This Row],[PPN]]</f>
        <v>1891167.5675675676</v>
      </c>
      <c r="Q21" s="23">
        <f ca="1">PAJAK[[#This Row],[DPP]]+PAJAK[[#This Row],[PPN 11%]]</f>
        <v>19083600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355</v>
      </c>
      <c r="B22" s="21">
        <f ca="1">HYPERLINK("[NOTA_.XLSX]NOTA!c"&amp;PAJAK[[#This Row],[//]],IF(PAJAK[[#This Row],[//]]="","",INDEX(INDIRECT("NOTA["&amp;PAJAK[#Headers]&amp;"]"),PAJAK[[#This Row],[//]]-2)))</f>
        <v>59</v>
      </c>
      <c r="C22" s="19" t="str">
        <f ca="1">IF(PAJAK[[#This Row],[//]]="","",INDEX(INDIRECT("NOTA["&amp;PAJAK[#Headers]&amp;"]"),PAJAK[[#This Row],[//]]-2))</f>
        <v>KEN_1301_411-8</v>
      </c>
      <c r="D22" s="19" t="e">
        <f ca="1">MATCH(PAJAK[[#This Row],[ID]],[5]!Table1[ID],0)</f>
        <v>#REF!</v>
      </c>
      <c r="E22" s="20">
        <f ca="1">IF(PAJAK[[#This Row],[ID]]="","",COUNTIF(NOTA[ID_H],PAJAK[[#This Row],[ID]]))</f>
        <v>8</v>
      </c>
      <c r="F22" s="15" t="str">
        <f ca="1">IF(PAJAK[[#This Row],[//]]="","",INDEX(CONV[2],MATCH(INDEX(INDIRECT("NOTA["&amp;PAJAK[#Headers]&amp;"]"),PAJAK[[#This Row],[//]]-2),CONV[1],0),0))</f>
        <v>PT KENKO SINAR INDONESIA</v>
      </c>
      <c r="G22" s="17">
        <f ca="1">IF(PAJAK[[#This Row],[//]]="","",INDEX(NOTA[TGL_H],PAJAK[[#This Row],[//]]-2))</f>
        <v>45304</v>
      </c>
      <c r="H22" s="17">
        <f ca="1">IF(PAJAK[[#This Row],[//]]="","",INDEX(INDIRECT("NOTA["&amp;PAJAK[#Headers]&amp;"]"),PAJAK[[#This Row],[//]]-2))</f>
        <v>45301</v>
      </c>
      <c r="I22" s="16" t="str">
        <f ca="1">IF(PAJAK[[#This Row],[//]]="","",INDEX(INDIRECT("NOTA["&amp;PAJAK[#Headers]&amp;"]"),PAJAK[[#This Row],[//]]-2))</f>
        <v>24010411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15174600</v>
      </c>
      <c r="L22" s="23">
        <f ca="1">IF(PAJAK[[#This Row],[//]]="","",SUMIF(NOTA[ID_H],PAJAK[[#This Row],[ID]],NOTA[DISC]))</f>
        <v>2579682</v>
      </c>
      <c r="M22" s="23">
        <f ca="1">PAJAK[[#This Row],[SUB TOTAL]]-PAJAK[[#This Row],[DISKON]]</f>
        <v>12594918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11346772.972972972</v>
      </c>
      <c r="P22" s="23">
        <f ca="1">PAJAK[[#This Row],[DPP]]*PAJAK[[#This Row],[PPN]]</f>
        <v>1248145.027027027</v>
      </c>
      <c r="Q22" s="23">
        <f ca="1">PAJAK[[#This Row],[DPP]]+PAJAK[[#This Row],[PPN 11%]]</f>
        <v>12594918</v>
      </c>
      <c r="R22" s="18" t="str">
        <f ca="1">IF(ISNUMBER(PAJAK[[#This Row],[//]]),PPN,"")</f>
        <v>11%</v>
      </c>
    </row>
    <row r="23" spans="1:18" x14ac:dyDescent="0.25">
      <c r="A23" s="15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364</v>
      </c>
      <c r="B23" s="22">
        <f ca="1">HYPERLINK("[NOTA_.XLSX]NOTA!c"&amp;PAJAK[[#This Row],[//]],IF(PAJAK[[#This Row],[//]]="","",INDEX(INDIRECT("NOTA["&amp;PAJAK[#Headers]&amp;"]"),PAJAK[[#This Row],[//]]-2)))</f>
        <v>60</v>
      </c>
      <c r="C23" s="15" t="str">
        <f ca="1">IF(PAJAK[[#This Row],[//]]="","",INDEX(INDIRECT("NOTA["&amp;PAJAK[#Headers]&amp;"]"),PAJAK[[#This Row],[//]]-2))</f>
        <v>ATA_1301_641-4</v>
      </c>
      <c r="D23" s="15" t="e">
        <f ca="1">MATCH(PAJAK[[#This Row],[ID]],[5]!Table1[ID],0)</f>
        <v>#REF!</v>
      </c>
      <c r="E23" s="16">
        <f ca="1">IF(PAJAK[[#This Row],[ID]]="","",COUNTIF(NOTA[ID_H],PAJAK[[#This Row],[ID]]))</f>
        <v>4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45304</v>
      </c>
      <c r="H23" s="17">
        <f ca="1">IF(PAJAK[[#This Row],[//]]="","",INDEX(INDIRECT("NOTA["&amp;PAJAK[#Headers]&amp;"]"),PAJAK[[#This Row],[//]]-2))</f>
        <v>45301</v>
      </c>
      <c r="I23" s="16" t="str">
        <f ca="1">IF(PAJAK[[#This Row],[//]]="","",INDEX(INDIRECT("NOTA["&amp;PAJAK[#Headers]&amp;"]"),PAJAK[[#This Row],[//]]-2))</f>
        <v>SA240100641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2896800</v>
      </c>
      <c r="L23" s="23">
        <f ca="1">IF(PAJAK[[#This Row],[//]]="","",SUMIF(NOTA[ID_H],PAJAK[[#This Row],[ID]],NOTA[DISC]))</f>
        <v>488835</v>
      </c>
      <c r="M23" s="23">
        <f ca="1">PAJAK[[#This Row],[SUB TOTAL]]-PAJAK[[#This Row],[DISKON]]</f>
        <v>2407965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2169337.8378378376</v>
      </c>
      <c r="P23" s="23">
        <f ca="1">PAJAK[[#This Row],[DPP]]*PAJAK[[#This Row],[PPN]]</f>
        <v>238627.16216216213</v>
      </c>
      <c r="Q23" s="23">
        <f ca="1">PAJAK[[#This Row],[DPP]]+PAJAK[[#This Row],[PPN 11%]]</f>
        <v>2407965</v>
      </c>
      <c r="R23" s="18" t="str">
        <f ca="1">IF(ISNUMBER(PAJAK[[#This Row],[//]]),PPN,"")</f>
        <v>11%</v>
      </c>
    </row>
    <row r="24" spans="1:18" x14ac:dyDescent="0.25">
      <c r="A24" s="15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369</v>
      </c>
      <c r="B24" s="22">
        <f ca="1">HYPERLINK("[NOTA_.XLSX]NOTA!c"&amp;PAJAK[[#This Row],[//]],IF(PAJAK[[#This Row],[//]]="","",INDEX(INDIRECT("NOTA["&amp;PAJAK[#Headers]&amp;"]"),PAJAK[[#This Row],[//]]-2)))</f>
        <v>61</v>
      </c>
      <c r="C24" s="15" t="str">
        <f ca="1">IF(PAJAK[[#This Row],[//]]="","",INDEX(INDIRECT("NOTA["&amp;PAJAK[#Headers]&amp;"]"),PAJAK[[#This Row],[//]]-2))</f>
        <v>ATA_1301_537-3</v>
      </c>
      <c r="D24" s="15" t="e">
        <f ca="1">MATCH(PAJAK[[#This Row],[ID]],[5]!Table1[ID],0)</f>
        <v>#REF!</v>
      </c>
      <c r="E24" s="16">
        <f ca="1">IF(PAJAK[[#This Row],[ID]]="","",COUNTIF(NOTA[ID_H],PAJAK[[#This Row],[ID]]))</f>
        <v>3</v>
      </c>
      <c r="F24" s="15" t="str">
        <f ca="1">IF(PAJAK[[#This Row],[//]]="","",INDEX(CONV[2],MATCH(INDEX(INDIRECT("NOTA["&amp;PAJAK[#Headers]&amp;"]"),PAJAK[[#This Row],[//]]-2),CONV[1],0),0))</f>
        <v>PT ATALI MAKMUR</v>
      </c>
      <c r="G24" s="17">
        <f ca="1">IF(PAJAK[[#This Row],[//]]="","",INDEX(NOTA[TGL_H],PAJAK[[#This Row],[//]]-2))</f>
        <v>45304</v>
      </c>
      <c r="H24" s="17">
        <f ca="1">IF(PAJAK[[#This Row],[//]]="","",INDEX(INDIRECT("NOTA["&amp;PAJAK[#Headers]&amp;"]"),PAJAK[[#This Row],[//]]-2))</f>
        <v>45300</v>
      </c>
      <c r="I24" s="16" t="str">
        <f ca="1">IF(PAJAK[[#This Row],[//]]="","",INDEX(INDIRECT("NOTA["&amp;PAJAK[#Headers]&amp;"]"),PAJAK[[#This Row],[//]]-2))</f>
        <v>SA240100537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6993600</v>
      </c>
      <c r="L24" s="23">
        <f ca="1">IF(PAJAK[[#This Row],[//]]="","",SUMIF(NOTA[ID_H],PAJAK[[#This Row],[ID]],NOTA[DISC]))</f>
        <v>1180170</v>
      </c>
      <c r="M24" s="23">
        <f ca="1">PAJAK[[#This Row],[SUB TOTAL]]-PAJAK[[#This Row],[DISKON]]</f>
        <v>5813430</v>
      </c>
      <c r="N24" s="23">
        <f ca="1">IF(PAJAK[[#This Row],[//]]="","",INDEX(INDIRECT("NOTA["&amp;PAJAK[#Headers]&amp;"]"),PAJAK[[#This Row],[//]]-2+PAJAK[[#This Row],[QB]]-1))</f>
        <v>91770</v>
      </c>
      <c r="O24" s="23">
        <f ca="1">(PAJAK[[#This Row],[SUB T-DISC]]-PAJAK[[#This Row],[DISC DLL]])/111%</f>
        <v>5154648.6486486485</v>
      </c>
      <c r="P24" s="23">
        <f ca="1">PAJAK[[#This Row],[DPP]]*PAJAK[[#This Row],[PPN]]</f>
        <v>567011.35135135136</v>
      </c>
      <c r="Q24" s="23">
        <f ca="1">PAJAK[[#This Row],[DPP]]+PAJAK[[#This Row],[PPN 11%]]</f>
        <v>5721660</v>
      </c>
      <c r="R24" s="18" t="str">
        <f ca="1">IF(ISNUMBER(PAJAK[[#This Row],[//]]),PPN,"")</f>
        <v>11%</v>
      </c>
    </row>
    <row r="25" spans="1:18" x14ac:dyDescent="0.25">
      <c r="A25" s="19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373</v>
      </c>
      <c r="B25" s="21">
        <f ca="1">HYPERLINK("[NOTA_.XLSX]NOTA!c"&amp;PAJAK[[#This Row],[//]],IF(PAJAK[[#This Row],[//]]="","",INDEX(INDIRECT("NOTA["&amp;PAJAK[#Headers]&amp;"]"),PAJAK[[#This Row],[//]]-2)))</f>
        <v>62</v>
      </c>
      <c r="C25" s="19" t="str">
        <f ca="1">IF(PAJAK[[#This Row],[//]]="","",INDEX(INDIRECT("NOTA["&amp;PAJAK[#Headers]&amp;"]"),PAJAK[[#This Row],[//]]-2))</f>
        <v>ATA_1301_565-9</v>
      </c>
      <c r="D25" s="19" t="e">
        <f ca="1">MATCH(PAJAK[[#This Row],[ID]],[5]!Table1[ID],0)</f>
        <v>#REF!</v>
      </c>
      <c r="E25" s="20">
        <f ca="1">IF(PAJAK[[#This Row],[ID]]="","",COUNTIF(NOTA[ID_H],PAJAK[[#This Row],[ID]]))</f>
        <v>9</v>
      </c>
      <c r="F25" s="15" t="str">
        <f ca="1">IF(PAJAK[[#This Row],[//]]="","",INDEX(CONV[2],MATCH(INDEX(INDIRECT("NOTA["&amp;PAJAK[#Headers]&amp;"]"),PAJAK[[#This Row],[//]]-2),CONV[1],0),0))</f>
        <v>PT ATALI MAKMUR</v>
      </c>
      <c r="G25" s="17">
        <f ca="1">IF(PAJAK[[#This Row],[//]]="","",INDEX(NOTA[TGL_H],PAJAK[[#This Row],[//]]-2))</f>
        <v>45304</v>
      </c>
      <c r="H25" s="17">
        <f ca="1">IF(PAJAK[[#This Row],[//]]="","",INDEX(INDIRECT("NOTA["&amp;PAJAK[#Headers]&amp;"]"),PAJAK[[#This Row],[//]]-2))</f>
        <v>45300</v>
      </c>
      <c r="I25" s="16" t="str">
        <f ca="1">IF(PAJAK[[#This Row],[//]]="","",INDEX(INDIRECT("NOTA["&amp;PAJAK[#Headers]&amp;"]"),PAJAK[[#This Row],[//]]-2))</f>
        <v>SA240100565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22629600</v>
      </c>
      <c r="L25" s="23">
        <f ca="1">IF(PAJAK[[#This Row],[//]]="","",SUMIF(NOTA[ID_H],PAJAK[[#This Row],[ID]],NOTA[DISC]))</f>
        <v>3818745</v>
      </c>
      <c r="M25" s="23">
        <f ca="1">PAJAK[[#This Row],[SUB TOTAL]]-PAJAK[[#This Row],[DISKON]]</f>
        <v>18810855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16946716.216216214</v>
      </c>
      <c r="P25" s="23">
        <f ca="1">PAJAK[[#This Row],[DPP]]*PAJAK[[#This Row],[PPN]]</f>
        <v>1864138.7837837834</v>
      </c>
      <c r="Q25" s="23">
        <f ca="1">PAJAK[[#This Row],[DPP]]+PAJAK[[#This Row],[PPN 11%]]</f>
        <v>18810854.999999996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383</v>
      </c>
      <c r="B26" s="21">
        <f ca="1">HYPERLINK("[NOTA_.XLSX]NOTA!c"&amp;PAJAK[[#This Row],[//]],IF(PAJAK[[#This Row],[//]]="","",INDEX(INDIRECT("NOTA["&amp;PAJAK[#Headers]&amp;"]"),PAJAK[[#This Row],[//]]-2)))</f>
        <v>63</v>
      </c>
      <c r="C26" s="19" t="str">
        <f ca="1">IF(PAJAK[[#This Row],[//]]="","",INDEX(INDIRECT("NOTA["&amp;PAJAK[#Headers]&amp;"]"),PAJAK[[#This Row],[//]]-2))</f>
        <v>KEN_1501_519-11</v>
      </c>
      <c r="D26" s="19" t="e">
        <f ca="1">MATCH(PAJAK[[#This Row],[ID]],[5]!Table1[ID],0)</f>
        <v>#REF!</v>
      </c>
      <c r="E26" s="20">
        <f ca="1">IF(PAJAK[[#This Row],[ID]]="","",COUNTIF(NOTA[ID_H],PAJAK[[#This Row],[ID]]))</f>
        <v>11</v>
      </c>
      <c r="F26" s="15" t="str">
        <f ca="1">IF(PAJAK[[#This Row],[//]]="","",INDEX(CONV[2],MATCH(INDEX(INDIRECT("NOTA["&amp;PAJAK[#Headers]&amp;"]"),PAJAK[[#This Row],[//]]-2),CONV[1],0),0))</f>
        <v>PT KENKO SINAR INDONESIA</v>
      </c>
      <c r="G26" s="17">
        <f ca="1">IF(PAJAK[[#This Row],[//]]="","",INDEX(NOTA[TGL_H],PAJAK[[#This Row],[//]]-2))</f>
        <v>45306</v>
      </c>
      <c r="H26" s="17">
        <f ca="1">IF(PAJAK[[#This Row],[//]]="","",INDEX(INDIRECT("NOTA["&amp;PAJAK[#Headers]&amp;"]"),PAJAK[[#This Row],[//]]-2))</f>
        <v>45302</v>
      </c>
      <c r="I26" s="16" t="str">
        <f ca="1">IF(PAJAK[[#This Row],[//]]="","",INDEX(INDIRECT("NOTA["&amp;PAJAK[#Headers]&amp;"]"),PAJAK[[#This Row],[//]]-2))</f>
        <v>24010519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65004000</v>
      </c>
      <c r="L26" s="23">
        <f ca="1">IF(PAJAK[[#This Row],[//]]="","",SUMIF(NOTA[ID_H],PAJAK[[#This Row],[ID]],NOTA[DISC]))</f>
        <v>11050680</v>
      </c>
      <c r="M26" s="23">
        <f ca="1">PAJAK[[#This Row],[SUB TOTAL]]-PAJAK[[#This Row],[DISKON]]</f>
        <v>53953320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48606594.59459459</v>
      </c>
      <c r="P26" s="23">
        <f ca="1">PAJAK[[#This Row],[DPP]]*PAJAK[[#This Row],[PPN]]</f>
        <v>5346725.405405405</v>
      </c>
      <c r="Q26" s="23">
        <f ca="1">PAJAK[[#This Row],[DPP]]+PAJAK[[#This Row],[PPN 11%]]</f>
        <v>53953319.999999993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395</v>
      </c>
      <c r="B27" s="21">
        <f ca="1">HYPERLINK("[NOTA_.XLSX]NOTA!c"&amp;PAJAK[[#This Row],[//]],IF(PAJAK[[#This Row],[//]]="","",INDEX(INDIRECT("NOTA["&amp;PAJAK[#Headers]&amp;"]"),PAJAK[[#This Row],[//]]-2)))</f>
        <v>64</v>
      </c>
      <c r="C27" s="19" t="str">
        <f ca="1">IF(PAJAK[[#This Row],[//]]="","",INDEX(INDIRECT("NOTA["&amp;PAJAK[#Headers]&amp;"]"),PAJAK[[#This Row],[//]]-2))</f>
        <v>KEN_1501_711-10</v>
      </c>
      <c r="D27" s="19" t="e">
        <f ca="1">MATCH(PAJAK[[#This Row],[ID]],[5]!Table1[ID],0)</f>
        <v>#REF!</v>
      </c>
      <c r="E27" s="20">
        <f ca="1">IF(PAJAK[[#This Row],[ID]]="","",COUNTIF(NOTA[ID_H],PAJAK[[#This Row],[ID]]))</f>
        <v>10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45306</v>
      </c>
      <c r="H27" s="17">
        <f ca="1">IF(PAJAK[[#This Row],[//]]="","",INDEX(INDIRECT("NOTA["&amp;PAJAK[#Headers]&amp;"]"),PAJAK[[#This Row],[//]]-2))</f>
        <v>45304</v>
      </c>
      <c r="I27" s="16" t="str">
        <f ca="1">IF(PAJAK[[#This Row],[//]]="","",INDEX(INDIRECT("NOTA["&amp;PAJAK[#Headers]&amp;"]"),PAJAK[[#This Row],[//]]-2))</f>
        <v>24010711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134498400</v>
      </c>
      <c r="L27" s="23">
        <f ca="1">IF(PAJAK[[#This Row],[//]]="","",SUMIF(NOTA[ID_H],PAJAK[[#This Row],[ID]],NOTA[DISC]))</f>
        <v>22864728.000000004</v>
      </c>
      <c r="M27" s="23">
        <f ca="1">PAJAK[[#This Row],[SUB TOTAL]]-PAJAK[[#This Row],[DISKON]]</f>
        <v>111633672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100570875.67567566</v>
      </c>
      <c r="P27" s="23">
        <f ca="1">PAJAK[[#This Row],[DPP]]*PAJAK[[#This Row],[PPN]]</f>
        <v>11062796.324324323</v>
      </c>
      <c r="Q27" s="23">
        <f ca="1">PAJAK[[#This Row],[DPP]]+PAJAK[[#This Row],[PPN 11%]]</f>
        <v>111633671.99999999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406</v>
      </c>
      <c r="B28" s="21">
        <f ca="1">HYPERLINK("[NOTA_.XLSX]NOTA!c"&amp;PAJAK[[#This Row],[//]],IF(PAJAK[[#This Row],[//]]="","",INDEX(INDIRECT("NOTA["&amp;PAJAK[#Headers]&amp;"]"),PAJAK[[#This Row],[//]]-2)))</f>
        <v>65</v>
      </c>
      <c r="C28" s="19" t="str">
        <f ca="1">IF(PAJAK[[#This Row],[//]]="","",INDEX(INDIRECT("NOTA["&amp;PAJAK[#Headers]&amp;"]"),PAJAK[[#This Row],[//]]-2))</f>
        <v>KEN_1501_719-7</v>
      </c>
      <c r="D28" s="19" t="e">
        <f ca="1">MATCH(PAJAK[[#This Row],[ID]],[5]!Table1[ID],0)</f>
        <v>#REF!</v>
      </c>
      <c r="E28" s="20">
        <f ca="1">IF(PAJAK[[#This Row],[ID]]="","",COUNTIF(NOTA[ID_H],PAJAK[[#This Row],[ID]]))</f>
        <v>7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45306</v>
      </c>
      <c r="H28" s="17">
        <f ca="1">IF(PAJAK[[#This Row],[//]]="","",INDEX(INDIRECT("NOTA["&amp;PAJAK[#Headers]&amp;"]"),PAJAK[[#This Row],[//]]-2))</f>
        <v>45304</v>
      </c>
      <c r="I28" s="16" t="str">
        <f ca="1">IF(PAJAK[[#This Row],[//]]="","",INDEX(INDIRECT("NOTA["&amp;PAJAK[#Headers]&amp;"]"),PAJAK[[#This Row],[//]]-2))</f>
        <v>24010719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14717200</v>
      </c>
      <c r="L28" s="23">
        <f ca="1">IF(PAJAK[[#This Row],[//]]="","",SUMIF(NOTA[ID_H],PAJAK[[#This Row],[ID]],NOTA[DISC]))</f>
        <v>2501924</v>
      </c>
      <c r="M28" s="23">
        <f ca="1">PAJAK[[#This Row],[SUB TOTAL]]-PAJAK[[#This Row],[DISKON]]</f>
        <v>12215276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11004753.153153151</v>
      </c>
      <c r="P28" s="23">
        <f ca="1">PAJAK[[#This Row],[DPP]]*PAJAK[[#This Row],[PPN]]</f>
        <v>1210522.8468468466</v>
      </c>
      <c r="Q28" s="23">
        <f ca="1">PAJAK[[#This Row],[DPP]]+PAJAK[[#This Row],[PPN 11%]]</f>
        <v>12215275.999999998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414</v>
      </c>
      <c r="B29" s="21">
        <f ca="1">HYPERLINK("[NOTA_.XLSX]NOTA!c"&amp;PAJAK[[#This Row],[//]],IF(PAJAK[[#This Row],[//]]="","",INDEX(INDIRECT("NOTA["&amp;PAJAK[#Headers]&amp;"]"),PAJAK[[#This Row],[//]]-2)))</f>
        <v>66</v>
      </c>
      <c r="C29" s="19" t="str">
        <f ca="1">IF(PAJAK[[#This Row],[//]]="","",INDEX(INDIRECT("NOTA["&amp;PAJAK[#Headers]&amp;"]"),PAJAK[[#This Row],[//]]-2))</f>
        <v>ATA_1601_684-10</v>
      </c>
      <c r="D29" s="19" t="e">
        <f ca="1">MATCH(PAJAK[[#This Row],[ID]],[5]!Table1[ID],0)</f>
        <v>#REF!</v>
      </c>
      <c r="E29" s="20">
        <f ca="1">IF(PAJAK[[#This Row],[ID]]="","",COUNTIF(NOTA[ID_H],PAJAK[[#This Row],[ID]]))</f>
        <v>10</v>
      </c>
      <c r="F29" s="15" t="str">
        <f ca="1">IF(PAJAK[[#This Row],[//]]="","",INDEX(CONV[2],MATCH(INDEX(INDIRECT("NOTA["&amp;PAJAK[#Headers]&amp;"]"),PAJAK[[#This Row],[//]]-2),CONV[1],0),0))</f>
        <v>PT ATALI MAKMUR</v>
      </c>
      <c r="G29" s="17">
        <f ca="1">IF(PAJAK[[#This Row],[//]]="","",INDEX(NOTA[TGL_H],PAJAK[[#This Row],[//]]-2))</f>
        <v>45307</v>
      </c>
      <c r="H29" s="17">
        <f ca="1">IF(PAJAK[[#This Row],[//]]="","",INDEX(INDIRECT("NOTA["&amp;PAJAK[#Headers]&amp;"]"),PAJAK[[#This Row],[//]]-2))</f>
        <v>45302</v>
      </c>
      <c r="I29" s="16" t="str">
        <f ca="1">IF(PAJAK[[#This Row],[//]]="","",INDEX(INDIRECT("NOTA["&amp;PAJAK[#Headers]&amp;"]"),PAJAK[[#This Row],[//]]-2))</f>
        <v>SA240100684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19171200</v>
      </c>
      <c r="L29" s="23">
        <f ca="1">IF(PAJAK[[#This Row],[//]]="","",SUMIF(NOTA[ID_H],PAJAK[[#This Row],[ID]],NOTA[DISC]))</f>
        <v>3235140</v>
      </c>
      <c r="M29" s="23">
        <f ca="1">PAJAK[[#This Row],[SUB TOTAL]]-PAJAK[[#This Row],[DISKON]]</f>
        <v>15936060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14356810.81081081</v>
      </c>
      <c r="P29" s="23">
        <f ca="1">PAJAK[[#This Row],[DPP]]*PAJAK[[#This Row],[PPN]]</f>
        <v>1579249.1891891891</v>
      </c>
      <c r="Q29" s="23">
        <f ca="1">PAJAK[[#This Row],[DPP]]+PAJAK[[#This Row],[PPN 11%]]</f>
        <v>15936060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425</v>
      </c>
      <c r="B30" s="21">
        <f ca="1">HYPERLINK("[NOTA_.XLSX]NOTA!c"&amp;PAJAK[[#This Row],[//]],IF(PAJAK[[#This Row],[//]]="","",INDEX(INDIRECT("NOTA["&amp;PAJAK[#Headers]&amp;"]"),PAJAK[[#This Row],[//]]-2)))</f>
        <v>67</v>
      </c>
      <c r="C30" s="19" t="str">
        <f ca="1">IF(PAJAK[[#This Row],[//]]="","",INDEX(INDIRECT("NOTA["&amp;PAJAK[#Headers]&amp;"]"),PAJAK[[#This Row],[//]]-2))</f>
        <v>ATA_1601_685-5</v>
      </c>
      <c r="D30" s="19" t="e">
        <f ca="1">MATCH(PAJAK[[#This Row],[ID]],[5]!Table1[ID],0)</f>
        <v>#REF!</v>
      </c>
      <c r="E30" s="20">
        <f ca="1">IF(PAJAK[[#This Row],[ID]]="","",COUNTIF(NOTA[ID_H],PAJAK[[#This Row],[ID]]))</f>
        <v>5</v>
      </c>
      <c r="F30" s="15" t="str">
        <f ca="1">IF(PAJAK[[#This Row],[//]]="","",INDEX(CONV[2],MATCH(INDEX(INDIRECT("NOTA["&amp;PAJAK[#Headers]&amp;"]"),PAJAK[[#This Row],[//]]-2),CONV[1],0),0))</f>
        <v>PT ATALI MAKMUR</v>
      </c>
      <c r="G30" s="17">
        <f ca="1">IF(PAJAK[[#This Row],[//]]="","",INDEX(NOTA[TGL_H],PAJAK[[#This Row],[//]]-2))</f>
        <v>45307</v>
      </c>
      <c r="H30" s="17">
        <f ca="1">IF(PAJAK[[#This Row],[//]]="","",INDEX(INDIRECT("NOTA["&amp;PAJAK[#Headers]&amp;"]"),PAJAK[[#This Row],[//]]-2))</f>
        <v>45302</v>
      </c>
      <c r="I30" s="16" t="str">
        <f ca="1">IF(PAJAK[[#This Row],[//]]="","",INDEX(INDIRECT("NOTA["&amp;PAJAK[#Headers]&amp;"]"),PAJAK[[#This Row],[//]]-2))</f>
        <v>SA240100685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11058100</v>
      </c>
      <c r="L30" s="23">
        <f ca="1">IF(PAJAK[[#This Row],[//]]="","",SUMIF(NOTA[ID_H],PAJAK[[#This Row],[ID]],NOTA[DISC]))</f>
        <v>1866054.375</v>
      </c>
      <c r="M30" s="23">
        <f ca="1">PAJAK[[#This Row],[SUB TOTAL]]-PAJAK[[#This Row],[DISKON]]</f>
        <v>9192045.625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8281122.1846846836</v>
      </c>
      <c r="P30" s="23">
        <f ca="1">PAJAK[[#This Row],[DPP]]*PAJAK[[#This Row],[PPN]]</f>
        <v>910923.44031531515</v>
      </c>
      <c r="Q30" s="23">
        <f ca="1">PAJAK[[#This Row],[DPP]]+PAJAK[[#This Row],[PPN 11%]]</f>
        <v>9192045.6249999981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431</v>
      </c>
      <c r="B31" s="21">
        <f ca="1">HYPERLINK("[NOTA_.XLSX]NOTA!c"&amp;PAJAK[[#This Row],[//]],IF(PAJAK[[#This Row],[//]]="","",INDEX(INDIRECT("NOTA["&amp;PAJAK[#Headers]&amp;"]"),PAJAK[[#This Row],[//]]-2)))</f>
        <v>68</v>
      </c>
      <c r="C31" s="19" t="str">
        <f ca="1">IF(PAJAK[[#This Row],[//]]="","",INDEX(INDIRECT("NOTA["&amp;PAJAK[#Headers]&amp;"]"),PAJAK[[#This Row],[//]]-2))</f>
        <v>KEN_1601_615-1</v>
      </c>
      <c r="D31" s="19" t="e">
        <f ca="1">MATCH(PAJAK[[#This Row],[ID]],[5]!Table1[ID],0)</f>
        <v>#REF!</v>
      </c>
      <c r="E31" s="20">
        <f ca="1">IF(PAJAK[[#This Row],[ID]]="","",COUNTIF(NOTA[ID_H],PAJAK[[#This Row],[ID]]))</f>
        <v>1</v>
      </c>
      <c r="F31" s="15" t="str">
        <f ca="1">IF(PAJAK[[#This Row],[//]]="","",INDEX(CONV[2],MATCH(INDEX(INDIRECT("NOTA["&amp;PAJAK[#Headers]&amp;"]"),PAJAK[[#This Row],[//]]-2),CONV[1],0),0))</f>
        <v>PT KENKO SINAR INDONESIA</v>
      </c>
      <c r="G31" s="17">
        <f ca="1">IF(PAJAK[[#This Row],[//]]="","",INDEX(NOTA[TGL_H],PAJAK[[#This Row],[//]]-2))</f>
        <v>45307</v>
      </c>
      <c r="H31" s="17">
        <f ca="1">IF(PAJAK[[#This Row],[//]]="","",INDEX(INDIRECT("NOTA["&amp;PAJAK[#Headers]&amp;"]"),PAJAK[[#This Row],[//]]-2))</f>
        <v>45303</v>
      </c>
      <c r="I31" s="16" t="str">
        <f ca="1">IF(PAJAK[[#This Row],[//]]="","",INDEX(INDIRECT("NOTA["&amp;PAJAK[#Headers]&amp;"]"),PAJAK[[#This Row],[//]]-2))</f>
        <v>24010615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1987200</v>
      </c>
      <c r="L31" s="23">
        <f ca="1">IF(PAJAK[[#This Row],[//]]="","",SUMIF(NOTA[ID_H],PAJAK[[#This Row],[ID]],NOTA[DISC]))</f>
        <v>337824</v>
      </c>
      <c r="M31" s="23">
        <f ca="1">PAJAK[[#This Row],[SUB TOTAL]]-PAJAK[[#This Row],[DISKON]]</f>
        <v>1649376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1485924.3243243243</v>
      </c>
      <c r="P31" s="23">
        <f ca="1">PAJAK[[#This Row],[DPP]]*PAJAK[[#This Row],[PPN]]</f>
        <v>163451.67567567568</v>
      </c>
      <c r="Q31" s="23">
        <f ca="1">PAJAK[[#This Row],[DPP]]+PAJAK[[#This Row],[PPN 11%]]</f>
        <v>1649376</v>
      </c>
      <c r="R31" s="18" t="str">
        <f ca="1">IF(ISNUMBER(PAJAK[[#This Row],[//]]),PPN,"")</f>
        <v>11%</v>
      </c>
    </row>
    <row r="32" spans="1:18" x14ac:dyDescent="0.25">
      <c r="A32" s="1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498</v>
      </c>
      <c r="B32" s="21">
        <f ca="1">HYPERLINK("[NOTA_.XLSX]NOTA!c"&amp;PAJAK[[#This Row],[//]],IF(PAJAK[[#This Row],[//]]="","",INDEX(INDIRECT("NOTA["&amp;PAJAK[#Headers]&amp;"]"),PAJAK[[#This Row],[//]]-2)))</f>
        <v>80</v>
      </c>
      <c r="C32" s="19" t="str">
        <f ca="1">IF(PAJAK[[#This Row],[//]]="","",INDEX(INDIRECT("NOTA["&amp;PAJAK[#Headers]&amp;"]"),PAJAK[[#This Row],[//]]-2))</f>
        <v>KAL_1701_141-1</v>
      </c>
      <c r="D32" s="19" t="e">
        <f ca="1">MATCH(PAJAK[[#This Row],[ID]],[5]!Table1[ID],0)</f>
        <v>#REF!</v>
      </c>
      <c r="E32" s="20">
        <f ca="1">IF(PAJAK[[#This Row],[ID]]="","",COUNTIF(NOTA[ID_H],PAJAK[[#This Row],[ID]]))</f>
        <v>1</v>
      </c>
      <c r="F32" s="15" t="str">
        <f ca="1">IF(PAJAK[[#This Row],[//]]="","",INDEX(CONV[2],MATCH(INDEX(INDIRECT("NOTA["&amp;PAJAK[#Headers]&amp;"]"),PAJAK[[#This Row],[//]]-2),CONV[1],0),0))</f>
        <v>PT KALINDO SUKSES</v>
      </c>
      <c r="G32" s="17">
        <f ca="1">IF(PAJAK[[#This Row],[//]]="","",INDEX(NOTA[TGL_H],PAJAK[[#This Row],[//]]-2))</f>
        <v>45308</v>
      </c>
      <c r="H32" s="17">
        <f ca="1">IF(PAJAK[[#This Row],[//]]="","",INDEX(INDIRECT("NOTA["&amp;PAJAK[#Headers]&amp;"]"),PAJAK[[#This Row],[//]]-2))</f>
        <v>45304</v>
      </c>
      <c r="I32" s="16" t="str">
        <f ca="1">IF(PAJAK[[#This Row],[//]]="","",INDEX(INDIRECT("NOTA["&amp;PAJAK[#Headers]&amp;"]"),PAJAK[[#This Row],[//]]-2))</f>
        <v>SN24010141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8880000</v>
      </c>
      <c r="L32" s="23">
        <f ca="1">IF(PAJAK[[#This Row],[//]]="","",SUMIF(NOTA[ID_H],PAJAK[[#This Row],[ID]],NOTA[DISC]))</f>
        <v>1498500</v>
      </c>
      <c r="M32" s="23">
        <f ca="1">PAJAK[[#This Row],[SUB TOTAL]]-PAJAK[[#This Row],[DISKON]]</f>
        <v>7381500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6649999.9999999991</v>
      </c>
      <c r="P32" s="23">
        <f ca="1">PAJAK[[#This Row],[DPP]]*PAJAK[[#This Row],[PPN]]</f>
        <v>731499.99999999988</v>
      </c>
      <c r="Q32" s="23">
        <f ca="1">PAJAK[[#This Row],[DPP]]+PAJAK[[#This Row],[PPN 11%]]</f>
        <v>7381499.9999999991</v>
      </c>
      <c r="R32" s="18" t="str">
        <f ca="1">IF(ISNUMBER(PAJAK[[#This Row],[//]]),PPN,"")</f>
        <v>11%</v>
      </c>
    </row>
    <row r="33" spans="1:18" x14ac:dyDescent="0.25">
      <c r="A33" s="15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500</v>
      </c>
      <c r="B33" s="15">
        <f ca="1">HYPERLINK("[NOTA_.XLSX]NOTA!c"&amp;PAJAK[[#This Row],[//]],IF(PAJAK[[#This Row],[//]]="","",INDEX(INDIRECT("NOTA["&amp;PAJAK[#Headers]&amp;"]"),PAJAK[[#This Row],[//]]-2)))</f>
        <v>81</v>
      </c>
      <c r="C33" s="15" t="str">
        <f ca="1">IF(PAJAK[[#This Row],[//]]="","",INDEX(INDIRECT("NOTA["&amp;PAJAK[#Headers]&amp;"]"),PAJAK[[#This Row],[//]]-2))</f>
        <v>ATA_1701_801-8</v>
      </c>
      <c r="D33" s="15" t="e">
        <f ca="1">MATCH(PAJAK[[#This Row],[ID]],[5]!Table1[ID],0)</f>
        <v>#REF!</v>
      </c>
      <c r="E33" s="16">
        <f ca="1">IF(PAJAK[[#This Row],[ID]]="","",COUNTIF(NOTA[ID_H],PAJAK[[#This Row],[ID]]))</f>
        <v>8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45308</v>
      </c>
      <c r="H33" s="17">
        <f ca="1">IF(PAJAK[[#This Row],[//]]="","",INDEX(INDIRECT("NOTA["&amp;PAJAK[#Headers]&amp;"]"),PAJAK[[#This Row],[//]]-2))</f>
        <v>45303</v>
      </c>
      <c r="I33" s="16" t="str">
        <f ca="1">IF(PAJAK[[#This Row],[//]]="","",INDEX(INDIRECT("NOTA["&amp;PAJAK[#Headers]&amp;"]"),PAJAK[[#This Row],[//]]-2))</f>
        <v>SA240100801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12280800</v>
      </c>
      <c r="L33" s="23">
        <f ca="1">IF(PAJAK[[#This Row],[//]]="","",SUMIF(NOTA[ID_H],PAJAK[[#This Row],[ID]],NOTA[DISC]))</f>
        <v>2072385</v>
      </c>
      <c r="M33" s="23">
        <f ca="1">PAJAK[[#This Row],[SUB TOTAL]]-PAJAK[[#This Row],[DISKON]]</f>
        <v>10208415</v>
      </c>
      <c r="N33" s="23">
        <f ca="1">IF(PAJAK[[#This Row],[//]]="","",INDEX(INDIRECT("NOTA["&amp;PAJAK[#Headers]&amp;"]"),PAJAK[[#This Row],[//]]-2+PAJAK[[#This Row],[QB]]-1))</f>
        <v>269325</v>
      </c>
      <c r="O33" s="23">
        <f ca="1">(PAJAK[[#This Row],[SUB T-DISC]]-PAJAK[[#This Row],[DISC DLL]])/111%</f>
        <v>8954135.1351351347</v>
      </c>
      <c r="P33" s="23">
        <f ca="1">PAJAK[[#This Row],[DPP]]*PAJAK[[#This Row],[PPN]]</f>
        <v>984954.86486486485</v>
      </c>
      <c r="Q33" s="23">
        <f ca="1">PAJAK[[#This Row],[DPP]]+PAJAK[[#This Row],[PPN 11%]]</f>
        <v>9939090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509</v>
      </c>
      <c r="B34" s="15">
        <f ca="1">HYPERLINK("[NOTA_.XLSX]NOTA!c"&amp;PAJAK[[#This Row],[//]],IF(PAJAK[[#This Row],[//]]="","",INDEX(INDIRECT("NOTA["&amp;PAJAK[#Headers]&amp;"]"),PAJAK[[#This Row],[//]]-2)))</f>
        <v>82</v>
      </c>
      <c r="C34" s="15" t="str">
        <f ca="1">IF(PAJAK[[#This Row],[//]]="","",INDEX(INDIRECT("NOTA["&amp;PAJAK[#Headers]&amp;"]"),PAJAK[[#This Row],[//]]-2))</f>
        <v>ATA_1701_800-8</v>
      </c>
      <c r="D34" s="15" t="e">
        <f ca="1">MATCH(PAJAK[[#This Row],[ID]],[5]!Table1[ID],0)</f>
        <v>#REF!</v>
      </c>
      <c r="E34" s="16">
        <f ca="1">IF(PAJAK[[#This Row],[ID]]="","",COUNTIF(NOTA[ID_H],PAJAK[[#This Row],[ID]]))</f>
        <v>8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45308</v>
      </c>
      <c r="H34" s="17">
        <f ca="1">IF(PAJAK[[#This Row],[//]]="","",INDEX(INDIRECT("NOTA["&amp;PAJAK[#Headers]&amp;"]"),PAJAK[[#This Row],[//]]-2))</f>
        <v>45303</v>
      </c>
      <c r="I34" s="16" t="str">
        <f ca="1">IF(PAJAK[[#This Row],[//]]="","",INDEX(INDIRECT("NOTA["&amp;PAJAK[#Headers]&amp;"]"),PAJAK[[#This Row],[//]]-2))</f>
        <v>SA240100800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6912000</v>
      </c>
      <c r="L34" s="23">
        <f ca="1">IF(PAJAK[[#This Row],[//]]="","",SUMIF(NOTA[ID_H],PAJAK[[#This Row],[ID]],NOTA[DISC]))</f>
        <v>1166400</v>
      </c>
      <c r="M34" s="23">
        <f ca="1">PAJAK[[#This Row],[SUB TOTAL]]-PAJAK[[#This Row],[DISKON]]</f>
        <v>5745600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5176216.2162162159</v>
      </c>
      <c r="P34" s="23">
        <f ca="1">PAJAK[[#This Row],[DPP]]*PAJAK[[#This Row],[PPN]]</f>
        <v>569383.78378378379</v>
      </c>
      <c r="Q34" s="23">
        <f ca="1">PAJAK[[#This Row],[DPP]]+PAJAK[[#This Row],[PPN 11%]]</f>
        <v>5745600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518</v>
      </c>
      <c r="B35" s="21">
        <f ca="1">HYPERLINK("[NOTA_.XLSX]NOTA!c"&amp;PAJAK[[#This Row],[//]],IF(PAJAK[[#This Row],[//]]="","",INDEX(INDIRECT("NOTA["&amp;PAJAK[#Headers]&amp;"]"),PAJAK[[#This Row],[//]]-2)))</f>
        <v>83</v>
      </c>
      <c r="C35" s="19" t="str">
        <f ca="1">IF(PAJAK[[#This Row],[//]]="","",INDEX(INDIRECT("NOTA["&amp;PAJAK[#Headers]&amp;"]"),PAJAK[[#This Row],[//]]-2))</f>
        <v>ATA_1701_798-11</v>
      </c>
      <c r="D35" s="19" t="e">
        <f ca="1">MATCH(PAJAK[[#This Row],[ID]],[5]!Table1[ID],0)</f>
        <v>#REF!</v>
      </c>
      <c r="E35" s="20">
        <f ca="1">IF(PAJAK[[#This Row],[ID]]="","",COUNTIF(NOTA[ID_H],PAJAK[[#This Row],[ID]]))</f>
        <v>11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45308</v>
      </c>
      <c r="H35" s="17">
        <f ca="1">IF(PAJAK[[#This Row],[//]]="","",INDEX(INDIRECT("NOTA["&amp;PAJAK[#Headers]&amp;"]"),PAJAK[[#This Row],[//]]-2))</f>
        <v>45303</v>
      </c>
      <c r="I35" s="16" t="str">
        <f ca="1">IF(PAJAK[[#This Row],[//]]="","",INDEX(INDIRECT("NOTA["&amp;PAJAK[#Headers]&amp;"]"),PAJAK[[#This Row],[//]]-2))</f>
        <v>SA240100798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29904800</v>
      </c>
      <c r="L35" s="23">
        <f ca="1">IF(PAJAK[[#This Row],[//]]="","",SUMIF(NOTA[ID_H],PAJAK[[#This Row],[ID]],NOTA[DISC]))</f>
        <v>5046435</v>
      </c>
      <c r="M35" s="23">
        <f ca="1">PAJAK[[#This Row],[SUB TOTAL]]-PAJAK[[#This Row],[DISKON]]</f>
        <v>24858365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22394923.423423421</v>
      </c>
      <c r="P35" s="23">
        <f ca="1">PAJAK[[#This Row],[DPP]]*PAJAK[[#This Row],[PPN]]</f>
        <v>2463441.5765765761</v>
      </c>
      <c r="Q35" s="23">
        <f ca="1">PAJAK[[#This Row],[DPP]]+PAJAK[[#This Row],[PPN 11%]]</f>
        <v>24858364.999999996</v>
      </c>
      <c r="R35" s="18" t="str">
        <f ca="1">IF(ISNUMBER(PAJAK[[#This Row],[//]]),PPN,"")</f>
        <v>11%</v>
      </c>
    </row>
    <row r="36" spans="1:18" x14ac:dyDescent="0.25">
      <c r="A36" s="15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530</v>
      </c>
      <c r="B36" s="15">
        <f ca="1">HYPERLINK("[NOTA_.XLSX]NOTA!c"&amp;PAJAK[[#This Row],[//]],IF(PAJAK[[#This Row],[//]]="","",INDEX(INDIRECT("NOTA["&amp;PAJAK[#Headers]&amp;"]"),PAJAK[[#This Row],[//]]-2)))</f>
        <v>84</v>
      </c>
      <c r="C36" s="15" t="str">
        <f ca="1">IF(PAJAK[[#This Row],[//]]="","",INDEX(INDIRECT("NOTA["&amp;PAJAK[#Headers]&amp;"]"),PAJAK[[#This Row],[//]]-2))</f>
        <v>ATA_1701_799-8</v>
      </c>
      <c r="D36" s="15" t="e">
        <f ca="1">MATCH(PAJAK[[#This Row],[ID]],[5]!Table1[ID],0)</f>
        <v>#REF!</v>
      </c>
      <c r="E36" s="16">
        <f ca="1">IF(PAJAK[[#This Row],[ID]]="","",COUNTIF(NOTA[ID_H],PAJAK[[#This Row],[ID]]))</f>
        <v>8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45308</v>
      </c>
      <c r="H36" s="17">
        <f ca="1">IF(PAJAK[[#This Row],[//]]="","",INDEX(INDIRECT("NOTA["&amp;PAJAK[#Headers]&amp;"]"),PAJAK[[#This Row],[//]]-2))</f>
        <v>45303</v>
      </c>
      <c r="I36" s="16" t="str">
        <f ca="1">IF(PAJAK[[#This Row],[//]]="","",INDEX(INDIRECT("NOTA["&amp;PAJAK[#Headers]&amp;"]"),PAJAK[[#This Row],[//]]-2))</f>
        <v>SA240100799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16256400</v>
      </c>
      <c r="L36" s="23">
        <f ca="1">IF(PAJAK[[#This Row],[//]]="","",SUMIF(NOTA[ID_H],PAJAK[[#This Row],[ID]],NOTA[DISC]))</f>
        <v>2743267.5</v>
      </c>
      <c r="M36" s="23">
        <f ca="1">PAJAK[[#This Row],[SUB TOTAL]]-PAJAK[[#This Row],[DISKON]]</f>
        <v>13513132.5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12173993.243243242</v>
      </c>
      <c r="P36" s="23">
        <f ca="1">PAJAK[[#This Row],[DPP]]*PAJAK[[#This Row],[PPN]]</f>
        <v>1339139.2567567567</v>
      </c>
      <c r="Q36" s="23">
        <f ca="1">PAJAK[[#This Row],[DPP]]+PAJAK[[#This Row],[PPN 11%]]</f>
        <v>13513132.499999998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539</v>
      </c>
      <c r="B37" s="21">
        <f ca="1">HYPERLINK("[NOTA_.XLSX]NOTA!c"&amp;PAJAK[[#This Row],[//]],IF(PAJAK[[#This Row],[//]]="","",INDEX(INDIRECT("NOTA["&amp;PAJAK[#Headers]&amp;"]"),PAJAK[[#This Row],[//]]-2)))</f>
        <v>85</v>
      </c>
      <c r="C37" s="19" t="str">
        <f ca="1">IF(PAJAK[[#This Row],[//]]="","",INDEX(INDIRECT("NOTA["&amp;PAJAK[#Headers]&amp;"]"),PAJAK[[#This Row],[//]]-2))</f>
        <v>ATA_1701_878-1</v>
      </c>
      <c r="D37" s="19" t="e">
        <f ca="1">MATCH(PAJAK[[#This Row],[ID]],[5]!Table1[ID],0)</f>
        <v>#REF!</v>
      </c>
      <c r="E37" s="20">
        <f ca="1">IF(PAJAK[[#This Row],[ID]]="","",COUNTIF(NOTA[ID_H],PAJAK[[#This Row],[ID]]))</f>
        <v>1</v>
      </c>
      <c r="F37" s="15" t="str">
        <f ca="1">IF(PAJAK[[#This Row],[//]]="","",INDEX(CONV[2],MATCH(INDEX(INDIRECT("NOTA["&amp;PAJAK[#Headers]&amp;"]"),PAJAK[[#This Row],[//]]-2),CONV[1],0),0))</f>
        <v>PT ATALI MAKMUR</v>
      </c>
      <c r="G37" s="17">
        <f ca="1">IF(PAJAK[[#This Row],[//]]="","",INDEX(NOTA[TGL_H],PAJAK[[#This Row],[//]]-2))</f>
        <v>45308</v>
      </c>
      <c r="H37" s="17">
        <f ca="1">IF(PAJAK[[#This Row],[//]]="","",INDEX(INDIRECT("NOTA["&amp;PAJAK[#Headers]&amp;"]"),PAJAK[[#This Row],[//]]-2))</f>
        <v>45304</v>
      </c>
      <c r="I37" s="16" t="str">
        <f ca="1">IF(PAJAK[[#This Row],[//]]="","",INDEX(INDIRECT("NOTA["&amp;PAJAK[#Headers]&amp;"]"),PAJAK[[#This Row],[//]]-2))</f>
        <v>SA240100878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2050000</v>
      </c>
      <c r="L37" s="23">
        <f ca="1">IF(PAJAK[[#This Row],[//]]="","",SUMIF(NOTA[ID_H],PAJAK[[#This Row],[ID]],NOTA[DISC]))</f>
        <v>345937.5</v>
      </c>
      <c r="M37" s="23">
        <f ca="1">PAJAK[[#This Row],[SUB TOTAL]]-PAJAK[[#This Row],[DISKON]]</f>
        <v>1704062.5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1535191.4414414414</v>
      </c>
      <c r="P37" s="23">
        <f ca="1">PAJAK[[#This Row],[DPP]]*PAJAK[[#This Row],[PPN]]</f>
        <v>168871.05855855855</v>
      </c>
      <c r="Q37" s="23">
        <f ca="1">PAJAK[[#This Row],[DPP]]+PAJAK[[#This Row],[PPN 11%]]</f>
        <v>1704062.5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541</v>
      </c>
      <c r="B38" s="21">
        <f ca="1">HYPERLINK("[NOTA_.XLSX]NOTA!c"&amp;PAJAK[[#This Row],[//]],IF(PAJAK[[#This Row],[//]]="","",INDEX(INDIRECT("NOTA["&amp;PAJAK[#Headers]&amp;"]"),PAJAK[[#This Row],[//]]-2)))</f>
        <v>86</v>
      </c>
      <c r="C38" s="19" t="str">
        <f ca="1">IF(PAJAK[[#This Row],[//]]="","",INDEX(INDIRECT("NOTA["&amp;PAJAK[#Headers]&amp;"]"),PAJAK[[#This Row],[//]]-2))</f>
        <v>KEN_1701_870-2</v>
      </c>
      <c r="D38" s="19" t="e">
        <f ca="1">MATCH(PAJAK[[#This Row],[ID]],[5]!Table1[ID],0)</f>
        <v>#REF!</v>
      </c>
      <c r="E38" s="20">
        <f ca="1">IF(PAJAK[[#This Row],[ID]]="","",COUNTIF(NOTA[ID_H],PAJAK[[#This Row],[ID]]))</f>
        <v>2</v>
      </c>
      <c r="F38" s="15" t="str">
        <f ca="1">IF(PAJAK[[#This Row],[//]]="","",INDEX(CONV[2],MATCH(INDEX(INDIRECT("NOTA["&amp;PAJAK[#Headers]&amp;"]"),PAJAK[[#This Row],[//]]-2),CONV[1],0),0))</f>
        <v>PT KENKO SINAR INDONESIA</v>
      </c>
      <c r="G38" s="17">
        <f ca="1">IF(PAJAK[[#This Row],[//]]="","",INDEX(NOTA[TGL_H],PAJAK[[#This Row],[//]]-2))</f>
        <v>45308</v>
      </c>
      <c r="H38" s="17">
        <f ca="1">IF(PAJAK[[#This Row],[//]]="","",INDEX(INDIRECT("NOTA["&amp;PAJAK[#Headers]&amp;"]"),PAJAK[[#This Row],[//]]-2))</f>
        <v>45306</v>
      </c>
      <c r="I38" s="16" t="str">
        <f ca="1">IF(PAJAK[[#This Row],[//]]="","",INDEX(INDIRECT("NOTA["&amp;PAJAK[#Headers]&amp;"]"),PAJAK[[#This Row],[//]]-2))</f>
        <v>24010870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8812800</v>
      </c>
      <c r="L38" s="23">
        <f ca="1">IF(PAJAK[[#This Row],[//]]="","",SUMIF(NOTA[ID_H],PAJAK[[#This Row],[ID]],NOTA[DISC]))</f>
        <v>1498176</v>
      </c>
      <c r="M38" s="23">
        <f ca="1">PAJAK[[#This Row],[SUB TOTAL]]-PAJAK[[#This Row],[DISKON]]</f>
        <v>7314624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6589751.3513513505</v>
      </c>
      <c r="P38" s="23">
        <f ca="1">PAJAK[[#This Row],[DPP]]*PAJAK[[#This Row],[PPN]]</f>
        <v>724872.64864864852</v>
      </c>
      <c r="Q38" s="23">
        <f ca="1">PAJAK[[#This Row],[DPP]]+PAJAK[[#This Row],[PPN 11%]]</f>
        <v>7314623.9999999991</v>
      </c>
      <c r="R38" s="18" t="str">
        <f ca="1">IF(ISNUMBER(PAJAK[[#This Row],[//]]),PPN,"")</f>
        <v>11%</v>
      </c>
    </row>
    <row r="39" spans="1:18" x14ac:dyDescent="0.25">
      <c r="A39" s="15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544</v>
      </c>
      <c r="B39" s="15">
        <f ca="1">HYPERLINK("[NOTA_.XLSX]NOTA!c"&amp;PAJAK[[#This Row],[//]],IF(PAJAK[[#This Row],[//]]="","",INDEX(INDIRECT("NOTA["&amp;PAJAK[#Headers]&amp;"]"),PAJAK[[#This Row],[//]]-2)))</f>
        <v>87</v>
      </c>
      <c r="C39" s="15" t="str">
        <f ca="1">IF(PAJAK[[#This Row],[//]]="","",INDEX(INDIRECT("NOTA["&amp;PAJAK[#Headers]&amp;"]"),PAJAK[[#This Row],[//]]-2))</f>
        <v>KEN_1701_839-4</v>
      </c>
      <c r="D39" s="15" t="e">
        <f ca="1">MATCH(PAJAK[[#This Row],[ID]],[5]!Table1[ID],0)</f>
        <v>#REF!</v>
      </c>
      <c r="E39" s="16">
        <f ca="1">IF(PAJAK[[#This Row],[ID]]="","",COUNTIF(NOTA[ID_H],PAJAK[[#This Row],[ID]]))</f>
        <v>4</v>
      </c>
      <c r="F39" s="15" t="str">
        <f ca="1">IF(PAJAK[[#This Row],[//]]="","",INDEX(CONV[2],MATCH(INDEX(INDIRECT("NOTA["&amp;PAJAK[#Headers]&amp;"]"),PAJAK[[#This Row],[//]]-2),CONV[1],0),0))</f>
        <v>PT KENKO SINAR INDONESIA</v>
      </c>
      <c r="G39" s="17">
        <f ca="1">IF(PAJAK[[#This Row],[//]]="","",INDEX(NOTA[TGL_H],PAJAK[[#This Row],[//]]-2))</f>
        <v>45308</v>
      </c>
      <c r="H39" s="17">
        <f ca="1">IF(PAJAK[[#This Row],[//]]="","",INDEX(INDIRECT("NOTA["&amp;PAJAK[#Headers]&amp;"]"),PAJAK[[#This Row],[//]]-2))</f>
        <v>45306</v>
      </c>
      <c r="I39" s="16" t="str">
        <f ca="1">IF(PAJAK[[#This Row],[//]]="","",INDEX(INDIRECT("NOTA["&amp;PAJAK[#Headers]&amp;"]"),PAJAK[[#This Row],[//]]-2))</f>
        <v>24010839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24026400</v>
      </c>
      <c r="L39" s="23">
        <f ca="1">IF(PAJAK[[#This Row],[//]]="","",SUMIF(NOTA[ID_H],PAJAK[[#This Row],[ID]],NOTA[DISC]))</f>
        <v>4084488</v>
      </c>
      <c r="M39" s="23">
        <f ca="1">PAJAK[[#This Row],[SUB TOTAL]]-PAJAK[[#This Row],[DISKON]]</f>
        <v>19941912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17965686.486486483</v>
      </c>
      <c r="P39" s="23">
        <f ca="1">PAJAK[[#This Row],[DPP]]*PAJAK[[#This Row],[PPN]]</f>
        <v>1976225.5135135131</v>
      </c>
      <c r="Q39" s="23">
        <f ca="1">PAJAK[[#This Row],[DPP]]+PAJAK[[#This Row],[PPN 11%]]</f>
        <v>19941911.999999996</v>
      </c>
      <c r="R39" s="18" t="str">
        <f ca="1">IF(ISNUMBER(PAJAK[[#This Row],[//]]),PPN,"")</f>
        <v>11%</v>
      </c>
    </row>
    <row r="40" spans="1:18" x14ac:dyDescent="0.25">
      <c r="A40" s="19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554</v>
      </c>
      <c r="B40" s="21">
        <f ca="1">HYPERLINK("[NOTA_.XLSX]NOTA!c"&amp;PAJAK[[#This Row],[//]],IF(PAJAK[[#This Row],[//]]="","",INDEX(INDIRECT("NOTA["&amp;PAJAK[#Headers]&amp;"]"),PAJAK[[#This Row],[//]]-2)))</f>
        <v>89</v>
      </c>
      <c r="C40" s="19" t="str">
        <f ca="1">IF(PAJAK[[#This Row],[//]]="","",INDEX(INDIRECT("NOTA["&amp;PAJAK[#Headers]&amp;"]"),PAJAK[[#This Row],[//]]-2))</f>
        <v>KEN_1901_068-10</v>
      </c>
      <c r="D40" s="19" t="e">
        <f ca="1">MATCH(PAJAK[[#This Row],[ID]],[5]!Table1[ID],0)</f>
        <v>#REF!</v>
      </c>
      <c r="E40" s="20">
        <f ca="1">IF(PAJAK[[#This Row],[ID]]="","",COUNTIF(NOTA[ID_H],PAJAK[[#This Row],[ID]]))</f>
        <v>10</v>
      </c>
      <c r="F40" s="15" t="str">
        <f ca="1">IF(PAJAK[[#This Row],[//]]="","",INDEX(CONV[2],MATCH(INDEX(INDIRECT("NOTA["&amp;PAJAK[#Headers]&amp;"]"),PAJAK[[#This Row],[//]]-2),CONV[1],0),0))</f>
        <v>PT KENKO SINAR INDONESIA</v>
      </c>
      <c r="G40" s="17">
        <f ca="1">IF(PAJAK[[#This Row],[//]]="","",INDEX(NOTA[TGL_H],PAJAK[[#This Row],[//]]-2))</f>
        <v>45310</v>
      </c>
      <c r="H40" s="17">
        <f ca="1">IF(PAJAK[[#This Row],[//]]="","",INDEX(INDIRECT("NOTA["&amp;PAJAK[#Headers]&amp;"]"),PAJAK[[#This Row],[//]]-2))</f>
        <v>45308</v>
      </c>
      <c r="I40" s="16" t="str">
        <f ca="1">IF(PAJAK[[#This Row],[//]]="","",INDEX(INDIRECT("NOTA["&amp;PAJAK[#Headers]&amp;"]"),PAJAK[[#This Row],[//]]-2))</f>
        <v>24011068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43083800</v>
      </c>
      <c r="L40" s="23">
        <f ca="1">IF(PAJAK[[#This Row],[//]]="","",SUMIF(NOTA[ID_H],PAJAK[[#This Row],[ID]],NOTA[DISC]))</f>
        <v>7324246</v>
      </c>
      <c r="M40" s="23">
        <f ca="1">PAJAK[[#This Row],[SUB TOTAL]]-PAJAK[[#This Row],[DISKON]]</f>
        <v>35759554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32215814.414414413</v>
      </c>
      <c r="P40" s="23">
        <f ca="1">PAJAK[[#This Row],[DPP]]*PAJAK[[#This Row],[PPN]]</f>
        <v>3543739.5855855853</v>
      </c>
      <c r="Q40" s="23">
        <f ca="1">PAJAK[[#This Row],[DPP]]+PAJAK[[#This Row],[PPN 11%]]</f>
        <v>35759554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565</v>
      </c>
      <c r="B41" s="21">
        <f ca="1">HYPERLINK("[NOTA_.XLSX]NOTA!c"&amp;PAJAK[[#This Row],[//]],IF(PAJAK[[#This Row],[//]]="","",INDEX(INDIRECT("NOTA["&amp;PAJAK[#Headers]&amp;"]"),PAJAK[[#This Row],[//]]-2)))</f>
        <v>90</v>
      </c>
      <c r="C41" s="19" t="str">
        <f ca="1">IF(PAJAK[[#This Row],[//]]="","",INDEX(INDIRECT("NOTA["&amp;PAJAK[#Headers]&amp;"]"),PAJAK[[#This Row],[//]]-2))</f>
        <v>KEN_1901_089-4</v>
      </c>
      <c r="D41" s="19" t="e">
        <f ca="1">MATCH(PAJAK[[#This Row],[ID]],[5]!Table1[ID],0)</f>
        <v>#REF!</v>
      </c>
      <c r="E41" s="20">
        <f ca="1">IF(PAJAK[[#This Row],[ID]]="","",COUNTIF(NOTA[ID_H],PAJAK[[#This Row],[ID]]))</f>
        <v>4</v>
      </c>
      <c r="F41" s="15" t="str">
        <f ca="1">IF(PAJAK[[#This Row],[//]]="","",INDEX(CONV[2],MATCH(INDEX(INDIRECT("NOTA["&amp;PAJAK[#Headers]&amp;"]"),PAJAK[[#This Row],[//]]-2),CONV[1],0),0))</f>
        <v>PT KENKO SINAR INDONESIA</v>
      </c>
      <c r="G41" s="17">
        <f ca="1">IF(PAJAK[[#This Row],[//]]="","",INDEX(NOTA[TGL_H],PAJAK[[#This Row],[//]]-2))</f>
        <v>45310</v>
      </c>
      <c r="H41" s="17">
        <f ca="1">IF(PAJAK[[#This Row],[//]]="","",INDEX(INDIRECT("NOTA["&amp;PAJAK[#Headers]&amp;"]"),PAJAK[[#This Row],[//]]-2))</f>
        <v>45308</v>
      </c>
      <c r="I41" s="16" t="str">
        <f ca="1">IF(PAJAK[[#This Row],[//]]="","",INDEX(INDIRECT("NOTA["&amp;PAJAK[#Headers]&amp;"]"),PAJAK[[#This Row],[//]]-2))</f>
        <v>24011089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9372000</v>
      </c>
      <c r="L41" s="23">
        <f ca="1">IF(PAJAK[[#This Row],[//]]="","",SUMIF(NOTA[ID_H],PAJAK[[#This Row],[ID]],NOTA[DISC]))</f>
        <v>1593240</v>
      </c>
      <c r="M41" s="23">
        <f ca="1">PAJAK[[#This Row],[SUB TOTAL]]-PAJAK[[#This Row],[DISKON]]</f>
        <v>7778760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7007891.8918918911</v>
      </c>
      <c r="P41" s="23">
        <f ca="1">PAJAK[[#This Row],[DPP]]*PAJAK[[#This Row],[PPN]]</f>
        <v>770868.10810810805</v>
      </c>
      <c r="Q41" s="23">
        <f ca="1">PAJAK[[#This Row],[DPP]]+PAJAK[[#This Row],[PPN 11%]]</f>
        <v>7778759.9999999991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570</v>
      </c>
      <c r="B42" s="21">
        <f ca="1">HYPERLINK("[NOTA_.XLSX]NOTA!c"&amp;PAJAK[[#This Row],[//]],IF(PAJAK[[#This Row],[//]]="","",INDEX(INDIRECT("NOTA["&amp;PAJAK[#Headers]&amp;"]"),PAJAK[[#This Row],[//]]-2)))</f>
        <v>91</v>
      </c>
      <c r="C42" s="19" t="str">
        <f ca="1">IF(PAJAK[[#This Row],[//]]="","",INDEX(INDIRECT("NOTA["&amp;PAJAK[#Headers]&amp;"]"),PAJAK[[#This Row],[//]]-2))</f>
        <v>KEN_1901_070-5</v>
      </c>
      <c r="D42" s="19" t="e">
        <f ca="1">MATCH(PAJAK[[#This Row],[ID]],[5]!Table1[ID],0)</f>
        <v>#REF!</v>
      </c>
      <c r="E42" s="20">
        <f ca="1">IF(PAJAK[[#This Row],[ID]]="","",COUNTIF(NOTA[ID_H],PAJAK[[#This Row],[ID]]))</f>
        <v>5</v>
      </c>
      <c r="F42" s="15" t="str">
        <f ca="1">IF(PAJAK[[#This Row],[//]]="","",INDEX(CONV[2],MATCH(INDEX(INDIRECT("NOTA["&amp;PAJAK[#Headers]&amp;"]"),PAJAK[[#This Row],[//]]-2),CONV[1],0),0))</f>
        <v>PT KENKO SINAR INDONESIA</v>
      </c>
      <c r="G42" s="17">
        <f ca="1">IF(PAJAK[[#This Row],[//]]="","",INDEX(NOTA[TGL_H],PAJAK[[#This Row],[//]]-2))</f>
        <v>45310</v>
      </c>
      <c r="H42" s="17">
        <f ca="1">IF(PAJAK[[#This Row],[//]]="","",INDEX(INDIRECT("NOTA["&amp;PAJAK[#Headers]&amp;"]"),PAJAK[[#This Row],[//]]-2))</f>
        <v>45308</v>
      </c>
      <c r="I42" s="16" t="str">
        <f ca="1">IF(PAJAK[[#This Row],[//]]="","",INDEX(INDIRECT("NOTA["&amp;PAJAK[#Headers]&amp;"]"),PAJAK[[#This Row],[//]]-2))</f>
        <v>24011070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10489200</v>
      </c>
      <c r="L42" s="23">
        <f ca="1">IF(PAJAK[[#This Row],[//]]="","",SUMIF(NOTA[ID_H],PAJAK[[#This Row],[ID]],NOTA[DISC]))</f>
        <v>1783164</v>
      </c>
      <c r="M42" s="23">
        <f ca="1">PAJAK[[#This Row],[SUB TOTAL]]-PAJAK[[#This Row],[DISKON]]</f>
        <v>8706036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7843275.6756756753</v>
      </c>
      <c r="P42" s="23">
        <f ca="1">PAJAK[[#This Row],[DPP]]*PAJAK[[#This Row],[PPN]]</f>
        <v>862760.32432432426</v>
      </c>
      <c r="Q42" s="23">
        <f ca="1">PAJAK[[#This Row],[DPP]]+PAJAK[[#This Row],[PPN 11%]]</f>
        <v>8706036</v>
      </c>
      <c r="R42" s="18" t="str">
        <f ca="1">IF(ISNUMBER(PAJAK[[#This Row],[//]]),PPN,"")</f>
        <v>11%</v>
      </c>
    </row>
    <row r="43" spans="1:18" x14ac:dyDescent="0.25">
      <c r="A43" s="30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576</v>
      </c>
      <c r="B43" s="31">
        <f ca="1">HYPERLINK("[NOTA_.XLSX]NOTA!c"&amp;PAJAK[[#This Row],[//]],IF(PAJAK[[#This Row],[//]]="","",INDEX(INDIRECT("NOTA["&amp;PAJAK[#Headers]&amp;"]"),PAJAK[[#This Row],[//]]-2)))</f>
        <v>92</v>
      </c>
      <c r="C43" s="30" t="str">
        <f ca="1">IF(PAJAK[[#This Row],[//]]="","",INDEX(INDIRECT("NOTA["&amp;PAJAK[#Headers]&amp;"]"),PAJAK[[#This Row],[//]]-2))</f>
        <v>KEN_1901_885-1</v>
      </c>
      <c r="D43" s="30" t="e">
        <f ca="1">MATCH(PAJAK[[#This Row],[ID]],[5]!Table1[ID],0)</f>
        <v>#REF!</v>
      </c>
      <c r="E43" s="32">
        <f ca="1">IF(PAJAK[[#This Row],[ID]]="","",COUNTIF(NOTA[ID_H],PAJAK[[#This Row],[ID]]))</f>
        <v>1</v>
      </c>
      <c r="F43" s="27" t="str">
        <f ca="1">IF(PAJAK[[#This Row],[//]]="","",INDEX(CONV[2],MATCH(INDEX(INDIRECT("NOTA["&amp;PAJAK[#Headers]&amp;"]"),PAJAK[[#This Row],[//]]-2),CONV[1],0),0))</f>
        <v>PT KENKO SINAR INDONESIA</v>
      </c>
      <c r="G43" s="29">
        <f ca="1">IF(PAJAK[[#This Row],[//]]="","",INDEX(NOTA[TGL_H],PAJAK[[#This Row],[//]]-2))</f>
        <v>45310</v>
      </c>
      <c r="H43" s="29">
        <f ca="1">IF(PAJAK[[#This Row],[//]]="","",INDEX(INDIRECT("NOTA["&amp;PAJAK[#Headers]&amp;"]"),PAJAK[[#This Row],[//]]-2))</f>
        <v>45307</v>
      </c>
      <c r="I43" s="28" t="str">
        <f ca="1">IF(PAJAK[[#This Row],[//]]="","",INDEX(INDIRECT("NOTA["&amp;PAJAK[#Headers]&amp;"]"),PAJAK[[#This Row],[//]]-2))</f>
        <v>24010885</v>
      </c>
      <c r="J43" s="27" t="str">
        <f ca="1">IF(OR(PAJAK[[#This Row],[//]]="",INDEX(INDIRECT("NOTA["&amp;PAJAK[#Headers]&amp;"]"),PAJAK[[#This Row],[//]]-2)=""),"",INDEX(INDIRECT("NOTA["&amp;PAJAK[#Headers]&amp;"]"),PAJAK[[#This Row],[//]]-2))</f>
        <v/>
      </c>
      <c r="K43" s="33">
        <f ca="1">IF(PAJAK[[#This Row],[//]]="","",SUMIF(NOTA[ID_H],PAJAK[[#This Row],[ID]],NOTA[JUMLAH]))</f>
        <v>2112000</v>
      </c>
      <c r="L43" s="33">
        <f ca="1">IF(PAJAK[[#This Row],[//]]="","",SUMIF(NOTA[ID_H],PAJAK[[#This Row],[ID]],NOTA[DISC]))</f>
        <v>359040</v>
      </c>
      <c r="M43" s="33">
        <f ca="1">PAJAK[[#This Row],[SUB TOTAL]]-PAJAK[[#This Row],[DISKON]]</f>
        <v>1752960</v>
      </c>
      <c r="N43" s="33">
        <f ca="1">IF(PAJAK[[#This Row],[//]]="","",INDEX(INDIRECT("NOTA["&amp;PAJAK[#Headers]&amp;"]"),PAJAK[[#This Row],[//]]-2+PAJAK[[#This Row],[QB]]-1))</f>
        <v>0</v>
      </c>
      <c r="O43" s="33">
        <f ca="1">(PAJAK[[#This Row],[SUB T-DISC]]-PAJAK[[#This Row],[DISC DLL]])/111%</f>
        <v>1579243.2432432431</v>
      </c>
      <c r="P43" s="33">
        <f ca="1">PAJAK[[#This Row],[DPP]]*PAJAK[[#This Row],[PPN]]</f>
        <v>173716.75675675675</v>
      </c>
      <c r="Q43" s="33">
        <f ca="1">PAJAK[[#This Row],[DPP]]+PAJAK[[#This Row],[PPN 11%]]</f>
        <v>1752959.9999999998</v>
      </c>
      <c r="R43" s="34" t="str">
        <f ca="1">IF(ISNUMBER(PAJAK[[#This Row],[//]]),PPN,"")</f>
        <v>11%</v>
      </c>
    </row>
    <row r="44" spans="1:18" x14ac:dyDescent="0.25">
      <c r="A44" s="15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578</v>
      </c>
      <c r="B44" s="15">
        <f ca="1">HYPERLINK("[NOTA_.XLSX]NOTA!c"&amp;PAJAK[[#This Row],[//]],IF(PAJAK[[#This Row],[//]]="","",INDEX(INDIRECT("NOTA["&amp;PAJAK[#Headers]&amp;"]"),PAJAK[[#This Row],[//]]-2)))</f>
        <v>93</v>
      </c>
      <c r="C44" s="15" t="str">
        <f ca="1">IF(PAJAK[[#This Row],[//]]="","",INDEX(INDIRECT("NOTA["&amp;PAJAK[#Headers]&amp;"]"),PAJAK[[#This Row],[//]]-2))</f>
        <v>ATA_1901_983-7</v>
      </c>
      <c r="D44" s="15" t="e">
        <f ca="1">MATCH(PAJAK[[#This Row],[ID]],[5]!Table1[ID],0)</f>
        <v>#REF!</v>
      </c>
      <c r="E44" s="16">
        <f ca="1">IF(PAJAK[[#This Row],[ID]]="","",COUNTIF(NOTA[ID_H],PAJAK[[#This Row],[ID]]))</f>
        <v>7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45310</v>
      </c>
      <c r="H44" s="17">
        <f ca="1">IF(PAJAK[[#This Row],[//]]="","",INDEX(INDIRECT("NOTA["&amp;PAJAK[#Headers]&amp;"]"),PAJAK[[#This Row],[//]]-2))</f>
        <v>45307</v>
      </c>
      <c r="I44" s="16" t="str">
        <f ca="1">IF(PAJAK[[#This Row],[//]]="","",INDEX(INDIRECT("NOTA["&amp;PAJAK[#Headers]&amp;"]"),PAJAK[[#This Row],[//]]-2))</f>
        <v>SA240100983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9733200</v>
      </c>
      <c r="L44" s="23">
        <f ca="1">IF(PAJAK[[#This Row],[//]]="","",SUMIF(NOTA[ID_H],PAJAK[[#This Row],[ID]],NOTA[DISC]))</f>
        <v>1642477.5</v>
      </c>
      <c r="M44" s="23">
        <f ca="1">PAJAK[[#This Row],[SUB TOTAL]]-PAJAK[[#This Row],[DISKON]]</f>
        <v>8090722.5</v>
      </c>
      <c r="N44" s="23">
        <f ca="1">IF(PAJAK[[#This Row],[//]]="","",INDEX(INDIRECT("NOTA["&amp;PAJAK[#Headers]&amp;"]"),PAJAK[[#This Row],[//]]-2+PAJAK[[#This Row],[QB]]-1))</f>
        <v>317205</v>
      </c>
      <c r="O44" s="23">
        <f ca="1">(PAJAK[[#This Row],[SUB T-DISC]]-PAJAK[[#This Row],[DISC DLL]])/111%</f>
        <v>7003168.9189189179</v>
      </c>
      <c r="P44" s="23">
        <f ca="1">PAJAK[[#This Row],[DPP]]*PAJAK[[#This Row],[PPN]]</f>
        <v>770348.58108108095</v>
      </c>
      <c r="Q44" s="23">
        <f ca="1">PAJAK[[#This Row],[DPP]]+PAJAK[[#This Row],[PPN 11%]]</f>
        <v>7773517.4999999991</v>
      </c>
      <c r="R44" s="18" t="str">
        <f ca="1">IF(ISNUMBER(PAJAK[[#This Row],[//]]),PPN,"")</f>
        <v>11%</v>
      </c>
    </row>
    <row r="45" spans="1:18" x14ac:dyDescent="0.25">
      <c r="A45" s="15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586</v>
      </c>
      <c r="B45" s="15">
        <f ca="1">HYPERLINK("[NOTA_.XLSX]NOTA!c"&amp;PAJAK[[#This Row],[//]],IF(PAJAK[[#This Row],[//]]="","",INDEX(INDIRECT("NOTA["&amp;PAJAK[#Headers]&amp;"]"),PAJAK[[#This Row],[//]]-2)))</f>
        <v>94</v>
      </c>
      <c r="C45" s="15" t="str">
        <f ca="1">IF(PAJAK[[#This Row],[//]]="","",INDEX(INDIRECT("NOTA["&amp;PAJAK[#Headers]&amp;"]"),PAJAK[[#This Row],[//]]-2))</f>
        <v>ATA_1901_982-6</v>
      </c>
      <c r="D45" s="15" t="e">
        <f ca="1">MATCH(PAJAK[[#This Row],[ID]],[5]!Table1[ID],0)</f>
        <v>#REF!</v>
      </c>
      <c r="E45" s="16">
        <f ca="1">IF(PAJAK[[#This Row],[ID]]="","",COUNTIF(NOTA[ID_H],PAJAK[[#This Row],[ID]]))</f>
        <v>6</v>
      </c>
      <c r="F45" s="15" t="str">
        <f ca="1">IF(PAJAK[[#This Row],[//]]="","",INDEX(CONV[2],MATCH(INDEX(INDIRECT("NOTA["&amp;PAJAK[#Headers]&amp;"]"),PAJAK[[#This Row],[//]]-2),CONV[1],0),0))</f>
        <v>PT ATALI MAKMUR</v>
      </c>
      <c r="G45" s="17">
        <f ca="1">IF(PAJAK[[#This Row],[//]]="","",INDEX(NOTA[TGL_H],PAJAK[[#This Row],[//]]-2))</f>
        <v>45310</v>
      </c>
      <c r="H45" s="17">
        <f ca="1">IF(PAJAK[[#This Row],[//]]="","",INDEX(INDIRECT("NOTA["&amp;PAJAK[#Headers]&amp;"]"),PAJAK[[#This Row],[//]]-2))</f>
        <v>45307</v>
      </c>
      <c r="I45" s="16" t="str">
        <f ca="1">IF(PAJAK[[#This Row],[//]]="","",INDEX(INDIRECT("NOTA["&amp;PAJAK[#Headers]&amp;"]"),PAJAK[[#This Row],[//]]-2))</f>
        <v>SA240100982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3">
        <f ca="1">IF(PAJAK[[#This Row],[//]]="","",SUMIF(NOTA[ID_H],PAJAK[[#This Row],[ID]],NOTA[JUMLAH]))</f>
        <v>16775200</v>
      </c>
      <c r="L45" s="23">
        <f ca="1">IF(PAJAK[[#This Row],[//]]="","",SUMIF(NOTA[ID_H],PAJAK[[#This Row],[ID]],NOTA[DISC]))</f>
        <v>2830815</v>
      </c>
      <c r="M45" s="23">
        <f ca="1">PAJAK[[#This Row],[SUB TOTAL]]-PAJAK[[#This Row],[DISKON]]</f>
        <v>13944385</v>
      </c>
      <c r="N45" s="23">
        <f ca="1">IF(PAJAK[[#This Row],[//]]="","",INDEX(INDIRECT("NOTA["&amp;PAJAK[#Headers]&amp;"]"),PAJAK[[#This Row],[//]]-2+PAJAK[[#This Row],[QB]]-1))</f>
        <v>0</v>
      </c>
      <c r="O45" s="23">
        <f ca="1">(PAJAK[[#This Row],[SUB T-DISC]]-PAJAK[[#This Row],[DISC DLL]])/111%</f>
        <v>12562509.009009007</v>
      </c>
      <c r="P45" s="23">
        <f ca="1">PAJAK[[#This Row],[DPP]]*PAJAK[[#This Row],[PPN]]</f>
        <v>1381875.9909909908</v>
      </c>
      <c r="Q45" s="23">
        <f ca="1">PAJAK[[#This Row],[DPP]]+PAJAK[[#This Row],[PPN 11%]]</f>
        <v>13944384.999999998</v>
      </c>
      <c r="R45" s="18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593</v>
      </c>
      <c r="B46" s="21">
        <f ca="1">HYPERLINK("[NOTA_.XLSX]NOTA!c"&amp;PAJAK[[#This Row],[//]],IF(PAJAK[[#This Row],[//]]="","",INDEX(INDIRECT("NOTA["&amp;PAJAK[#Headers]&amp;"]"),PAJAK[[#This Row],[//]]-2)))</f>
        <v>95</v>
      </c>
      <c r="C46" s="19" t="str">
        <f ca="1">IF(PAJAK[[#This Row],[//]]="","",INDEX(INDIRECT("NOTA["&amp;PAJAK[#Headers]&amp;"]"),PAJAK[[#This Row],[//]]-2))</f>
        <v>KAL_1901_167-1</v>
      </c>
      <c r="D46" s="19" t="e">
        <f ca="1">MATCH(PAJAK[[#This Row],[ID]],[5]!Table1[ID],0)</f>
        <v>#REF!</v>
      </c>
      <c r="E46" s="20">
        <f ca="1">IF(PAJAK[[#This Row],[ID]]="","",COUNTIF(NOTA[ID_H],PAJAK[[#This Row],[ID]]))</f>
        <v>1</v>
      </c>
      <c r="F46" s="15" t="str">
        <f ca="1">IF(PAJAK[[#This Row],[//]]="","",INDEX(CONV[2],MATCH(INDEX(INDIRECT("NOTA["&amp;PAJAK[#Headers]&amp;"]"),PAJAK[[#This Row],[//]]-2),CONV[1],0),0))</f>
        <v>PT KALINDO SUKSES</v>
      </c>
      <c r="G46" s="17">
        <f ca="1">IF(PAJAK[[#This Row],[//]]="","",INDEX(NOTA[TGL_H],PAJAK[[#This Row],[//]]-2))</f>
        <v>45310</v>
      </c>
      <c r="H46" s="17">
        <f ca="1">IF(PAJAK[[#This Row],[//]]="","",INDEX(INDIRECT("NOTA["&amp;PAJAK[#Headers]&amp;"]"),PAJAK[[#This Row],[//]]-2))</f>
        <v>45307</v>
      </c>
      <c r="I46" s="16" t="str">
        <f ca="1">IF(PAJAK[[#This Row],[//]]="","",INDEX(INDIRECT("NOTA["&amp;PAJAK[#Headers]&amp;"]"),PAJAK[[#This Row],[//]]-2))</f>
        <v>SN24010167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2880000</v>
      </c>
      <c r="L46" s="23">
        <f ca="1">IF(PAJAK[[#This Row],[//]]="","",SUMIF(NOTA[ID_H],PAJAK[[#This Row],[ID]],NOTA[DISC]))</f>
        <v>486000</v>
      </c>
      <c r="M46" s="23">
        <f ca="1">PAJAK[[#This Row],[SUB TOTAL]]-PAJAK[[#This Row],[DISKON]]</f>
        <v>2394000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2156756.7567567565</v>
      </c>
      <c r="P46" s="23">
        <f ca="1">PAJAK[[#This Row],[DPP]]*PAJAK[[#This Row],[PPN]]</f>
        <v>237243.24324324323</v>
      </c>
      <c r="Q46" s="23">
        <f ca="1">PAJAK[[#This Row],[DPP]]+PAJAK[[#This Row],[PPN 11%]]</f>
        <v>2393999.9999999995</v>
      </c>
      <c r="R46" s="18" t="str">
        <f ca="1">IF(ISNUMBER(PAJAK[[#This Row],[//]]),PPN,"")</f>
        <v>11%</v>
      </c>
    </row>
    <row r="47" spans="1:18" x14ac:dyDescent="0.25">
      <c r="A47" s="15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619</v>
      </c>
      <c r="B47" s="22">
        <f ca="1">HYPERLINK("[NOTA_.XLSX]NOTA!c"&amp;PAJAK[[#This Row],[//]],IF(PAJAK[[#This Row],[//]]="","",INDEX(INDIRECT("NOTA["&amp;PAJAK[#Headers]&amp;"]"),PAJAK[[#This Row],[//]]-2)))</f>
        <v>101</v>
      </c>
      <c r="C47" s="15" t="str">
        <f ca="1">IF(PAJAK[[#This Row],[//]]="","",INDEX(INDIRECT("NOTA["&amp;PAJAK[#Headers]&amp;"]"),PAJAK[[#This Row],[//]]-2))</f>
        <v>NCL_1901_-4</v>
      </c>
      <c r="D47" s="15" t="e">
        <f ca="1">MATCH(PAJAK[[#This Row],[ID]],[5]!Table1[ID],0)</f>
        <v>#REF!</v>
      </c>
      <c r="E47" s="16">
        <f ca="1">IF(PAJAK[[#This Row],[ID]]="","",COUNTIF(NOTA[ID_H],PAJAK[[#This Row],[ID]]))</f>
        <v>4</v>
      </c>
      <c r="F47" s="15" t="str">
        <f ca="1">IF(PAJAK[[#This Row],[//]]="","",INDEX(CONV[2],MATCH(INDEX(INDIRECT("NOTA["&amp;PAJAK[#Headers]&amp;"]"),PAJAK[[#This Row],[//]]-2),CONV[1],0),0))</f>
        <v>NATURAL CAHAYA LESTARI</v>
      </c>
      <c r="G47" s="17">
        <f ca="1">IF(PAJAK[[#This Row],[//]]="","",INDEX(NOTA[TGL_H],PAJAK[[#This Row],[//]]-2))</f>
        <v>45310</v>
      </c>
      <c r="H47" s="17">
        <f ca="1">IF(PAJAK[[#This Row],[//]]="","",INDEX(INDIRECT("NOTA["&amp;PAJAK[#Headers]&amp;"]"),PAJAK[[#This Row],[//]]-2))</f>
        <v>45306</v>
      </c>
      <c r="I47" s="16">
        <f ca="1">IF(PAJAK[[#This Row],[//]]="","",INDEX(INDIRECT("NOTA["&amp;PAJAK[#Headers]&amp;"]"),PAJAK[[#This Row],[//]]-2))</f>
        <v>0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25279440</v>
      </c>
      <c r="L47" s="23">
        <f ca="1">IF(PAJAK[[#This Row],[//]]="","",SUMIF(NOTA[ID_H],PAJAK[[#This Row],[ID]],NOTA[DISC]))</f>
        <v>5055888</v>
      </c>
      <c r="M47" s="23">
        <f ca="1">PAJAK[[#This Row],[SUB TOTAL]]-PAJAK[[#This Row],[DISKON]]</f>
        <v>20223552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18219416.216216214</v>
      </c>
      <c r="P47" s="23">
        <f ca="1">PAJAK[[#This Row],[DPP]]*PAJAK[[#This Row],[PPN]]</f>
        <v>2004135.7837837834</v>
      </c>
      <c r="Q47" s="23">
        <f ca="1">PAJAK[[#This Row],[DPP]]+PAJAK[[#This Row],[PPN 11%]]</f>
        <v>20223551.999999996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633</v>
      </c>
      <c r="B48" s="22">
        <f ca="1">HYPERLINK("[NOTA_.XLSX]NOTA!c"&amp;PAJAK[[#This Row],[//]],IF(PAJAK[[#This Row],[//]]="","",INDEX(INDIRECT("NOTA["&amp;PAJAK[#Headers]&amp;"]"),PAJAK[[#This Row],[//]]-2)))</f>
        <v>103</v>
      </c>
      <c r="C48" s="15" t="str">
        <f ca="1">IF(PAJAK[[#This Row],[//]]="","",INDEX(INDIRECT("NOTA["&amp;PAJAK[#Headers]&amp;"]"),PAJAK[[#This Row],[//]]-2))</f>
        <v>ATA_2201_222-11</v>
      </c>
      <c r="D48" s="15" t="e">
        <f ca="1">MATCH(PAJAK[[#This Row],[ID]],[5]!Table1[ID],0)</f>
        <v>#REF!</v>
      </c>
      <c r="E48" s="16">
        <f ca="1">IF(PAJAK[[#This Row],[ID]]="","",COUNTIF(NOTA[ID_H],PAJAK[[#This Row],[ID]]))</f>
        <v>11</v>
      </c>
      <c r="F48" s="15" t="str">
        <f ca="1">IF(PAJAK[[#This Row],[//]]="","",INDEX(CONV[2],MATCH(INDEX(INDIRECT("NOTA["&amp;PAJAK[#Headers]&amp;"]"),PAJAK[[#This Row],[//]]-2),CONV[1],0),0))</f>
        <v>PT ATALI MAKMUR</v>
      </c>
      <c r="G48" s="17">
        <f ca="1">IF(PAJAK[[#This Row],[//]]="","",INDEX(NOTA[TGL_H],PAJAK[[#This Row],[//]]-2))</f>
        <v>45313</v>
      </c>
      <c r="H48" s="17">
        <f ca="1">IF(PAJAK[[#This Row],[//]]="","",INDEX(INDIRECT("NOTA["&amp;PAJAK[#Headers]&amp;"]"),PAJAK[[#This Row],[//]]-2))</f>
        <v>45310</v>
      </c>
      <c r="I48" s="16" t="str">
        <f ca="1">IF(PAJAK[[#This Row],[//]]="","",INDEX(INDIRECT("NOTA["&amp;PAJAK[#Headers]&amp;"]"),PAJAK[[#This Row],[//]]-2))</f>
        <v>SA240101222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24082000</v>
      </c>
      <c r="L48" s="23">
        <f ca="1">IF(PAJAK[[#This Row],[//]]="","",SUMIF(NOTA[ID_H],PAJAK[[#This Row],[ID]],NOTA[DISC]))</f>
        <v>4063837.5</v>
      </c>
      <c r="M48" s="23">
        <f ca="1">PAJAK[[#This Row],[SUB TOTAL]]-PAJAK[[#This Row],[DISKON]]</f>
        <v>20018162.5</v>
      </c>
      <c r="N48" s="23">
        <f ca="1">IF(PAJAK[[#This Row],[//]]="","",INDEX(INDIRECT("NOTA["&amp;PAJAK[#Headers]&amp;"]"),PAJAK[[#This Row],[//]]-2+PAJAK[[#This Row],[QB]]-1))</f>
        <v>183540</v>
      </c>
      <c r="O48" s="23">
        <f ca="1">(PAJAK[[#This Row],[SUB T-DISC]]-PAJAK[[#This Row],[DISC DLL]])/111%</f>
        <v>17869029.279279277</v>
      </c>
      <c r="P48" s="23">
        <f ca="1">PAJAK[[#This Row],[DPP]]*PAJAK[[#This Row],[PPN]]</f>
        <v>1965593.2207207205</v>
      </c>
      <c r="Q48" s="23">
        <f ca="1">PAJAK[[#This Row],[DPP]]+PAJAK[[#This Row],[PPN 11%]]</f>
        <v>19834622.499999996</v>
      </c>
      <c r="R48" s="18" t="str">
        <f ca="1">IF(ISNUMBER(PAJAK[[#This Row],[//]]),PPN,"")</f>
        <v>11%</v>
      </c>
    </row>
    <row r="49" spans="1:18" x14ac:dyDescent="0.25">
      <c r="A49" s="1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645</v>
      </c>
      <c r="B49" s="21">
        <f ca="1">HYPERLINK("[NOTA_.XLSX]NOTA!c"&amp;PAJAK[[#This Row],[//]],IF(PAJAK[[#This Row],[//]]="","",INDEX(INDIRECT("NOTA["&amp;PAJAK[#Headers]&amp;"]"),PAJAK[[#This Row],[//]]-2)))</f>
        <v>104</v>
      </c>
      <c r="C49" s="19" t="str">
        <f ca="1">IF(PAJAK[[#This Row],[//]]="","",INDEX(INDIRECT("NOTA["&amp;PAJAK[#Headers]&amp;"]"),PAJAK[[#This Row],[//]]-2))</f>
        <v>ATA_2201_271-4</v>
      </c>
      <c r="D49" s="19" t="e">
        <f ca="1">MATCH(PAJAK[[#This Row],[ID]],[5]!Table1[ID],0)</f>
        <v>#REF!</v>
      </c>
      <c r="E49" s="20">
        <f ca="1">IF(PAJAK[[#This Row],[ID]]="","",COUNTIF(NOTA[ID_H],PAJAK[[#This Row],[ID]]))</f>
        <v>4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45313</v>
      </c>
      <c r="H49" s="17">
        <f ca="1">IF(PAJAK[[#This Row],[//]]="","",INDEX(INDIRECT("NOTA["&amp;PAJAK[#Headers]&amp;"]"),PAJAK[[#This Row],[//]]-2))</f>
        <v>45310</v>
      </c>
      <c r="I49" s="16" t="str">
        <f ca="1">IF(PAJAK[[#This Row],[//]]="","",INDEX(INDIRECT("NOTA["&amp;PAJAK[#Headers]&amp;"]"),PAJAK[[#This Row],[//]]-2))</f>
        <v>SA240101271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6428800</v>
      </c>
      <c r="L49" s="23">
        <f ca="1">IF(PAJAK[[#This Row],[//]]="","",SUMIF(NOTA[ID_H],PAJAK[[#This Row],[ID]],NOTA[DISC]))</f>
        <v>1084860</v>
      </c>
      <c r="M49" s="23">
        <f ca="1">PAJAK[[#This Row],[SUB TOTAL]]-PAJAK[[#This Row],[DISKON]]</f>
        <v>5343940</v>
      </c>
      <c r="N49" s="23">
        <f ca="1">IF(PAJAK[[#This Row],[//]]="","",INDEX(INDIRECT("NOTA["&amp;PAJAK[#Headers]&amp;"]"),PAJAK[[#This Row],[//]]-2+PAJAK[[#This Row],[QB]]-1))</f>
        <v>263340</v>
      </c>
      <c r="O49" s="23">
        <f ca="1">(PAJAK[[#This Row],[SUB T-DISC]]-PAJAK[[#This Row],[DISC DLL]])/111%</f>
        <v>4577117.1171171172</v>
      </c>
      <c r="P49" s="23">
        <f ca="1">PAJAK[[#This Row],[DPP]]*PAJAK[[#This Row],[PPN]]</f>
        <v>503482.8828828829</v>
      </c>
      <c r="Q49" s="23">
        <f ca="1">PAJAK[[#This Row],[DPP]]+PAJAK[[#This Row],[PPN 11%]]</f>
        <v>5080600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650</v>
      </c>
      <c r="B50" s="21">
        <f ca="1">HYPERLINK("[NOTA_.XLSX]NOTA!c"&amp;PAJAK[[#This Row],[//]],IF(PAJAK[[#This Row],[//]]="","",INDEX(INDIRECT("NOTA["&amp;PAJAK[#Headers]&amp;"]"),PAJAK[[#This Row],[//]]-2)))</f>
        <v>105</v>
      </c>
      <c r="C50" s="19" t="str">
        <f ca="1">IF(PAJAK[[#This Row],[//]]="","",INDEX(INDIRECT("NOTA["&amp;PAJAK[#Headers]&amp;"]"),PAJAK[[#This Row],[//]]-2))</f>
        <v>ATA_2201_157-1</v>
      </c>
      <c r="D50" s="19" t="e">
        <f ca="1">MATCH(PAJAK[[#This Row],[ID]],[5]!Table1[ID],0)</f>
        <v>#REF!</v>
      </c>
      <c r="E50" s="20">
        <f ca="1">IF(PAJAK[[#This Row],[ID]]="","",COUNTIF(NOTA[ID_H],PAJAK[[#This Row],[ID]]))</f>
        <v>1</v>
      </c>
      <c r="F50" s="15" t="str">
        <f ca="1">IF(PAJAK[[#This Row],[//]]="","",INDEX(CONV[2],MATCH(INDEX(INDIRECT("NOTA["&amp;PAJAK[#Headers]&amp;"]"),PAJAK[[#This Row],[//]]-2),CONV[1],0),0))</f>
        <v>PT ATALI MAKMUR</v>
      </c>
      <c r="G50" s="17">
        <f ca="1">IF(PAJAK[[#This Row],[//]]="","",INDEX(NOTA[TGL_H],PAJAK[[#This Row],[//]]-2))</f>
        <v>45313</v>
      </c>
      <c r="H50" s="17">
        <f ca="1">IF(PAJAK[[#This Row],[//]]="","",INDEX(INDIRECT("NOTA["&amp;PAJAK[#Headers]&amp;"]"),PAJAK[[#This Row],[//]]-2))</f>
        <v>45309</v>
      </c>
      <c r="I50" s="16" t="str">
        <f ca="1">IF(PAJAK[[#This Row],[//]]="","",INDEX(INDIRECT("NOTA["&amp;PAJAK[#Headers]&amp;"]"),PAJAK[[#This Row],[//]]-2))</f>
        <v>SA240101157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1890000</v>
      </c>
      <c r="L50" s="23">
        <f ca="1">IF(PAJAK[[#This Row],[//]]="","",SUMIF(NOTA[ID_H],PAJAK[[#This Row],[ID]],NOTA[DISC]))</f>
        <v>318937.5</v>
      </c>
      <c r="M50" s="23">
        <f ca="1">PAJAK[[#This Row],[SUB TOTAL]]-PAJAK[[#This Row],[DISKON]]</f>
        <v>1571062.5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1415371.6216216215</v>
      </c>
      <c r="P50" s="23">
        <f ca="1">PAJAK[[#This Row],[DPP]]*PAJAK[[#This Row],[PPN]]</f>
        <v>155690.87837837837</v>
      </c>
      <c r="Q50" s="23">
        <f ca="1">PAJAK[[#This Row],[DPP]]+PAJAK[[#This Row],[PPN 11%]]</f>
        <v>1571062.5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652</v>
      </c>
      <c r="B51" s="15">
        <f ca="1">HYPERLINK("[NOTA_.XLSX]NOTA!c"&amp;PAJAK[[#This Row],[//]],IF(PAJAK[[#This Row],[//]]="","",INDEX(INDIRECT("NOTA["&amp;PAJAK[#Headers]&amp;"]"),PAJAK[[#This Row],[//]]-2)))</f>
        <v>106</v>
      </c>
      <c r="C51" s="15" t="str">
        <f ca="1">IF(PAJAK[[#This Row],[//]]="","",INDEX(INDIRECT("NOTA["&amp;PAJAK[#Headers]&amp;"]"),PAJAK[[#This Row],[//]]-2))</f>
        <v>ATA_2201_081-4</v>
      </c>
      <c r="D51" s="15" t="e">
        <f ca="1">MATCH(PAJAK[[#This Row],[ID]],[5]!Table1[ID],0)</f>
        <v>#REF!</v>
      </c>
      <c r="E51" s="16">
        <f ca="1">IF(PAJAK[[#This Row],[ID]]="","",COUNTIF(NOTA[ID_H],PAJAK[[#This Row],[ID]]))</f>
        <v>4</v>
      </c>
      <c r="F51" s="15" t="str">
        <f ca="1">IF(PAJAK[[#This Row],[//]]="","",INDEX(CONV[2],MATCH(INDEX(INDIRECT("NOTA["&amp;PAJAK[#Headers]&amp;"]"),PAJAK[[#This Row],[//]]-2),CONV[1],0),0))</f>
        <v>PT ATALI MAKMUR</v>
      </c>
      <c r="G51" s="17">
        <f ca="1">IF(PAJAK[[#This Row],[//]]="","",INDEX(NOTA[TGL_H],PAJAK[[#This Row],[//]]-2))</f>
        <v>45313</v>
      </c>
      <c r="H51" s="17">
        <f ca="1">IF(PAJAK[[#This Row],[//]]="","",INDEX(INDIRECT("NOTA["&amp;PAJAK[#Headers]&amp;"]"),PAJAK[[#This Row],[//]]-2))</f>
        <v>45308</v>
      </c>
      <c r="I51" s="16" t="str">
        <f ca="1">IF(PAJAK[[#This Row],[//]]="","",INDEX(INDIRECT("NOTA["&amp;PAJAK[#Headers]&amp;"]"),PAJAK[[#This Row],[//]]-2))</f>
        <v>SA240101081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8040000</v>
      </c>
      <c r="L51" s="23">
        <f ca="1">IF(PAJAK[[#This Row],[//]]="","",SUMIF(NOTA[ID_H],PAJAK[[#This Row],[ID]],NOTA[DISC]))</f>
        <v>1356750</v>
      </c>
      <c r="M51" s="23">
        <f ca="1">PAJAK[[#This Row],[SUB TOTAL]]-PAJAK[[#This Row],[DISKON]]</f>
        <v>6683250</v>
      </c>
      <c r="N51" s="23">
        <f ca="1">IF(PAJAK[[#This Row],[//]]="","",INDEX(INDIRECT("NOTA["&amp;PAJAK[#Headers]&amp;"]"),PAJAK[[#This Row],[//]]-2+PAJAK[[#This Row],[QB]]-1))</f>
        <v>183540</v>
      </c>
      <c r="O51" s="23">
        <f ca="1">(PAJAK[[#This Row],[SUB T-DISC]]-PAJAK[[#This Row],[DISC DLL]])/111%</f>
        <v>5855594.5945945941</v>
      </c>
      <c r="P51" s="23">
        <f ca="1">PAJAK[[#This Row],[DPP]]*PAJAK[[#This Row],[PPN]]</f>
        <v>644115.40540540533</v>
      </c>
      <c r="Q51" s="23">
        <f ca="1">PAJAK[[#This Row],[DPP]]+PAJAK[[#This Row],[PPN 11%]]</f>
        <v>6499709.9999999991</v>
      </c>
      <c r="R51" s="18" t="str">
        <f ca="1">IF(ISNUMBER(PAJAK[[#This Row],[//]]),PPN,"")</f>
        <v>11%</v>
      </c>
    </row>
    <row r="52" spans="1:18" x14ac:dyDescent="0.25">
      <c r="A52" s="15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657</v>
      </c>
      <c r="B52" s="22">
        <f ca="1">HYPERLINK("[NOTA_.XLSX]NOTA!c"&amp;PAJAK[[#This Row],[//]],IF(PAJAK[[#This Row],[//]]="","",INDEX(INDIRECT("NOTA["&amp;PAJAK[#Headers]&amp;"]"),PAJAK[[#This Row],[//]]-2)))</f>
        <v>107</v>
      </c>
      <c r="C52" s="15" t="str">
        <f ca="1">IF(PAJAK[[#This Row],[//]]="","",INDEX(INDIRECT("NOTA["&amp;PAJAK[#Headers]&amp;"]"),PAJAK[[#This Row],[//]]-2))</f>
        <v>DUN_2201_-24-1</v>
      </c>
      <c r="D52" s="15" t="e">
        <f ca="1">MATCH(PAJAK[[#This Row],[ID]],[5]!Table1[ID],0)</f>
        <v>#REF!</v>
      </c>
      <c r="E52" s="16">
        <f ca="1">IF(PAJAK[[#This Row],[ID]]="","",COUNTIF(NOTA[ID_H],PAJAK[[#This Row],[ID]]))</f>
        <v>1</v>
      </c>
      <c r="F52" s="15" t="e">
        <f ca="1">IF(PAJAK[[#This Row],[//]]="","",INDEX(CONV[2],MATCH(INDEX(INDIRECT("NOTA["&amp;PAJAK[#Headers]&amp;"]"),PAJAK[[#This Row],[//]]-2),CONV[1],0),0))</f>
        <v>#N/A</v>
      </c>
      <c r="G52" s="17">
        <f ca="1">IF(PAJAK[[#This Row],[//]]="","",INDEX(NOTA[TGL_H],PAJAK[[#This Row],[//]]-2))</f>
        <v>45313</v>
      </c>
      <c r="H52" s="17">
        <f ca="1">IF(PAJAK[[#This Row],[//]]="","",INDEX(INDIRECT("NOTA["&amp;PAJAK[#Headers]&amp;"]"),PAJAK[[#This Row],[//]]-2))</f>
        <v>45309</v>
      </c>
      <c r="I52" s="16" t="str">
        <f ca="1">IF(PAJAK[[#This Row],[//]]="","",INDEX(INDIRECT("NOTA["&amp;PAJAK[#Headers]&amp;"]"),PAJAK[[#This Row],[//]]-2))</f>
        <v>PHM/004/01-24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2016000</v>
      </c>
      <c r="L52" s="23">
        <f ca="1">IF(PAJAK[[#This Row],[//]]="","",SUMIF(NOTA[ID_H],PAJAK[[#This Row],[ID]],NOTA[DISC]))</f>
        <v>50400</v>
      </c>
      <c r="M52" s="23">
        <f ca="1">PAJAK[[#This Row],[SUB TOTAL]]-PAJAK[[#This Row],[DISKON]]</f>
        <v>1965600</v>
      </c>
      <c r="N52" s="23">
        <f ca="1">IF(PAJAK[[#This Row],[//]]="","",INDEX(INDIRECT("NOTA["&amp;PAJAK[#Headers]&amp;"]"),PAJAK[[#This Row],[//]]-2+PAJAK[[#This Row],[QB]]-1))</f>
        <v>58950.435000000005</v>
      </c>
      <c r="O52" s="23">
        <f ca="1">(PAJAK[[#This Row],[SUB T-DISC]]-PAJAK[[#This Row],[DISC DLL]])/111%</f>
        <v>1717702.3108108107</v>
      </c>
      <c r="P52" s="23">
        <f ca="1">PAJAK[[#This Row],[DPP]]*PAJAK[[#This Row],[PPN]]</f>
        <v>188947.25418918917</v>
      </c>
      <c r="Q52" s="23">
        <f ca="1">PAJAK[[#This Row],[DPP]]+PAJAK[[#This Row],[PPN 11%]]</f>
        <v>1906649.5649999999</v>
      </c>
      <c r="R52" s="18" t="str">
        <f ca="1">IF(ISNUMBER(PAJAK[[#This Row],[//]]),PPN,"")</f>
        <v>11%</v>
      </c>
    </row>
    <row r="53" spans="1:18" x14ac:dyDescent="0.25">
      <c r="A53" s="15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659</v>
      </c>
      <c r="B53" s="15">
        <f ca="1">HYPERLINK("[NOTA_.XLSX]NOTA!c"&amp;PAJAK[[#This Row],[//]],IF(PAJAK[[#This Row],[//]]="","",INDEX(INDIRECT("NOTA["&amp;PAJAK[#Headers]&amp;"]"),PAJAK[[#This Row],[//]]-2)))</f>
        <v>108</v>
      </c>
      <c r="C53" s="15" t="str">
        <f ca="1">IF(PAJAK[[#This Row],[//]]="","",INDEX(INDIRECT("NOTA["&amp;PAJAK[#Headers]&amp;"]"),PAJAK[[#This Row],[//]]-2))</f>
        <v>KEN_2201_189-2</v>
      </c>
      <c r="D53" s="15" t="e">
        <f ca="1">MATCH(PAJAK[[#This Row],[ID]],[5]!Table1[ID],0)</f>
        <v>#REF!</v>
      </c>
      <c r="E53" s="16">
        <f ca="1">IF(PAJAK[[#This Row],[ID]]="","",COUNTIF(NOTA[ID_H],PAJAK[[#This Row],[ID]]))</f>
        <v>2</v>
      </c>
      <c r="F53" s="15" t="str">
        <f ca="1">IF(PAJAK[[#This Row],[//]]="","",INDEX(CONV[2],MATCH(INDEX(INDIRECT("NOTA["&amp;PAJAK[#Headers]&amp;"]"),PAJAK[[#This Row],[//]]-2),CONV[1],0),0))</f>
        <v>PT KENKO SINAR INDONESIA</v>
      </c>
      <c r="G53" s="17">
        <f ca="1">IF(PAJAK[[#This Row],[//]]="","",INDEX(NOTA[TGL_H],PAJAK[[#This Row],[//]]-2))</f>
        <v>45313</v>
      </c>
      <c r="H53" s="17">
        <f ca="1">IF(PAJAK[[#This Row],[//]]="","",INDEX(INDIRECT("NOTA["&amp;PAJAK[#Headers]&amp;"]"),PAJAK[[#This Row],[//]]-2))</f>
        <v>45309</v>
      </c>
      <c r="I53" s="16" t="str">
        <f ca="1">IF(PAJAK[[#This Row],[//]]="","",INDEX(INDIRECT("NOTA["&amp;PAJAK[#Headers]&amp;"]"),PAJAK[[#This Row],[//]]-2))</f>
        <v>24011189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6476000</v>
      </c>
      <c r="L53" s="23">
        <f ca="1">IF(PAJAK[[#This Row],[//]]="","",SUMIF(NOTA[ID_H],PAJAK[[#This Row],[ID]],NOTA[DISC]))</f>
        <v>1100920</v>
      </c>
      <c r="M53" s="23">
        <f ca="1">PAJAK[[#This Row],[SUB TOTAL]]-PAJAK[[#This Row],[DISKON]]</f>
        <v>5375080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4842414.4144144142</v>
      </c>
      <c r="P53" s="23">
        <f ca="1">PAJAK[[#This Row],[DPP]]*PAJAK[[#This Row],[PPN]]</f>
        <v>532665.58558558556</v>
      </c>
      <c r="Q53" s="23">
        <f ca="1">PAJAK[[#This Row],[DPP]]+PAJAK[[#This Row],[PPN 11%]]</f>
        <v>5375080</v>
      </c>
      <c r="R53" s="18" t="str">
        <f ca="1">IF(ISNUMBER(PAJAK[[#This Row],[//]]),PPN,"")</f>
        <v>11%</v>
      </c>
    </row>
    <row r="54" spans="1:18" x14ac:dyDescent="0.25">
      <c r="A54" s="15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662</v>
      </c>
      <c r="B54" s="15">
        <f ca="1">HYPERLINK("[NOTA_.XLSX]NOTA!c"&amp;PAJAK[[#This Row],[//]],IF(PAJAK[[#This Row],[//]]="","",INDEX(INDIRECT("NOTA["&amp;PAJAK[#Headers]&amp;"]"),PAJAK[[#This Row],[//]]-2)))</f>
        <v>109</v>
      </c>
      <c r="C54" s="15" t="str">
        <f ca="1">IF(PAJAK[[#This Row],[//]]="","",INDEX(INDIRECT("NOTA["&amp;PAJAK[#Headers]&amp;"]"),PAJAK[[#This Row],[//]]-2))</f>
        <v>KEN_2201_278-10</v>
      </c>
      <c r="D54" s="15" t="e">
        <f ca="1">MATCH(PAJAK[[#This Row],[ID]],[5]!Table1[ID],0)</f>
        <v>#REF!</v>
      </c>
      <c r="E54" s="16">
        <f ca="1">IF(PAJAK[[#This Row],[ID]]="","",COUNTIF(NOTA[ID_H],PAJAK[[#This Row],[ID]]))</f>
        <v>10</v>
      </c>
      <c r="F54" s="15" t="str">
        <f ca="1">IF(PAJAK[[#This Row],[//]]="","",INDEX(CONV[2],MATCH(INDEX(INDIRECT("NOTA["&amp;PAJAK[#Headers]&amp;"]"),PAJAK[[#This Row],[//]]-2),CONV[1],0),0))</f>
        <v>PT KENKO SINAR INDONESIA</v>
      </c>
      <c r="G54" s="17">
        <f ca="1">IF(PAJAK[[#This Row],[//]]="","",INDEX(NOTA[TGL_H],PAJAK[[#This Row],[//]]-2))</f>
        <v>45313</v>
      </c>
      <c r="H54" s="17">
        <f ca="1">IF(PAJAK[[#This Row],[//]]="","",INDEX(INDIRECT("NOTA["&amp;PAJAK[#Headers]&amp;"]"),PAJAK[[#This Row],[//]]-2))</f>
        <v>45310</v>
      </c>
      <c r="I54" s="16" t="str">
        <f ca="1">IF(PAJAK[[#This Row],[//]]="","",INDEX(INDIRECT("NOTA["&amp;PAJAK[#Headers]&amp;"]"),PAJAK[[#This Row],[//]]-2))</f>
        <v>24011278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22036400</v>
      </c>
      <c r="L54" s="23">
        <f ca="1">IF(PAJAK[[#This Row],[//]]="","",SUMIF(NOTA[ID_H],PAJAK[[#This Row],[ID]],NOTA[DISC]))</f>
        <v>3746188</v>
      </c>
      <c r="M54" s="23">
        <f ca="1">PAJAK[[#This Row],[SUB TOTAL]]-PAJAK[[#This Row],[DISKON]]</f>
        <v>18290212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16477668.468468467</v>
      </c>
      <c r="P54" s="23">
        <f ca="1">PAJAK[[#This Row],[DPP]]*PAJAK[[#This Row],[PPN]]</f>
        <v>1812543.5315315314</v>
      </c>
      <c r="Q54" s="23">
        <f ca="1">PAJAK[[#This Row],[DPP]]+PAJAK[[#This Row],[PPN 11%]]</f>
        <v>18290212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673</v>
      </c>
      <c r="B55" s="21">
        <f ca="1">HYPERLINK("[NOTA_.XLSX]NOTA!c"&amp;PAJAK[[#This Row],[//]],IF(PAJAK[[#This Row],[//]]="","",INDEX(INDIRECT("NOTA["&amp;PAJAK[#Headers]&amp;"]"),PAJAK[[#This Row],[//]]-2)))</f>
        <v>110</v>
      </c>
      <c r="C55" s="19" t="str">
        <f ca="1">IF(PAJAK[[#This Row],[//]]="","",INDEX(INDIRECT("NOTA["&amp;PAJAK[#Headers]&amp;"]"),PAJAK[[#This Row],[//]]-2))</f>
        <v>KEN_2201_279-2</v>
      </c>
      <c r="D55" s="19" t="e">
        <f ca="1">MATCH(PAJAK[[#This Row],[ID]],[5]!Table1[ID],0)</f>
        <v>#REF!</v>
      </c>
      <c r="E55" s="20">
        <f ca="1">IF(PAJAK[[#This Row],[ID]]="","",COUNTIF(NOTA[ID_H],PAJAK[[#This Row],[ID]]))</f>
        <v>2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45313</v>
      </c>
      <c r="H55" s="17">
        <f ca="1">IF(PAJAK[[#This Row],[//]]="","",INDEX(INDIRECT("NOTA["&amp;PAJAK[#Headers]&amp;"]"),PAJAK[[#This Row],[//]]-2))</f>
        <v>45310</v>
      </c>
      <c r="I55" s="16" t="str">
        <f ca="1">IF(PAJAK[[#This Row],[//]]="","",INDEX(INDIRECT("NOTA["&amp;PAJAK[#Headers]&amp;"]"),PAJAK[[#This Row],[//]]-2))</f>
        <v>24011279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4896000</v>
      </c>
      <c r="L55" s="23">
        <f ca="1">IF(PAJAK[[#This Row],[//]]="","",SUMIF(NOTA[ID_H],PAJAK[[#This Row],[ID]],NOTA[DISC]))</f>
        <v>832320</v>
      </c>
      <c r="M55" s="23">
        <f ca="1">PAJAK[[#This Row],[SUB TOTAL]]-PAJAK[[#This Row],[DISKON]]</f>
        <v>4063680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3660972.9729729728</v>
      </c>
      <c r="P55" s="23">
        <f ca="1">PAJAK[[#This Row],[DPP]]*PAJAK[[#This Row],[PPN]]</f>
        <v>402707.02702702698</v>
      </c>
      <c r="Q55" s="23">
        <f ca="1">PAJAK[[#This Row],[DPP]]+PAJAK[[#This Row],[PPN 11%]]</f>
        <v>4063680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676</v>
      </c>
      <c r="B56" s="21">
        <f ca="1">HYPERLINK("[NOTA_.XLSX]NOTA!c"&amp;PAJAK[[#This Row],[//]],IF(PAJAK[[#This Row],[//]]="","",INDEX(INDIRECT("NOTA["&amp;PAJAK[#Headers]&amp;"]"),PAJAK[[#This Row],[//]]-2)))</f>
        <v>111</v>
      </c>
      <c r="C56" s="19" t="str">
        <f ca="1">IF(PAJAK[[#This Row],[//]]="","",INDEX(INDIRECT("NOTA["&amp;PAJAK[#Headers]&amp;"]"),PAJAK[[#This Row],[//]]-2))</f>
        <v>KEN_2201_365-9</v>
      </c>
      <c r="D56" s="19" t="e">
        <f ca="1">MATCH(PAJAK[[#This Row],[ID]],[5]!Table1[ID],0)</f>
        <v>#REF!</v>
      </c>
      <c r="E56" s="20">
        <f ca="1">IF(PAJAK[[#This Row],[ID]]="","",COUNTIF(NOTA[ID_H],PAJAK[[#This Row],[ID]]))</f>
        <v>9</v>
      </c>
      <c r="F56" s="15" t="str">
        <f ca="1">IF(PAJAK[[#This Row],[//]]="","",INDEX(CONV[2],MATCH(INDEX(INDIRECT("NOTA["&amp;PAJAK[#Headers]&amp;"]"),PAJAK[[#This Row],[//]]-2),CONV[1],0),0))</f>
        <v>PT KENKO SINAR INDONESIA</v>
      </c>
      <c r="G56" s="17">
        <f ca="1">IF(PAJAK[[#This Row],[//]]="","",INDEX(NOTA[TGL_H],PAJAK[[#This Row],[//]]-2))</f>
        <v>45313</v>
      </c>
      <c r="H56" s="17">
        <f ca="1">IF(PAJAK[[#This Row],[//]]="","",INDEX(INDIRECT("NOTA["&amp;PAJAK[#Headers]&amp;"]"),PAJAK[[#This Row],[//]]-2))</f>
        <v>45311</v>
      </c>
      <c r="I56" s="16" t="str">
        <f ca="1">IF(PAJAK[[#This Row],[//]]="","",INDEX(INDIRECT("NOTA["&amp;PAJAK[#Headers]&amp;"]"),PAJAK[[#This Row],[//]]-2))</f>
        <v>24011365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16913600</v>
      </c>
      <c r="L56" s="23">
        <f ca="1">IF(PAJAK[[#This Row],[//]]="","",SUMIF(NOTA[ID_H],PAJAK[[#This Row],[ID]],NOTA[DISC]))</f>
        <v>2875312</v>
      </c>
      <c r="M56" s="23">
        <f ca="1">PAJAK[[#This Row],[SUB TOTAL]]-PAJAK[[#This Row],[DISKON]]</f>
        <v>14038288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12647106.306306304</v>
      </c>
      <c r="P56" s="23">
        <f ca="1">PAJAK[[#This Row],[DPP]]*PAJAK[[#This Row],[PPN]]</f>
        <v>1391181.6936936935</v>
      </c>
      <c r="Q56" s="23">
        <f ca="1">PAJAK[[#This Row],[DPP]]+PAJAK[[#This Row],[PPN 11%]]</f>
        <v>14038287.999999998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686</v>
      </c>
      <c r="B57" s="15">
        <f ca="1">HYPERLINK("[NOTA_.XLSX]NOTA!c"&amp;PAJAK[[#This Row],[//]],IF(PAJAK[[#This Row],[//]]="","",INDEX(INDIRECT("NOTA["&amp;PAJAK[#Headers]&amp;"]"),PAJAK[[#This Row],[//]]-2)))</f>
        <v>112</v>
      </c>
      <c r="C57" s="15" t="str">
        <f ca="1">IF(PAJAK[[#This Row],[//]]="","",INDEX(INDIRECT("NOTA["&amp;PAJAK[#Headers]&amp;"]"),PAJAK[[#This Row],[//]]-2))</f>
        <v>KEN_2201_371-1</v>
      </c>
      <c r="D57" s="15" t="e">
        <f ca="1">MATCH(PAJAK[[#This Row],[ID]],[5]!Table1[ID],0)</f>
        <v>#REF!</v>
      </c>
      <c r="E57" s="16">
        <f ca="1">IF(PAJAK[[#This Row],[ID]]="","",COUNTIF(NOTA[ID_H],PAJAK[[#This Row],[ID]]))</f>
        <v>1</v>
      </c>
      <c r="F57" s="15" t="str">
        <f ca="1">IF(PAJAK[[#This Row],[//]]="","",INDEX(CONV[2],MATCH(INDEX(INDIRECT("NOTA["&amp;PAJAK[#Headers]&amp;"]"),PAJAK[[#This Row],[//]]-2),CONV[1],0),0))</f>
        <v>PT KENKO SINAR INDONESIA</v>
      </c>
      <c r="G57" s="17">
        <f ca="1">IF(PAJAK[[#This Row],[//]]="","",INDEX(NOTA[TGL_H],PAJAK[[#This Row],[//]]-2))</f>
        <v>45313</v>
      </c>
      <c r="H57" s="17">
        <f ca="1">IF(PAJAK[[#This Row],[//]]="","",INDEX(INDIRECT("NOTA["&amp;PAJAK[#Headers]&amp;"]"),PAJAK[[#This Row],[//]]-2))</f>
        <v>45311</v>
      </c>
      <c r="I57" s="16" t="str">
        <f ca="1">IF(PAJAK[[#This Row],[//]]="","",INDEX(INDIRECT("NOTA["&amp;PAJAK[#Headers]&amp;"]"),PAJAK[[#This Row],[//]]-2))</f>
        <v>24011371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4608000</v>
      </c>
      <c r="L57" s="23">
        <f ca="1">IF(PAJAK[[#This Row],[//]]="","",SUMIF(NOTA[ID_H],PAJAK[[#This Row],[ID]],NOTA[DISC]))</f>
        <v>783360</v>
      </c>
      <c r="M57" s="23">
        <f ca="1">PAJAK[[#This Row],[SUB TOTAL]]-PAJAK[[#This Row],[DISKON]]</f>
        <v>3824640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3445621.6216216213</v>
      </c>
      <c r="P57" s="23">
        <f ca="1">PAJAK[[#This Row],[DPP]]*PAJAK[[#This Row],[PPN]]</f>
        <v>379018.37837837834</v>
      </c>
      <c r="Q57" s="23">
        <f ca="1">PAJAK[[#This Row],[DPP]]+PAJAK[[#This Row],[PPN 11%]]</f>
        <v>3824639.9999999995</v>
      </c>
      <c r="R57" s="18" t="str">
        <f ca="1">IF(ISNUMBER(PAJAK[[#This Row],[//]]),PPN,"")</f>
        <v>11%</v>
      </c>
    </row>
    <row r="58" spans="1:18" x14ac:dyDescent="0.25">
      <c r="A58" s="15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688</v>
      </c>
      <c r="B58" s="15">
        <f ca="1">HYPERLINK("[NOTA_.XLSX]NOTA!c"&amp;PAJAK[[#This Row],[//]],IF(PAJAK[[#This Row],[//]]="","",INDEX(INDIRECT("NOTA["&amp;PAJAK[#Headers]&amp;"]"),PAJAK[[#This Row],[//]]-2)))</f>
        <v>113</v>
      </c>
      <c r="C58" s="15" t="str">
        <f ca="1">IF(PAJAK[[#This Row],[//]]="","",INDEX(INDIRECT("NOTA["&amp;PAJAK[#Headers]&amp;"]"),PAJAK[[#This Row],[//]]-2))</f>
        <v>KEN_2501_487-2</v>
      </c>
      <c r="D58" s="15" t="e">
        <f ca="1">MATCH(PAJAK[[#This Row],[ID]],[5]!Table1[ID],0)</f>
        <v>#REF!</v>
      </c>
      <c r="E58" s="16">
        <f ca="1">IF(PAJAK[[#This Row],[ID]]="","",COUNTIF(NOTA[ID_H],PAJAK[[#This Row],[ID]]))</f>
        <v>2</v>
      </c>
      <c r="F58" s="15" t="str">
        <f ca="1">IF(PAJAK[[#This Row],[//]]="","",INDEX(CONV[2],MATCH(INDEX(INDIRECT("NOTA["&amp;PAJAK[#Headers]&amp;"]"),PAJAK[[#This Row],[//]]-2),CONV[1],0),0))</f>
        <v>PT KENKO SINAR INDONESIA</v>
      </c>
      <c r="G58" s="17">
        <f ca="1">IF(PAJAK[[#This Row],[//]]="","",INDEX(NOTA[TGL_H],PAJAK[[#This Row],[//]]-2))</f>
        <v>45316</v>
      </c>
      <c r="H58" s="17">
        <f ca="1">IF(PAJAK[[#This Row],[//]]="","",INDEX(INDIRECT("NOTA["&amp;PAJAK[#Headers]&amp;"]"),PAJAK[[#This Row],[//]]-2))</f>
        <v>45314</v>
      </c>
      <c r="I58" s="16" t="str">
        <f ca="1">IF(PAJAK[[#This Row],[//]]="","",INDEX(INDIRECT("NOTA["&amp;PAJAK[#Headers]&amp;"]"),PAJAK[[#This Row],[//]]-2))</f>
        <v>24011487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6861600</v>
      </c>
      <c r="L58" s="23">
        <f ca="1">IF(PAJAK[[#This Row],[//]]="","",SUMIF(NOTA[ID_H],PAJAK[[#This Row],[ID]],NOTA[DISC]))</f>
        <v>1166472</v>
      </c>
      <c r="M58" s="23">
        <f ca="1">PAJAK[[#This Row],[SUB TOTAL]]-PAJAK[[#This Row],[DISKON]]</f>
        <v>5695128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5130745.9459459456</v>
      </c>
      <c r="P58" s="23">
        <f ca="1">PAJAK[[#This Row],[DPP]]*PAJAK[[#This Row],[PPN]]</f>
        <v>564382.05405405397</v>
      </c>
      <c r="Q58" s="23">
        <f ca="1">PAJAK[[#This Row],[DPP]]+PAJAK[[#This Row],[PPN 11%]]</f>
        <v>5695128</v>
      </c>
      <c r="R58" s="18" t="str">
        <f ca="1">IF(ISNUMBER(PAJAK[[#This Row],[//]]),PPN,"")</f>
        <v>11%</v>
      </c>
    </row>
    <row r="59" spans="1:18" x14ac:dyDescent="0.25">
      <c r="A59" s="1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744</v>
      </c>
      <c r="B59" s="21">
        <f ca="1">HYPERLINK("[NOTA_.XLSX]NOTA!c"&amp;PAJAK[[#This Row],[//]],IF(PAJAK[[#This Row],[//]]="","",INDEX(INDIRECT("NOTA["&amp;PAJAK[#Headers]&amp;"]"),PAJAK[[#This Row],[//]]-2)))</f>
        <v>126</v>
      </c>
      <c r="C59" s="19" t="str">
        <f ca="1">IF(PAJAK[[#This Row],[//]]="","",INDEX(INDIRECT("NOTA["&amp;PAJAK[#Headers]&amp;"]"),PAJAK[[#This Row],[//]]-2))</f>
        <v>ATA_2601_309-3</v>
      </c>
      <c r="D59" s="19" t="e">
        <f ca="1">MATCH(PAJAK[[#This Row],[ID]],[5]!Table1[ID],0)</f>
        <v>#REF!</v>
      </c>
      <c r="E59" s="20">
        <f ca="1">IF(PAJAK[[#This Row],[ID]]="","",COUNTIF(NOTA[ID_H],PAJAK[[#This Row],[ID]]))</f>
        <v>3</v>
      </c>
      <c r="F59" s="15" t="str">
        <f ca="1">IF(PAJAK[[#This Row],[//]]="","",INDEX(CONV[2],MATCH(INDEX(INDIRECT("NOTA["&amp;PAJAK[#Headers]&amp;"]"),PAJAK[[#This Row],[//]]-2),CONV[1],0),0))</f>
        <v>PT ATALI MAKMUR</v>
      </c>
      <c r="G59" s="17">
        <f ca="1">IF(PAJAK[[#This Row],[//]]="","",INDEX(NOTA[TGL_H],PAJAK[[#This Row],[//]]-2))</f>
        <v>45317</v>
      </c>
      <c r="H59" s="17">
        <f ca="1">IF(PAJAK[[#This Row],[//]]="","",INDEX(INDIRECT("NOTA["&amp;PAJAK[#Headers]&amp;"]"),PAJAK[[#This Row],[//]]-2))</f>
        <v>45311</v>
      </c>
      <c r="I59" s="16" t="str">
        <f ca="1">IF(PAJAK[[#This Row],[//]]="","",INDEX(INDIRECT("NOTA["&amp;PAJAK[#Headers]&amp;"]"),PAJAK[[#This Row],[//]]-2))</f>
        <v>SA240101309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8587200</v>
      </c>
      <c r="L59" s="23">
        <f ca="1">IF(PAJAK[[#This Row],[//]]="","",SUMIF(NOTA[ID_H],PAJAK[[#This Row],[ID]],NOTA[DISC]))</f>
        <v>1449090</v>
      </c>
      <c r="M59" s="23">
        <f ca="1">PAJAK[[#This Row],[SUB TOTAL]]-PAJAK[[#This Row],[DISKON]]</f>
        <v>7138110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6430729.7297297288</v>
      </c>
      <c r="P59" s="23">
        <f ca="1">PAJAK[[#This Row],[DPP]]*PAJAK[[#This Row],[PPN]]</f>
        <v>707380.27027027018</v>
      </c>
      <c r="Q59" s="23">
        <f ca="1">PAJAK[[#This Row],[DPP]]+PAJAK[[#This Row],[PPN 11%]]</f>
        <v>7138109.9999999991</v>
      </c>
      <c r="R59" s="18" t="str">
        <f ca="1">IF(ISNUMBER(PAJAK[[#This Row],[//]]),PPN,"")</f>
        <v>11%</v>
      </c>
    </row>
    <row r="60" spans="1:18" x14ac:dyDescent="0.25">
      <c r="A60" s="19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748</v>
      </c>
      <c r="B60" s="21">
        <f ca="1">HYPERLINK("[NOTA_.XLSX]NOTA!c"&amp;PAJAK[[#This Row],[//]],IF(PAJAK[[#This Row],[//]]="","",INDEX(INDIRECT("NOTA["&amp;PAJAK[#Headers]&amp;"]"),PAJAK[[#This Row],[//]]-2)))</f>
        <v>127</v>
      </c>
      <c r="C60" s="19" t="str">
        <f ca="1">IF(PAJAK[[#This Row],[//]]="","",INDEX(INDIRECT("NOTA["&amp;PAJAK[#Headers]&amp;"]"),PAJAK[[#This Row],[//]]-2))</f>
        <v>ATA_2601_458-4</v>
      </c>
      <c r="D60" s="19" t="e">
        <f ca="1">MATCH(PAJAK[[#This Row],[ID]],[5]!Table1[ID],0)</f>
        <v>#REF!</v>
      </c>
      <c r="E60" s="20">
        <f ca="1">IF(PAJAK[[#This Row],[ID]]="","",COUNTIF(NOTA[ID_H],PAJAK[[#This Row],[ID]]))</f>
        <v>4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45317</v>
      </c>
      <c r="H60" s="17">
        <f ca="1">IF(PAJAK[[#This Row],[//]]="","",INDEX(INDIRECT("NOTA["&amp;PAJAK[#Headers]&amp;"]"),PAJAK[[#This Row],[//]]-2))</f>
        <v>45314</v>
      </c>
      <c r="I60" s="16" t="str">
        <f ca="1">IF(PAJAK[[#This Row],[//]]="","",INDEX(INDIRECT("NOTA["&amp;PAJAK[#Headers]&amp;"]"),PAJAK[[#This Row],[//]]-2))</f>
        <v>SA240101458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10120800</v>
      </c>
      <c r="L60" s="23">
        <f ca="1">IF(PAJAK[[#This Row],[//]]="","",SUMIF(NOTA[ID_H],PAJAK[[#This Row],[ID]],NOTA[DISC]))</f>
        <v>1707885</v>
      </c>
      <c r="M60" s="23">
        <f ca="1">PAJAK[[#This Row],[SUB TOTAL]]-PAJAK[[#This Row],[DISKON]]</f>
        <v>8412915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7579202.702702702</v>
      </c>
      <c r="P60" s="23">
        <f ca="1">PAJAK[[#This Row],[DPP]]*PAJAK[[#This Row],[PPN]]</f>
        <v>833712.29729729728</v>
      </c>
      <c r="Q60" s="23">
        <f ca="1">PAJAK[[#This Row],[DPP]]+PAJAK[[#This Row],[PPN 11%]]</f>
        <v>8412915</v>
      </c>
      <c r="R60" s="18" t="str">
        <f ca="1">IF(ISNUMBER(PAJAK[[#This Row],[//]]),PPN,"")</f>
        <v>11%</v>
      </c>
    </row>
    <row r="61" spans="1:18" x14ac:dyDescent="0.25">
      <c r="A61" s="1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753</v>
      </c>
      <c r="B61" s="21">
        <f ca="1">HYPERLINK("[NOTA_.XLSX]NOTA!c"&amp;PAJAK[[#This Row],[//]],IF(PAJAK[[#This Row],[//]]="","",INDEX(INDIRECT("NOTA["&amp;PAJAK[#Headers]&amp;"]"),PAJAK[[#This Row],[//]]-2)))</f>
        <v>128</v>
      </c>
      <c r="C61" s="19" t="str">
        <f ca="1">IF(PAJAK[[#This Row],[//]]="","",INDEX(INDIRECT("NOTA["&amp;PAJAK[#Headers]&amp;"]"),PAJAK[[#This Row],[//]]-2))</f>
        <v>KEN_2601_641-4</v>
      </c>
      <c r="D61" s="19" t="e">
        <f ca="1">MATCH(PAJAK[[#This Row],[ID]],[5]!Table1[ID],0)</f>
        <v>#REF!</v>
      </c>
      <c r="E61" s="20">
        <f ca="1">IF(PAJAK[[#This Row],[ID]]="","",COUNTIF(NOTA[ID_H],PAJAK[[#This Row],[ID]]))</f>
        <v>4</v>
      </c>
      <c r="F61" s="15" t="str">
        <f ca="1">IF(PAJAK[[#This Row],[//]]="","",INDEX(CONV[2],MATCH(INDEX(INDIRECT("NOTA["&amp;PAJAK[#Headers]&amp;"]"),PAJAK[[#This Row],[//]]-2),CONV[1],0),0))</f>
        <v>PT KENKO SINAR INDONESIA</v>
      </c>
      <c r="G61" s="17">
        <f ca="1">IF(PAJAK[[#This Row],[//]]="","",INDEX(NOTA[TGL_H],PAJAK[[#This Row],[//]]-2))</f>
        <v>45317</v>
      </c>
      <c r="H61" s="17">
        <f ca="1">IF(PAJAK[[#This Row],[//]]="","",INDEX(INDIRECT("NOTA["&amp;PAJAK[#Headers]&amp;"]"),PAJAK[[#This Row],[//]]-2))</f>
        <v>41663</v>
      </c>
      <c r="I61" s="16" t="str">
        <f ca="1">IF(PAJAK[[#This Row],[//]]="","",INDEX(INDIRECT("NOTA["&amp;PAJAK[#Headers]&amp;"]"),PAJAK[[#This Row],[//]]-2))</f>
        <v>24011641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95162400</v>
      </c>
      <c r="L61" s="23">
        <f ca="1">IF(PAJAK[[#This Row],[//]]="","",SUMIF(NOTA[ID_H],PAJAK[[#This Row],[ID]],NOTA[DISC]))</f>
        <v>16177608</v>
      </c>
      <c r="M61" s="23">
        <f ca="1">PAJAK[[#This Row],[SUB TOTAL]]-PAJAK[[#This Row],[DISKON]]</f>
        <v>78984792</v>
      </c>
      <c r="N61" s="23">
        <f ca="1">IF(PAJAK[[#This Row],[//]]="","",INDEX(INDIRECT("NOTA["&amp;PAJAK[#Headers]&amp;"]"),PAJAK[[#This Row],[//]]-2+PAJAK[[#This Row],[QB]]-1))</f>
        <v>0</v>
      </c>
      <c r="O61" s="23">
        <f ca="1">(PAJAK[[#This Row],[SUB T-DISC]]-PAJAK[[#This Row],[DISC DLL]])/111%</f>
        <v>71157470.270270258</v>
      </c>
      <c r="P61" s="23">
        <f ca="1">PAJAK[[#This Row],[DPP]]*PAJAK[[#This Row],[PPN]]</f>
        <v>7827321.7297297288</v>
      </c>
      <c r="Q61" s="23">
        <f ca="1">PAJAK[[#This Row],[DPP]]+PAJAK[[#This Row],[PPN 11%]]</f>
        <v>78984791.999999985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758</v>
      </c>
      <c r="B62" s="21">
        <f ca="1">HYPERLINK("[NOTA_.XLSX]NOTA!c"&amp;PAJAK[[#This Row],[//]],IF(PAJAK[[#This Row],[//]]="","",INDEX(INDIRECT("NOTA["&amp;PAJAK[#Headers]&amp;"]"),PAJAK[[#This Row],[//]]-2)))</f>
        <v>129</v>
      </c>
      <c r="C62" s="19" t="str">
        <f ca="1">IF(PAJAK[[#This Row],[//]]="","",INDEX(INDIRECT("NOTA["&amp;PAJAK[#Headers]&amp;"]"),PAJAK[[#This Row],[//]]-2))</f>
        <v>KEN_2601_462-2</v>
      </c>
      <c r="D62" s="19" t="e">
        <f ca="1">MATCH(PAJAK[[#This Row],[ID]],[5]!Table1[ID],0)</f>
        <v>#REF!</v>
      </c>
      <c r="E62" s="20">
        <f ca="1">IF(PAJAK[[#This Row],[ID]]="","",COUNTIF(NOTA[ID_H],PAJAK[[#This Row],[ID]]))</f>
        <v>2</v>
      </c>
      <c r="F62" s="15" t="str">
        <f ca="1">IF(PAJAK[[#This Row],[//]]="","",INDEX(CONV[2],MATCH(INDEX(INDIRECT("NOTA["&amp;PAJAK[#Headers]&amp;"]"),PAJAK[[#This Row],[//]]-2),CONV[1],0),0))</f>
        <v>PT KENKO SINAR INDONESIA</v>
      </c>
      <c r="G62" s="17">
        <f ca="1">IF(PAJAK[[#This Row],[//]]="","",INDEX(NOTA[TGL_H],PAJAK[[#This Row],[//]]-2))</f>
        <v>45317</v>
      </c>
      <c r="H62" s="17">
        <f ca="1">IF(PAJAK[[#This Row],[//]]="","",INDEX(INDIRECT("NOTA["&amp;PAJAK[#Headers]&amp;"]"),PAJAK[[#This Row],[//]]-2))</f>
        <v>45313</v>
      </c>
      <c r="I62" s="16" t="str">
        <f ca="1">IF(PAJAK[[#This Row],[//]]="","",INDEX(INDIRECT("NOTA["&amp;PAJAK[#Headers]&amp;"]"),PAJAK[[#This Row],[//]]-2))</f>
        <v>24011462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4262400</v>
      </c>
      <c r="L62" s="23">
        <f ca="1">IF(PAJAK[[#This Row],[//]]="","",SUMIF(NOTA[ID_H],PAJAK[[#This Row],[ID]],NOTA[DISC]))</f>
        <v>724608</v>
      </c>
      <c r="M62" s="23">
        <f ca="1">PAJAK[[#This Row],[SUB TOTAL]]-PAJAK[[#This Row],[DISKON]]</f>
        <v>3537792</v>
      </c>
      <c r="N62" s="23">
        <f ca="1">IF(PAJAK[[#This Row],[//]]="","",INDEX(INDIRECT("NOTA["&amp;PAJAK[#Headers]&amp;"]"),PAJAK[[#This Row],[//]]-2+PAJAK[[#This Row],[QB]]-1))</f>
        <v>0</v>
      </c>
      <c r="O62" s="23">
        <f ca="1">(PAJAK[[#This Row],[SUB T-DISC]]-PAJAK[[#This Row],[DISC DLL]])/111%</f>
        <v>3187199.9999999995</v>
      </c>
      <c r="P62" s="23">
        <f ca="1">PAJAK[[#This Row],[DPP]]*PAJAK[[#This Row],[PPN]]</f>
        <v>350591.99999999994</v>
      </c>
      <c r="Q62" s="23">
        <f ca="1">PAJAK[[#This Row],[DPP]]+PAJAK[[#This Row],[PPN 11%]]</f>
        <v>3537791.9999999995</v>
      </c>
      <c r="R62" s="18" t="str">
        <f ca="1">IF(ISNUMBER(PAJAK[[#This Row],[//]]),PPN,"")</f>
        <v>11%</v>
      </c>
    </row>
    <row r="63" spans="1:18" x14ac:dyDescent="0.25">
      <c r="A63" s="1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761</v>
      </c>
      <c r="B63" s="21">
        <f ca="1">HYPERLINK("[NOTA_.XLSX]NOTA!c"&amp;PAJAK[[#This Row],[//]],IF(PAJAK[[#This Row],[//]]="","",INDEX(INDIRECT("NOTA["&amp;PAJAK[#Headers]&amp;"]"),PAJAK[[#This Row],[//]]-2)))</f>
        <v>130</v>
      </c>
      <c r="C63" s="19" t="str">
        <f ca="1">IF(PAJAK[[#This Row],[//]]="","",INDEX(INDIRECT("NOTA["&amp;PAJAK[#Headers]&amp;"]"),PAJAK[[#This Row],[//]]-2))</f>
        <v>PAR_3001_-2</v>
      </c>
      <c r="D63" s="19" t="e">
        <f ca="1">MATCH(PAJAK[[#This Row],[ID]],[5]!Table1[ID],0)</f>
        <v>#REF!</v>
      </c>
      <c r="E63" s="20">
        <f ca="1">IF(PAJAK[[#This Row],[ID]]="","",COUNTIF(NOTA[ID_H],PAJAK[[#This Row],[ID]]))</f>
        <v>2</v>
      </c>
      <c r="F63" s="15" t="str">
        <f ca="1">IF(PAJAK[[#This Row],[//]]="","",INDEX(CONV[2],MATCH(INDEX(INDIRECT("NOTA["&amp;PAJAK[#Headers]&amp;"]"),PAJAK[[#This Row],[//]]-2),CONV[1],0),0))</f>
        <v>CV PARAMA CREATIVINDO</v>
      </c>
      <c r="G63" s="17">
        <f ca="1">IF(PAJAK[[#This Row],[//]]="","",INDEX(NOTA[TGL_H],PAJAK[[#This Row],[//]]-2))</f>
        <v>45321</v>
      </c>
      <c r="H63" s="17">
        <f ca="1">IF(PAJAK[[#This Row],[//]]="","",INDEX(INDIRECT("NOTA["&amp;PAJAK[#Headers]&amp;"]"),PAJAK[[#This Row],[//]]-2))</f>
        <v>45318</v>
      </c>
      <c r="I63" s="16">
        <f ca="1">IF(PAJAK[[#This Row],[//]]="","",INDEX(INDIRECT("NOTA["&amp;PAJAK[#Headers]&amp;"]"),PAJAK[[#This Row],[//]]-2))</f>
        <v>0</v>
      </c>
      <c r="J63" s="15" t="str">
        <f ca="1">IF(OR(PAJAK[[#This Row],[//]]="",INDEX(INDIRECT("NOTA["&amp;PAJAK[#Headers]&amp;"]"),PAJAK[[#This Row],[//]]-2)=""),"",INDEX(INDIRECT("NOTA["&amp;PAJAK[#Headers]&amp;"]"),PAJAK[[#This Row],[//]]-2))</f>
        <v>CV.36</v>
      </c>
      <c r="K63" s="23">
        <f ca="1">IF(PAJAK[[#This Row],[//]]="","",SUMIF(NOTA[ID_H],PAJAK[[#This Row],[ID]],NOTA[JUMLAH]))</f>
        <v>19650000</v>
      </c>
      <c r="L63" s="23">
        <f ca="1">IF(PAJAK[[#This Row],[//]]="","",SUMIF(NOTA[ID_H],PAJAK[[#This Row],[ID]],NOTA[DISC]))</f>
        <v>3733500</v>
      </c>
      <c r="M63" s="23">
        <f ca="1">PAJAK[[#This Row],[SUB TOTAL]]-PAJAK[[#This Row],[DISKON]]</f>
        <v>15916500</v>
      </c>
      <c r="N63" s="23">
        <f ca="1">IF(PAJAK[[#This Row],[//]]="","",INDEX(INDIRECT("NOTA["&amp;PAJAK[#Headers]&amp;"]"),PAJAK[[#This Row],[//]]-2+PAJAK[[#This Row],[QB]]-1))</f>
        <v>318330</v>
      </c>
      <c r="O63" s="23">
        <f ca="1">(PAJAK[[#This Row],[SUB T-DISC]]-PAJAK[[#This Row],[DISC DLL]])/111%</f>
        <v>14052405.405405404</v>
      </c>
      <c r="P63" s="23">
        <f ca="1">PAJAK[[#This Row],[DPP]]*PAJAK[[#This Row],[PPN]]</f>
        <v>1545764.5945945946</v>
      </c>
      <c r="Q63" s="23">
        <f ca="1">PAJAK[[#This Row],[DPP]]+PAJAK[[#This Row],[PPN 11%]]</f>
        <v>15598169.999999998</v>
      </c>
      <c r="R63" s="18" t="str">
        <f ca="1">IF(ISNUMBER(PAJAK[[#This Row],[//]]),PPN,"")</f>
        <v>11%</v>
      </c>
    </row>
    <row r="64" spans="1:18" x14ac:dyDescent="0.25">
      <c r="A64" s="15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764</v>
      </c>
      <c r="B64" s="22">
        <f ca="1">HYPERLINK("[NOTA_.XLSX]NOTA!c"&amp;PAJAK[[#This Row],[//]],IF(PAJAK[[#This Row],[//]]="","",INDEX(INDIRECT("NOTA["&amp;PAJAK[#Headers]&amp;"]"),PAJAK[[#This Row],[//]]-2)))</f>
        <v>131</v>
      </c>
      <c r="C64" s="15" t="str">
        <f ca="1">IF(PAJAK[[#This Row],[//]]="","",INDEX(INDIRECT("NOTA["&amp;PAJAK[#Headers]&amp;"]"),PAJAK[[#This Row],[//]]-2))</f>
        <v>LAY_0102_032-2</v>
      </c>
      <c r="D64" s="15" t="e">
        <f ca="1">MATCH(PAJAK[[#This Row],[ID]],[5]!Table1[ID],0)</f>
        <v>#REF!</v>
      </c>
      <c r="E64" s="16">
        <f ca="1">IF(PAJAK[[#This Row],[ID]]="","",COUNTIF(NOTA[ID_H],PAJAK[[#This Row],[ID]]))</f>
        <v>2</v>
      </c>
      <c r="F64" s="15" t="str">
        <f ca="1">IF(PAJAK[[#This Row],[//]]="","",INDEX(CONV[2],MATCH(INDEX(INDIRECT("NOTA["&amp;PAJAK[#Headers]&amp;"]"),PAJAK[[#This Row],[//]]-2),CONV[1],0),0))</f>
        <v>PT MITRA GLOBAL NIAGA</v>
      </c>
      <c r="G64" s="17">
        <f ca="1">IF(PAJAK[[#This Row],[//]]="","",INDEX(NOTA[TGL_H],PAJAK[[#This Row],[//]]-2))</f>
        <v>45323</v>
      </c>
      <c r="H64" s="17">
        <f ca="1">IF(PAJAK[[#This Row],[//]]="","",INDEX(INDIRECT("NOTA["&amp;PAJAK[#Headers]&amp;"]"),PAJAK[[#This Row],[//]]-2))</f>
        <v>45316</v>
      </c>
      <c r="I64" s="16" t="str">
        <f ca="1">IF(PAJAK[[#This Row],[//]]="","",INDEX(INDIRECT("NOTA["&amp;PAJAK[#Headers]&amp;"]"),PAJAK[[#This Row],[//]]-2))</f>
        <v>L301032</v>
      </c>
      <c r="J64" s="15" t="str">
        <f ca="1">IF(OR(PAJAK[[#This Row],[//]]="",INDEX(INDIRECT("NOTA["&amp;PAJAK[#Headers]&amp;"]"),PAJAK[[#This Row],[//]]-2)=""),"",INDEX(INDIRECT("NOTA["&amp;PAJAK[#Headers]&amp;"]"),PAJAK[[#This Row],[//]]-2))</f>
        <v/>
      </c>
      <c r="K64" s="23">
        <f ca="1">IF(PAJAK[[#This Row],[//]]="","",SUMIF(NOTA[ID_H],PAJAK[[#This Row],[ID]],NOTA[JUMLAH]))</f>
        <v>62000000</v>
      </c>
      <c r="L64" s="23">
        <f ca="1">IF(PAJAK[[#This Row],[//]]="","",SUMIF(NOTA[ID_H],PAJAK[[#This Row],[ID]],NOTA[DISC]))</f>
        <v>5600000</v>
      </c>
      <c r="M64" s="23">
        <f ca="1">PAJAK[[#This Row],[SUB TOTAL]]-PAJAK[[#This Row],[DISKON]]</f>
        <v>56400000</v>
      </c>
      <c r="N64" s="23">
        <f ca="1">IF(PAJAK[[#This Row],[//]]="","",INDEX(INDIRECT("NOTA["&amp;PAJAK[#Headers]&amp;"]"),PAJAK[[#This Row],[//]]-2+PAJAK[[#This Row],[QB]]-1))</f>
        <v>0</v>
      </c>
      <c r="O64" s="23">
        <f ca="1">(PAJAK[[#This Row],[SUB T-DISC]]-PAJAK[[#This Row],[DISC DLL]])/111%</f>
        <v>50810810.810810804</v>
      </c>
      <c r="P64" s="23">
        <f ca="1">PAJAK[[#This Row],[DPP]]*PAJAK[[#This Row],[PPN]]</f>
        <v>5589189.1891891882</v>
      </c>
      <c r="Q64" s="23">
        <f ca="1">PAJAK[[#This Row],[DPP]]+PAJAK[[#This Row],[PPN 11%]]</f>
        <v>56399999.999999993</v>
      </c>
      <c r="R64" s="18" t="str">
        <f ca="1">IF(ISNUMBER(PAJAK[[#This Row],[//]]),PPN,"")</f>
        <v>11%</v>
      </c>
    </row>
    <row r="65" spans="1:23" x14ac:dyDescent="0.25">
      <c r="A65" s="19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767</v>
      </c>
      <c r="B65" s="21">
        <f ca="1">HYPERLINK("[NOTA_.XLSX]NOTA!c"&amp;PAJAK[[#This Row],[//]],IF(PAJAK[[#This Row],[//]]="","",INDEX(INDIRECT("NOTA["&amp;PAJAK[#Headers]&amp;"]"),PAJAK[[#This Row],[//]]-2)))</f>
        <v>132</v>
      </c>
      <c r="C65" s="19" t="str">
        <f ca="1">IF(PAJAK[[#This Row],[//]]="","",INDEX(INDIRECT("NOTA["&amp;PAJAK[#Headers]&amp;"]"),PAJAK[[#This Row],[//]]-2))</f>
        <v>ATA_2901_538-4</v>
      </c>
      <c r="D65" s="19" t="e">
        <f ca="1">MATCH(PAJAK[[#This Row],[ID]],[5]!Table1[ID],0)</f>
        <v>#REF!</v>
      </c>
      <c r="E65" s="20">
        <f ca="1">IF(PAJAK[[#This Row],[ID]]="","",COUNTIF(NOTA[ID_H],PAJAK[[#This Row],[ID]]))</f>
        <v>4</v>
      </c>
      <c r="F65" s="15" t="str">
        <f ca="1">IF(PAJAK[[#This Row],[//]]="","",INDEX(CONV[2],MATCH(INDEX(INDIRECT("NOTA["&amp;PAJAK[#Headers]&amp;"]"),PAJAK[[#This Row],[//]]-2),CONV[1],0),0))</f>
        <v>PT ATALI MAKMUR</v>
      </c>
      <c r="G65" s="17">
        <f ca="1">IF(PAJAK[[#This Row],[//]]="","",INDEX(NOTA[TGL_H],PAJAK[[#This Row],[//]]-2))</f>
        <v>45320</v>
      </c>
      <c r="H65" s="17">
        <f ca="1">IF(PAJAK[[#This Row],[//]]="","",INDEX(INDIRECT("NOTA["&amp;PAJAK[#Headers]&amp;"]"),PAJAK[[#This Row],[//]]-2))</f>
        <v>45315</v>
      </c>
      <c r="I65" s="16" t="str">
        <f ca="1">IF(PAJAK[[#This Row],[//]]="","",INDEX(INDIRECT("NOTA["&amp;PAJAK[#Headers]&amp;"]"),PAJAK[[#This Row],[//]]-2))</f>
        <v>SA240101538</v>
      </c>
      <c r="J65" s="15" t="str">
        <f ca="1">IF(OR(PAJAK[[#This Row],[//]]="",INDEX(INDIRECT("NOTA["&amp;PAJAK[#Headers]&amp;"]"),PAJAK[[#This Row],[//]]-2)=""),"",INDEX(INDIRECT("NOTA["&amp;PAJAK[#Headers]&amp;"]"),PAJAK[[#This Row],[//]]-2))</f>
        <v/>
      </c>
      <c r="K65" s="23">
        <f ca="1">IF(PAJAK[[#This Row],[//]]="","",SUMIF(NOTA[ID_H],PAJAK[[#This Row],[ID]],NOTA[JUMLAH]))</f>
        <v>1382400</v>
      </c>
      <c r="L65" s="23">
        <f ca="1">IF(PAJAK[[#This Row],[//]]="","",SUMIF(NOTA[ID_H],PAJAK[[#This Row],[ID]],NOTA[DISC]))</f>
        <v>233280</v>
      </c>
      <c r="M65" s="23">
        <f ca="1">PAJAK[[#This Row],[SUB TOTAL]]-PAJAK[[#This Row],[DISKON]]</f>
        <v>1149120</v>
      </c>
      <c r="N65" s="23">
        <f ca="1">IF(PAJAK[[#This Row],[//]]="","",INDEX(INDIRECT("NOTA["&amp;PAJAK[#Headers]&amp;"]"),PAJAK[[#This Row],[//]]-2+PAJAK[[#This Row],[QB]]-1))</f>
        <v>0</v>
      </c>
      <c r="O65" s="23">
        <f ca="1">(PAJAK[[#This Row],[SUB T-DISC]]-PAJAK[[#This Row],[DISC DLL]])/111%</f>
        <v>1035243.2432432432</v>
      </c>
      <c r="P65" s="23">
        <f ca="1">PAJAK[[#This Row],[DPP]]*PAJAK[[#This Row],[PPN]]</f>
        <v>113876.75675675675</v>
      </c>
      <c r="Q65" s="23">
        <f ca="1">PAJAK[[#This Row],[DPP]]+PAJAK[[#This Row],[PPN 11%]]</f>
        <v>1149120</v>
      </c>
      <c r="R65" s="18" t="str">
        <f ca="1">IF(ISNUMBER(PAJAK[[#This Row],[//]]),PPN,"")</f>
        <v>11%</v>
      </c>
    </row>
    <row r="66" spans="1:23" x14ac:dyDescent="0.25">
      <c r="A66" s="15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772</v>
      </c>
      <c r="B66" s="22">
        <f ca="1">HYPERLINK("[NOTA_.XLSX]NOTA!c"&amp;PAJAK[[#This Row],[//]],IF(PAJAK[[#This Row],[//]]="","",INDEX(INDIRECT("NOTA["&amp;PAJAK[#Headers]&amp;"]"),PAJAK[[#This Row],[//]]-2)))</f>
        <v>133</v>
      </c>
      <c r="C66" s="15" t="str">
        <f ca="1">IF(PAJAK[[#This Row],[//]]="","",INDEX(INDIRECT("NOTA["&amp;PAJAK[#Headers]&amp;"]"),PAJAK[[#This Row],[//]]-2))</f>
        <v>KEN_2901_826-3</v>
      </c>
      <c r="D66" s="15" t="e">
        <f ca="1">MATCH(PAJAK[[#This Row],[ID]],[5]!Table1[ID],0)</f>
        <v>#REF!</v>
      </c>
      <c r="E66" s="16">
        <f ca="1">IF(PAJAK[[#This Row],[ID]]="","",COUNTIF(NOTA[ID_H],PAJAK[[#This Row],[ID]]))</f>
        <v>3</v>
      </c>
      <c r="F66" s="15" t="str">
        <f ca="1">IF(PAJAK[[#This Row],[//]]="","",INDEX(CONV[2],MATCH(INDEX(INDIRECT("NOTA["&amp;PAJAK[#Headers]&amp;"]"),PAJAK[[#This Row],[//]]-2),CONV[1],0),0))</f>
        <v>PT KENKO SINAR INDONESIA</v>
      </c>
      <c r="G66" s="17">
        <f ca="1">IF(PAJAK[[#This Row],[//]]="","",INDEX(NOTA[TGL_H],PAJAK[[#This Row],[//]]-2))</f>
        <v>45320</v>
      </c>
      <c r="H66" s="17">
        <f ca="1">IF(PAJAK[[#This Row],[//]]="","",INDEX(INDIRECT("NOTA["&amp;PAJAK[#Headers]&amp;"]"),PAJAK[[#This Row],[//]]-2))</f>
        <v>45317</v>
      </c>
      <c r="I66" s="16" t="str">
        <f ca="1">IF(PAJAK[[#This Row],[//]]="","",INDEX(INDIRECT("NOTA["&amp;PAJAK[#Headers]&amp;"]"),PAJAK[[#This Row],[//]]-2))</f>
        <v>24011826</v>
      </c>
      <c r="J66" s="15" t="str">
        <f ca="1">IF(OR(PAJAK[[#This Row],[//]]="",INDEX(INDIRECT("NOTA["&amp;PAJAK[#Headers]&amp;"]"),PAJAK[[#This Row],[//]]-2)=""),"",INDEX(INDIRECT("NOTA["&amp;PAJAK[#Headers]&amp;"]"),PAJAK[[#This Row],[//]]-2))</f>
        <v/>
      </c>
      <c r="K66" s="23">
        <f ca="1">IF(PAJAK[[#This Row],[//]]="","",SUMIF(NOTA[ID_H],PAJAK[[#This Row],[ID]],NOTA[JUMLAH]))</f>
        <v>15616800</v>
      </c>
      <c r="L66" s="23">
        <f ca="1">IF(PAJAK[[#This Row],[//]]="","",SUMIF(NOTA[ID_H],PAJAK[[#This Row],[ID]],NOTA[DISC]))</f>
        <v>2654856</v>
      </c>
      <c r="M66" s="23">
        <f ca="1">PAJAK[[#This Row],[SUB TOTAL]]-PAJAK[[#This Row],[DISKON]]</f>
        <v>12961944</v>
      </c>
      <c r="N66" s="23">
        <f ca="1">IF(PAJAK[[#This Row],[//]]="","",INDEX(INDIRECT("NOTA["&amp;PAJAK[#Headers]&amp;"]"),PAJAK[[#This Row],[//]]-2+PAJAK[[#This Row],[QB]]-1))</f>
        <v>0</v>
      </c>
      <c r="O66" s="23">
        <f ca="1">(PAJAK[[#This Row],[SUB T-DISC]]-PAJAK[[#This Row],[DISC DLL]])/111%</f>
        <v>11677427.027027026</v>
      </c>
      <c r="P66" s="23">
        <f ca="1">PAJAK[[#This Row],[DPP]]*PAJAK[[#This Row],[PPN]]</f>
        <v>1284516.9729729728</v>
      </c>
      <c r="Q66" s="23">
        <f ca="1">PAJAK[[#This Row],[DPP]]+PAJAK[[#This Row],[PPN 11%]]</f>
        <v>12961943.999999998</v>
      </c>
      <c r="R66" s="18" t="str">
        <f ca="1">IF(ISNUMBER(PAJAK[[#This Row],[//]]),PPN,"")</f>
        <v>11%</v>
      </c>
    </row>
    <row r="67" spans="1:23" x14ac:dyDescent="0.25">
      <c r="A67" s="15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776</v>
      </c>
      <c r="B67" s="15">
        <f ca="1">HYPERLINK("[NOTA_.XLSX]NOTA!c"&amp;PAJAK[[#This Row],[//]],IF(PAJAK[[#This Row],[//]]="","",INDEX(INDIRECT("NOTA["&amp;PAJAK[#Headers]&amp;"]"),PAJAK[[#This Row],[//]]-2)))</f>
        <v>134</v>
      </c>
      <c r="C67" s="15" t="str">
        <f ca="1">IF(PAJAK[[#This Row],[//]]="","",INDEX(INDIRECT("NOTA["&amp;PAJAK[#Headers]&amp;"]"),PAJAK[[#This Row],[//]]-2))</f>
        <v>KEN_2901_770-2</v>
      </c>
      <c r="D67" s="15" t="e">
        <f ca="1">MATCH(PAJAK[[#This Row],[ID]],[5]!Table1[ID],0)</f>
        <v>#REF!</v>
      </c>
      <c r="E67" s="16">
        <f ca="1">IF(PAJAK[[#This Row],[ID]]="","",COUNTIF(NOTA[ID_H],PAJAK[[#This Row],[ID]]))</f>
        <v>2</v>
      </c>
      <c r="F67" s="15" t="str">
        <f ca="1">IF(PAJAK[[#This Row],[//]]="","",INDEX(CONV[2],MATCH(INDEX(INDIRECT("NOTA["&amp;PAJAK[#Headers]&amp;"]"),PAJAK[[#This Row],[//]]-2),CONV[1],0),0))</f>
        <v>PT KENKO SINAR INDONESIA</v>
      </c>
      <c r="G67" s="17">
        <f ca="1">IF(PAJAK[[#This Row],[//]]="","",INDEX(NOTA[TGL_H],PAJAK[[#This Row],[//]]-2))</f>
        <v>45320</v>
      </c>
      <c r="H67" s="17">
        <f ca="1">IF(PAJAK[[#This Row],[//]]="","",INDEX(INDIRECT("NOTA["&amp;PAJAK[#Headers]&amp;"]"),PAJAK[[#This Row],[//]]-2))</f>
        <v>45316</v>
      </c>
      <c r="I67" s="16" t="str">
        <f ca="1">IF(PAJAK[[#This Row],[//]]="","",INDEX(INDIRECT("NOTA["&amp;PAJAK[#Headers]&amp;"]"),PAJAK[[#This Row],[//]]-2))</f>
        <v>24011770</v>
      </c>
      <c r="J67" s="15" t="str">
        <f ca="1">IF(OR(PAJAK[[#This Row],[//]]="",INDEX(INDIRECT("NOTA["&amp;PAJAK[#Headers]&amp;"]"),PAJAK[[#This Row],[//]]-2)=""),"",INDEX(INDIRECT("NOTA["&amp;PAJAK[#Headers]&amp;"]"),PAJAK[[#This Row],[//]]-2))</f>
        <v/>
      </c>
      <c r="K67" s="23">
        <f ca="1">IF(PAJAK[[#This Row],[//]]="","",SUMIF(NOTA[ID_H],PAJAK[[#This Row],[ID]],NOTA[JUMLAH]))</f>
        <v>3916800</v>
      </c>
      <c r="L67" s="23">
        <f ca="1">IF(PAJAK[[#This Row],[//]]="","",SUMIF(NOTA[ID_H],PAJAK[[#This Row],[ID]],NOTA[DISC]))</f>
        <v>665856</v>
      </c>
      <c r="M67" s="23">
        <f ca="1">PAJAK[[#This Row],[SUB TOTAL]]-PAJAK[[#This Row],[DISKON]]</f>
        <v>3250944</v>
      </c>
      <c r="N67" s="23">
        <f ca="1">IF(PAJAK[[#This Row],[//]]="","",INDEX(INDIRECT("NOTA["&amp;PAJAK[#Headers]&amp;"]"),PAJAK[[#This Row],[//]]-2+PAJAK[[#This Row],[QB]]-1))</f>
        <v>0</v>
      </c>
      <c r="O67" s="23">
        <f ca="1">(PAJAK[[#This Row],[SUB T-DISC]]-PAJAK[[#This Row],[DISC DLL]])/111%</f>
        <v>2928778.3783783782</v>
      </c>
      <c r="P67" s="23">
        <f ca="1">PAJAK[[#This Row],[DPP]]*PAJAK[[#This Row],[PPN]]</f>
        <v>322165.6216216216</v>
      </c>
      <c r="Q67" s="23">
        <f ca="1">PAJAK[[#This Row],[DPP]]+PAJAK[[#This Row],[PPN 11%]]</f>
        <v>3250944</v>
      </c>
      <c r="R67" s="18" t="str">
        <f ca="1">IF(ISNUMBER(PAJAK[[#This Row],[//]]),PPN,"")</f>
        <v>11%</v>
      </c>
    </row>
    <row r="68" spans="1:23" x14ac:dyDescent="0.25">
      <c r="A68" s="15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779</v>
      </c>
      <c r="B68" s="15">
        <f ca="1">HYPERLINK("[NOTA_.XLSX]NOTA!c"&amp;PAJAK[[#This Row],[//]],IF(PAJAK[[#This Row],[//]]="","",INDEX(INDIRECT("NOTA["&amp;PAJAK[#Headers]&amp;"]"),PAJAK[[#This Row],[//]]-2)))</f>
        <v>135</v>
      </c>
      <c r="C68" s="15" t="str">
        <f ca="1">IF(PAJAK[[#This Row],[//]]="","",INDEX(INDIRECT("NOTA["&amp;PAJAK[#Headers]&amp;"]"),PAJAK[[#This Row],[//]]-2))</f>
        <v>KEN_2901_725-2</v>
      </c>
      <c r="D68" s="15" t="e">
        <f ca="1">MATCH(PAJAK[[#This Row],[ID]],[5]!Table1[ID],0)</f>
        <v>#REF!</v>
      </c>
      <c r="E68" s="16">
        <f ca="1">IF(PAJAK[[#This Row],[ID]]="","",COUNTIF(NOTA[ID_H],PAJAK[[#This Row],[ID]]))</f>
        <v>2</v>
      </c>
      <c r="F68" s="15" t="str">
        <f ca="1">IF(PAJAK[[#This Row],[//]]="","",INDEX(CONV[2],MATCH(INDEX(INDIRECT("NOTA["&amp;PAJAK[#Headers]&amp;"]"),PAJAK[[#This Row],[//]]-2),CONV[1],0),0))</f>
        <v>PT KENKO SINAR INDONESIA</v>
      </c>
      <c r="G68" s="17">
        <f ca="1">IF(PAJAK[[#This Row],[//]]="","",INDEX(NOTA[TGL_H],PAJAK[[#This Row],[//]]-2))</f>
        <v>45320</v>
      </c>
      <c r="H68" s="17">
        <f ca="1">IF(PAJAK[[#This Row],[//]]="","",INDEX(INDIRECT("NOTA["&amp;PAJAK[#Headers]&amp;"]"),PAJAK[[#This Row],[//]]-2))</f>
        <v>45316</v>
      </c>
      <c r="I68" s="16" t="str">
        <f ca="1">IF(PAJAK[[#This Row],[//]]="","",INDEX(INDIRECT("NOTA["&amp;PAJAK[#Headers]&amp;"]"),PAJAK[[#This Row],[//]]-2))</f>
        <v>24011725</v>
      </c>
      <c r="J68" s="15" t="str">
        <f ca="1">IF(OR(PAJAK[[#This Row],[//]]="",INDEX(INDIRECT("NOTA["&amp;PAJAK[#Headers]&amp;"]"),PAJAK[[#This Row],[//]]-2)=""),"",INDEX(INDIRECT("NOTA["&amp;PAJAK[#Headers]&amp;"]"),PAJAK[[#This Row],[//]]-2))</f>
        <v/>
      </c>
      <c r="K68" s="23">
        <f ca="1">IF(PAJAK[[#This Row],[//]]="","",SUMIF(NOTA[ID_H],PAJAK[[#This Row],[ID]],NOTA[JUMLAH]))</f>
        <v>19461600</v>
      </c>
      <c r="L68" s="23">
        <f ca="1">IF(PAJAK[[#This Row],[//]]="","",SUMIF(NOTA[ID_H],PAJAK[[#This Row],[ID]],NOTA[DISC]))</f>
        <v>3308472</v>
      </c>
      <c r="M68" s="23">
        <f ca="1">PAJAK[[#This Row],[SUB TOTAL]]-PAJAK[[#This Row],[DISKON]]</f>
        <v>16153128</v>
      </c>
      <c r="N68" s="23">
        <f ca="1">IF(PAJAK[[#This Row],[//]]="","",INDEX(INDIRECT("NOTA["&amp;PAJAK[#Headers]&amp;"]"),PAJAK[[#This Row],[//]]-2+PAJAK[[#This Row],[QB]]-1))</f>
        <v>0</v>
      </c>
      <c r="O68" s="23">
        <f ca="1">(PAJAK[[#This Row],[SUB T-DISC]]-PAJAK[[#This Row],[DISC DLL]])/111%</f>
        <v>14552367.567567566</v>
      </c>
      <c r="P68" s="23">
        <f ca="1">PAJAK[[#This Row],[DPP]]*PAJAK[[#This Row],[PPN]]</f>
        <v>1600760.4324324324</v>
      </c>
      <c r="Q68" s="23">
        <f ca="1">PAJAK[[#This Row],[DPP]]+PAJAK[[#This Row],[PPN 11%]]</f>
        <v>16153127.999999998</v>
      </c>
      <c r="R68" s="18" t="str">
        <f ca="1">IF(ISNUMBER(PAJAK[[#This Row],[//]]),PPN,"")</f>
        <v>11%</v>
      </c>
    </row>
    <row r="69" spans="1:23" x14ac:dyDescent="0.25">
      <c r="A69" s="19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782</v>
      </c>
      <c r="B69" s="21">
        <f ca="1">HYPERLINK("[NOTA_.XLSX]NOTA!c"&amp;PAJAK[[#This Row],[//]],IF(PAJAK[[#This Row],[//]]="","",INDEX(INDIRECT("NOTA["&amp;PAJAK[#Headers]&amp;"]"),PAJAK[[#This Row],[//]]-2)))</f>
        <v>136</v>
      </c>
      <c r="C69" s="19" t="str">
        <f ca="1">IF(PAJAK[[#This Row],[//]]="","",INDEX(INDIRECT("NOTA["&amp;PAJAK[#Headers]&amp;"]"),PAJAK[[#This Row],[//]]-2))</f>
        <v>KEN_2901_904-2</v>
      </c>
      <c r="D69" s="19" t="e">
        <f ca="1">MATCH(PAJAK[[#This Row],[ID]],[5]!Table1[ID],0)</f>
        <v>#REF!</v>
      </c>
      <c r="E69" s="20">
        <f ca="1">IF(PAJAK[[#This Row],[ID]]="","",COUNTIF(NOTA[ID_H],PAJAK[[#This Row],[ID]]))</f>
        <v>2</v>
      </c>
      <c r="F69" s="15" t="str">
        <f ca="1">IF(PAJAK[[#This Row],[//]]="","",INDEX(CONV[2],MATCH(INDEX(INDIRECT("NOTA["&amp;PAJAK[#Headers]&amp;"]"),PAJAK[[#This Row],[//]]-2),CONV[1],0),0))</f>
        <v>PT KENKO SINAR INDONESIA</v>
      </c>
      <c r="G69" s="17">
        <f ca="1">IF(PAJAK[[#This Row],[//]]="","",INDEX(NOTA[TGL_H],PAJAK[[#This Row],[//]]-2))</f>
        <v>45320</v>
      </c>
      <c r="H69" s="17">
        <f ca="1">IF(PAJAK[[#This Row],[//]]="","",INDEX(INDIRECT("NOTA["&amp;PAJAK[#Headers]&amp;"]"),PAJAK[[#This Row],[//]]-2))</f>
        <v>45318</v>
      </c>
      <c r="I69" s="16" t="str">
        <f ca="1">IF(PAJAK[[#This Row],[//]]="","",INDEX(INDIRECT("NOTA["&amp;PAJAK[#Headers]&amp;"]"),PAJAK[[#This Row],[//]]-2))</f>
        <v>24011904</v>
      </c>
      <c r="J69" s="15" t="str">
        <f ca="1">IF(OR(PAJAK[[#This Row],[//]]="",INDEX(INDIRECT("NOTA["&amp;PAJAK[#Headers]&amp;"]"),PAJAK[[#This Row],[//]]-2)=""),"",INDEX(INDIRECT("NOTA["&amp;PAJAK[#Headers]&amp;"]"),PAJAK[[#This Row],[//]]-2))</f>
        <v/>
      </c>
      <c r="K69" s="23">
        <f ca="1">IF(PAJAK[[#This Row],[//]]="","",SUMIF(NOTA[ID_H],PAJAK[[#This Row],[ID]],NOTA[JUMLAH]))</f>
        <v>1348800</v>
      </c>
      <c r="L69" s="23">
        <f ca="1">IF(PAJAK[[#This Row],[//]]="","",SUMIF(NOTA[ID_H],PAJAK[[#This Row],[ID]],NOTA[DISC]))</f>
        <v>229296</v>
      </c>
      <c r="M69" s="23">
        <f ca="1">PAJAK[[#This Row],[SUB TOTAL]]-PAJAK[[#This Row],[DISKON]]</f>
        <v>1119504</v>
      </c>
      <c r="N69" s="23">
        <f ca="1">IF(PAJAK[[#This Row],[//]]="","",INDEX(INDIRECT("NOTA["&amp;PAJAK[#Headers]&amp;"]"),PAJAK[[#This Row],[//]]-2+PAJAK[[#This Row],[QB]]-1))</f>
        <v>0</v>
      </c>
      <c r="O69" s="23">
        <f ca="1">(PAJAK[[#This Row],[SUB T-DISC]]-PAJAK[[#This Row],[DISC DLL]])/111%</f>
        <v>1008562.1621621621</v>
      </c>
      <c r="P69" s="23">
        <f ca="1">PAJAK[[#This Row],[DPP]]*PAJAK[[#This Row],[PPN]]</f>
        <v>110941.83783783784</v>
      </c>
      <c r="Q69" s="23">
        <f ca="1">PAJAK[[#This Row],[DPP]]+PAJAK[[#This Row],[PPN 11%]]</f>
        <v>1119504</v>
      </c>
      <c r="R69" s="18" t="str">
        <f ca="1">IF(ISNUMBER(PAJAK[[#This Row],[//]]),PPN,"")</f>
        <v>11%</v>
      </c>
    </row>
    <row r="70" spans="1:23" x14ac:dyDescent="0.25">
      <c r="A70" s="19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793</v>
      </c>
      <c r="B70" s="21">
        <f ca="1">HYPERLINK("[NOTA_.XLSX]NOTA!c"&amp;PAJAK[[#This Row],[//]],IF(PAJAK[[#This Row],[//]]="","",INDEX(INDIRECT("NOTA["&amp;PAJAK[#Headers]&amp;"]"),PAJAK[[#This Row],[//]]-2)))</f>
        <v>139</v>
      </c>
      <c r="C70" s="19" t="str">
        <f ca="1">IF(PAJAK[[#This Row],[//]]="","",INDEX(INDIRECT("NOTA["&amp;PAJAK[#Headers]&amp;"]"),PAJAK[[#This Row],[//]]-2))</f>
        <v>KEN_0102_989-5</v>
      </c>
      <c r="D70" s="19" t="e">
        <f ca="1">MATCH(PAJAK[[#This Row],[ID]],[5]!Table1[ID],0)</f>
        <v>#REF!</v>
      </c>
      <c r="E70" s="20">
        <f ca="1">IF(PAJAK[[#This Row],[ID]]="","",COUNTIF(NOTA[ID_H],PAJAK[[#This Row],[ID]]))</f>
        <v>5</v>
      </c>
      <c r="F70" s="15" t="str">
        <f ca="1">IF(PAJAK[[#This Row],[//]]="","",INDEX(CONV[2],MATCH(INDEX(INDIRECT("NOTA["&amp;PAJAK[#Headers]&amp;"]"),PAJAK[[#This Row],[//]]-2),CONV[1],0),0))</f>
        <v>PT KENKO SINAR INDONESIA</v>
      </c>
      <c r="G70" s="17">
        <f ca="1">IF(PAJAK[[#This Row],[//]]="","",INDEX(NOTA[TGL_H],PAJAK[[#This Row],[//]]-2))</f>
        <v>45323</v>
      </c>
      <c r="H70" s="17">
        <f ca="1">IF(PAJAK[[#This Row],[//]]="","",INDEX(INDIRECT("NOTA["&amp;PAJAK[#Headers]&amp;"]"),PAJAK[[#This Row],[//]]-2))</f>
        <v>45320</v>
      </c>
      <c r="I70" s="16" t="str">
        <f ca="1">IF(PAJAK[[#This Row],[//]]="","",INDEX(INDIRECT("NOTA["&amp;PAJAK[#Headers]&amp;"]"),PAJAK[[#This Row],[//]]-2))</f>
        <v>24011989</v>
      </c>
      <c r="J70" s="15" t="str">
        <f ca="1">IF(OR(PAJAK[[#This Row],[//]]="",INDEX(INDIRECT("NOTA["&amp;PAJAK[#Headers]&amp;"]"),PAJAK[[#This Row],[//]]-2)=""),"",INDEX(INDIRECT("NOTA["&amp;PAJAK[#Headers]&amp;"]"),PAJAK[[#This Row],[//]]-2))</f>
        <v/>
      </c>
      <c r="K70" s="23">
        <f ca="1">IF(PAJAK[[#This Row],[//]]="","",SUMIF(NOTA[ID_H],PAJAK[[#This Row],[ID]],NOTA[JUMLAH]))</f>
        <v>5440800</v>
      </c>
      <c r="L70" s="23">
        <f ca="1">IF(PAJAK[[#This Row],[//]]="","",SUMIF(NOTA[ID_H],PAJAK[[#This Row],[ID]],NOTA[DISC]))</f>
        <v>924936</v>
      </c>
      <c r="M70" s="23">
        <f ca="1">PAJAK[[#This Row],[SUB TOTAL]]-PAJAK[[#This Row],[DISKON]]</f>
        <v>4515864</v>
      </c>
      <c r="N70" s="23">
        <f ca="1">IF(PAJAK[[#This Row],[//]]="","",INDEX(INDIRECT("NOTA["&amp;PAJAK[#Headers]&amp;"]"),PAJAK[[#This Row],[//]]-2+PAJAK[[#This Row],[QB]]-1))</f>
        <v>0</v>
      </c>
      <c r="O70" s="23">
        <f ca="1">(PAJAK[[#This Row],[SUB T-DISC]]-PAJAK[[#This Row],[DISC DLL]])/111%</f>
        <v>4068345.9459459456</v>
      </c>
      <c r="P70" s="23">
        <f ca="1">PAJAK[[#This Row],[DPP]]*PAJAK[[#This Row],[PPN]]</f>
        <v>447518.05405405402</v>
      </c>
      <c r="Q70" s="23">
        <f ca="1">PAJAK[[#This Row],[DPP]]+PAJAK[[#This Row],[PPN 11%]]</f>
        <v>4515864</v>
      </c>
      <c r="R70" s="18" t="str">
        <f ca="1">IF(ISNUMBER(PAJAK[[#This Row],[//]]),PPN,"")</f>
        <v>11%</v>
      </c>
    </row>
    <row r="71" spans="1:23" x14ac:dyDescent="0.25">
      <c r="A71" s="19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848</v>
      </c>
      <c r="B71" s="21">
        <f ca="1">HYPERLINK("[NOTA_.XLSX]NOTA!c"&amp;PAJAK[[#This Row],[//]],IF(PAJAK[[#This Row],[//]]="","",INDEX(INDIRECT("NOTA["&amp;PAJAK[#Headers]&amp;"]"),PAJAK[[#This Row],[//]]-2)))</f>
        <v>151</v>
      </c>
      <c r="C71" s="19" t="str">
        <f ca="1">IF(PAJAK[[#This Row],[//]]="","",INDEX(INDIRECT("NOTA["&amp;PAJAK[#Headers]&amp;"]"),PAJAK[[#This Row],[//]]-2))</f>
        <v>KEN_0502_139-1</v>
      </c>
      <c r="D71" s="19" t="e">
        <f ca="1">MATCH(PAJAK[[#This Row],[ID]],[5]!Table1[ID],0)</f>
        <v>#REF!</v>
      </c>
      <c r="E71" s="20">
        <f ca="1">IF(PAJAK[[#This Row],[ID]]="","",COUNTIF(NOTA[ID_H],PAJAK[[#This Row],[ID]]))</f>
        <v>1</v>
      </c>
      <c r="F71" s="15" t="str">
        <f ca="1">IF(PAJAK[[#This Row],[//]]="","",INDEX(CONV[2],MATCH(INDEX(INDIRECT("NOTA["&amp;PAJAK[#Headers]&amp;"]"),PAJAK[[#This Row],[//]]-2),CONV[1],0),0))</f>
        <v>PT KENKO SINAR INDONESIA</v>
      </c>
      <c r="G71" s="17">
        <f ca="1">IF(PAJAK[[#This Row],[//]]="","",INDEX(NOTA[TGL_H],PAJAK[[#This Row],[//]]-2))</f>
        <v>45327</v>
      </c>
      <c r="H71" s="17">
        <f ca="1">IF(PAJAK[[#This Row],[//]]="","",INDEX(INDIRECT("NOTA["&amp;PAJAK[#Headers]&amp;"]"),PAJAK[[#This Row],[//]]-2))</f>
        <v>45324</v>
      </c>
      <c r="I71" s="16" t="str">
        <f ca="1">IF(PAJAK[[#This Row],[//]]="","",INDEX(INDIRECT("NOTA["&amp;PAJAK[#Headers]&amp;"]"),PAJAK[[#This Row],[//]]-2))</f>
        <v>24020139</v>
      </c>
      <c r="J71" s="15" t="str">
        <f ca="1">IF(OR(PAJAK[[#This Row],[//]]="",INDEX(INDIRECT("NOTA["&amp;PAJAK[#Headers]&amp;"]"),PAJAK[[#This Row],[//]]-2)=""),"",INDEX(INDIRECT("NOTA["&amp;PAJAK[#Headers]&amp;"]"),PAJAK[[#This Row],[//]]-2))</f>
        <v/>
      </c>
      <c r="K71" s="23">
        <f ca="1">IF(PAJAK[[#This Row],[//]]="","",SUMIF(NOTA[ID_H],PAJAK[[#This Row],[ID]],NOTA[JUMLAH]))</f>
        <v>1944000</v>
      </c>
      <c r="L71" s="23">
        <f ca="1">IF(PAJAK[[#This Row],[//]]="","",SUMIF(NOTA[ID_H],PAJAK[[#This Row],[ID]],NOTA[DISC]))</f>
        <v>330480</v>
      </c>
      <c r="M71" s="23">
        <f ca="1">PAJAK[[#This Row],[SUB TOTAL]]-PAJAK[[#This Row],[DISKON]]</f>
        <v>1613520</v>
      </c>
      <c r="N71" s="23">
        <f ca="1">IF(PAJAK[[#This Row],[//]]="","",INDEX(INDIRECT("NOTA["&amp;PAJAK[#Headers]&amp;"]"),PAJAK[[#This Row],[//]]-2+PAJAK[[#This Row],[QB]]-1))</f>
        <v>0</v>
      </c>
      <c r="O71" s="23">
        <f ca="1">(PAJAK[[#This Row],[SUB T-DISC]]-PAJAK[[#This Row],[DISC DLL]])/111%</f>
        <v>1453621.6216216215</v>
      </c>
      <c r="P71" s="23">
        <f ca="1">PAJAK[[#This Row],[DPP]]*PAJAK[[#This Row],[PPN]]</f>
        <v>159898.37837837837</v>
      </c>
      <c r="Q71" s="23">
        <f ca="1">PAJAK[[#This Row],[DPP]]+PAJAK[[#This Row],[PPN 11%]]</f>
        <v>1613520</v>
      </c>
      <c r="R71" s="18" t="str">
        <f ca="1">IF(ISNUMBER(PAJAK[[#This Row],[//]]),PPN,"")</f>
        <v>11%</v>
      </c>
    </row>
    <row r="72" spans="1:23" x14ac:dyDescent="0.25">
      <c r="A72" s="19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850</v>
      </c>
      <c r="B72" s="21">
        <f ca="1">HYPERLINK("[NOTA_.XLSX]NOTA!c"&amp;PAJAK[[#This Row],[//]],IF(PAJAK[[#This Row],[//]]="","",INDEX(INDIRECT("NOTA["&amp;PAJAK[#Headers]&amp;"]"),PAJAK[[#This Row],[//]]-2)))</f>
        <v>152</v>
      </c>
      <c r="C72" s="19" t="str">
        <f ca="1">IF(PAJAK[[#This Row],[//]]="","",INDEX(INDIRECT("NOTA["&amp;PAJAK[#Headers]&amp;"]"),PAJAK[[#This Row],[//]]-2))</f>
        <v>KEN_0502_110-3</v>
      </c>
      <c r="D72" s="19" t="e">
        <f ca="1">MATCH(PAJAK[[#This Row],[ID]],[5]!Table1[ID],0)</f>
        <v>#REF!</v>
      </c>
      <c r="E72" s="20">
        <f ca="1">IF(PAJAK[[#This Row],[ID]]="","",COUNTIF(NOTA[ID_H],PAJAK[[#This Row],[ID]]))</f>
        <v>3</v>
      </c>
      <c r="F72" s="15" t="str">
        <f ca="1">IF(PAJAK[[#This Row],[//]]="","",INDEX(CONV[2],MATCH(INDEX(INDIRECT("NOTA["&amp;PAJAK[#Headers]&amp;"]"),PAJAK[[#This Row],[//]]-2),CONV[1],0),0))</f>
        <v>PT KENKO SINAR INDONESIA</v>
      </c>
      <c r="G72" s="17">
        <f ca="1">IF(PAJAK[[#This Row],[//]]="","",INDEX(NOTA[TGL_H],PAJAK[[#This Row],[//]]-2))</f>
        <v>45327</v>
      </c>
      <c r="H72" s="17">
        <f ca="1">IF(PAJAK[[#This Row],[//]]="","",INDEX(INDIRECT("NOTA["&amp;PAJAK[#Headers]&amp;"]"),PAJAK[[#This Row],[//]]-2))</f>
        <v>45324</v>
      </c>
      <c r="I72" s="16" t="str">
        <f ca="1">IF(PAJAK[[#This Row],[//]]="","",INDEX(INDIRECT("NOTA["&amp;PAJAK[#Headers]&amp;"]"),PAJAK[[#This Row],[//]]-2))</f>
        <v>24020110</v>
      </c>
      <c r="J72" s="15" t="str">
        <f ca="1">IF(OR(PAJAK[[#This Row],[//]]="",INDEX(INDIRECT("NOTA["&amp;PAJAK[#Headers]&amp;"]"),PAJAK[[#This Row],[//]]-2)=""),"",INDEX(INDIRECT("NOTA["&amp;PAJAK[#Headers]&amp;"]"),PAJAK[[#This Row],[//]]-2))</f>
        <v/>
      </c>
      <c r="K72" s="23">
        <f ca="1">IF(PAJAK[[#This Row],[//]]="","",SUMIF(NOTA[ID_H],PAJAK[[#This Row],[ID]],NOTA[JUMLAH]))</f>
        <v>12072000</v>
      </c>
      <c r="L72" s="23">
        <f ca="1">IF(PAJAK[[#This Row],[//]]="","",SUMIF(NOTA[ID_H],PAJAK[[#This Row],[ID]],NOTA[DISC]))</f>
        <v>2052240</v>
      </c>
      <c r="M72" s="23">
        <f ca="1">PAJAK[[#This Row],[SUB TOTAL]]-PAJAK[[#This Row],[DISKON]]</f>
        <v>10019760</v>
      </c>
      <c r="N72" s="23">
        <f ca="1">IF(PAJAK[[#This Row],[//]]="","",INDEX(INDIRECT("NOTA["&amp;PAJAK[#Headers]&amp;"]"),PAJAK[[#This Row],[//]]-2+PAJAK[[#This Row],[QB]]-1))</f>
        <v>0</v>
      </c>
      <c r="O72" s="23">
        <f ca="1">(PAJAK[[#This Row],[SUB T-DISC]]-PAJAK[[#This Row],[DISC DLL]])/111%</f>
        <v>9026810.81081081</v>
      </c>
      <c r="P72" s="23">
        <f ca="1">PAJAK[[#This Row],[DPP]]*PAJAK[[#This Row],[PPN]]</f>
        <v>992949.18918918911</v>
      </c>
      <c r="Q72" s="23">
        <f ca="1">PAJAK[[#This Row],[DPP]]+PAJAK[[#This Row],[PPN 11%]]</f>
        <v>10019760</v>
      </c>
      <c r="R72" s="18" t="str">
        <f ca="1">IF(ISNUMBER(PAJAK[[#This Row],[//]]),PPN,"")</f>
        <v>11%</v>
      </c>
    </row>
    <row r="73" spans="1:23" x14ac:dyDescent="0.25">
      <c r="A73" s="19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870</v>
      </c>
      <c r="B73" s="21">
        <f ca="1">HYPERLINK("[NOTA_.XLSX]NOTA!c"&amp;PAJAK[[#This Row],[//]],IF(PAJAK[[#This Row],[//]]="","",INDEX(INDIRECT("NOTA["&amp;PAJAK[#Headers]&amp;"]"),PAJAK[[#This Row],[//]]-2)))</f>
        <v>157</v>
      </c>
      <c r="C73" s="19" t="str">
        <f ca="1">IF(PAJAK[[#This Row],[//]]="","",INDEX(INDIRECT("NOTA["&amp;PAJAK[#Headers]&amp;"]"),PAJAK[[#This Row],[//]]-2))</f>
        <v>ATA_0702_225-4</v>
      </c>
      <c r="D73" s="19" t="e">
        <f ca="1">MATCH(PAJAK[[#This Row],[ID]],[5]!Table1[ID],0)</f>
        <v>#REF!</v>
      </c>
      <c r="E73" s="20">
        <f ca="1">IF(PAJAK[[#This Row],[ID]]="","",COUNTIF(NOTA[ID_H],PAJAK[[#This Row],[ID]]))</f>
        <v>4</v>
      </c>
      <c r="F73" s="15" t="str">
        <f ca="1">IF(PAJAK[[#This Row],[//]]="","",INDEX(CONV[2],MATCH(INDEX(INDIRECT("NOTA["&amp;PAJAK[#Headers]&amp;"]"),PAJAK[[#This Row],[//]]-2),CONV[1],0),0))</f>
        <v>PT ATALI MAKMUR</v>
      </c>
      <c r="G73" s="17">
        <f ca="1">IF(PAJAK[[#This Row],[//]]="","",INDEX(NOTA[TGL_H],PAJAK[[#This Row],[//]]-2))</f>
        <v>45329</v>
      </c>
      <c r="H73" s="17">
        <f ca="1">IF(PAJAK[[#This Row],[//]]="","",INDEX(INDIRECT("NOTA["&amp;PAJAK[#Headers]&amp;"]"),PAJAK[[#This Row],[//]]-2))</f>
        <v>45325</v>
      </c>
      <c r="I73" s="16" t="str">
        <f ca="1">IF(PAJAK[[#This Row],[//]]="","",INDEX(INDIRECT("NOTA["&amp;PAJAK[#Headers]&amp;"]"),PAJAK[[#This Row],[//]]-2))</f>
        <v>SA240202225</v>
      </c>
      <c r="J73" s="15" t="str">
        <f ca="1">IF(OR(PAJAK[[#This Row],[//]]="",INDEX(INDIRECT("NOTA["&amp;PAJAK[#Headers]&amp;"]"),PAJAK[[#This Row],[//]]-2)=""),"",INDEX(INDIRECT("NOTA["&amp;PAJAK[#Headers]&amp;"]"),PAJAK[[#This Row],[//]]-2))</f>
        <v/>
      </c>
      <c r="K73" s="23">
        <f ca="1">IF(PAJAK[[#This Row],[//]]="","",SUMIF(NOTA[ID_H],PAJAK[[#This Row],[ID]],NOTA[JUMLAH]))</f>
        <v>10609000</v>
      </c>
      <c r="L73" s="23">
        <f ca="1">IF(PAJAK[[#This Row],[//]]="","",SUMIF(NOTA[ID_H],PAJAK[[#This Row],[ID]],NOTA[DISC]))</f>
        <v>1790268.75</v>
      </c>
      <c r="M73" s="23">
        <f ca="1">PAJAK[[#This Row],[SUB TOTAL]]-PAJAK[[#This Row],[DISKON]]</f>
        <v>8818731.25</v>
      </c>
      <c r="N73" s="23">
        <f ca="1">IF(PAJAK[[#This Row],[//]]="","",INDEX(INDIRECT("NOTA["&amp;PAJAK[#Headers]&amp;"]"),PAJAK[[#This Row],[//]]-2+PAJAK[[#This Row],[QB]]-1))</f>
        <v>0</v>
      </c>
      <c r="O73" s="23">
        <f ca="1">(PAJAK[[#This Row],[SUB T-DISC]]-PAJAK[[#This Row],[DISC DLL]])/111%</f>
        <v>7944802.9279279271</v>
      </c>
      <c r="P73" s="23">
        <f ca="1">PAJAK[[#This Row],[DPP]]*PAJAK[[#This Row],[PPN]]</f>
        <v>873928.32207207195</v>
      </c>
      <c r="Q73" s="23">
        <f ca="1">PAJAK[[#This Row],[DPP]]+PAJAK[[#This Row],[PPN 11%]]</f>
        <v>8818731.25</v>
      </c>
      <c r="R73" s="18" t="str">
        <f ca="1">IF(ISNUMBER(PAJAK[[#This Row],[//]]),PPN,"")</f>
        <v>11%</v>
      </c>
    </row>
    <row r="74" spans="1:23" x14ac:dyDescent="0.25">
      <c r="A74" s="19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875</v>
      </c>
      <c r="B74" s="21">
        <f ca="1">HYPERLINK("[NOTA_.XLSX]NOTA!c"&amp;PAJAK[[#This Row],[//]],IF(PAJAK[[#This Row],[//]]="","",INDEX(INDIRECT("NOTA["&amp;PAJAK[#Headers]&amp;"]"),PAJAK[[#This Row],[//]]-2)))</f>
        <v>158</v>
      </c>
      <c r="C74" s="19" t="str">
        <f ca="1">IF(PAJAK[[#This Row],[//]]="","",INDEX(INDIRECT("NOTA["&amp;PAJAK[#Headers]&amp;"]"),PAJAK[[#This Row],[//]]-2))</f>
        <v>ATA_0702_092-4</v>
      </c>
      <c r="D74" s="19" t="e">
        <f ca="1">MATCH(PAJAK[[#This Row],[ID]],[5]!Table1[ID],0)</f>
        <v>#REF!</v>
      </c>
      <c r="E74" s="20">
        <f ca="1">IF(PAJAK[[#This Row],[ID]]="","",COUNTIF(NOTA[ID_H],PAJAK[[#This Row],[ID]]))</f>
        <v>4</v>
      </c>
      <c r="F74" s="15" t="str">
        <f ca="1">IF(PAJAK[[#This Row],[//]]="","",INDEX(CONV[2],MATCH(INDEX(INDIRECT("NOTA["&amp;PAJAK[#Headers]&amp;"]"),PAJAK[[#This Row],[//]]-2),CONV[1],0),0))</f>
        <v>PT ATALI MAKMUR</v>
      </c>
      <c r="G74" s="17">
        <f ca="1">IF(PAJAK[[#This Row],[//]]="","",INDEX(NOTA[TGL_H],PAJAK[[#This Row],[//]]-2))</f>
        <v>45329</v>
      </c>
      <c r="H74" s="17">
        <f ca="1">IF(PAJAK[[#This Row],[//]]="","",INDEX(INDIRECT("NOTA["&amp;PAJAK[#Headers]&amp;"]"),PAJAK[[#This Row],[//]]-2))</f>
        <v>45323</v>
      </c>
      <c r="I74" s="16" t="str">
        <f ca="1">IF(PAJAK[[#This Row],[//]]="","",INDEX(INDIRECT("NOTA["&amp;PAJAK[#Headers]&amp;"]"),PAJAK[[#This Row],[//]]-2))</f>
        <v>SA240202092</v>
      </c>
      <c r="J74" s="15" t="str">
        <f ca="1">IF(OR(PAJAK[[#This Row],[//]]="",INDEX(INDIRECT("NOTA["&amp;PAJAK[#Headers]&amp;"]"),PAJAK[[#This Row],[//]]-2)=""),"",INDEX(INDIRECT("NOTA["&amp;PAJAK[#Headers]&amp;"]"),PAJAK[[#This Row],[//]]-2))</f>
        <v/>
      </c>
      <c r="K74" s="23">
        <f ca="1">IF(PAJAK[[#This Row],[//]]="","",SUMIF(NOTA[ID_H],PAJAK[[#This Row],[ID]],NOTA[JUMLAH]))</f>
        <v>11652000</v>
      </c>
      <c r="L74" s="23">
        <f ca="1">IF(PAJAK[[#This Row],[//]]="","",SUMIF(NOTA[ID_H],PAJAK[[#This Row],[ID]],NOTA[DISC]))</f>
        <v>1966275</v>
      </c>
      <c r="M74" s="23">
        <f ca="1">PAJAK[[#This Row],[SUB TOTAL]]-PAJAK[[#This Row],[DISKON]]</f>
        <v>9685725</v>
      </c>
      <c r="N74" s="23">
        <f ca="1">IF(PAJAK[[#This Row],[//]]="","",INDEX(INDIRECT("NOTA["&amp;PAJAK[#Headers]&amp;"]"),PAJAK[[#This Row],[//]]-2+PAJAK[[#This Row],[QB]]-1))</f>
        <v>0</v>
      </c>
      <c r="O74" s="23">
        <f ca="1">(PAJAK[[#This Row],[SUB T-DISC]]-PAJAK[[#This Row],[DISC DLL]])/111%</f>
        <v>8725878.3783783782</v>
      </c>
      <c r="P74" s="23">
        <f ca="1">PAJAK[[#This Row],[DPP]]*PAJAK[[#This Row],[PPN]]</f>
        <v>959846.62162162166</v>
      </c>
      <c r="Q74" s="23">
        <f ca="1">PAJAK[[#This Row],[DPP]]+PAJAK[[#This Row],[PPN 11%]]</f>
        <v>9685725</v>
      </c>
      <c r="R74" s="18" t="str">
        <f ca="1">IF(ISNUMBER(PAJAK[[#This Row],[//]]),PPN,"")</f>
        <v>11%</v>
      </c>
    </row>
    <row r="75" spans="1:23" x14ac:dyDescent="0.25">
      <c r="A75" s="15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880</v>
      </c>
      <c r="B75" s="15">
        <f ca="1">HYPERLINK("[NOTA_.XLSX]NOTA!c"&amp;PAJAK[[#This Row],[//]],IF(PAJAK[[#This Row],[//]]="","",INDEX(INDIRECT("NOTA["&amp;PAJAK[#Headers]&amp;"]"),PAJAK[[#This Row],[//]]-2)))</f>
        <v>159</v>
      </c>
      <c r="C75" s="15" t="str">
        <f ca="1">IF(PAJAK[[#This Row],[//]]="","",INDEX(INDIRECT("NOTA["&amp;PAJAK[#Headers]&amp;"]"),PAJAK[[#This Row],[//]]-2))</f>
        <v>ATA_0702_975-4</v>
      </c>
      <c r="D75" s="15" t="e">
        <f ca="1">MATCH(PAJAK[[#This Row],[ID]],[5]!Table1[ID],0)</f>
        <v>#REF!</v>
      </c>
      <c r="E75" s="16">
        <f ca="1">IF(PAJAK[[#This Row],[ID]]="","",COUNTIF(NOTA[ID_H],PAJAK[[#This Row],[ID]]))</f>
        <v>4</v>
      </c>
      <c r="F75" s="15" t="str">
        <f ca="1">IF(PAJAK[[#This Row],[//]]="","",INDEX(CONV[2],MATCH(INDEX(INDIRECT("NOTA["&amp;PAJAK[#Headers]&amp;"]"),PAJAK[[#This Row],[//]]-2),CONV[1],0),0))</f>
        <v>PT ATALI MAKMUR</v>
      </c>
      <c r="G75" s="17">
        <f ca="1">IF(PAJAK[[#This Row],[//]]="","",INDEX(NOTA[TGL_H],PAJAK[[#This Row],[//]]-2))</f>
        <v>45329</v>
      </c>
      <c r="H75" s="17">
        <f ca="1">IF(PAJAK[[#This Row],[//]]="","",INDEX(INDIRECT("NOTA["&amp;PAJAK[#Headers]&amp;"]"),PAJAK[[#This Row],[//]]-2))</f>
        <v>45322</v>
      </c>
      <c r="I75" s="16" t="str">
        <f ca="1">IF(PAJAK[[#This Row],[//]]="","",INDEX(INDIRECT("NOTA["&amp;PAJAK[#Headers]&amp;"]"),PAJAK[[#This Row],[//]]-2))</f>
        <v>SA240101975</v>
      </c>
      <c r="J75" s="15" t="str">
        <f ca="1">IF(OR(PAJAK[[#This Row],[//]]="",INDEX(INDIRECT("NOTA["&amp;PAJAK[#Headers]&amp;"]"),PAJAK[[#This Row],[//]]-2)=""),"",INDEX(INDIRECT("NOTA["&amp;PAJAK[#Headers]&amp;"]"),PAJAK[[#This Row],[//]]-2))</f>
        <v/>
      </c>
      <c r="K75" s="23">
        <f ca="1">IF(PAJAK[[#This Row],[//]]="","",SUMIF(NOTA[ID_H],PAJAK[[#This Row],[ID]],NOTA[JUMLAH]))</f>
        <v>11334400</v>
      </c>
      <c r="L75" s="23">
        <f ca="1">IF(PAJAK[[#This Row],[//]]="","",SUMIF(NOTA[ID_H],PAJAK[[#This Row],[ID]],NOTA[DISC]))</f>
        <v>1912680</v>
      </c>
      <c r="M75" s="23">
        <f ca="1">PAJAK[[#This Row],[SUB TOTAL]]-PAJAK[[#This Row],[DISKON]]</f>
        <v>9421720</v>
      </c>
      <c r="N75" s="23">
        <f ca="1">IF(PAJAK[[#This Row],[//]]="","",INDEX(INDIRECT("NOTA["&amp;PAJAK[#Headers]&amp;"]"),PAJAK[[#This Row],[//]]-2+PAJAK[[#This Row],[QB]]-1))</f>
        <v>0</v>
      </c>
      <c r="O75" s="23">
        <f ca="1">(PAJAK[[#This Row],[SUB T-DISC]]-PAJAK[[#This Row],[DISC DLL]])/111%</f>
        <v>8488036.036036035</v>
      </c>
      <c r="P75" s="23">
        <f ca="1">PAJAK[[#This Row],[DPP]]*PAJAK[[#This Row],[PPN]]</f>
        <v>933683.96396396391</v>
      </c>
      <c r="Q75" s="23">
        <f ca="1">PAJAK[[#This Row],[DPP]]+PAJAK[[#This Row],[PPN 11%]]</f>
        <v>9421719.9999999981</v>
      </c>
      <c r="R75" s="18" t="str">
        <f ca="1">IF(ISNUMBER(PAJAK[[#This Row],[//]]),PPN,"")</f>
        <v>11%</v>
      </c>
    </row>
    <row r="76" spans="1:23" x14ac:dyDescent="0.25">
      <c r="A76" s="19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885</v>
      </c>
      <c r="B76" s="21">
        <f ca="1">HYPERLINK("[NOTA_.XLSX]NOTA!c"&amp;PAJAK[[#This Row],[//]],IF(PAJAK[[#This Row],[//]]="","",INDEX(INDIRECT("NOTA["&amp;PAJAK[#Headers]&amp;"]"),PAJAK[[#This Row],[//]]-2)))</f>
        <v>160</v>
      </c>
      <c r="C76" s="19" t="str">
        <f ca="1">IF(PAJAK[[#This Row],[//]]="","",INDEX(INDIRECT("NOTA["&amp;PAJAK[#Headers]&amp;"]"),PAJAK[[#This Row],[//]]-2))</f>
        <v>ATA_0702_143-3</v>
      </c>
      <c r="D76" s="19" t="e">
        <f ca="1">MATCH(PAJAK[[#This Row],[ID]],[5]!Table1[ID],0)</f>
        <v>#REF!</v>
      </c>
      <c r="E76" s="20">
        <f ca="1">IF(PAJAK[[#This Row],[ID]]="","",COUNTIF(NOTA[ID_H],PAJAK[[#This Row],[ID]]))</f>
        <v>3</v>
      </c>
      <c r="F76" s="15" t="str">
        <f ca="1">IF(PAJAK[[#This Row],[//]]="","",INDEX(CONV[2],MATCH(INDEX(INDIRECT("NOTA["&amp;PAJAK[#Headers]&amp;"]"),PAJAK[[#This Row],[//]]-2),CONV[1],0),0))</f>
        <v>PT ATALI MAKMUR</v>
      </c>
      <c r="G76" s="17">
        <f ca="1">IF(PAJAK[[#This Row],[//]]="","",INDEX(NOTA[TGL_H],PAJAK[[#This Row],[//]]-2))</f>
        <v>45329</v>
      </c>
      <c r="H76" s="17">
        <f ca="1">IF(PAJAK[[#This Row],[//]]="","",INDEX(INDIRECT("NOTA["&amp;PAJAK[#Headers]&amp;"]"),PAJAK[[#This Row],[//]]-2))</f>
        <v>45324</v>
      </c>
      <c r="I76" s="16" t="str">
        <f ca="1">IF(PAJAK[[#This Row],[//]]="","",INDEX(INDIRECT("NOTA["&amp;PAJAK[#Headers]&amp;"]"),PAJAK[[#This Row],[//]]-2))</f>
        <v>SA240202143</v>
      </c>
      <c r="J76" s="15" t="str">
        <f ca="1">IF(OR(PAJAK[[#This Row],[//]]="",INDEX(INDIRECT("NOTA["&amp;PAJAK[#Headers]&amp;"]"),PAJAK[[#This Row],[//]]-2)=""),"",INDEX(INDIRECT("NOTA["&amp;PAJAK[#Headers]&amp;"]"),PAJAK[[#This Row],[//]]-2))</f>
        <v/>
      </c>
      <c r="K76" s="23">
        <f ca="1">IF(PAJAK[[#This Row],[//]]="","",SUMIF(NOTA[ID_H],PAJAK[[#This Row],[ID]],NOTA[JUMLAH]))</f>
        <v>14798400</v>
      </c>
      <c r="L76" s="23">
        <f ca="1">IF(PAJAK[[#This Row],[//]]="","",SUMIF(NOTA[ID_H],PAJAK[[#This Row],[ID]],NOTA[DISC]))</f>
        <v>2497230</v>
      </c>
      <c r="M76" s="23">
        <f ca="1">PAJAK[[#This Row],[SUB TOTAL]]-PAJAK[[#This Row],[DISKON]]</f>
        <v>12301170</v>
      </c>
      <c r="N76" s="23">
        <f ca="1">IF(PAJAK[[#This Row],[//]]="","",INDEX(INDIRECT("NOTA["&amp;PAJAK[#Headers]&amp;"]"),PAJAK[[#This Row],[//]]-2+PAJAK[[#This Row],[QB]]-1))</f>
        <v>0</v>
      </c>
      <c r="O76" s="23">
        <f ca="1">(PAJAK[[#This Row],[SUB T-DISC]]-PAJAK[[#This Row],[DISC DLL]])/111%</f>
        <v>11082135.135135135</v>
      </c>
      <c r="P76" s="23">
        <f ca="1">PAJAK[[#This Row],[DPP]]*PAJAK[[#This Row],[PPN]]</f>
        <v>1219034.8648648649</v>
      </c>
      <c r="Q76" s="23">
        <f ca="1">PAJAK[[#This Row],[DPP]]+PAJAK[[#This Row],[PPN 11%]]</f>
        <v>12301170</v>
      </c>
      <c r="R76" s="18" t="str">
        <f ca="1">IF(ISNUMBER(PAJAK[[#This Row],[//]]),PPN,"")</f>
        <v>11%</v>
      </c>
    </row>
    <row r="77" spans="1:23" x14ac:dyDescent="0.25">
      <c r="A77" s="19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889</v>
      </c>
      <c r="B77" s="21">
        <f ca="1">HYPERLINK("[NOTA_.XLSX]NOTA!c"&amp;PAJAK[[#This Row],[//]],IF(PAJAK[[#This Row],[//]]="","",INDEX(INDIRECT("NOTA["&amp;PAJAK[#Headers]&amp;"]"),PAJAK[[#This Row],[//]]-2)))</f>
        <v>161</v>
      </c>
      <c r="C77" s="19" t="str">
        <f ca="1">IF(PAJAK[[#This Row],[//]]="","",INDEX(INDIRECT("NOTA["&amp;PAJAK[#Headers]&amp;"]"),PAJAK[[#This Row],[//]]-2))</f>
        <v>ATA_0702_959-5</v>
      </c>
      <c r="D77" s="19" t="e">
        <f ca="1">MATCH(PAJAK[[#This Row],[ID]],[5]!Table1[ID],0)</f>
        <v>#REF!</v>
      </c>
      <c r="E77" s="20">
        <f ca="1">IF(PAJAK[[#This Row],[ID]]="","",COUNTIF(NOTA[ID_H],PAJAK[[#This Row],[ID]]))</f>
        <v>5</v>
      </c>
      <c r="F77" s="15" t="str">
        <f ca="1">IF(PAJAK[[#This Row],[//]]="","",INDEX(CONV[2],MATCH(INDEX(INDIRECT("NOTA["&amp;PAJAK[#Headers]&amp;"]"),PAJAK[[#This Row],[//]]-2),CONV[1],0),0))</f>
        <v>PT ATALI MAKMUR</v>
      </c>
      <c r="G77" s="17">
        <f ca="1">IF(PAJAK[[#This Row],[//]]="","",INDEX(NOTA[TGL_H],PAJAK[[#This Row],[//]]-2))</f>
        <v>45329</v>
      </c>
      <c r="H77" s="17">
        <f ca="1">IF(PAJAK[[#This Row],[//]]="","",INDEX(INDIRECT("NOTA["&amp;PAJAK[#Headers]&amp;"]"),PAJAK[[#This Row],[//]]-2))</f>
        <v>45321</v>
      </c>
      <c r="I77" s="16" t="str">
        <f ca="1">IF(PAJAK[[#This Row],[//]]="","",INDEX(INDIRECT("NOTA["&amp;PAJAK[#Headers]&amp;"]"),PAJAK[[#This Row],[//]]-2))</f>
        <v>SA240101959</v>
      </c>
      <c r="J77" s="15" t="str">
        <f ca="1">IF(OR(PAJAK[[#This Row],[//]]="",INDEX(INDIRECT("NOTA["&amp;PAJAK[#Headers]&amp;"]"),PAJAK[[#This Row],[//]]-2)=""),"",INDEX(INDIRECT("NOTA["&amp;PAJAK[#Headers]&amp;"]"),PAJAK[[#This Row],[//]]-2))</f>
        <v/>
      </c>
      <c r="K77" s="23">
        <f ca="1">IF(PAJAK[[#This Row],[//]]="","",SUMIF(NOTA[ID_H],PAJAK[[#This Row],[ID]],NOTA[JUMLAH]))</f>
        <v>11727000</v>
      </c>
      <c r="L77" s="23">
        <f ca="1">IF(PAJAK[[#This Row],[//]]="","",SUMIF(NOTA[ID_H],PAJAK[[#This Row],[ID]],NOTA[DISC]))</f>
        <v>1978931.25</v>
      </c>
      <c r="M77" s="23">
        <f ca="1">PAJAK[[#This Row],[SUB TOTAL]]-PAJAK[[#This Row],[DISKON]]</f>
        <v>9748068.75</v>
      </c>
      <c r="N77" s="23">
        <f ca="1">IF(PAJAK[[#This Row],[//]]="","",INDEX(INDIRECT("NOTA["&amp;PAJAK[#Headers]&amp;"]"),PAJAK[[#This Row],[//]]-2+PAJAK[[#This Row],[QB]]-1))</f>
        <v>0</v>
      </c>
      <c r="O77" s="23">
        <f ca="1">(PAJAK[[#This Row],[SUB T-DISC]]-PAJAK[[#This Row],[DISC DLL]])/111%</f>
        <v>8782043.9189189188</v>
      </c>
      <c r="P77" s="23">
        <f ca="1">PAJAK[[#This Row],[DPP]]*PAJAK[[#This Row],[PPN]]</f>
        <v>966024.83108108107</v>
      </c>
      <c r="Q77" s="23">
        <f ca="1">PAJAK[[#This Row],[DPP]]+PAJAK[[#This Row],[PPN 11%]]</f>
        <v>9748068.75</v>
      </c>
      <c r="R77" s="18" t="str">
        <f ca="1">IF(ISNUMBER(PAJAK[[#This Row],[//]]),PPN,"")</f>
        <v>11%</v>
      </c>
    </row>
    <row r="78" spans="1:23" x14ac:dyDescent="0.25">
      <c r="A78" s="15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901</v>
      </c>
      <c r="B78" s="22">
        <f ca="1">HYPERLINK("[NOTA_.XLSX]NOTA!c"&amp;PAJAK[[#This Row],[//]],IF(PAJAK[[#This Row],[//]]="","",INDEX(INDIRECT("NOTA["&amp;PAJAK[#Headers]&amp;"]"),PAJAK[[#This Row],[//]]-2)))</f>
        <v>164</v>
      </c>
      <c r="C78" s="15" t="str">
        <f ca="1">IF(PAJAK[[#This Row],[//]]="","",INDEX(INDIRECT("NOTA["&amp;PAJAK[#Headers]&amp;"]"),PAJAK[[#This Row],[//]]-2))</f>
        <v>KEN_0702_276-6</v>
      </c>
      <c r="D78" s="15" t="e">
        <f ca="1">MATCH(PAJAK[[#This Row],[ID]],[5]!Table1[ID],0)</f>
        <v>#REF!</v>
      </c>
      <c r="E78" s="16">
        <f ca="1">IF(PAJAK[[#This Row],[ID]]="","",COUNTIF(NOTA[ID_H],PAJAK[[#This Row],[ID]]))</f>
        <v>6</v>
      </c>
      <c r="F78" s="15" t="str">
        <f ca="1">IF(PAJAK[[#This Row],[//]]="","",INDEX(CONV[2],MATCH(INDEX(INDIRECT("NOTA["&amp;PAJAK[#Headers]&amp;"]"),PAJAK[[#This Row],[//]]-2),CONV[1],0),0))</f>
        <v>PT KENKO SINAR INDONESIA</v>
      </c>
      <c r="G78" s="17">
        <f ca="1">IF(PAJAK[[#This Row],[//]]="","",INDEX(NOTA[TGL_H],PAJAK[[#This Row],[//]]-2))</f>
        <v>45329</v>
      </c>
      <c r="H78" s="17">
        <f ca="1">IF(PAJAK[[#This Row],[//]]="","",INDEX(INDIRECT("NOTA["&amp;PAJAK[#Headers]&amp;"]"),PAJAK[[#This Row],[//]]-2))</f>
        <v>45327</v>
      </c>
      <c r="I78" s="16" t="str">
        <f ca="1">IF(PAJAK[[#This Row],[//]]="","",INDEX(INDIRECT("NOTA["&amp;PAJAK[#Headers]&amp;"]"),PAJAK[[#This Row],[//]]-2))</f>
        <v>24020276</v>
      </c>
      <c r="J78" s="15" t="str">
        <f ca="1">IF(OR(PAJAK[[#This Row],[//]]="",INDEX(INDIRECT("NOTA["&amp;PAJAK[#Headers]&amp;"]"),PAJAK[[#This Row],[//]]-2)=""),"",INDEX(INDIRECT("NOTA["&amp;PAJAK[#Headers]&amp;"]"),PAJAK[[#This Row],[//]]-2))</f>
        <v/>
      </c>
      <c r="K78" s="23">
        <f ca="1">IF(PAJAK[[#This Row],[//]]="","",SUMIF(NOTA[ID_H],PAJAK[[#This Row],[ID]],NOTA[JUMLAH]))</f>
        <v>8820000</v>
      </c>
      <c r="L78" s="23">
        <f ca="1">IF(PAJAK[[#This Row],[//]]="","",SUMIF(NOTA[ID_H],PAJAK[[#This Row],[ID]],NOTA[DISC]))</f>
        <v>1499400</v>
      </c>
      <c r="M78" s="23">
        <f ca="1">PAJAK[[#This Row],[SUB TOTAL]]-PAJAK[[#This Row],[DISKON]]</f>
        <v>7320600</v>
      </c>
      <c r="N78" s="23">
        <f ca="1">IF(PAJAK[[#This Row],[//]]="","",INDEX(INDIRECT("NOTA["&amp;PAJAK[#Headers]&amp;"]"),PAJAK[[#This Row],[//]]-2+PAJAK[[#This Row],[QB]]-1))</f>
        <v>0</v>
      </c>
      <c r="O78" s="23">
        <f ca="1">(PAJAK[[#This Row],[SUB T-DISC]]-PAJAK[[#This Row],[DISC DLL]])/111%</f>
        <v>6595135.1351351347</v>
      </c>
      <c r="P78" s="23">
        <f ca="1">PAJAK[[#This Row],[DPP]]*PAJAK[[#This Row],[PPN]]</f>
        <v>725464.86486486485</v>
      </c>
      <c r="Q78" s="23">
        <f ca="1">PAJAK[[#This Row],[DPP]]+PAJAK[[#This Row],[PPN 11%]]</f>
        <v>7320600</v>
      </c>
      <c r="R78" s="18" t="str">
        <f ca="1">IF(ISNUMBER(PAJAK[[#This Row],[//]]),PPN,"")</f>
        <v>11%</v>
      </c>
    </row>
    <row r="79" spans="1:23" x14ac:dyDescent="0.25">
      <c r="A79" s="15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>908</v>
      </c>
      <c r="B79" s="15">
        <f ca="1">HYPERLINK("[NOTA_.XLSX]NOTA!c"&amp;PAJAK[[#This Row],[//]],IF(PAJAK[[#This Row],[//]]="","",INDEX(INDIRECT("NOTA["&amp;PAJAK[#Headers]&amp;"]"),PAJAK[[#This Row],[//]]-2)))</f>
        <v>165</v>
      </c>
      <c r="C79" s="15" t="str">
        <f ca="1">IF(PAJAK[[#This Row],[//]]="","",INDEX(INDIRECT("NOTA["&amp;PAJAK[#Headers]&amp;"]"),PAJAK[[#This Row],[//]]-2))</f>
        <v>KEN_0702_039-4</v>
      </c>
      <c r="D79" s="15" t="e">
        <f ca="1">MATCH(PAJAK[[#This Row],[ID]],[5]!Table1[ID],0)</f>
        <v>#REF!</v>
      </c>
      <c r="E79" s="16">
        <f ca="1">IF(PAJAK[[#This Row],[ID]]="","",COUNTIF(NOTA[ID_H],PAJAK[[#This Row],[ID]]))</f>
        <v>4</v>
      </c>
      <c r="F79" s="15" t="str">
        <f ca="1">IF(PAJAK[[#This Row],[//]]="","",INDEX(CONV[2],MATCH(INDEX(INDIRECT("NOTA["&amp;PAJAK[#Headers]&amp;"]"),PAJAK[[#This Row],[//]]-2),CONV[1],0),0))</f>
        <v>PT KENKO SINAR INDONESIA</v>
      </c>
      <c r="G79" s="17">
        <f ca="1">IF(PAJAK[[#This Row],[//]]="","",INDEX(NOTA[TGL_H],PAJAK[[#This Row],[//]]-2))</f>
        <v>45329</v>
      </c>
      <c r="H79" s="17">
        <f ca="1">IF(PAJAK[[#This Row],[//]]="","",INDEX(INDIRECT("NOTA["&amp;PAJAK[#Headers]&amp;"]"),PAJAK[[#This Row],[//]]-2))</f>
        <v>45323</v>
      </c>
      <c r="I79" s="16" t="str">
        <f ca="1">IF(PAJAK[[#This Row],[//]]="","",INDEX(INDIRECT("NOTA["&amp;PAJAK[#Headers]&amp;"]"),PAJAK[[#This Row],[//]]-2))</f>
        <v>24020039</v>
      </c>
      <c r="J79" s="15" t="str">
        <f ca="1">IF(OR(PAJAK[[#This Row],[//]]="",INDEX(INDIRECT("NOTA["&amp;PAJAK[#Headers]&amp;"]"),PAJAK[[#This Row],[//]]-2)=""),"",INDEX(INDIRECT("NOTA["&amp;PAJAK[#Headers]&amp;"]"),PAJAK[[#This Row],[//]]-2))</f>
        <v/>
      </c>
      <c r="K79" s="23">
        <f ca="1">IF(PAJAK[[#This Row],[//]]="","",SUMIF(NOTA[ID_H],PAJAK[[#This Row],[ID]],NOTA[JUMLAH]))</f>
        <v>12222000</v>
      </c>
      <c r="L79" s="23">
        <f ca="1">IF(PAJAK[[#This Row],[//]]="","",SUMIF(NOTA[ID_H],PAJAK[[#This Row],[ID]],NOTA[DISC]))</f>
        <v>2077740</v>
      </c>
      <c r="M79" s="23">
        <f ca="1">PAJAK[[#This Row],[SUB TOTAL]]-PAJAK[[#This Row],[DISKON]]</f>
        <v>10144260</v>
      </c>
      <c r="N79" s="23">
        <f ca="1">IF(PAJAK[[#This Row],[//]]="","",INDEX(INDIRECT("NOTA["&amp;PAJAK[#Headers]&amp;"]"),PAJAK[[#This Row],[//]]-2+PAJAK[[#This Row],[QB]]-1))</f>
        <v>0</v>
      </c>
      <c r="O79" s="23">
        <f ca="1">(PAJAK[[#This Row],[SUB T-DISC]]-PAJAK[[#This Row],[DISC DLL]])/111%</f>
        <v>9138972.9729729723</v>
      </c>
      <c r="P79" s="23">
        <f ca="1">PAJAK[[#This Row],[DPP]]*PAJAK[[#This Row],[PPN]]</f>
        <v>1005287.027027027</v>
      </c>
      <c r="Q79" s="23">
        <f ca="1">PAJAK[[#This Row],[DPP]]+PAJAK[[#This Row],[PPN 11%]]</f>
        <v>10144260</v>
      </c>
      <c r="R79" s="18" t="str">
        <f ca="1">IF(ISNUMBER(PAJAK[[#This Row],[//]]),PPN,"")</f>
        <v>11%</v>
      </c>
    </row>
    <row r="80" spans="1:23" s="30" customFormat="1" x14ac:dyDescent="0.25">
      <c r="A80" s="19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>913</v>
      </c>
      <c r="B80" s="21">
        <f ca="1">HYPERLINK("[NOTA_.XLSX]NOTA!c"&amp;PAJAK[[#This Row],[//]],IF(PAJAK[[#This Row],[//]]="","",INDEX(INDIRECT("NOTA["&amp;PAJAK[#Headers]&amp;"]"),PAJAK[[#This Row],[//]]-2)))</f>
        <v>166</v>
      </c>
      <c r="C80" s="19" t="str">
        <f ca="1">IF(PAJAK[[#This Row],[//]]="","",INDEX(INDIRECT("NOTA["&amp;PAJAK[#Headers]&amp;"]"),PAJAK[[#This Row],[//]]-2))</f>
        <v>KEN_0702_011-2</v>
      </c>
      <c r="D80" s="19" t="e">
        <f ca="1">MATCH(PAJAK[[#This Row],[ID]],[5]!Table1[ID],0)</f>
        <v>#REF!</v>
      </c>
      <c r="E80" s="20">
        <f ca="1">IF(PAJAK[[#This Row],[ID]]="","",COUNTIF(NOTA[ID_H],PAJAK[[#This Row],[ID]]))</f>
        <v>2</v>
      </c>
      <c r="F80" s="15" t="str">
        <f ca="1">IF(PAJAK[[#This Row],[//]]="","",INDEX(CONV[2],MATCH(INDEX(INDIRECT("NOTA["&amp;PAJAK[#Headers]&amp;"]"),PAJAK[[#This Row],[//]]-2),CONV[1],0),0))</f>
        <v>PT KENKO SINAR INDONESIA</v>
      </c>
      <c r="G80" s="17">
        <f ca="1">IF(PAJAK[[#This Row],[//]]="","",INDEX(NOTA[TGL_H],PAJAK[[#This Row],[//]]-2))</f>
        <v>45329</v>
      </c>
      <c r="H80" s="17">
        <f ca="1">IF(PAJAK[[#This Row],[//]]="","",INDEX(INDIRECT("NOTA["&amp;PAJAK[#Headers]&amp;"]"),PAJAK[[#This Row],[//]]-2))</f>
        <v>45323</v>
      </c>
      <c r="I80" s="16" t="str">
        <f ca="1">IF(PAJAK[[#This Row],[//]]="","",INDEX(INDIRECT("NOTA["&amp;PAJAK[#Headers]&amp;"]"),PAJAK[[#This Row],[//]]-2))</f>
        <v>24020011</v>
      </c>
      <c r="J80" s="15" t="str">
        <f ca="1">IF(OR(PAJAK[[#This Row],[//]]="",INDEX(INDIRECT("NOTA["&amp;PAJAK[#Headers]&amp;"]"),PAJAK[[#This Row],[//]]-2)=""),"",INDEX(INDIRECT("NOTA["&amp;PAJAK[#Headers]&amp;"]"),PAJAK[[#This Row],[//]]-2))</f>
        <v/>
      </c>
      <c r="K80" s="23">
        <f ca="1">IF(PAJAK[[#This Row],[//]]="","",SUMIF(NOTA[ID_H],PAJAK[[#This Row],[ID]],NOTA[JUMLAH]))</f>
        <v>2260000</v>
      </c>
      <c r="L80" s="23">
        <f ca="1">IF(PAJAK[[#This Row],[//]]="","",SUMIF(NOTA[ID_H],PAJAK[[#This Row],[ID]],NOTA[DISC]))</f>
        <v>384200</v>
      </c>
      <c r="M80" s="23">
        <f ca="1">PAJAK[[#This Row],[SUB TOTAL]]-PAJAK[[#This Row],[DISKON]]</f>
        <v>1875800</v>
      </c>
      <c r="N80" s="23">
        <f ca="1">IF(PAJAK[[#This Row],[//]]="","",INDEX(INDIRECT("NOTA["&amp;PAJAK[#Headers]&amp;"]"),PAJAK[[#This Row],[//]]-2+PAJAK[[#This Row],[QB]]-1))</f>
        <v>0</v>
      </c>
      <c r="O80" s="23">
        <f ca="1">(PAJAK[[#This Row],[SUB T-DISC]]-PAJAK[[#This Row],[DISC DLL]])/111%</f>
        <v>1689909.9099099098</v>
      </c>
      <c r="P80" s="23">
        <f ca="1">PAJAK[[#This Row],[DPP]]*PAJAK[[#This Row],[PPN]]</f>
        <v>185890.09009009009</v>
      </c>
      <c r="Q80" s="23">
        <f ca="1">PAJAK[[#This Row],[DPP]]+PAJAK[[#This Row],[PPN 11%]]</f>
        <v>1875800</v>
      </c>
      <c r="R80" s="18" t="str">
        <f ca="1">IF(ISNUMBER(PAJAK[[#This Row],[//]]),PPN,"")</f>
        <v>11%</v>
      </c>
      <c r="W80" s="33"/>
    </row>
    <row r="81" spans="1:23" s="30" customFormat="1" x14ac:dyDescent="0.25">
      <c r="A81" s="19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>916</v>
      </c>
      <c r="B81" s="21">
        <f ca="1">HYPERLINK("[NOTA_.XLSX]NOTA!c"&amp;PAJAK[[#This Row],[//]],IF(PAJAK[[#This Row],[//]]="","",INDEX(INDIRECT("NOTA["&amp;PAJAK[#Headers]&amp;"]"),PAJAK[[#This Row],[//]]-2)))</f>
        <v>167</v>
      </c>
      <c r="C81" s="19" t="str">
        <f ca="1">IF(PAJAK[[#This Row],[//]]="","",INDEX(INDIRECT("NOTA["&amp;PAJAK[#Headers]&amp;"]"),PAJAK[[#This Row],[//]]-2))</f>
        <v>KEN_0702_162-2</v>
      </c>
      <c r="D81" s="19" t="e">
        <f ca="1">MATCH(PAJAK[[#This Row],[ID]],[5]!Table1[ID],0)</f>
        <v>#REF!</v>
      </c>
      <c r="E81" s="20">
        <f ca="1">IF(PAJAK[[#This Row],[ID]]="","",COUNTIF(NOTA[ID_H],PAJAK[[#This Row],[ID]]))</f>
        <v>2</v>
      </c>
      <c r="F81" s="15" t="str">
        <f ca="1">IF(PAJAK[[#This Row],[//]]="","",INDEX(CONV[2],MATCH(INDEX(INDIRECT("NOTA["&amp;PAJAK[#Headers]&amp;"]"),PAJAK[[#This Row],[//]]-2),CONV[1],0),0))</f>
        <v>PT KENKO SINAR INDONESIA</v>
      </c>
      <c r="G81" s="17">
        <f ca="1">IF(PAJAK[[#This Row],[//]]="","",INDEX(NOTA[TGL_H],PAJAK[[#This Row],[//]]-2))</f>
        <v>45329</v>
      </c>
      <c r="H81" s="17">
        <f ca="1">IF(PAJAK[[#This Row],[//]]="","",INDEX(INDIRECT("NOTA["&amp;PAJAK[#Headers]&amp;"]"),PAJAK[[#This Row],[//]]-2))</f>
        <v>45325</v>
      </c>
      <c r="I81" s="16" t="str">
        <f ca="1">IF(PAJAK[[#This Row],[//]]="","",INDEX(INDIRECT("NOTA["&amp;PAJAK[#Headers]&amp;"]"),PAJAK[[#This Row],[//]]-2))</f>
        <v>24020162</v>
      </c>
      <c r="J81" s="15" t="str">
        <f ca="1">IF(OR(PAJAK[[#This Row],[//]]="",INDEX(INDIRECT("NOTA["&amp;PAJAK[#Headers]&amp;"]"),PAJAK[[#This Row],[//]]-2)=""),"",INDEX(INDIRECT("NOTA["&amp;PAJAK[#Headers]&amp;"]"),PAJAK[[#This Row],[//]]-2))</f>
        <v/>
      </c>
      <c r="K81" s="23">
        <f ca="1">IF(PAJAK[[#This Row],[//]]="","",SUMIF(NOTA[ID_H],PAJAK[[#This Row],[ID]],NOTA[JUMLAH]))</f>
        <v>2870400</v>
      </c>
      <c r="L81" s="23">
        <f ca="1">IF(PAJAK[[#This Row],[//]]="","",SUMIF(NOTA[ID_H],PAJAK[[#This Row],[ID]],NOTA[DISC]))</f>
        <v>487968</v>
      </c>
      <c r="M81" s="23">
        <f ca="1">PAJAK[[#This Row],[SUB TOTAL]]-PAJAK[[#This Row],[DISKON]]</f>
        <v>2382432</v>
      </c>
      <c r="N81" s="23">
        <f ca="1">IF(PAJAK[[#This Row],[//]]="","",INDEX(INDIRECT("NOTA["&amp;PAJAK[#Headers]&amp;"]"),PAJAK[[#This Row],[//]]-2+PAJAK[[#This Row],[QB]]-1))</f>
        <v>0</v>
      </c>
      <c r="O81" s="23">
        <f ca="1">(PAJAK[[#This Row],[SUB T-DISC]]-PAJAK[[#This Row],[DISC DLL]])/111%</f>
        <v>2146335.1351351351</v>
      </c>
      <c r="P81" s="23">
        <f ca="1">PAJAK[[#This Row],[DPP]]*PAJAK[[#This Row],[PPN]]</f>
        <v>236096.86486486488</v>
      </c>
      <c r="Q81" s="23">
        <f ca="1">PAJAK[[#This Row],[DPP]]+PAJAK[[#This Row],[PPN 11%]]</f>
        <v>2382432</v>
      </c>
      <c r="R81" s="18" t="str">
        <f ca="1">IF(ISNUMBER(PAJAK[[#This Row],[//]]),PPN,"")</f>
        <v>11%</v>
      </c>
      <c r="W81" s="33"/>
    </row>
    <row r="82" spans="1:23" x14ac:dyDescent="0.25">
      <c r="A82" s="19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>919</v>
      </c>
      <c r="B82" s="21">
        <f ca="1">HYPERLINK("[NOTA_.XLSX]NOTA!c"&amp;PAJAK[[#This Row],[//]],IF(PAJAK[[#This Row],[//]]="","",INDEX(INDIRECT("NOTA["&amp;PAJAK[#Headers]&amp;"]"),PAJAK[[#This Row],[//]]-2)))</f>
        <v>168</v>
      </c>
      <c r="C82" s="19" t="str">
        <f ca="1">IF(PAJAK[[#This Row],[//]]="","",INDEX(INDIRECT("NOTA["&amp;PAJAK[#Headers]&amp;"]"),PAJAK[[#This Row],[//]]-2))</f>
        <v>KEN_0702_264-7</v>
      </c>
      <c r="D82" s="19" t="e">
        <f ca="1">MATCH(PAJAK[[#This Row],[ID]],[5]!Table1[ID],0)</f>
        <v>#REF!</v>
      </c>
      <c r="E82" s="20">
        <f ca="1">IF(PAJAK[[#This Row],[ID]]="","",COUNTIF(NOTA[ID_H],PAJAK[[#This Row],[ID]]))</f>
        <v>7</v>
      </c>
      <c r="F82" s="15" t="str">
        <f ca="1">IF(PAJAK[[#This Row],[//]]="","",INDEX(CONV[2],MATCH(INDEX(INDIRECT("NOTA["&amp;PAJAK[#Headers]&amp;"]"),PAJAK[[#This Row],[//]]-2),CONV[1],0),0))</f>
        <v>PT KENKO SINAR INDONESIA</v>
      </c>
      <c r="G82" s="17">
        <f ca="1">IF(PAJAK[[#This Row],[//]]="","",INDEX(NOTA[TGL_H],PAJAK[[#This Row],[//]]-2))</f>
        <v>45329</v>
      </c>
      <c r="H82" s="17">
        <f ca="1">IF(PAJAK[[#This Row],[//]]="","",INDEX(INDIRECT("NOTA["&amp;PAJAK[#Headers]&amp;"]"),PAJAK[[#This Row],[//]]-2))</f>
        <v>45325</v>
      </c>
      <c r="I82" s="16" t="str">
        <f ca="1">IF(PAJAK[[#This Row],[//]]="","",INDEX(INDIRECT("NOTA["&amp;PAJAK[#Headers]&amp;"]"),PAJAK[[#This Row],[//]]-2))</f>
        <v>24020264</v>
      </c>
      <c r="J82" s="15" t="str">
        <f ca="1">IF(OR(PAJAK[[#This Row],[//]]="",INDEX(INDIRECT("NOTA["&amp;PAJAK[#Headers]&amp;"]"),PAJAK[[#This Row],[//]]-2)=""),"",INDEX(INDIRECT("NOTA["&amp;PAJAK[#Headers]&amp;"]"),PAJAK[[#This Row],[//]]-2))</f>
        <v/>
      </c>
      <c r="K82" s="23">
        <f ca="1">IF(PAJAK[[#This Row],[//]]="","",SUMIF(NOTA[ID_H],PAJAK[[#This Row],[ID]],NOTA[JUMLAH]))</f>
        <v>37827000</v>
      </c>
      <c r="L82" s="23">
        <f ca="1">IF(PAJAK[[#This Row],[//]]="","",SUMIF(NOTA[ID_H],PAJAK[[#This Row],[ID]],NOTA[DISC]))</f>
        <v>6430590.0000000009</v>
      </c>
      <c r="M82" s="23">
        <f ca="1">PAJAK[[#This Row],[SUB TOTAL]]-PAJAK[[#This Row],[DISKON]]</f>
        <v>31396410</v>
      </c>
      <c r="N82" s="23">
        <f ca="1">IF(PAJAK[[#This Row],[//]]="","",INDEX(INDIRECT("NOTA["&amp;PAJAK[#Headers]&amp;"]"),PAJAK[[#This Row],[//]]-2+PAJAK[[#This Row],[QB]]-1))</f>
        <v>0</v>
      </c>
      <c r="O82" s="23">
        <f ca="1">(PAJAK[[#This Row],[SUB T-DISC]]-PAJAK[[#This Row],[DISC DLL]])/111%</f>
        <v>28285054.054054052</v>
      </c>
      <c r="P82" s="23">
        <f ca="1">PAJAK[[#This Row],[DPP]]*PAJAK[[#This Row],[PPN]]</f>
        <v>3111355.9459459456</v>
      </c>
      <c r="Q82" s="23">
        <f ca="1">PAJAK[[#This Row],[DPP]]+PAJAK[[#This Row],[PPN 11%]]</f>
        <v>31396409.999999996</v>
      </c>
      <c r="R82" s="18" t="str">
        <f ca="1">IF(ISNUMBER(PAJAK[[#This Row],[//]]),PPN,"")</f>
        <v>11%</v>
      </c>
    </row>
    <row r="83" spans="1:23" x14ac:dyDescent="0.25">
      <c r="A83" s="19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1" t="str">
        <f ca="1">HYPERLINK("[NOTA_.XLSX]NOTA!c"&amp;PAJAK[[#This Row],[//]],IF(PAJAK[[#This Row],[//]]="","",INDEX(INDIRECT("NOTA["&amp;PAJAK[#Headers]&amp;"]"),PAJAK[[#This Row],[//]]-2)))</f>
        <v/>
      </c>
      <c r="C83" s="19" t="str">
        <f ca="1">IF(PAJAK[[#This Row],[//]]="","",INDEX(INDIRECT("NOTA["&amp;PAJAK[#Headers]&amp;"]"),PAJAK[[#This Row],[//]]-2))</f>
        <v/>
      </c>
      <c r="D83" s="19" t="e">
        <f ca="1">MATCH(PAJAK[[#This Row],[ID]],[5]!Table1[ID],0)</f>
        <v>#REF!</v>
      </c>
      <c r="E83" s="20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Row],[ID]],[5]!Table1[ID],0)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2" t="str">
        <f ca="1">HYPERLINK("[NOTA_.XLSX]NOTA!c"&amp;PAJAK[[#This Row],[//]],IF(PAJAK[[#This Row],[//]]="","",INDEX(INDIRECT("NOTA["&amp;PAJAK[#Headers]&amp;"]"),PAJAK[[#This Row],[//]]-2)))</f>
        <v/>
      </c>
      <c r="C85" s="15" t="str">
        <f ca="1">IF(PAJAK[[#This Row],[//]]="","",INDEX(INDIRECT("NOTA["&amp;PAJAK[#Headers]&amp;"]"),PAJAK[[#This Row],[//]]-2))</f>
        <v/>
      </c>
      <c r="D85" s="15" t="e">
        <f ca="1">MATCH(PAJAK[[#This Row],[ID]],[5]!Table1[ID],0)</f>
        <v>#REF!</v>
      </c>
      <c r="E85" s="16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5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" t="str">
        <f ca="1">HYPERLINK("[NOTA_.XLSX]NOTA!c"&amp;PAJAK[[#This Row],[//]],IF(PAJAK[[#This Row],[//]]="","",INDEX(INDIRECT("NOTA["&amp;PAJAK[#Headers]&amp;"]"),PAJAK[[#This Row],[//]]-2)))</f>
        <v/>
      </c>
      <c r="C86" s="15" t="str">
        <f ca="1">IF(PAJAK[[#This Row],[//]]="","",INDEX(INDIRECT("NOTA["&amp;PAJAK[#Headers]&amp;"]"),PAJAK[[#This Row],[//]]-2))</f>
        <v/>
      </c>
      <c r="D86" s="15" t="e">
        <f ca="1">MATCH(PAJAK[[#This Row],[ID]],[5]!Table1[ID],0)</f>
        <v>#REF!</v>
      </c>
      <c r="E86" s="16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Row],[ID]],[5]!Table1[ID],0)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 t="e">
        <f ca="1">MATCH(PAJAK[[#This Row],[ID]],[5]!Table1[ID],0)</f>
        <v>#REF!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Row],[ID]],[5]!Table1[ID],0)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 t="e">
        <f ca="1">MATCH(PAJAK[[#This Row],[ID]],[5]!Table1[ID],0)</f>
        <v>#REF!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9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21" t="str">
        <f ca="1">HYPERLINK("[NOTA_.XLSX]NOTA!c"&amp;PAJAK[[#This Row],[//]],IF(PAJAK[[#This Row],[//]]="","",INDEX(INDIRECT("NOTA["&amp;PAJAK[#Headers]&amp;"]"),PAJAK[[#This Row],[//]]-2)))</f>
        <v/>
      </c>
      <c r="C91" s="19" t="str">
        <f ca="1">IF(PAJAK[[#This Row],[//]]="","",INDEX(INDIRECT("NOTA["&amp;PAJAK[#Headers]&amp;"]"),PAJAK[[#This Row],[//]]-2))</f>
        <v/>
      </c>
      <c r="D91" s="19" t="e">
        <f ca="1">MATCH(PAJAK[[#This Row],[ID]],[5]!Table1[ID],0)</f>
        <v>#REF!</v>
      </c>
      <c r="E91" s="20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Row],[ID]],[5]!Table1[ID],0)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 t="e">
        <f ca="1">MATCH(PAJAK[[#This Row],[ID]],[5]!Table1[ID],0)</f>
        <v>#REF!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95" priority="2"/>
  </conditionalFormatting>
  <conditionalFormatting sqref="I1:I1048576">
    <cfRule type="duplicateValues" dxfId="19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G16" sqref="G16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38</v>
      </c>
      <c r="F1"/>
      <c r="G1" t="str">
        <f ca="1">CELL("filename",G1)</f>
        <v>D:\kerja\BANK EXP\BARU\2024\01 JANUARI\[NOTA 01 JANUARI 2024.xlsx]KENKO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72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9</v>
      </c>
      <c r="C3" s="7">
        <f ca="1">HYPERLINK("[NOTA_.xlsx]PAJAK!b"&amp;KENKO[[#This Row],[//PAJAK]],IF(KENKO[[#This Row],[//PAJAK]]="","",INDEX(INDIRECT("PAJAK["&amp;KENKO[#Headers]&amp;"]"),KENKO[[#This Row],[//PAJAK]]-1)))</f>
        <v>9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45297</v>
      </c>
      <c r="F3" s="2">
        <f ca="1">IF(KENKO[[#This Row],[//PAJAK]]="","",INDEX(INDIRECT("PAJAK["&amp;KENKO[#Headers]&amp;"]"),KENKO[[#This Row],[//PAJAK]]-1))</f>
        <v>45295</v>
      </c>
      <c r="G3" s="9" t="str">
        <f ca="1">IF(KENKO[[#This Row],[//PAJAK]]="","",INDEX(INDIRECT("PAJAK["&amp;KENKO[#Headers]&amp;"]"),KENKO[[#This Row],[//PAJAK]]-1))</f>
        <v>24010061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12779600</v>
      </c>
      <c r="J3" s="1">
        <f ca="1">IF(KENKO[[#This Row],[//PAJAK]]="","",INDEX(INDIRECT("PAJAK["&amp;KENKO[#Headers]&amp;"]"),KENKO[[#This Row],[//PAJAK]]-1))</f>
        <v>2172532</v>
      </c>
      <c r="K3" s="1">
        <f ca="1">(KENKO[[#This Row],[SUB TOTAL]]-KENKO[[#This Row],[DISKON]])/1.11</f>
        <v>9555917.1171171162</v>
      </c>
      <c r="L3" s="1">
        <f ca="1">KENKO[[#This Row],[DPP]]*11%</f>
        <v>1051150.8828828828</v>
      </c>
      <c r="M3" s="1">
        <f ca="1">KENKO[[#This Row],[DPP]]+KENKO[[#This Row],[PPN (11%)]]</f>
        <v>10607068</v>
      </c>
      <c r="N3" s="1" t="str">
        <f ca="1">INDEX(PAJAK[ID_P],MATCH(KENKO[[#This Row],[ID]],PAJAK[ID],0))</f>
        <v>KEN_0601_061-10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83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10</v>
      </c>
      <c r="C4" s="7">
        <f ca="1">HYPERLINK("[NOTA_.xlsx]PAJAK!b"&amp;KENKO[[#This Row],[//PAJAK]],IF(KENKO[[#This Row],[//PAJAK]]="","",INDEX(INDIRECT("PAJAK["&amp;KENKO[#Headers]&amp;"]"),KENKO[[#This Row],[//PAJAK]]-1)))</f>
        <v>10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45297</v>
      </c>
      <c r="F4" s="2">
        <f ca="1">IF(KENKO[[#This Row],[//PAJAK]]="","",INDEX(INDIRECT("PAJAK["&amp;KENKO[#Headers]&amp;"]"),KENKO[[#This Row],[//PAJAK]]-1))</f>
        <v>45295</v>
      </c>
      <c r="G4" s="9" t="str">
        <f ca="1">IF(KENKO[[#This Row],[//PAJAK]]="","",INDEX(INDIRECT("PAJAK["&amp;KENKO[#Headers]&amp;"]"),KENKO[[#This Row],[//PAJAK]]-1))</f>
        <v>24010080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18136800</v>
      </c>
      <c r="J4" s="1">
        <f ca="1">IF(KENKO[[#This Row],[//PAJAK]]="","",INDEX(INDIRECT("PAJAK["&amp;KENKO[#Headers]&amp;"]"),KENKO[[#This Row],[//PAJAK]]-1))</f>
        <v>3083256</v>
      </c>
      <c r="K4" s="1">
        <f ca="1">(KENKO[[#This Row],[SUB TOTAL]]-KENKO[[#This Row],[DISKON]])/1.11</f>
        <v>13561751.351351351</v>
      </c>
      <c r="L4" s="1">
        <f ca="1">KENKO[[#This Row],[DPP]]*11%</f>
        <v>1491792.6486486485</v>
      </c>
      <c r="M4" s="1">
        <f ca="1">KENKO[[#This Row],[DPP]]+KENKO[[#This Row],[PPN (11%)]]</f>
        <v>15053544</v>
      </c>
      <c r="N4" s="1" t="str">
        <f ca="1">INDEX(PAJAK[ID_P],MATCH(KENKO[[#This Row],[ID]],PAJAK[ID],0))</f>
        <v>KEN_0601_080-6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90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11</v>
      </c>
      <c r="C5" s="7">
        <f ca="1">HYPERLINK("[NOTA_.xlsx]PAJAK!b"&amp;KENKO[[#This Row],[//PAJAK]],IF(KENKO[[#This Row],[//PAJAK]]="","",INDEX(INDIRECT("PAJAK["&amp;KENKO[#Headers]&amp;"]"),KENKO[[#This Row],[//PAJAK]]-1)))</f>
        <v>11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45297</v>
      </c>
      <c r="F5" s="2">
        <f ca="1">IF(KENKO[[#This Row],[//PAJAK]]="","",INDEX(INDIRECT("PAJAK["&amp;KENKO[#Headers]&amp;"]"),KENKO[[#This Row],[//PAJAK]]-1))</f>
        <v>45295</v>
      </c>
      <c r="G5" s="9" t="str">
        <f ca="1">IF(KENKO[[#This Row],[//PAJAK]]="","",INDEX(INDIRECT("PAJAK["&amp;KENKO[#Headers]&amp;"]"),KENKO[[#This Row],[//PAJAK]]-1))</f>
        <v>24010062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16611600</v>
      </c>
      <c r="J5" s="1">
        <f ca="1">IF(KENKO[[#This Row],[//PAJAK]]="","",INDEX(INDIRECT("PAJAK["&amp;KENKO[#Headers]&amp;"]"),KENKO[[#This Row],[//PAJAK]]-1))</f>
        <v>2823972</v>
      </c>
      <c r="K5" s="1">
        <f ca="1">(KENKO[[#This Row],[SUB TOTAL]]-KENKO[[#This Row],[DISKON]])/1.11</f>
        <v>12421286.486486485</v>
      </c>
      <c r="L5" s="1">
        <f ca="1">KENKO[[#This Row],[DPP]]*11%</f>
        <v>1366341.5135135134</v>
      </c>
      <c r="M5" s="1">
        <f ca="1">KENKO[[#This Row],[DPP]]+KENKO[[#This Row],[PPN (11%)]]</f>
        <v>13787627.999999998</v>
      </c>
      <c r="N5" s="1" t="str">
        <f ca="1">INDEX(PAJAK[ID_P],MATCH(KENKO[[#This Row],[ID]],PAJAK[ID],0))</f>
        <v>KEN_0601_062-7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98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12</v>
      </c>
      <c r="C6" s="7">
        <f ca="1">HYPERLINK("[NOTA_.xlsx]PAJAK!b"&amp;KENKO[[#This Row],[//PAJAK]],IF(KENKO[[#This Row],[//PAJAK]]="","",INDEX(INDIRECT("PAJAK["&amp;KENKO[#Headers]&amp;"]"),KENKO[[#This Row],[//PAJAK]]-1)))</f>
        <v>12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45297</v>
      </c>
      <c r="F6" s="2">
        <f ca="1">IF(KENKO[[#This Row],[//PAJAK]]="","",INDEX(INDIRECT("PAJAK["&amp;KENKO[#Headers]&amp;"]"),KENKO[[#This Row],[//PAJAK]]-1))</f>
        <v>45295</v>
      </c>
      <c r="G6" s="9" t="str">
        <f ca="1">IF(KENKO[[#This Row],[//PAJAK]]="","",INDEX(INDIRECT("PAJAK["&amp;KENKO[#Headers]&amp;"]"),KENKO[[#This Row],[//PAJAK]]-1))</f>
        <v>24010114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36746400</v>
      </c>
      <c r="J6" s="1">
        <f ca="1">IF(KENKO[[#This Row],[//PAJAK]]="","",INDEX(INDIRECT("PAJAK["&amp;KENKO[#Headers]&amp;"]"),KENKO[[#This Row],[//PAJAK]]-1))</f>
        <v>6246888</v>
      </c>
      <c r="K6" s="1">
        <f ca="1">(KENKO[[#This Row],[SUB TOTAL]]-KENKO[[#This Row],[DISKON]])/1.11</f>
        <v>27477037.837837834</v>
      </c>
      <c r="L6" s="1">
        <f ca="1">KENKO[[#This Row],[DPP]]*11%</f>
        <v>3022474.1621621619</v>
      </c>
      <c r="M6" s="1">
        <f ca="1">KENKO[[#This Row],[DPP]]+KENKO[[#This Row],[PPN (11%)]]</f>
        <v>30499511.999999996</v>
      </c>
      <c r="N6" s="1" t="str">
        <f ca="1">INDEX(PAJAK[ID_P],MATCH(KENKO[[#This Row],[ID]],PAJAK[ID],0))</f>
        <v>KEN_0601_114-11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198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15</v>
      </c>
      <c r="C7" s="7">
        <f ca="1">HYPERLINK("[NOTA_.xlsx]PAJAK!b"&amp;KENKO[[#This Row],[//PAJAK]],IF(KENKO[[#This Row],[//PAJAK]]="","",INDEX(INDIRECT("PAJAK["&amp;KENKO[#Headers]&amp;"]"),KENKO[[#This Row],[//PAJAK]]-1)))</f>
        <v>29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45300</v>
      </c>
      <c r="F7" s="2">
        <f ca="1">IF(KENKO[[#This Row],[//PAJAK]]="","",INDEX(INDIRECT("PAJAK["&amp;KENKO[#Headers]&amp;"]"),KENKO[[#This Row],[//PAJAK]]-1))</f>
        <v>45299</v>
      </c>
      <c r="G7" s="9" t="str">
        <f ca="1">IF(KENKO[[#This Row],[//PAJAK]]="","",INDEX(INDIRECT("PAJAK["&amp;KENKO[#Headers]&amp;"]"),KENKO[[#This Row],[//PAJAK]]-1))</f>
        <v>24010285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34750800</v>
      </c>
      <c r="J7" s="1">
        <f ca="1">IF(KENKO[[#This Row],[//PAJAK]]="","",INDEX(INDIRECT("PAJAK["&amp;KENKO[#Headers]&amp;"]"),KENKO[[#This Row],[//PAJAK]]-1))</f>
        <v>5907636</v>
      </c>
      <c r="K7" s="1">
        <f ca="1">(KENKO[[#This Row],[SUB TOTAL]]-KENKO[[#This Row],[DISKON]])/1.11</f>
        <v>25984832.432432432</v>
      </c>
      <c r="L7" s="1">
        <f ca="1">KENKO[[#This Row],[DPP]]*11%</f>
        <v>2858331.5675675673</v>
      </c>
      <c r="M7" s="1">
        <f ca="1">KENKO[[#This Row],[DPP]]+KENKO[[#This Row],[PPN (11%)]]</f>
        <v>28843164</v>
      </c>
      <c r="N7" s="1" t="str">
        <f ca="1">INDEX(PAJAK[ID_P],MATCH(KENKO[[#This Row],[ID]],PAJAK[ID],0))</f>
        <v>KEN_0901_285-6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224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19</v>
      </c>
      <c r="C8" s="7">
        <f ca="1">HYPERLINK("[NOTA_.xlsx]PAJAK!b"&amp;KENKO[[#This Row],[//PAJAK]],IF(KENKO[[#This Row],[//PAJAK]]="","",INDEX(INDIRECT("PAJAK["&amp;KENKO[#Headers]&amp;"]"),KENKO[[#This Row],[//PAJAK]]-1)))</f>
        <v>33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45300</v>
      </c>
      <c r="F8" s="2">
        <f ca="1">IF(KENKO[[#This Row],[//PAJAK]]="","",INDEX(INDIRECT("PAJAK["&amp;KENKO[#Headers]&amp;"]"),KENKO[[#This Row],[//PAJAK]]-1))</f>
        <v>45297</v>
      </c>
      <c r="G8" s="9" t="str">
        <f ca="1">IF(KENKO[[#This Row],[//PAJAK]]="","",INDEX(INDIRECT("PAJAK["&amp;KENKO[#Headers]&amp;"]"),KENKO[[#This Row],[//PAJAK]]-1))</f>
        <v>24010205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69790800</v>
      </c>
      <c r="J8" s="1">
        <f ca="1">IF(KENKO[[#This Row],[//PAJAK]]="","",INDEX(INDIRECT("PAJAK["&amp;KENKO[#Headers]&amp;"]"),KENKO[[#This Row],[//PAJAK]]-1))</f>
        <v>11864436</v>
      </c>
      <c r="K8" s="1">
        <f ca="1">(KENKO[[#This Row],[SUB TOTAL]]-KENKO[[#This Row],[DISKON]])/1.11</f>
        <v>52185913.513513505</v>
      </c>
      <c r="L8" s="1">
        <f ca="1">KENKO[[#This Row],[DPP]]*11%</f>
        <v>5740450.4864864852</v>
      </c>
      <c r="M8" s="1">
        <f ca="1">KENKO[[#This Row],[DPP]]+KENKO[[#This Row],[PPN (11%)]]</f>
        <v>57926363.999999993</v>
      </c>
      <c r="N8" s="1" t="str">
        <f ca="1">INDEX(PAJAK[ID_P],MATCH(KENKO[[#This Row],[ID]],PAJAK[ID],0))</f>
        <v>KEN_0901_205-10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235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20</v>
      </c>
      <c r="C9" s="12">
        <f ca="1">HYPERLINK("[NOTA_.xlsx]PAJAK!b"&amp;KENKO[[#This Row],[//PAJAK]],IF(KENKO[[#This Row],[//PAJAK]]="","",INDEX(INDIRECT("PAJAK["&amp;KENKO[#Headers]&amp;"]"),KENKO[[#This Row],[//PAJAK]]-1)))</f>
        <v>34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45300</v>
      </c>
      <c r="F9" s="2">
        <f ca="1">IF(KENKO[[#This Row],[//PAJAK]]="","",INDEX(INDIRECT("PAJAK["&amp;KENKO[#Headers]&amp;"]"),KENKO[[#This Row],[//PAJAK]]-1))</f>
        <v>45297</v>
      </c>
      <c r="G9" s="9" t="str">
        <f ca="1">IF(KENKO[[#This Row],[//PAJAK]]="","",INDEX(INDIRECT("PAJAK["&amp;KENKO[#Headers]&amp;"]"),KENKO[[#This Row],[//PAJAK]]-1))</f>
        <v>24010206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20548000</v>
      </c>
      <c r="J9" s="1">
        <f ca="1">IF(KENKO[[#This Row],[//PAJAK]]="","",INDEX(INDIRECT("PAJAK["&amp;KENKO[#Headers]&amp;"]"),KENKO[[#This Row],[//PAJAK]]-1))</f>
        <v>3493160</v>
      </c>
      <c r="K9" s="1">
        <f ca="1">(KENKO[[#This Row],[SUB TOTAL]]-KENKO[[#This Row],[DISKON]])/1.11</f>
        <v>15364720.72072072</v>
      </c>
      <c r="L9" s="1">
        <f ca="1">KENKO[[#This Row],[DPP]]*11%</f>
        <v>1690119.2792792791</v>
      </c>
      <c r="M9" s="1">
        <f ca="1">KENKO[[#This Row],[DPP]]+KENKO[[#This Row],[PPN (11%)]]</f>
        <v>17054840</v>
      </c>
      <c r="N9" s="1" t="str">
        <f ca="1">INDEX(PAJAK[ID_P],MATCH(KENKO[[#This Row],[ID]],PAJAK[ID],0))</f>
        <v>KEN_0901_206-8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355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22</v>
      </c>
      <c r="C10" s="7">
        <f ca="1">HYPERLINK("[NOTA_.xlsx]PAJAK!b"&amp;KENKO[[#This Row],[//PAJAK]],IF(KENKO[[#This Row],[//PAJAK]]="","",INDEX(INDIRECT("PAJAK["&amp;KENKO[#Headers]&amp;"]"),KENKO[[#This Row],[//PAJAK]]-1)))</f>
        <v>59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45304</v>
      </c>
      <c r="F10" s="2">
        <f ca="1">IF(KENKO[[#This Row],[//PAJAK]]="","",INDEX(INDIRECT("PAJAK["&amp;KENKO[#Headers]&amp;"]"),KENKO[[#This Row],[//PAJAK]]-1))</f>
        <v>45301</v>
      </c>
      <c r="G10" s="9" t="str">
        <f ca="1">IF(KENKO[[#This Row],[//PAJAK]]="","",INDEX(INDIRECT("PAJAK["&amp;KENKO[#Headers]&amp;"]"),KENKO[[#This Row],[//PAJAK]]-1))</f>
        <v>24010411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15174600</v>
      </c>
      <c r="J10" s="1">
        <f ca="1">IF(KENKO[[#This Row],[//PAJAK]]="","",INDEX(INDIRECT("PAJAK["&amp;KENKO[#Headers]&amp;"]"),KENKO[[#This Row],[//PAJAK]]-1))</f>
        <v>2579682</v>
      </c>
      <c r="K10" s="1">
        <f ca="1">(KENKO[[#This Row],[SUB TOTAL]]-KENKO[[#This Row],[DISKON]])/1.11</f>
        <v>11346772.972972972</v>
      </c>
      <c r="L10" s="1">
        <f ca="1">KENKO[[#This Row],[DPP]]*11%</f>
        <v>1248145.027027027</v>
      </c>
      <c r="M10" s="1">
        <f ca="1">KENKO[[#This Row],[DPP]]+KENKO[[#This Row],[PPN (11%)]]</f>
        <v>12594918</v>
      </c>
      <c r="N10" s="1" t="str">
        <f ca="1">INDEX(PAJAK[ID_P],MATCH(KENKO[[#This Row],[ID]],PAJAK[ID],0))</f>
        <v>KEN_1301_411-8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383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26</v>
      </c>
      <c r="C11" s="7">
        <f ca="1">HYPERLINK("[NOTA_.xlsx]PAJAK!b"&amp;KENKO[[#This Row],[//PAJAK]],IF(KENKO[[#This Row],[//PAJAK]]="","",INDEX(INDIRECT("PAJAK["&amp;KENKO[#Headers]&amp;"]"),KENKO[[#This Row],[//PAJAK]]-1)))</f>
        <v>63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45306</v>
      </c>
      <c r="F11" s="2">
        <f ca="1">IF(KENKO[[#This Row],[//PAJAK]]="","",INDEX(INDIRECT("PAJAK["&amp;KENKO[#Headers]&amp;"]"),KENKO[[#This Row],[//PAJAK]]-1))</f>
        <v>45302</v>
      </c>
      <c r="G11" s="9" t="str">
        <f ca="1">IF(KENKO[[#This Row],[//PAJAK]]="","",INDEX(INDIRECT("PAJAK["&amp;KENKO[#Headers]&amp;"]"),KENKO[[#This Row],[//PAJAK]]-1))</f>
        <v>24010519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65004000</v>
      </c>
      <c r="J11" s="1">
        <f ca="1">IF(KENKO[[#This Row],[//PAJAK]]="","",INDEX(INDIRECT("PAJAK["&amp;KENKO[#Headers]&amp;"]"),KENKO[[#This Row],[//PAJAK]]-1))</f>
        <v>11050680</v>
      </c>
      <c r="K11" s="1">
        <f ca="1">(KENKO[[#This Row],[SUB TOTAL]]-KENKO[[#This Row],[DISKON]])/1.11</f>
        <v>48606594.59459459</v>
      </c>
      <c r="L11" s="1">
        <f ca="1">KENKO[[#This Row],[DPP]]*11%</f>
        <v>5346725.405405405</v>
      </c>
      <c r="M11" s="1">
        <f ca="1">KENKO[[#This Row],[DPP]]+KENKO[[#This Row],[PPN (11%)]]</f>
        <v>53953319.999999993</v>
      </c>
      <c r="N11" s="1" t="str">
        <f ca="1">INDEX(PAJAK[ID_P],MATCH(KENKO[[#This Row],[ID]],PAJAK[ID],0))</f>
        <v>KEN_1501_519-11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395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27</v>
      </c>
      <c r="C12" s="7">
        <f ca="1">HYPERLINK("[NOTA_.xlsx]PAJAK!b"&amp;KENKO[[#This Row],[//PAJAK]],IF(KENKO[[#This Row],[//PAJAK]]="","",INDEX(INDIRECT("PAJAK["&amp;KENKO[#Headers]&amp;"]"),KENKO[[#This Row],[//PAJAK]]-1)))</f>
        <v>64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45306</v>
      </c>
      <c r="F12" s="2">
        <f ca="1">IF(KENKO[[#This Row],[//PAJAK]]="","",INDEX(INDIRECT("PAJAK["&amp;KENKO[#Headers]&amp;"]"),KENKO[[#This Row],[//PAJAK]]-1))</f>
        <v>45304</v>
      </c>
      <c r="G12" s="9" t="str">
        <f ca="1">IF(KENKO[[#This Row],[//PAJAK]]="","",INDEX(INDIRECT("PAJAK["&amp;KENKO[#Headers]&amp;"]"),KENKO[[#This Row],[//PAJAK]]-1))</f>
        <v>24010711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134498400</v>
      </c>
      <c r="J12" s="1">
        <f ca="1">IF(KENKO[[#This Row],[//PAJAK]]="","",INDEX(INDIRECT("PAJAK["&amp;KENKO[#Headers]&amp;"]"),KENKO[[#This Row],[//PAJAK]]-1))</f>
        <v>22864728.000000004</v>
      </c>
      <c r="K12" s="1">
        <f ca="1">(KENKO[[#This Row],[SUB TOTAL]]-KENKO[[#This Row],[DISKON]])/1.11</f>
        <v>100570875.67567566</v>
      </c>
      <c r="L12" s="1">
        <f ca="1">KENKO[[#This Row],[DPP]]*11%</f>
        <v>11062796.324324323</v>
      </c>
      <c r="M12" s="1">
        <f ca="1">KENKO[[#This Row],[DPP]]+KENKO[[#This Row],[PPN (11%)]]</f>
        <v>111633671.99999999</v>
      </c>
      <c r="N12" s="1" t="str">
        <f ca="1">INDEX(PAJAK[ID_P],MATCH(KENKO[[#This Row],[ID]],PAJAK[ID],0))</f>
        <v>KEN_1501_711-10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406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28</v>
      </c>
      <c r="C13" s="12">
        <f ca="1">HYPERLINK("[NOTA_.xlsx]PAJAK!b"&amp;KENKO[[#This Row],[//PAJAK]],IF(KENKO[[#This Row],[//PAJAK]]="","",INDEX(INDIRECT("PAJAK["&amp;KENKO[#Headers]&amp;"]"),KENKO[[#This Row],[//PAJAK]]-1)))</f>
        <v>65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45306</v>
      </c>
      <c r="F13" s="2">
        <f ca="1">IF(KENKO[[#This Row],[//PAJAK]]="","",INDEX(INDIRECT("PAJAK["&amp;KENKO[#Headers]&amp;"]"),KENKO[[#This Row],[//PAJAK]]-1))</f>
        <v>45304</v>
      </c>
      <c r="G13" s="6" t="str">
        <f ca="1">IF(KENKO[[#This Row],[//PAJAK]]="","",INDEX(INDIRECT("PAJAK["&amp;KENKO[#Headers]&amp;"]"),KENKO[[#This Row],[//PAJAK]]-1))</f>
        <v>24010719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14717200</v>
      </c>
      <c r="J13" s="1">
        <f ca="1">IF(KENKO[[#This Row],[//PAJAK]]="","",INDEX(INDIRECT("PAJAK["&amp;KENKO[#Headers]&amp;"]"),KENKO[[#This Row],[//PAJAK]]-1))</f>
        <v>2501924</v>
      </c>
      <c r="K13" s="1">
        <f ca="1">(KENKO[[#This Row],[SUB TOTAL]]-KENKO[[#This Row],[DISKON]])/1.11</f>
        <v>11004753.153153151</v>
      </c>
      <c r="L13" s="1">
        <f ca="1">KENKO[[#This Row],[DPP]]*11%</f>
        <v>1210522.8468468466</v>
      </c>
      <c r="M13" s="1">
        <f ca="1">KENKO[[#This Row],[DPP]]+KENKO[[#This Row],[PPN (11%)]]</f>
        <v>12215275.999999998</v>
      </c>
      <c r="N13" s="1" t="str">
        <f ca="1">INDEX(PAJAK[ID_P],MATCH(KENKO[[#This Row],[ID]],PAJAK[ID],0))</f>
        <v>KEN_1501_719-7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431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31</v>
      </c>
      <c r="C14" s="12">
        <f ca="1">HYPERLINK("[NOTA_.xlsx]PAJAK!b"&amp;KENKO[[#This Row],[//PAJAK]],IF(KENKO[[#This Row],[//PAJAK]]="","",INDEX(INDIRECT("PAJAK["&amp;KENKO[#Headers]&amp;"]"),KENKO[[#This Row],[//PAJAK]]-1)))</f>
        <v>68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45307</v>
      </c>
      <c r="F14" s="2">
        <f ca="1">IF(KENKO[[#This Row],[//PAJAK]]="","",INDEX(INDIRECT("PAJAK["&amp;KENKO[#Headers]&amp;"]"),KENKO[[#This Row],[//PAJAK]]-1))</f>
        <v>45303</v>
      </c>
      <c r="G14" s="6" t="str">
        <f ca="1">IF(KENKO[[#This Row],[//PAJAK]]="","",INDEX(INDIRECT("PAJAK["&amp;KENKO[#Headers]&amp;"]"),KENKO[[#This Row],[//PAJAK]]-1))</f>
        <v>24010615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1987200</v>
      </c>
      <c r="J14" s="1">
        <f ca="1">IF(KENKO[[#This Row],[//PAJAK]]="","",INDEX(INDIRECT("PAJAK["&amp;KENKO[#Headers]&amp;"]"),KENKO[[#This Row],[//PAJAK]]-1))</f>
        <v>337824</v>
      </c>
      <c r="K14" s="1">
        <f ca="1">(KENKO[[#This Row],[SUB TOTAL]]-KENKO[[#This Row],[DISKON]])/1.11</f>
        <v>1485924.3243243243</v>
      </c>
      <c r="L14" s="1">
        <f ca="1">KENKO[[#This Row],[DPP]]*11%</f>
        <v>163451.67567567568</v>
      </c>
      <c r="M14" s="1">
        <f ca="1">KENKO[[#This Row],[DPP]]+KENKO[[#This Row],[PPN (11%)]]</f>
        <v>1649376</v>
      </c>
      <c r="N14" s="1" t="str">
        <f ca="1">INDEX(PAJAK[ID_P],MATCH(KENKO[[#This Row],[ID]],PAJAK[ID],0))</f>
        <v>KEN_1601_615-1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541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38</v>
      </c>
      <c r="C15" s="12">
        <f ca="1">HYPERLINK("[NOTA_.xlsx]PAJAK!b"&amp;KENKO[[#This Row],[//PAJAK]],IF(KENKO[[#This Row],[//PAJAK]]="","",INDEX(INDIRECT("PAJAK["&amp;KENKO[#Headers]&amp;"]"),KENKO[[#This Row],[//PAJAK]]-1)))</f>
        <v>86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45308</v>
      </c>
      <c r="F15" s="2">
        <f ca="1">IF(KENKO[[#This Row],[//PAJAK]]="","",INDEX(INDIRECT("PAJAK["&amp;KENKO[#Headers]&amp;"]"),KENKO[[#This Row],[//PAJAK]]-1))</f>
        <v>45306</v>
      </c>
      <c r="G15" s="6" t="str">
        <f ca="1">IF(KENKO[[#This Row],[//PAJAK]]="","",INDEX(INDIRECT("PAJAK["&amp;KENKO[#Headers]&amp;"]"),KENKO[[#This Row],[//PAJAK]]-1))</f>
        <v>24010870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8812800</v>
      </c>
      <c r="J15" s="1">
        <f ca="1">IF(KENKO[[#This Row],[//PAJAK]]="","",INDEX(INDIRECT("PAJAK["&amp;KENKO[#Headers]&amp;"]"),KENKO[[#This Row],[//PAJAK]]-1))</f>
        <v>1498176</v>
      </c>
      <c r="K15" s="1">
        <f ca="1">(KENKO[[#This Row],[SUB TOTAL]]-KENKO[[#This Row],[DISKON]])/1.11</f>
        <v>6589751.3513513505</v>
      </c>
      <c r="L15" s="1">
        <f ca="1">KENKO[[#This Row],[DPP]]*11%</f>
        <v>724872.64864864852</v>
      </c>
      <c r="M15" s="1">
        <f ca="1">KENKO[[#This Row],[DPP]]+KENKO[[#This Row],[PPN (11%)]]</f>
        <v>7314623.9999999991</v>
      </c>
      <c r="N15" s="1" t="str">
        <f ca="1">INDEX(PAJAK[ID_P],MATCH(KENKO[[#This Row],[ID]],PAJAK[ID],0))</f>
        <v>KEN_1701_870-2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544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39</v>
      </c>
      <c r="C16" s="7">
        <f ca="1">HYPERLINK("[NOTA_.xlsx]PAJAK!b"&amp;KENKO[[#This Row],[//PAJAK]],IF(KENKO[[#This Row],[//PAJAK]]="","",INDEX(INDIRECT("PAJAK["&amp;KENKO[#Headers]&amp;"]"),KENKO[[#This Row],[//PAJAK]]-1)))</f>
        <v>87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45308</v>
      </c>
      <c r="F16" s="2">
        <f ca="1">IF(KENKO[[#This Row],[//PAJAK]]="","",INDEX(INDIRECT("PAJAK["&amp;KENKO[#Headers]&amp;"]"),KENKO[[#This Row],[//PAJAK]]-1))</f>
        <v>45306</v>
      </c>
      <c r="G16" s="9" t="str">
        <f ca="1">IF(KENKO[[#This Row],[//PAJAK]]="","",INDEX(INDIRECT("PAJAK["&amp;KENKO[#Headers]&amp;"]"),KENKO[[#This Row],[//PAJAK]]-1))</f>
        <v>24010839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24026400</v>
      </c>
      <c r="J16" s="1">
        <f ca="1">IF(KENKO[[#This Row],[//PAJAK]]="","",INDEX(INDIRECT("PAJAK["&amp;KENKO[#Headers]&amp;"]"),KENKO[[#This Row],[//PAJAK]]-1))</f>
        <v>4084488</v>
      </c>
      <c r="K16" s="1">
        <f ca="1">(KENKO[[#This Row],[SUB TOTAL]]-KENKO[[#This Row],[DISKON]])/1.11</f>
        <v>17965686.486486483</v>
      </c>
      <c r="L16" s="1">
        <f ca="1">KENKO[[#This Row],[DPP]]*11%</f>
        <v>1976225.5135135131</v>
      </c>
      <c r="M16" s="1">
        <f ca="1">KENKO[[#This Row],[DPP]]+KENKO[[#This Row],[PPN (11%)]]</f>
        <v>19941911.999999996</v>
      </c>
      <c r="N16" s="1" t="str">
        <f ca="1">INDEX(PAJAK[ID_P],MATCH(KENKO[[#This Row],[ID]],PAJAK[ID],0))</f>
        <v>KEN_1701_839-4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554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40</v>
      </c>
      <c r="C17" s="12">
        <f ca="1">HYPERLINK("[NOTA_.xlsx]PAJAK!b"&amp;KENKO[[#This Row],[//PAJAK]],IF(KENKO[[#This Row],[//PAJAK]]="","",INDEX(INDIRECT("PAJAK["&amp;KENKO[#Headers]&amp;"]"),KENKO[[#This Row],[//PAJAK]]-1)))</f>
        <v>89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45310</v>
      </c>
      <c r="F17" s="2">
        <f ca="1">IF(KENKO[[#This Row],[//PAJAK]]="","",INDEX(INDIRECT("PAJAK["&amp;KENKO[#Headers]&amp;"]"),KENKO[[#This Row],[//PAJAK]]-1))</f>
        <v>45308</v>
      </c>
      <c r="G17" s="6" t="str">
        <f ca="1">IF(KENKO[[#This Row],[//PAJAK]]="","",INDEX(INDIRECT("PAJAK["&amp;KENKO[#Headers]&amp;"]"),KENKO[[#This Row],[//PAJAK]]-1))</f>
        <v>24011068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43083800</v>
      </c>
      <c r="J17" s="1">
        <f ca="1">IF(KENKO[[#This Row],[//PAJAK]]="","",INDEX(INDIRECT("PAJAK["&amp;KENKO[#Headers]&amp;"]"),KENKO[[#This Row],[//PAJAK]]-1))</f>
        <v>7324246</v>
      </c>
      <c r="K17" s="1">
        <f ca="1">(KENKO[[#This Row],[SUB TOTAL]]-KENKO[[#This Row],[DISKON]])/1.11</f>
        <v>32215814.414414413</v>
      </c>
      <c r="L17" s="1">
        <f ca="1">KENKO[[#This Row],[DPP]]*11%</f>
        <v>3543739.5855855853</v>
      </c>
      <c r="M17" s="1">
        <f ca="1">KENKO[[#This Row],[DPP]]+KENKO[[#This Row],[PPN (11%)]]</f>
        <v>35759554</v>
      </c>
      <c r="N17" s="1" t="str">
        <f ca="1">INDEX(PAJAK[ID_P],MATCH(KENKO[[#This Row],[ID]],PAJAK[ID],0))</f>
        <v>KEN_1901_068-10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565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41</v>
      </c>
      <c r="C18" s="7">
        <f ca="1">HYPERLINK("[NOTA_.xlsx]PAJAK!b"&amp;KENKO[[#This Row],[//PAJAK]],IF(KENKO[[#This Row],[//PAJAK]]="","",INDEX(INDIRECT("PAJAK["&amp;KENKO[#Headers]&amp;"]"),KENKO[[#This Row],[//PAJAK]]-1)))</f>
        <v>90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45310</v>
      </c>
      <c r="F18" s="2">
        <f ca="1">IF(KENKO[[#This Row],[//PAJAK]]="","",INDEX(INDIRECT("PAJAK["&amp;KENKO[#Headers]&amp;"]"),KENKO[[#This Row],[//PAJAK]]-1))</f>
        <v>45308</v>
      </c>
      <c r="G18" s="9" t="str">
        <f ca="1">IF(KENKO[[#This Row],[//PAJAK]]="","",INDEX(INDIRECT("PAJAK["&amp;KENKO[#Headers]&amp;"]"),KENKO[[#This Row],[//PAJAK]]-1))</f>
        <v>24011089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9372000</v>
      </c>
      <c r="J18" s="1">
        <f ca="1">IF(KENKO[[#This Row],[//PAJAK]]="","",INDEX(INDIRECT("PAJAK["&amp;KENKO[#Headers]&amp;"]"),KENKO[[#This Row],[//PAJAK]]-1))</f>
        <v>1593240</v>
      </c>
      <c r="K18" s="1">
        <f ca="1">(KENKO[[#This Row],[SUB TOTAL]]-KENKO[[#This Row],[DISKON]])/1.11</f>
        <v>7007891.8918918911</v>
      </c>
      <c r="L18" s="1">
        <f ca="1">KENKO[[#This Row],[DPP]]*11%</f>
        <v>770868.10810810805</v>
      </c>
      <c r="M18" s="1">
        <f ca="1">KENKO[[#This Row],[DPP]]+KENKO[[#This Row],[PPN (11%)]]</f>
        <v>7778759.9999999991</v>
      </c>
      <c r="N18" s="1" t="str">
        <f ca="1">INDEX(PAJAK[ID_P],MATCH(KENKO[[#This Row],[ID]],PAJAK[ID],0))</f>
        <v>KEN_1901_089-4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570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42</v>
      </c>
      <c r="C19" s="12">
        <f ca="1">HYPERLINK("[NOTA_.xlsx]PAJAK!b"&amp;KENKO[[#This Row],[//PAJAK]],IF(KENKO[[#This Row],[//PAJAK]]="","",INDEX(INDIRECT("PAJAK["&amp;KENKO[#Headers]&amp;"]"),KENKO[[#This Row],[//PAJAK]]-1)))</f>
        <v>91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45310</v>
      </c>
      <c r="F19" s="2">
        <f ca="1">IF(KENKO[[#This Row],[//PAJAK]]="","",INDEX(INDIRECT("PAJAK["&amp;KENKO[#Headers]&amp;"]"),KENKO[[#This Row],[//PAJAK]]-1))</f>
        <v>45308</v>
      </c>
      <c r="G19" s="6" t="str">
        <f ca="1">IF(KENKO[[#This Row],[//PAJAK]]="","",INDEX(INDIRECT("PAJAK["&amp;KENKO[#Headers]&amp;"]"),KENKO[[#This Row],[//PAJAK]]-1))</f>
        <v>24011070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10489200</v>
      </c>
      <c r="J19" s="1">
        <f ca="1">IF(KENKO[[#This Row],[//PAJAK]]="","",INDEX(INDIRECT("PAJAK["&amp;KENKO[#Headers]&amp;"]"),KENKO[[#This Row],[//PAJAK]]-1))</f>
        <v>1783164</v>
      </c>
      <c r="K19" s="1">
        <f ca="1">(KENKO[[#This Row],[SUB TOTAL]]-KENKO[[#This Row],[DISKON]])/1.11</f>
        <v>7843275.6756756753</v>
      </c>
      <c r="L19" s="1">
        <f ca="1">KENKO[[#This Row],[DPP]]*11%</f>
        <v>862760.32432432426</v>
      </c>
      <c r="M19" s="1">
        <f ca="1">KENKO[[#This Row],[DPP]]+KENKO[[#This Row],[PPN (11%)]]</f>
        <v>8706036</v>
      </c>
      <c r="N19" s="1" t="str">
        <f ca="1">INDEX(PAJAK[ID_P],MATCH(KENKO[[#This Row],[ID]],PAJAK[ID],0))</f>
        <v>KEN_1901_070-5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576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43</v>
      </c>
      <c r="C20" s="7">
        <f ca="1">HYPERLINK("[NOTA_.xlsx]PAJAK!b"&amp;KENKO[[#This Row],[//PAJAK]],IF(KENKO[[#This Row],[//PAJAK]]="","",INDEX(INDIRECT("PAJAK["&amp;KENKO[#Headers]&amp;"]"),KENKO[[#This Row],[//PAJAK]]-1)))</f>
        <v>92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45310</v>
      </c>
      <c r="F20" s="2">
        <f ca="1">IF(KENKO[[#This Row],[//PAJAK]]="","",INDEX(INDIRECT("PAJAK["&amp;KENKO[#Headers]&amp;"]"),KENKO[[#This Row],[//PAJAK]]-1))</f>
        <v>45307</v>
      </c>
      <c r="G20" s="9" t="str">
        <f ca="1">IF(KENKO[[#This Row],[//PAJAK]]="","",INDEX(INDIRECT("PAJAK["&amp;KENKO[#Headers]&amp;"]"),KENKO[[#This Row],[//PAJAK]]-1))</f>
        <v>24010885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2112000</v>
      </c>
      <c r="J20" s="1">
        <f ca="1">IF(KENKO[[#This Row],[//PAJAK]]="","",INDEX(INDIRECT("PAJAK["&amp;KENKO[#Headers]&amp;"]"),KENKO[[#This Row],[//PAJAK]]-1))</f>
        <v>359040</v>
      </c>
      <c r="K20" s="1">
        <f ca="1">(KENKO[[#This Row],[SUB TOTAL]]-KENKO[[#This Row],[DISKON]])/1.11</f>
        <v>1579243.2432432431</v>
      </c>
      <c r="L20" s="1">
        <f ca="1">KENKO[[#This Row],[DPP]]*11%</f>
        <v>173716.75675675675</v>
      </c>
      <c r="M20" s="1">
        <f ca="1">KENKO[[#This Row],[DPP]]+KENKO[[#This Row],[PPN (11%)]]</f>
        <v>1752959.9999999998</v>
      </c>
      <c r="N20" s="1" t="str">
        <f ca="1">INDEX(PAJAK[ID_P],MATCH(KENKO[[#This Row],[ID]],PAJAK[ID],0))</f>
        <v>KEN_1901_885-1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659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53</v>
      </c>
      <c r="C21" s="7">
        <f ca="1">HYPERLINK("[NOTA_.xlsx]PAJAK!b"&amp;KENKO[[#This Row],[//PAJAK]],IF(KENKO[[#This Row],[//PAJAK]]="","",INDEX(INDIRECT("PAJAK["&amp;KENKO[#Headers]&amp;"]"),KENKO[[#This Row],[//PAJAK]]-1)))</f>
        <v>108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45313</v>
      </c>
      <c r="F21" s="2">
        <f ca="1">IF(KENKO[[#This Row],[//PAJAK]]="","",INDEX(INDIRECT("PAJAK["&amp;KENKO[#Headers]&amp;"]"),KENKO[[#This Row],[//PAJAK]]-1))</f>
        <v>45309</v>
      </c>
      <c r="G21" s="9" t="str">
        <f ca="1">IF(KENKO[[#This Row],[//PAJAK]]="","",INDEX(INDIRECT("PAJAK["&amp;KENKO[#Headers]&amp;"]"),KENKO[[#This Row],[//PAJAK]]-1))</f>
        <v>24011189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6476000</v>
      </c>
      <c r="J21" s="1">
        <f ca="1">IF(KENKO[[#This Row],[//PAJAK]]="","",INDEX(INDIRECT("PAJAK["&amp;KENKO[#Headers]&amp;"]"),KENKO[[#This Row],[//PAJAK]]-1))</f>
        <v>1100920</v>
      </c>
      <c r="K21" s="1">
        <f ca="1">(KENKO[[#This Row],[SUB TOTAL]]-KENKO[[#This Row],[DISKON]])/1.11</f>
        <v>4842414.4144144142</v>
      </c>
      <c r="L21" s="1">
        <f ca="1">KENKO[[#This Row],[DPP]]*11%</f>
        <v>532665.58558558556</v>
      </c>
      <c r="M21" s="1">
        <f ca="1">KENKO[[#This Row],[DPP]]+KENKO[[#This Row],[PPN (11%)]]</f>
        <v>5375080</v>
      </c>
      <c r="N21" s="1" t="str">
        <f ca="1">INDEX(PAJAK[ID_P],MATCH(KENKO[[#This Row],[ID]],PAJAK[ID],0))</f>
        <v>KEN_2201_189-2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662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54</v>
      </c>
      <c r="C22" s="7">
        <f ca="1">HYPERLINK("[NOTA_.xlsx]PAJAK!b"&amp;KENKO[[#This Row],[//PAJAK]],IF(KENKO[[#This Row],[//PAJAK]]="","",INDEX(INDIRECT("PAJAK["&amp;KENKO[#Headers]&amp;"]"),KENKO[[#This Row],[//PAJAK]]-1)))</f>
        <v>109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45313</v>
      </c>
      <c r="F22" s="2">
        <f ca="1">IF(KENKO[[#This Row],[//PAJAK]]="","",INDEX(INDIRECT("PAJAK["&amp;KENKO[#Headers]&amp;"]"),KENKO[[#This Row],[//PAJAK]]-1))</f>
        <v>45310</v>
      </c>
      <c r="G22" s="9" t="str">
        <f ca="1">IF(KENKO[[#This Row],[//PAJAK]]="","",INDEX(INDIRECT("PAJAK["&amp;KENKO[#Headers]&amp;"]"),KENKO[[#This Row],[//PAJAK]]-1))</f>
        <v>24011278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22036400</v>
      </c>
      <c r="J22" s="1">
        <f ca="1">IF(KENKO[[#This Row],[//PAJAK]]="","",INDEX(INDIRECT("PAJAK["&amp;KENKO[#Headers]&amp;"]"),KENKO[[#This Row],[//PAJAK]]-1))</f>
        <v>3746188</v>
      </c>
      <c r="K22" s="1">
        <f ca="1">(KENKO[[#This Row],[SUB TOTAL]]-KENKO[[#This Row],[DISKON]])/1.11</f>
        <v>16477668.468468467</v>
      </c>
      <c r="L22" s="1">
        <f ca="1">KENKO[[#This Row],[DPP]]*11%</f>
        <v>1812543.5315315314</v>
      </c>
      <c r="M22" s="1">
        <f ca="1">KENKO[[#This Row],[DPP]]+KENKO[[#This Row],[PPN (11%)]]</f>
        <v>18290212</v>
      </c>
      <c r="N22" s="1" t="str">
        <f ca="1">INDEX(PAJAK[ID_P],MATCH(KENKO[[#This Row],[ID]],PAJAK[ID],0))</f>
        <v>KEN_2201_278-10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673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55</v>
      </c>
      <c r="C23" s="7">
        <f ca="1">HYPERLINK("[NOTA_.xlsx]PAJAK!b"&amp;KENKO[[#This Row],[//PAJAK]],IF(KENKO[[#This Row],[//PAJAK]]="","",INDEX(INDIRECT("PAJAK["&amp;KENKO[#Headers]&amp;"]"),KENKO[[#This Row],[//PAJAK]]-1)))</f>
        <v>110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45313</v>
      </c>
      <c r="F23" s="2">
        <f ca="1">IF(KENKO[[#This Row],[//PAJAK]]="","",INDEX(INDIRECT("PAJAK["&amp;KENKO[#Headers]&amp;"]"),KENKO[[#This Row],[//PAJAK]]-1))</f>
        <v>45310</v>
      </c>
      <c r="G23" s="9" t="str">
        <f ca="1">IF(KENKO[[#This Row],[//PAJAK]]="","",INDEX(INDIRECT("PAJAK["&amp;KENKO[#Headers]&amp;"]"),KENKO[[#This Row],[//PAJAK]]-1))</f>
        <v>24011279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4896000</v>
      </c>
      <c r="J23" s="1">
        <f ca="1">IF(KENKO[[#This Row],[//PAJAK]]="","",INDEX(INDIRECT("PAJAK["&amp;KENKO[#Headers]&amp;"]"),KENKO[[#This Row],[//PAJAK]]-1))</f>
        <v>832320</v>
      </c>
      <c r="K23" s="1">
        <f ca="1">(KENKO[[#This Row],[SUB TOTAL]]-KENKO[[#This Row],[DISKON]])/1.11</f>
        <v>3660972.9729729728</v>
      </c>
      <c r="L23" s="1">
        <f ca="1">KENKO[[#This Row],[DPP]]*11%</f>
        <v>402707.02702702698</v>
      </c>
      <c r="M23" s="1">
        <f ca="1">KENKO[[#This Row],[DPP]]+KENKO[[#This Row],[PPN (11%)]]</f>
        <v>4063680</v>
      </c>
      <c r="N23" s="1" t="str">
        <f ca="1">INDEX(PAJAK[ID_P],MATCH(KENKO[[#This Row],[ID]],PAJAK[ID],0))</f>
        <v>KEN_2201_279-2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676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56</v>
      </c>
      <c r="C24" s="7">
        <f ca="1">HYPERLINK("[NOTA_.xlsx]PAJAK!b"&amp;KENKO[[#This Row],[//PAJAK]],IF(KENKO[[#This Row],[//PAJAK]]="","",INDEX(INDIRECT("PAJAK["&amp;KENKO[#Headers]&amp;"]"),KENKO[[#This Row],[//PAJAK]]-1)))</f>
        <v>111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45313</v>
      </c>
      <c r="F24" s="2">
        <f ca="1">IF(KENKO[[#This Row],[//PAJAK]]="","",INDEX(INDIRECT("PAJAK["&amp;KENKO[#Headers]&amp;"]"),KENKO[[#This Row],[//PAJAK]]-1))</f>
        <v>45311</v>
      </c>
      <c r="G24" s="9" t="str">
        <f ca="1">IF(KENKO[[#This Row],[//PAJAK]]="","",INDEX(INDIRECT("PAJAK["&amp;KENKO[#Headers]&amp;"]"),KENKO[[#This Row],[//PAJAK]]-1))</f>
        <v>24011365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16913600</v>
      </c>
      <c r="J24" s="1">
        <f ca="1">IF(KENKO[[#This Row],[//PAJAK]]="","",INDEX(INDIRECT("PAJAK["&amp;KENKO[#Headers]&amp;"]"),KENKO[[#This Row],[//PAJAK]]-1))</f>
        <v>2875312</v>
      </c>
      <c r="K24" s="1">
        <f ca="1">(KENKO[[#This Row],[SUB TOTAL]]-KENKO[[#This Row],[DISKON]])/1.11</f>
        <v>12647106.306306304</v>
      </c>
      <c r="L24" s="1">
        <f ca="1">KENKO[[#This Row],[DPP]]*11%</f>
        <v>1391181.6936936935</v>
      </c>
      <c r="M24" s="1">
        <f ca="1">KENKO[[#This Row],[DPP]]+KENKO[[#This Row],[PPN (11%)]]</f>
        <v>14038287.999999998</v>
      </c>
      <c r="N24" s="1" t="str">
        <f ca="1">INDEX(PAJAK[ID_P],MATCH(KENKO[[#This Row],[ID]],PAJAK[ID],0))</f>
        <v>KEN_2201_365-9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686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57</v>
      </c>
      <c r="C25" s="7">
        <f ca="1">HYPERLINK("[NOTA_.xlsx]PAJAK!b"&amp;KENKO[[#This Row],[//PAJAK]],IF(KENKO[[#This Row],[//PAJAK]]="","",INDEX(INDIRECT("PAJAK["&amp;KENKO[#Headers]&amp;"]"),KENKO[[#This Row],[//PAJAK]]-1)))</f>
        <v>112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45313</v>
      </c>
      <c r="F25" s="2">
        <f ca="1">IF(KENKO[[#This Row],[//PAJAK]]="","",INDEX(INDIRECT("PAJAK["&amp;KENKO[#Headers]&amp;"]"),KENKO[[#This Row],[//PAJAK]]-1))</f>
        <v>45311</v>
      </c>
      <c r="G25" s="9" t="str">
        <f ca="1">IF(KENKO[[#This Row],[//PAJAK]]="","",INDEX(INDIRECT("PAJAK["&amp;KENKO[#Headers]&amp;"]"),KENKO[[#This Row],[//PAJAK]]-1))</f>
        <v>24011371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4608000</v>
      </c>
      <c r="J25" s="1">
        <f ca="1">IF(KENKO[[#This Row],[//PAJAK]]="","",INDEX(INDIRECT("PAJAK["&amp;KENKO[#Headers]&amp;"]"),KENKO[[#This Row],[//PAJAK]]-1))</f>
        <v>783360</v>
      </c>
      <c r="K25" s="1">
        <f ca="1">(KENKO[[#This Row],[SUB TOTAL]]-KENKO[[#This Row],[DISKON]])/1.11</f>
        <v>3445621.6216216213</v>
      </c>
      <c r="L25" s="1">
        <f ca="1">KENKO[[#This Row],[DPP]]*11%</f>
        <v>379018.37837837834</v>
      </c>
      <c r="M25" s="1">
        <f ca="1">KENKO[[#This Row],[DPP]]+KENKO[[#This Row],[PPN (11%)]]</f>
        <v>3824639.9999999995</v>
      </c>
      <c r="N25" s="1" t="str">
        <f ca="1">INDEX(PAJAK[ID_P],MATCH(KENKO[[#This Row],[ID]],PAJAK[ID],0))</f>
        <v>KEN_2201_371-1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688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58</v>
      </c>
      <c r="C26" s="7">
        <f ca="1">HYPERLINK("[NOTA_.xlsx]PAJAK!b"&amp;KENKO[[#This Row],[//PAJAK]],IF(KENKO[[#This Row],[//PAJAK]]="","",INDEX(INDIRECT("PAJAK["&amp;KENKO[#Headers]&amp;"]"),KENKO[[#This Row],[//PAJAK]]-1)))</f>
        <v>113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45316</v>
      </c>
      <c r="F26" s="2">
        <f ca="1">IF(KENKO[[#This Row],[//PAJAK]]="","",INDEX(INDIRECT("PAJAK["&amp;KENKO[#Headers]&amp;"]"),KENKO[[#This Row],[//PAJAK]]-1))</f>
        <v>45314</v>
      </c>
      <c r="G26" s="9" t="str">
        <f ca="1">IF(KENKO[[#This Row],[//PAJAK]]="","",INDEX(INDIRECT("PAJAK["&amp;KENKO[#Headers]&amp;"]"),KENKO[[#This Row],[//PAJAK]]-1))</f>
        <v>24011487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6861600</v>
      </c>
      <c r="J26" s="1">
        <f ca="1">IF(KENKO[[#This Row],[//PAJAK]]="","",INDEX(INDIRECT("PAJAK["&amp;KENKO[#Headers]&amp;"]"),KENKO[[#This Row],[//PAJAK]]-1))</f>
        <v>1166472</v>
      </c>
      <c r="K26" s="1">
        <f ca="1">(KENKO[[#This Row],[SUB TOTAL]]-KENKO[[#This Row],[DISKON]])/1.11</f>
        <v>5130745.9459459456</v>
      </c>
      <c r="L26" s="1">
        <f ca="1">KENKO[[#This Row],[DPP]]*11%</f>
        <v>564382.05405405397</v>
      </c>
      <c r="M26" s="1">
        <f ca="1">KENKO[[#This Row],[DPP]]+KENKO[[#This Row],[PPN (11%)]]</f>
        <v>5695128</v>
      </c>
      <c r="N26" s="1" t="str">
        <f ca="1">INDEX(PAJAK[ID_P],MATCH(KENKO[[#This Row],[ID]],PAJAK[ID],0))</f>
        <v>KEN_2501_487-2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753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61</v>
      </c>
      <c r="C27" s="7">
        <f ca="1">HYPERLINK("[NOTA_.xlsx]PAJAK!b"&amp;KENKO[[#This Row],[//PAJAK]],IF(KENKO[[#This Row],[//PAJAK]]="","",INDEX(INDIRECT("PAJAK["&amp;KENKO[#Headers]&amp;"]"),KENKO[[#This Row],[//PAJAK]]-1)))</f>
        <v>128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45317</v>
      </c>
      <c r="F27" s="2">
        <f ca="1">IF(KENKO[[#This Row],[//PAJAK]]="","",INDEX(INDIRECT("PAJAK["&amp;KENKO[#Headers]&amp;"]"),KENKO[[#This Row],[//PAJAK]]-1))</f>
        <v>41663</v>
      </c>
      <c r="G27" s="9" t="str">
        <f ca="1">IF(KENKO[[#This Row],[//PAJAK]]="","",INDEX(INDIRECT("PAJAK["&amp;KENKO[#Headers]&amp;"]"),KENKO[[#This Row],[//PAJAK]]-1))</f>
        <v>24011641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95162400</v>
      </c>
      <c r="J27" s="1">
        <f ca="1">IF(KENKO[[#This Row],[//PAJAK]]="","",INDEX(INDIRECT("PAJAK["&amp;KENKO[#Headers]&amp;"]"),KENKO[[#This Row],[//PAJAK]]-1))</f>
        <v>16177608</v>
      </c>
      <c r="K27" s="1">
        <f ca="1">(KENKO[[#This Row],[SUB TOTAL]]-KENKO[[#This Row],[DISKON]])/1.11</f>
        <v>71157470.270270258</v>
      </c>
      <c r="L27" s="1">
        <f ca="1">KENKO[[#This Row],[DPP]]*11%</f>
        <v>7827321.7297297288</v>
      </c>
      <c r="M27" s="1">
        <f ca="1">KENKO[[#This Row],[DPP]]+KENKO[[#This Row],[PPN (11%)]]</f>
        <v>78984791.999999985</v>
      </c>
      <c r="N27" s="1" t="str">
        <f ca="1">INDEX(PAJAK[ID_P],MATCH(KENKO[[#This Row],[ID]],PAJAK[ID],0))</f>
        <v>KEN_2601_641-4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758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62</v>
      </c>
      <c r="C28" s="7">
        <f ca="1">HYPERLINK("[NOTA_.xlsx]PAJAK!b"&amp;KENKO[[#This Row],[//PAJAK]],IF(KENKO[[#This Row],[//PAJAK]]="","",INDEX(INDIRECT("PAJAK["&amp;KENKO[#Headers]&amp;"]"),KENKO[[#This Row],[//PAJAK]]-1)))</f>
        <v>129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45317</v>
      </c>
      <c r="F28" s="2">
        <f ca="1">IF(KENKO[[#This Row],[//PAJAK]]="","",INDEX(INDIRECT("PAJAK["&amp;KENKO[#Headers]&amp;"]"),KENKO[[#This Row],[//PAJAK]]-1))</f>
        <v>45313</v>
      </c>
      <c r="G28" s="9" t="str">
        <f ca="1">IF(KENKO[[#This Row],[//PAJAK]]="","",INDEX(INDIRECT("PAJAK["&amp;KENKO[#Headers]&amp;"]"),KENKO[[#This Row],[//PAJAK]]-1))</f>
        <v>24011462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4262400</v>
      </c>
      <c r="J28" s="1">
        <f ca="1">IF(KENKO[[#This Row],[//PAJAK]]="","",INDEX(INDIRECT("PAJAK["&amp;KENKO[#Headers]&amp;"]"),KENKO[[#This Row],[//PAJAK]]-1))</f>
        <v>724608</v>
      </c>
      <c r="K28" s="1">
        <f ca="1">(KENKO[[#This Row],[SUB TOTAL]]-KENKO[[#This Row],[DISKON]])/1.11</f>
        <v>3187199.9999999995</v>
      </c>
      <c r="L28" s="1">
        <f ca="1">KENKO[[#This Row],[DPP]]*11%</f>
        <v>350591.99999999994</v>
      </c>
      <c r="M28" s="1">
        <f ca="1">KENKO[[#This Row],[DPP]]+KENKO[[#This Row],[PPN (11%)]]</f>
        <v>3537791.9999999995</v>
      </c>
      <c r="N28" s="1" t="str">
        <f ca="1">INDEX(PAJAK[ID_P],MATCH(KENKO[[#This Row],[ID]],PAJAK[ID],0))</f>
        <v>KEN_2601_462-2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772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66</v>
      </c>
      <c r="C29" s="7">
        <f ca="1">HYPERLINK("[NOTA_.xlsx]PAJAK!b"&amp;KENKO[[#This Row],[//PAJAK]],IF(KENKO[[#This Row],[//PAJAK]]="","",INDEX(INDIRECT("PAJAK["&amp;KENKO[#Headers]&amp;"]"),KENKO[[#This Row],[//PAJAK]]-1)))</f>
        <v>133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45320</v>
      </c>
      <c r="F29" s="2">
        <f ca="1">IF(KENKO[[#This Row],[//PAJAK]]="","",INDEX(INDIRECT("PAJAK["&amp;KENKO[#Headers]&amp;"]"),KENKO[[#This Row],[//PAJAK]]-1))</f>
        <v>45317</v>
      </c>
      <c r="G29" s="9" t="str">
        <f ca="1">IF(KENKO[[#This Row],[//PAJAK]]="","",INDEX(INDIRECT("PAJAK["&amp;KENKO[#Headers]&amp;"]"),KENKO[[#This Row],[//PAJAK]]-1))</f>
        <v>24011826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15616800</v>
      </c>
      <c r="J29" s="1">
        <f ca="1">IF(KENKO[[#This Row],[//PAJAK]]="","",INDEX(INDIRECT("PAJAK["&amp;KENKO[#Headers]&amp;"]"),KENKO[[#This Row],[//PAJAK]]-1))</f>
        <v>2654856</v>
      </c>
      <c r="K29" s="1">
        <f ca="1">(KENKO[[#This Row],[SUB TOTAL]]-KENKO[[#This Row],[DISKON]])/1.11</f>
        <v>11677427.027027026</v>
      </c>
      <c r="L29" s="1">
        <f ca="1">KENKO[[#This Row],[DPP]]*11%</f>
        <v>1284516.9729729728</v>
      </c>
      <c r="M29" s="1">
        <f ca="1">KENKO[[#This Row],[DPP]]+KENKO[[#This Row],[PPN (11%)]]</f>
        <v>12961943.999999998</v>
      </c>
      <c r="N29" s="1" t="str">
        <f ca="1">INDEX(PAJAK[ID_P],MATCH(KENKO[[#This Row],[ID]],PAJAK[ID],0))</f>
        <v>KEN_2901_826-3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776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67</v>
      </c>
      <c r="C30" s="7">
        <f ca="1">HYPERLINK("[NOTA_.xlsx]PAJAK!b"&amp;KENKO[[#This Row],[//PAJAK]],IF(KENKO[[#This Row],[//PAJAK]]="","",INDEX(INDIRECT("PAJAK["&amp;KENKO[#Headers]&amp;"]"),KENKO[[#This Row],[//PAJAK]]-1)))</f>
        <v>134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45320</v>
      </c>
      <c r="F30" s="2">
        <f ca="1">IF(KENKO[[#This Row],[//PAJAK]]="","",INDEX(INDIRECT("PAJAK["&amp;KENKO[#Headers]&amp;"]"),KENKO[[#This Row],[//PAJAK]]-1))</f>
        <v>45316</v>
      </c>
      <c r="G30" s="9" t="str">
        <f ca="1">IF(KENKO[[#This Row],[//PAJAK]]="","",INDEX(INDIRECT("PAJAK["&amp;KENKO[#Headers]&amp;"]"),KENKO[[#This Row],[//PAJAK]]-1))</f>
        <v>24011770</v>
      </c>
      <c r="H30" s="3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3916800</v>
      </c>
      <c r="J30" s="1">
        <f ca="1">IF(KENKO[[#This Row],[//PAJAK]]="","",INDEX(INDIRECT("PAJAK["&amp;KENKO[#Headers]&amp;"]"),KENKO[[#This Row],[//PAJAK]]-1))</f>
        <v>665856</v>
      </c>
      <c r="K30" s="1">
        <f ca="1">(KENKO[[#This Row],[SUB TOTAL]]-KENKO[[#This Row],[DISKON]])/1.11</f>
        <v>2928778.3783783782</v>
      </c>
      <c r="L30" s="1">
        <f ca="1">KENKO[[#This Row],[DPP]]*11%</f>
        <v>322165.6216216216</v>
      </c>
      <c r="M30" s="1">
        <f ca="1">KENKO[[#This Row],[DPP]]+KENKO[[#This Row],[PPN (11%)]]</f>
        <v>3250944</v>
      </c>
      <c r="N30" s="1" t="str">
        <f ca="1">INDEX(PAJAK[ID_P],MATCH(KENKO[[#This Row],[ID]],PAJAK[ID],0))</f>
        <v>KEN_2901_770-2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779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68</v>
      </c>
      <c r="C31" s="7">
        <f ca="1">HYPERLINK("[NOTA_.xlsx]PAJAK!b"&amp;KENKO[[#This Row],[//PAJAK]],IF(KENKO[[#This Row],[//PAJAK]]="","",INDEX(INDIRECT("PAJAK["&amp;KENKO[#Headers]&amp;"]"),KENKO[[#This Row],[//PAJAK]]-1)))</f>
        <v>135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45320</v>
      </c>
      <c r="F31" s="2">
        <f ca="1">IF(KENKO[[#This Row],[//PAJAK]]="","",INDEX(INDIRECT("PAJAK["&amp;KENKO[#Headers]&amp;"]"),KENKO[[#This Row],[//PAJAK]]-1))</f>
        <v>45316</v>
      </c>
      <c r="G31" s="9" t="str">
        <f ca="1">IF(KENKO[[#This Row],[//PAJAK]]="","",INDEX(INDIRECT("PAJAK["&amp;KENKO[#Headers]&amp;"]"),KENKO[[#This Row],[//PAJAK]]-1))</f>
        <v>24011725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19461600</v>
      </c>
      <c r="J31" s="1">
        <f ca="1">IF(KENKO[[#This Row],[//PAJAK]]="","",INDEX(INDIRECT("PAJAK["&amp;KENKO[#Headers]&amp;"]"),KENKO[[#This Row],[//PAJAK]]-1))</f>
        <v>3308472</v>
      </c>
      <c r="K31" s="1">
        <f ca="1">(KENKO[[#This Row],[SUB TOTAL]]-KENKO[[#This Row],[DISKON]])/1.11</f>
        <v>14552367.567567566</v>
      </c>
      <c r="L31" s="1">
        <f ca="1">KENKO[[#This Row],[DPP]]*11%</f>
        <v>1600760.4324324324</v>
      </c>
      <c r="M31" s="1">
        <f ca="1">KENKO[[#This Row],[DPP]]+KENKO[[#This Row],[PPN (11%)]]</f>
        <v>16153127.999999998</v>
      </c>
      <c r="N31" s="1" t="str">
        <f ca="1">INDEX(PAJAK[ID_P],MATCH(KENKO[[#This Row],[ID]],PAJAK[ID],0))</f>
        <v>KEN_2901_725-2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782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69</v>
      </c>
      <c r="C32" s="7">
        <f ca="1">HYPERLINK("[NOTA_.xlsx]PAJAK!b"&amp;KENKO[[#This Row],[//PAJAK]],IF(KENKO[[#This Row],[//PAJAK]]="","",INDEX(INDIRECT("PAJAK["&amp;KENKO[#Headers]&amp;"]"),KENKO[[#This Row],[//PAJAK]]-1)))</f>
        <v>136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45320</v>
      </c>
      <c r="F32" s="2">
        <f ca="1">IF(KENKO[[#This Row],[//PAJAK]]="","",INDEX(INDIRECT("PAJAK["&amp;KENKO[#Headers]&amp;"]"),KENKO[[#This Row],[//PAJAK]]-1))</f>
        <v>45318</v>
      </c>
      <c r="G32" s="9" t="str">
        <f ca="1">IF(KENKO[[#This Row],[//PAJAK]]="","",INDEX(INDIRECT("PAJAK["&amp;KENKO[#Headers]&amp;"]"),KENKO[[#This Row],[//PAJAK]]-1))</f>
        <v>24011904</v>
      </c>
      <c r="H32" s="3" t="str">
        <f ca="1">IF(KENKO[[#This Row],[//PAJAK]]="","",INDEX(INDIRECT("PAJAK["&amp;KENKO[#Headers]&amp;"]"),KENKO[[#This Row],[//PAJAK]]-1))</f>
        <v/>
      </c>
      <c r="I32" s="1">
        <f ca="1">IF(KENKO[[#This Row],[//PAJAK]]="","",INDEX(INDIRECT("PAJAK["&amp;KENKO[#Headers]&amp;"]"),KENKO[[#This Row],[//PAJAK]]-1))</f>
        <v>1348800</v>
      </c>
      <c r="J32" s="1">
        <f ca="1">IF(KENKO[[#This Row],[//PAJAK]]="","",INDEX(INDIRECT("PAJAK["&amp;KENKO[#Headers]&amp;"]"),KENKO[[#This Row],[//PAJAK]]-1))</f>
        <v>229296</v>
      </c>
      <c r="K32" s="1">
        <f ca="1">(KENKO[[#This Row],[SUB TOTAL]]-KENKO[[#This Row],[DISKON]])/1.11</f>
        <v>1008562.1621621621</v>
      </c>
      <c r="L32" s="1">
        <f ca="1">KENKO[[#This Row],[DPP]]*11%</f>
        <v>110941.83783783784</v>
      </c>
      <c r="M32" s="1">
        <f ca="1">KENKO[[#This Row],[DPP]]+KENKO[[#This Row],[PPN (11%)]]</f>
        <v>1119504</v>
      </c>
      <c r="N32" s="1" t="str">
        <f ca="1">INDEX(PAJAK[ID_P],MATCH(KENKO[[#This Row],[ID]],PAJAK[ID],0))</f>
        <v>KEN_2901_904-2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793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70</v>
      </c>
      <c r="C33" s="7">
        <f ca="1">HYPERLINK("[NOTA_.xlsx]PAJAK!b"&amp;KENKO[[#This Row],[//PAJAK]],IF(KENKO[[#This Row],[//PAJAK]]="","",INDEX(INDIRECT("PAJAK["&amp;KENKO[#Headers]&amp;"]"),KENKO[[#This Row],[//PAJAK]]-1)))</f>
        <v>139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45323</v>
      </c>
      <c r="F33" s="2">
        <f ca="1">IF(KENKO[[#This Row],[//PAJAK]]="","",INDEX(INDIRECT("PAJAK["&amp;KENKO[#Headers]&amp;"]"),KENKO[[#This Row],[//PAJAK]]-1))</f>
        <v>45320</v>
      </c>
      <c r="G33" s="9" t="str">
        <f ca="1">IF(KENKO[[#This Row],[//PAJAK]]="","",INDEX(INDIRECT("PAJAK["&amp;KENKO[#Headers]&amp;"]"),KENKO[[#This Row],[//PAJAK]]-1))</f>
        <v>24011989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5440800</v>
      </c>
      <c r="J33" s="1">
        <f ca="1">IF(KENKO[[#This Row],[//PAJAK]]="","",INDEX(INDIRECT("PAJAK["&amp;KENKO[#Headers]&amp;"]"),KENKO[[#This Row],[//PAJAK]]-1))</f>
        <v>924936</v>
      </c>
      <c r="K33" s="1">
        <f ca="1">(KENKO[[#This Row],[SUB TOTAL]]-KENKO[[#This Row],[DISKON]])/1.11</f>
        <v>4068345.9459459456</v>
      </c>
      <c r="L33" s="1">
        <f ca="1">KENKO[[#This Row],[DPP]]*11%</f>
        <v>447518.05405405402</v>
      </c>
      <c r="M33" s="1">
        <f ca="1">KENKO[[#This Row],[DPP]]+KENKO[[#This Row],[PPN (11%)]]</f>
        <v>4515864</v>
      </c>
      <c r="N33" s="1" t="str">
        <f ca="1">INDEX(PAJAK[ID_P],MATCH(KENKO[[#This Row],[ID]],PAJAK[ID],0))</f>
        <v>KEN_0102_989-5</v>
      </c>
    </row>
    <row r="34" spans="1:14" x14ac:dyDescent="0.25">
      <c r="A34" s="11">
        <f ca="1">HYPERLINK("[NOTA_.xlsx]NOTA!A"&amp;MATCH(KENKO[[#This Row],[ID]],NOTA[ID],0)+2,IF(KENKO[[#This Row],[//PAJAK]]="","",MATCH(KENKO[[#This Row],[ID]],NOTA[ID],0)+2))</f>
        <v>848</v>
      </c>
      <c r="B34" s="7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>71</v>
      </c>
      <c r="C34" s="7">
        <f ca="1">HYPERLINK("[NOTA_.xlsx]PAJAK!b"&amp;KENKO[[#This Row],[//PAJAK]],IF(KENKO[[#This Row],[//PAJAK]]="","",INDEX(INDIRECT("PAJAK["&amp;KENKO[#Headers]&amp;"]"),KENKO[[#This Row],[//PAJAK]]-1)))</f>
        <v>151</v>
      </c>
      <c r="D34" s="3" t="str">
        <f ca="1">IF(KENKO[[#This Row],[//PAJAK]]="","",INDEX(INDIRECT("PAJAK["&amp;KENKO[#Headers]&amp;"]"),KENKO[[#This Row],[//PAJAK]]-1))</f>
        <v>PT KENKO SINAR INDONESIA</v>
      </c>
      <c r="E34" s="2">
        <f ca="1">IF(KENKO[[#This Row],[//PAJAK]]="","",INDEX(INDIRECT("PAJAK["&amp;KENKO[#Headers]&amp;"]"),KENKO[[#This Row],[//PAJAK]]-1))</f>
        <v>45327</v>
      </c>
      <c r="F34" s="2">
        <f ca="1">IF(KENKO[[#This Row],[//PAJAK]]="","",INDEX(INDIRECT("PAJAK["&amp;KENKO[#Headers]&amp;"]"),KENKO[[#This Row],[//PAJAK]]-1))</f>
        <v>45324</v>
      </c>
      <c r="G34" s="9" t="str">
        <f ca="1">IF(KENKO[[#This Row],[//PAJAK]]="","",INDEX(INDIRECT("PAJAK["&amp;KENKO[#Headers]&amp;"]"),KENKO[[#This Row],[//PAJAK]]-1))</f>
        <v>24020139</v>
      </c>
      <c r="H34" s="3" t="str">
        <f ca="1">IF(KENKO[[#This Row],[//PAJAK]]="","",INDEX(INDIRECT("PAJAK["&amp;KENKO[#Headers]&amp;"]"),KENKO[[#This Row],[//PAJAK]]-1))</f>
        <v/>
      </c>
      <c r="I34" s="1">
        <f ca="1">IF(KENKO[[#This Row],[//PAJAK]]="","",INDEX(INDIRECT("PAJAK["&amp;KENKO[#Headers]&amp;"]"),KENKO[[#This Row],[//PAJAK]]-1))</f>
        <v>1944000</v>
      </c>
      <c r="J34" s="1">
        <f ca="1">IF(KENKO[[#This Row],[//PAJAK]]="","",INDEX(INDIRECT("PAJAK["&amp;KENKO[#Headers]&amp;"]"),KENKO[[#This Row],[//PAJAK]]-1))</f>
        <v>330480</v>
      </c>
      <c r="K34" s="1">
        <f ca="1">(KENKO[[#This Row],[SUB TOTAL]]-KENKO[[#This Row],[DISKON]])/1.11</f>
        <v>1453621.6216216215</v>
      </c>
      <c r="L34" s="1">
        <f ca="1">KENKO[[#This Row],[DPP]]*11%</f>
        <v>159898.37837837837</v>
      </c>
      <c r="M34" s="1">
        <f ca="1">KENKO[[#This Row],[DPP]]+KENKO[[#This Row],[PPN (11%)]]</f>
        <v>1613520</v>
      </c>
      <c r="N34" s="1" t="str">
        <f ca="1">INDEX(PAJAK[ID_P],MATCH(KENKO[[#This Row],[ID]],PAJAK[ID],0))</f>
        <v>KEN_0502_139-1</v>
      </c>
    </row>
    <row r="35" spans="1:14" x14ac:dyDescent="0.25">
      <c r="A35" s="11">
        <f ca="1">HYPERLINK("[NOTA_.xlsx]NOTA!A"&amp;MATCH(KENKO[[#This Row],[ID]],NOTA[ID],0)+2,IF(KENKO[[#This Row],[//PAJAK]]="","",MATCH(KENKO[[#This Row],[ID]],NOTA[ID],0)+2))</f>
        <v>850</v>
      </c>
      <c r="B35" s="7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>72</v>
      </c>
      <c r="C35" s="7">
        <f ca="1">HYPERLINK("[NOTA_.xlsx]PAJAK!b"&amp;KENKO[[#This Row],[//PAJAK]],IF(KENKO[[#This Row],[//PAJAK]]="","",INDEX(INDIRECT("PAJAK["&amp;KENKO[#Headers]&amp;"]"),KENKO[[#This Row],[//PAJAK]]-1)))</f>
        <v>152</v>
      </c>
      <c r="D35" s="3" t="str">
        <f ca="1">IF(KENKO[[#This Row],[//PAJAK]]="","",INDEX(INDIRECT("PAJAK["&amp;KENKO[#Headers]&amp;"]"),KENKO[[#This Row],[//PAJAK]]-1))</f>
        <v>PT KENKO SINAR INDONESIA</v>
      </c>
      <c r="E35" s="2">
        <f ca="1">IF(KENKO[[#This Row],[//PAJAK]]="","",INDEX(INDIRECT("PAJAK["&amp;KENKO[#Headers]&amp;"]"),KENKO[[#This Row],[//PAJAK]]-1))</f>
        <v>45327</v>
      </c>
      <c r="F35" s="2">
        <f ca="1">IF(KENKO[[#This Row],[//PAJAK]]="","",INDEX(INDIRECT("PAJAK["&amp;KENKO[#Headers]&amp;"]"),KENKO[[#This Row],[//PAJAK]]-1))</f>
        <v>45324</v>
      </c>
      <c r="G35" s="9" t="str">
        <f ca="1">IF(KENKO[[#This Row],[//PAJAK]]="","",INDEX(INDIRECT("PAJAK["&amp;KENKO[#Headers]&amp;"]"),KENKO[[#This Row],[//PAJAK]]-1))</f>
        <v>24020110</v>
      </c>
      <c r="H35" s="3" t="str">
        <f ca="1">IF(KENKO[[#This Row],[//PAJAK]]="","",INDEX(INDIRECT("PAJAK["&amp;KENKO[#Headers]&amp;"]"),KENKO[[#This Row],[//PAJAK]]-1))</f>
        <v/>
      </c>
      <c r="I35" s="1">
        <f ca="1">IF(KENKO[[#This Row],[//PAJAK]]="","",INDEX(INDIRECT("PAJAK["&amp;KENKO[#Headers]&amp;"]"),KENKO[[#This Row],[//PAJAK]]-1))</f>
        <v>12072000</v>
      </c>
      <c r="J35" s="1">
        <f ca="1">IF(KENKO[[#This Row],[//PAJAK]]="","",INDEX(INDIRECT("PAJAK["&amp;KENKO[#Headers]&amp;"]"),KENKO[[#This Row],[//PAJAK]]-1))</f>
        <v>2052240</v>
      </c>
      <c r="K35" s="1">
        <f ca="1">(KENKO[[#This Row],[SUB TOTAL]]-KENKO[[#This Row],[DISKON]])/1.11</f>
        <v>9026810.81081081</v>
      </c>
      <c r="L35" s="1">
        <f ca="1">KENKO[[#This Row],[DPP]]*11%</f>
        <v>992949.18918918911</v>
      </c>
      <c r="M35" s="1">
        <f ca="1">KENKO[[#This Row],[DPP]]+KENKO[[#This Row],[PPN (11%)]]</f>
        <v>10019760</v>
      </c>
      <c r="N35" s="1" t="str">
        <f ca="1">INDEX(PAJAK[ID_P],MATCH(KENKO[[#This Row],[ID]],PAJAK[ID],0))</f>
        <v>KEN_0502_110-3</v>
      </c>
    </row>
    <row r="36" spans="1:14" x14ac:dyDescent="0.25">
      <c r="A36" s="11">
        <f ca="1">HYPERLINK("[NOTA_.xlsx]NOTA!A"&amp;MATCH(KENKO[[#This Row],[ID]],NOTA[ID],0)+2,IF(KENKO[[#This Row],[//PAJAK]]="","",MATCH(KENKO[[#This Row],[ID]],NOTA[ID],0)+2))</f>
        <v>901</v>
      </c>
      <c r="B36" s="7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>78</v>
      </c>
      <c r="C36" s="7">
        <f ca="1">HYPERLINK("[NOTA_.xlsx]PAJAK!b"&amp;KENKO[[#This Row],[//PAJAK]],IF(KENKO[[#This Row],[//PAJAK]]="","",INDEX(INDIRECT("PAJAK["&amp;KENKO[#Headers]&amp;"]"),KENKO[[#This Row],[//PAJAK]]-1)))</f>
        <v>164</v>
      </c>
      <c r="D36" s="3" t="str">
        <f ca="1">IF(KENKO[[#This Row],[//PAJAK]]="","",INDEX(INDIRECT("PAJAK["&amp;KENKO[#Headers]&amp;"]"),KENKO[[#This Row],[//PAJAK]]-1))</f>
        <v>PT KENKO SINAR INDONESIA</v>
      </c>
      <c r="E36" s="2">
        <f ca="1">IF(KENKO[[#This Row],[//PAJAK]]="","",INDEX(INDIRECT("PAJAK["&amp;KENKO[#Headers]&amp;"]"),KENKO[[#This Row],[//PAJAK]]-1))</f>
        <v>45329</v>
      </c>
      <c r="F36" s="2">
        <f ca="1">IF(KENKO[[#This Row],[//PAJAK]]="","",INDEX(INDIRECT("PAJAK["&amp;KENKO[#Headers]&amp;"]"),KENKO[[#This Row],[//PAJAK]]-1))</f>
        <v>45327</v>
      </c>
      <c r="G36" s="9" t="str">
        <f ca="1">IF(KENKO[[#This Row],[//PAJAK]]="","",INDEX(INDIRECT("PAJAK["&amp;KENKO[#Headers]&amp;"]"),KENKO[[#This Row],[//PAJAK]]-1))</f>
        <v>24020276</v>
      </c>
      <c r="H36" s="3" t="str">
        <f ca="1">IF(KENKO[[#This Row],[//PAJAK]]="","",INDEX(INDIRECT("PAJAK["&amp;KENKO[#Headers]&amp;"]"),KENKO[[#This Row],[//PAJAK]]-1))</f>
        <v/>
      </c>
      <c r="I36" s="1">
        <f ca="1">IF(KENKO[[#This Row],[//PAJAK]]="","",INDEX(INDIRECT("PAJAK["&amp;KENKO[#Headers]&amp;"]"),KENKO[[#This Row],[//PAJAK]]-1))</f>
        <v>8820000</v>
      </c>
      <c r="J36" s="1">
        <f ca="1">IF(KENKO[[#This Row],[//PAJAK]]="","",INDEX(INDIRECT("PAJAK["&amp;KENKO[#Headers]&amp;"]"),KENKO[[#This Row],[//PAJAK]]-1))</f>
        <v>1499400</v>
      </c>
      <c r="K36" s="1">
        <f ca="1">(KENKO[[#This Row],[SUB TOTAL]]-KENKO[[#This Row],[DISKON]])/1.11</f>
        <v>6595135.1351351347</v>
      </c>
      <c r="L36" s="1">
        <f ca="1">KENKO[[#This Row],[DPP]]*11%</f>
        <v>725464.86486486485</v>
      </c>
      <c r="M36" s="1">
        <f ca="1">KENKO[[#This Row],[DPP]]+KENKO[[#This Row],[PPN (11%)]]</f>
        <v>7320600</v>
      </c>
      <c r="N36" s="1" t="str">
        <f ca="1">INDEX(PAJAK[ID_P],MATCH(KENKO[[#This Row],[ID]],PAJAK[ID],0))</f>
        <v>KEN_0702_276-6</v>
      </c>
    </row>
    <row r="37" spans="1:14" x14ac:dyDescent="0.25">
      <c r="A37" s="11">
        <f ca="1">HYPERLINK("[NOTA_.xlsx]NOTA!A"&amp;MATCH(KENKO[[#This Row],[ID]],NOTA[ID],0)+2,IF(KENKO[[#This Row],[//PAJAK]]="","",MATCH(KENKO[[#This Row],[ID]],NOTA[ID],0)+2))</f>
        <v>908</v>
      </c>
      <c r="B37" s="7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>79</v>
      </c>
      <c r="C37" s="7">
        <f ca="1">HYPERLINK("[NOTA_.xlsx]PAJAK!b"&amp;KENKO[[#This Row],[//PAJAK]],IF(KENKO[[#This Row],[//PAJAK]]="","",INDEX(INDIRECT("PAJAK["&amp;KENKO[#Headers]&amp;"]"),KENKO[[#This Row],[//PAJAK]]-1)))</f>
        <v>165</v>
      </c>
      <c r="D37" s="3" t="str">
        <f ca="1">IF(KENKO[[#This Row],[//PAJAK]]="","",INDEX(INDIRECT("PAJAK["&amp;KENKO[#Headers]&amp;"]"),KENKO[[#This Row],[//PAJAK]]-1))</f>
        <v>PT KENKO SINAR INDONESIA</v>
      </c>
      <c r="E37" s="2">
        <f ca="1">IF(KENKO[[#This Row],[//PAJAK]]="","",INDEX(INDIRECT("PAJAK["&amp;KENKO[#Headers]&amp;"]"),KENKO[[#This Row],[//PAJAK]]-1))</f>
        <v>45329</v>
      </c>
      <c r="F37" s="2">
        <f ca="1">IF(KENKO[[#This Row],[//PAJAK]]="","",INDEX(INDIRECT("PAJAK["&amp;KENKO[#Headers]&amp;"]"),KENKO[[#This Row],[//PAJAK]]-1))</f>
        <v>45323</v>
      </c>
      <c r="G37" s="9" t="str">
        <f ca="1">IF(KENKO[[#This Row],[//PAJAK]]="","",INDEX(INDIRECT("PAJAK["&amp;KENKO[#Headers]&amp;"]"),KENKO[[#This Row],[//PAJAK]]-1))</f>
        <v>24020039</v>
      </c>
      <c r="H37" s="3" t="str">
        <f ca="1">IF(KENKO[[#This Row],[//PAJAK]]="","",INDEX(INDIRECT("PAJAK["&amp;KENKO[#Headers]&amp;"]"),KENKO[[#This Row],[//PAJAK]]-1))</f>
        <v/>
      </c>
      <c r="I37" s="1">
        <f ca="1">IF(KENKO[[#This Row],[//PAJAK]]="","",INDEX(INDIRECT("PAJAK["&amp;KENKO[#Headers]&amp;"]"),KENKO[[#This Row],[//PAJAK]]-1))</f>
        <v>12222000</v>
      </c>
      <c r="J37" s="1">
        <f ca="1">IF(KENKO[[#This Row],[//PAJAK]]="","",INDEX(INDIRECT("PAJAK["&amp;KENKO[#Headers]&amp;"]"),KENKO[[#This Row],[//PAJAK]]-1))</f>
        <v>2077740</v>
      </c>
      <c r="K37" s="1">
        <f ca="1">(KENKO[[#This Row],[SUB TOTAL]]-KENKO[[#This Row],[DISKON]])/1.11</f>
        <v>9138972.9729729723</v>
      </c>
      <c r="L37" s="1">
        <f ca="1">KENKO[[#This Row],[DPP]]*11%</f>
        <v>1005287.027027027</v>
      </c>
      <c r="M37" s="1">
        <f ca="1">KENKO[[#This Row],[DPP]]+KENKO[[#This Row],[PPN (11%)]]</f>
        <v>10144260</v>
      </c>
      <c r="N37" s="1" t="str">
        <f ca="1">INDEX(PAJAK[ID_P],MATCH(KENKO[[#This Row],[ID]],PAJAK[ID],0))</f>
        <v>KEN_0702_039-4</v>
      </c>
    </row>
    <row r="38" spans="1:14" x14ac:dyDescent="0.25">
      <c r="A38" s="13">
        <f ca="1">HYPERLINK("[NOTA_.xlsx]NOTA!A"&amp;MATCH(KENKO[[#This Row],[ID]],NOTA[ID],0)+2,IF(KENKO[[#This Row],[//PAJAK]]="","",MATCH(KENKO[[#This Row],[ID]],NOTA[ID],0)+2))</f>
        <v>913</v>
      </c>
      <c r="B38" s="5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>80</v>
      </c>
      <c r="C38" s="12">
        <f ca="1">HYPERLINK("[NOTA_.xlsx]PAJAK!b"&amp;KENKO[[#This Row],[//PAJAK]],IF(KENKO[[#This Row],[//PAJAK]]="","",INDEX(INDIRECT("PAJAK["&amp;KENKO[#Headers]&amp;"]"),KENKO[[#This Row],[//PAJAK]]-1)))</f>
        <v>166</v>
      </c>
      <c r="D38" t="str">
        <f ca="1">IF(KENKO[[#This Row],[//PAJAK]]="","",INDEX(INDIRECT("PAJAK["&amp;KENKO[#Headers]&amp;"]"),KENKO[[#This Row],[//PAJAK]]-1))</f>
        <v>PT KENKO SINAR INDONESIA</v>
      </c>
      <c r="E38" s="2">
        <f ca="1">IF(KENKO[[#This Row],[//PAJAK]]="","",INDEX(INDIRECT("PAJAK["&amp;KENKO[#Headers]&amp;"]"),KENKO[[#This Row],[//PAJAK]]-1))</f>
        <v>45329</v>
      </c>
      <c r="F38" s="2">
        <f ca="1">IF(KENKO[[#This Row],[//PAJAK]]="","",INDEX(INDIRECT("PAJAK["&amp;KENKO[#Headers]&amp;"]"),KENKO[[#This Row],[//PAJAK]]-1))</f>
        <v>45323</v>
      </c>
      <c r="G38" s="6" t="str">
        <f ca="1">IF(KENKO[[#This Row],[//PAJAK]]="","",INDEX(INDIRECT("PAJAK["&amp;KENKO[#Headers]&amp;"]"),KENKO[[#This Row],[//PAJAK]]-1))</f>
        <v>24020011</v>
      </c>
      <c r="H38" t="str">
        <f ca="1">IF(KENKO[[#This Row],[//PAJAK]]="","",INDEX(INDIRECT("PAJAK["&amp;KENKO[#Headers]&amp;"]"),KENKO[[#This Row],[//PAJAK]]-1))</f>
        <v/>
      </c>
      <c r="I38" s="1">
        <f ca="1">IF(KENKO[[#This Row],[//PAJAK]]="","",INDEX(INDIRECT("PAJAK["&amp;KENKO[#Headers]&amp;"]"),KENKO[[#This Row],[//PAJAK]]-1))</f>
        <v>2260000</v>
      </c>
      <c r="J38" s="1">
        <f ca="1">IF(KENKO[[#This Row],[//PAJAK]]="","",INDEX(INDIRECT("PAJAK["&amp;KENKO[#Headers]&amp;"]"),KENKO[[#This Row],[//PAJAK]]-1))</f>
        <v>384200</v>
      </c>
      <c r="K38" s="1">
        <f ca="1">(KENKO[[#This Row],[SUB TOTAL]]-KENKO[[#This Row],[DISKON]])/1.11</f>
        <v>1689909.9099099098</v>
      </c>
      <c r="L38" s="1">
        <f ca="1">KENKO[[#This Row],[DPP]]*11%</f>
        <v>185890.09009009009</v>
      </c>
      <c r="M38" s="1">
        <f ca="1">KENKO[[#This Row],[DPP]]+KENKO[[#This Row],[PPN (11%)]]</f>
        <v>1875800</v>
      </c>
      <c r="N38" s="1" t="str">
        <f ca="1">INDEX(PAJAK[ID_P],MATCH(KENKO[[#This Row],[ID]],PAJAK[ID],0))</f>
        <v>KEN_0702_011-2</v>
      </c>
    </row>
    <row r="39" spans="1:14" x14ac:dyDescent="0.25">
      <c r="A39" s="13">
        <f ca="1">HYPERLINK("[NOTA_.xlsx]NOTA!A"&amp;MATCH(KENKO[[#This Row],[ID]],NOTA[ID],0)+2,IF(KENKO[[#This Row],[//PAJAK]]="","",MATCH(KENKO[[#This Row],[ID]],NOTA[ID],0)+2))</f>
        <v>916</v>
      </c>
      <c r="B39" s="5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>81</v>
      </c>
      <c r="C39" s="12">
        <f ca="1">HYPERLINK("[NOTA_.xlsx]PAJAK!b"&amp;KENKO[[#This Row],[//PAJAK]],IF(KENKO[[#This Row],[//PAJAK]]="","",INDEX(INDIRECT("PAJAK["&amp;KENKO[#Headers]&amp;"]"),KENKO[[#This Row],[//PAJAK]]-1)))</f>
        <v>167</v>
      </c>
      <c r="D39" t="str">
        <f ca="1">IF(KENKO[[#This Row],[//PAJAK]]="","",INDEX(INDIRECT("PAJAK["&amp;KENKO[#Headers]&amp;"]"),KENKO[[#This Row],[//PAJAK]]-1))</f>
        <v>PT KENKO SINAR INDONESIA</v>
      </c>
      <c r="E39" s="2">
        <f ca="1">IF(KENKO[[#This Row],[//PAJAK]]="","",INDEX(INDIRECT("PAJAK["&amp;KENKO[#Headers]&amp;"]"),KENKO[[#This Row],[//PAJAK]]-1))</f>
        <v>45329</v>
      </c>
      <c r="F39" s="2">
        <f ca="1">IF(KENKO[[#This Row],[//PAJAK]]="","",INDEX(INDIRECT("PAJAK["&amp;KENKO[#Headers]&amp;"]"),KENKO[[#This Row],[//PAJAK]]-1))</f>
        <v>45325</v>
      </c>
      <c r="G39" s="6" t="str">
        <f ca="1">IF(KENKO[[#This Row],[//PAJAK]]="","",INDEX(INDIRECT("PAJAK["&amp;KENKO[#Headers]&amp;"]"),KENKO[[#This Row],[//PAJAK]]-1))</f>
        <v>24020162</v>
      </c>
      <c r="H39" t="str">
        <f ca="1">IF(KENKO[[#This Row],[//PAJAK]]="","",INDEX(INDIRECT("PAJAK["&amp;KENKO[#Headers]&amp;"]"),KENKO[[#This Row],[//PAJAK]]-1))</f>
        <v/>
      </c>
      <c r="I39" s="1">
        <f ca="1">IF(KENKO[[#This Row],[//PAJAK]]="","",INDEX(INDIRECT("PAJAK["&amp;KENKO[#Headers]&amp;"]"),KENKO[[#This Row],[//PAJAK]]-1))</f>
        <v>2870400</v>
      </c>
      <c r="J39" s="1">
        <f ca="1">IF(KENKO[[#This Row],[//PAJAK]]="","",INDEX(INDIRECT("PAJAK["&amp;KENKO[#Headers]&amp;"]"),KENKO[[#This Row],[//PAJAK]]-1))</f>
        <v>487968</v>
      </c>
      <c r="K39" s="1">
        <f ca="1">(KENKO[[#This Row],[SUB TOTAL]]-KENKO[[#This Row],[DISKON]])/1.11</f>
        <v>2146335.1351351351</v>
      </c>
      <c r="L39" s="1">
        <f ca="1">KENKO[[#This Row],[DPP]]*11%</f>
        <v>236096.86486486488</v>
      </c>
      <c r="M39" s="1">
        <f ca="1">KENKO[[#This Row],[DPP]]+KENKO[[#This Row],[PPN (11%)]]</f>
        <v>2382432</v>
      </c>
      <c r="N39" s="1" t="str">
        <f ca="1">INDEX(PAJAK[ID_P],MATCH(KENKO[[#This Row],[ID]],PAJAK[ID],0))</f>
        <v>KEN_0702_162-2</v>
      </c>
    </row>
    <row r="40" spans="1:14" x14ac:dyDescent="0.25">
      <c r="A40" s="13">
        <f ca="1">HYPERLINK("[NOTA_.xlsx]NOTA!A"&amp;MATCH(KENKO[[#This Row],[ID]],NOTA[ID],0)+2,IF(KENKO[[#This Row],[//PAJAK]]="","",MATCH(KENKO[[#This Row],[ID]],NOTA[ID],0)+2))</f>
        <v>919</v>
      </c>
      <c r="B40" s="5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>82</v>
      </c>
      <c r="C40" s="12">
        <f ca="1">HYPERLINK("[NOTA_.xlsx]PAJAK!b"&amp;KENKO[[#This Row],[//PAJAK]],IF(KENKO[[#This Row],[//PAJAK]]="","",INDEX(INDIRECT("PAJAK["&amp;KENKO[#Headers]&amp;"]"),KENKO[[#This Row],[//PAJAK]]-1)))</f>
        <v>168</v>
      </c>
      <c r="D40" t="str">
        <f ca="1">IF(KENKO[[#This Row],[//PAJAK]]="","",INDEX(INDIRECT("PAJAK["&amp;KENKO[#Headers]&amp;"]"),KENKO[[#This Row],[//PAJAK]]-1))</f>
        <v>PT KENKO SINAR INDONESIA</v>
      </c>
      <c r="E40" s="2">
        <f ca="1">IF(KENKO[[#This Row],[//PAJAK]]="","",INDEX(INDIRECT("PAJAK["&amp;KENKO[#Headers]&amp;"]"),KENKO[[#This Row],[//PAJAK]]-1))</f>
        <v>45329</v>
      </c>
      <c r="F40" s="2">
        <f ca="1">IF(KENKO[[#This Row],[//PAJAK]]="","",INDEX(INDIRECT("PAJAK["&amp;KENKO[#Headers]&amp;"]"),KENKO[[#This Row],[//PAJAK]]-1))</f>
        <v>45325</v>
      </c>
      <c r="G40" s="6" t="str">
        <f ca="1">IF(KENKO[[#This Row],[//PAJAK]]="","",INDEX(INDIRECT("PAJAK["&amp;KENKO[#Headers]&amp;"]"),KENKO[[#This Row],[//PAJAK]]-1))</f>
        <v>24020264</v>
      </c>
      <c r="H40" t="str">
        <f ca="1">IF(KENKO[[#This Row],[//PAJAK]]="","",INDEX(INDIRECT("PAJAK["&amp;KENKO[#Headers]&amp;"]"),KENKO[[#This Row],[//PAJAK]]-1))</f>
        <v/>
      </c>
      <c r="I40" s="1">
        <f ca="1">IF(KENKO[[#This Row],[//PAJAK]]="","",INDEX(INDIRECT("PAJAK["&amp;KENKO[#Headers]&amp;"]"),KENKO[[#This Row],[//PAJAK]]-1))</f>
        <v>37827000</v>
      </c>
      <c r="J40" s="1">
        <f ca="1">IF(KENKO[[#This Row],[//PAJAK]]="","",INDEX(INDIRECT("PAJAK["&amp;KENKO[#Headers]&amp;"]"),KENKO[[#This Row],[//PAJAK]]-1))</f>
        <v>6430590.0000000009</v>
      </c>
      <c r="K40" s="1">
        <f ca="1">(KENKO[[#This Row],[SUB TOTAL]]-KENKO[[#This Row],[DISKON]])/1.11</f>
        <v>28285054.054054052</v>
      </c>
      <c r="L40" s="1">
        <f ca="1">KENKO[[#This Row],[DPP]]*11%</f>
        <v>3111355.9459459456</v>
      </c>
      <c r="M40" s="1">
        <f ca="1">KENKO[[#This Row],[DPP]]+KENKO[[#This Row],[PPN (11%)]]</f>
        <v>31396409.999999996</v>
      </c>
      <c r="N40" s="1" t="str">
        <f ca="1">INDEX(PAJAK[ID_P],MATCH(KENKO[[#This Row],[ID]],PAJAK[ID],0))</f>
        <v>KEN_0702_264-7</v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EXP\BARU\2024\01 JANUARI\[NOTA 01 JANUARI 2024.xlsx]KALINDO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17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</v>
      </c>
      <c r="C3" s="12">
        <f ca="1">HYPERLINK("[NOTA_.xlsx]PAJAK!b"&amp;KALINDO[[#This Row],[//PAJAK]],IF(KALINDO[[#This Row],[//PAJAK]]="","",INDEX(INDIRECT("PAJAK["&amp;KALINDO[#Headers]&amp;"]"),KALINDO[[#This Row],[//PAJAK]]-1)))</f>
        <v>2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45297</v>
      </c>
      <c r="F3" s="2">
        <f ca="1">IF(KALINDO[[#This Row],[//PAJAK]]="","",INDEX(INDIRECT("PAJAK["&amp;KALINDO[#Headers]&amp;"]"),KALINDO[[#This Row],[//PAJAK]]-1))</f>
        <v>44929</v>
      </c>
      <c r="G3" s="7" t="str">
        <f ca="1">IF(KALINDO[[#This Row],[//PAJAK]]="","",INDEX(INDIRECT("PAJAK["&amp;KALINDO[#Headers]&amp;"]"),KALINDO[[#This Row],[//PAJAK]]-1))</f>
        <v>SN24010018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11704000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10544144.144144144</v>
      </c>
      <c r="L3" s="1">
        <f ca="1">KALINDO[[#This Row],[DPP]]*11%</f>
        <v>1159855.8558558559</v>
      </c>
      <c r="M3" s="1">
        <f ca="1">KALINDO[[#This Row],[DPP]]+KALINDO[[#This Row],[PPN (11%)]]</f>
        <v>11704000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498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32</v>
      </c>
      <c r="C4" s="12">
        <f ca="1">HYPERLINK("[NOTA_.xlsx]PAJAK!b"&amp;KALINDO[[#This Row],[//PAJAK]],IF(KALINDO[[#This Row],[//PAJAK]]="","",INDEX(INDIRECT("PAJAK["&amp;KALINDO[#Headers]&amp;"]"),KALINDO[[#This Row],[//PAJAK]]-1)))</f>
        <v>80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45308</v>
      </c>
      <c r="F4" s="2">
        <f ca="1">IF(KALINDO[[#This Row],[//PAJAK]]="","",INDEX(INDIRECT("PAJAK["&amp;KALINDO[#Headers]&amp;"]"),KALINDO[[#This Row],[//PAJAK]]-1))</f>
        <v>45304</v>
      </c>
      <c r="G4" s="7" t="str">
        <f ca="1">IF(KALINDO[[#This Row],[//PAJAK]]="","",INDEX(INDIRECT("PAJAK["&amp;KALINDO[#Headers]&amp;"]"),KALINDO[[#This Row],[//PAJAK]]-1))</f>
        <v>SN24010141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7381500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6649999.9999999991</v>
      </c>
      <c r="L4" s="1">
        <f ca="1">KALINDO[[#This Row],[DPP]]*11%</f>
        <v>731499.99999999988</v>
      </c>
      <c r="M4" s="1">
        <f ca="1">KALINDO[[#This Row],[DPP]]+KALINDO[[#This Row],[PPN (11%)]]</f>
        <v>7381499.9999999991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593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46</v>
      </c>
      <c r="C5" s="12">
        <f ca="1">HYPERLINK("[NOTA_.xlsx]PAJAK!b"&amp;KALINDO[[#This Row],[//PAJAK]],IF(KALINDO[[#This Row],[//PAJAK]]="","",INDEX(INDIRECT("PAJAK["&amp;KALINDO[#Headers]&amp;"]"),KALINDO[[#This Row],[//PAJAK]]-1)))</f>
        <v>95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45310</v>
      </c>
      <c r="F5" s="2">
        <f ca="1">IF(KALINDO[[#This Row],[//PAJAK]]="","",INDEX(INDIRECT("PAJAK["&amp;KALINDO[#Headers]&amp;"]"),KALINDO[[#This Row],[//PAJAK]]-1))</f>
        <v>45307</v>
      </c>
      <c r="G5" s="7" t="str">
        <f ca="1">IF(KALINDO[[#This Row],[//PAJAK]]="","",INDEX(INDIRECT("PAJAK["&amp;KALINDO[#Headers]&amp;"]"),KALINDO[[#This Row],[//PAJAK]]-1))</f>
        <v>SN24010167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2394000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2156756.7567567565</v>
      </c>
      <c r="L5" s="1">
        <f ca="1">KALINDO[[#This Row],[DPP]]*11%</f>
        <v>237243.24324324323</v>
      </c>
      <c r="M5" s="1">
        <f ca="1">KALINDO[[#This Row],[DPP]]+KALINDO[[#This Row],[PPN (11%)]]</f>
        <v>2393999.9999999995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G13" sqref="A13:G13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33</v>
      </c>
      <c r="F1" t="str">
        <f ca="1">MID(G1,FIND("]",G1)+1,LEN(G1)-FIND("]",G1))</f>
        <v>ATALI</v>
      </c>
      <c r="G1" s="4" t="str">
        <f ca="1">CELL("filename",G1)</f>
        <v>D:\kerja\BANK EXP\BARU\2024\01 JANUARI\[NOTA 01 JANUARI 2024.xlsx]ATALI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23</v>
      </c>
      <c r="B3" s="7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3</v>
      </c>
      <c r="C3" s="12">
        <f ca="1">HYPERLINK("[NOTA_.xlsx]PAJAK!b"&amp;ATALI[[#This Row],[//PAJAK]],IF(ATALI[[#This Row],[//PAJAK]]="","",INDEX(INDIRECT("PAJAK["&amp;ATALI[#Headers]&amp;"]"),ATALI[[#This Row],[//PAJAK]]-1)))</f>
        <v>3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45297</v>
      </c>
      <c r="F3" s="2">
        <f ca="1">IF(ATALI[[#This Row],[//PAJAK]]="","",INDEX(INDIRECT("PAJAK["&amp;ATALI[#Headers]&amp;"]"),ATALI[[#This Row],[//PAJAK]]-1))</f>
        <v>44929</v>
      </c>
      <c r="G3" s="7" t="str">
        <f ca="1">IF(ATALI[[#This Row],[//PAJAK]]="","",INDEX(INDIRECT("PAJAK["&amp;ATALI[#Headers]&amp;"]"),ATALI[[#This Row],[//PAJAK]]-1))</f>
        <v>SA240100069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13717620</v>
      </c>
      <c r="J3" s="1">
        <f ca="1">IF(ATALI[[#This Row],[//PAJAK]]="","",INDEX(PAJAK[DISC DLL],ATALI[[#This Row],[//PAJAK]]-1))</f>
        <v>183540</v>
      </c>
      <c r="K3" s="1">
        <f ca="1">(ATALI[[#This Row],[SUB TOTAL]]-ATALI[[#This Row],[DISKON]])/1.11</f>
        <v>12192864.864864863</v>
      </c>
      <c r="L3" s="1">
        <f ca="1">ATALI[[#This Row],[DPP]]*11%</f>
        <v>1341215.1351351349</v>
      </c>
      <c r="M3" s="1">
        <f ca="1">ATALI[[#This Row],[DPP]]+ATALI[[#This Row],[PPN (11%)]]</f>
        <v>13534079.999999998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32</v>
      </c>
      <c r="B4" s="7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4</v>
      </c>
      <c r="C4" s="12">
        <f ca="1">HYPERLINK("[NOTA_.xlsx]PAJAK!b"&amp;ATALI[[#This Row],[//PAJAK]],IF(ATALI[[#This Row],[//PAJAK]]="","",INDEX(INDIRECT("PAJAK["&amp;ATALI[#Headers]&amp;"]"),ATALI[[#This Row],[//PAJAK]]-1)))</f>
        <v>4</v>
      </c>
      <c r="D4" s="3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45297</v>
      </c>
      <c r="F4" s="2">
        <f ca="1">IF(ATALI[[#This Row],[//PAJAK]]="","",INDEX(INDIRECT("PAJAK["&amp;ATALI[#Headers]&amp;"]"),ATALI[[#This Row],[//PAJAK]]-1))</f>
        <v>45294</v>
      </c>
      <c r="G4" s="7" t="str">
        <f ca="1">IF(ATALI[[#This Row],[//PAJAK]]="","",INDEX(INDIRECT("PAJAK["&amp;ATALI[#Headers]&amp;"]"),ATALI[[#This Row],[//PAJAK]]-1))</f>
        <v>SA240100067</v>
      </c>
      <c r="H4" s="3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82592667.5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74407808.558558553</v>
      </c>
      <c r="L4" s="1">
        <f ca="1">ATALI[[#This Row],[DPP]]*11%</f>
        <v>8184858.941441441</v>
      </c>
      <c r="M4" s="1">
        <f ca="1">ATALI[[#This Row],[DPP]]+ATALI[[#This Row],[PPN (11%)]]</f>
        <v>82592667.5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44</v>
      </c>
      <c r="B5" s="7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5</v>
      </c>
      <c r="C5" s="12">
        <f ca="1">HYPERLINK("[NOTA_.xlsx]PAJAK!b"&amp;ATALI[[#This Row],[//PAJAK]],IF(ATALI[[#This Row],[//PAJAK]]="","",INDEX(INDIRECT("PAJAK["&amp;ATALI[#Headers]&amp;"]"),ATALI[[#This Row],[//PAJAK]]-1)))</f>
        <v>5</v>
      </c>
      <c r="D5" s="3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45297</v>
      </c>
      <c r="F5" s="2">
        <f ca="1">IF(ATALI[[#This Row],[//PAJAK]]="","",INDEX(INDIRECT("PAJAK["&amp;ATALI[#Headers]&amp;"]"),ATALI[[#This Row],[//PAJAK]]-1))</f>
        <v>45294</v>
      </c>
      <c r="G5" s="7" t="str">
        <f ca="1">IF(ATALI[[#This Row],[//PAJAK]]="","",INDEX(INDIRECT("PAJAK["&amp;ATALI[#Headers]&amp;"]"),ATALI[[#This Row],[//PAJAK]]-1))</f>
        <v>SA240100046</v>
      </c>
      <c r="H5" s="3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14455437.5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13022916.666666666</v>
      </c>
      <c r="L5" s="1">
        <f ca="1">ATALI[[#This Row],[DPP]]*11%</f>
        <v>1432520.8333333333</v>
      </c>
      <c r="M5" s="1">
        <f ca="1">ATALI[[#This Row],[DPP]]+ATALI[[#This Row],[PPN (11%)]]</f>
        <v>14455437.5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54</v>
      </c>
      <c r="B6" s="7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6</v>
      </c>
      <c r="C6" s="12">
        <f ca="1">HYPERLINK("[NOTA_.xlsx]PAJAK!b"&amp;ATALI[[#This Row],[//PAJAK]],IF(ATALI[[#This Row],[//PAJAK]]="","",INDEX(INDIRECT("PAJAK["&amp;ATALI[#Headers]&amp;"]"),ATALI[[#This Row],[//PAJAK]]-1)))</f>
        <v>6</v>
      </c>
      <c r="D6" s="3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45297</v>
      </c>
      <c r="F6" s="2">
        <f ca="1">IF(ATALI[[#This Row],[//PAJAK]]="","",INDEX(INDIRECT("PAJAK["&amp;ATALI[#Headers]&amp;"]"),ATALI[[#This Row],[//PAJAK]]-1))</f>
        <v>45294</v>
      </c>
      <c r="G6" s="7" t="str">
        <f ca="1">IF(ATALI[[#This Row],[//PAJAK]]="","",INDEX(INDIRECT("PAJAK["&amp;ATALI[#Headers]&amp;"]"),ATALI[[#This Row],[//PAJAK]]-1))</f>
        <v>SA240100047</v>
      </c>
      <c r="H6" s="3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12915630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11635702.702702701</v>
      </c>
      <c r="L6" s="1">
        <f ca="1">ATALI[[#This Row],[DPP]]*11%</f>
        <v>1279927.297297297</v>
      </c>
      <c r="M6" s="1">
        <f ca="1">ATALI[[#This Row],[DPP]]+ATALI[[#This Row],[PPN (11%)]]</f>
        <v>12915629.999999998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59</v>
      </c>
      <c r="B7" s="7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7</v>
      </c>
      <c r="C7" s="12">
        <f ca="1">HYPERLINK("[NOTA_.xlsx]PAJAK!b"&amp;ATALI[[#This Row],[//PAJAK]],IF(ATALI[[#This Row],[//PAJAK]]="","",INDEX(INDIRECT("PAJAK["&amp;ATALI[#Headers]&amp;"]"),ATALI[[#This Row],[//PAJAK]]-1)))</f>
        <v>7</v>
      </c>
      <c r="D7" s="3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45297</v>
      </c>
      <c r="F7" s="2">
        <f ca="1">IF(ATALI[[#This Row],[//PAJAK]]="","",INDEX(INDIRECT("PAJAK["&amp;ATALI[#Headers]&amp;"]"),ATALI[[#This Row],[//PAJAK]]-1))</f>
        <v>45294</v>
      </c>
      <c r="G7" s="7" t="str">
        <f ca="1">IF(ATALI[[#This Row],[//PAJAK]]="","",INDEX(INDIRECT("PAJAK["&amp;ATALI[#Headers]&amp;"]"),ATALI[[#This Row],[//PAJAK]]-1))</f>
        <v>SA240100068</v>
      </c>
      <c r="H7" s="3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50729358.75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45702124.999999993</v>
      </c>
      <c r="L7" s="1">
        <f ca="1">ATALI[[#This Row],[DPP]]*11%</f>
        <v>5027233.7499999991</v>
      </c>
      <c r="M7" s="1">
        <f ca="1">ATALI[[#This Row],[DPP]]+ATALI[[#This Row],[PPN (11%)]]</f>
        <v>50729358.749999993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69</v>
      </c>
      <c r="B8" s="7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8</v>
      </c>
      <c r="C8" s="12">
        <f ca="1">HYPERLINK("[NOTA_.xlsx]PAJAK!b"&amp;ATALI[[#This Row],[//PAJAK]],IF(ATALI[[#This Row],[//PAJAK]]="","",INDEX(INDIRECT("PAJAK["&amp;ATALI[#Headers]&amp;"]"),ATALI[[#This Row],[//PAJAK]]-1)))</f>
        <v>8</v>
      </c>
      <c r="D8" s="3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45299</v>
      </c>
      <c r="F8" s="2">
        <f ca="1">IF(ATALI[[#This Row],[//PAJAK]]="","",INDEX(INDIRECT("PAJAK["&amp;ATALI[#Headers]&amp;"]"),ATALI[[#This Row],[//PAJAK]]-1))</f>
        <v>45295</v>
      </c>
      <c r="G8" s="7" t="str">
        <f ca="1">IF(ATALI[[#This Row],[//PAJAK]]="","",INDEX(INDIRECT("PAJAK["&amp;ATALI[#Headers]&amp;"]"),ATALI[[#This Row],[//PAJAK]]-1))</f>
        <v>SA240100178</v>
      </c>
      <c r="H8" s="3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2310875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2081869.3693693692</v>
      </c>
      <c r="L8" s="1">
        <f ca="1">ATALI[[#This Row],[DPP]]*11%</f>
        <v>229005.63063063062</v>
      </c>
      <c r="M8" s="1">
        <f ca="1">ATALI[[#This Row],[DPP]]+ATALI[[#This Row],[PPN (11%)]]</f>
        <v>2310875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205</v>
      </c>
      <c r="B9" s="7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16</v>
      </c>
      <c r="C9" s="12">
        <f ca="1">HYPERLINK("[NOTA_.xlsx]PAJAK!b"&amp;ATALI[[#This Row],[//PAJAK]],IF(ATALI[[#This Row],[//PAJAK]]="","",INDEX(INDIRECT("PAJAK["&amp;ATALI[#Headers]&amp;"]"),ATALI[[#This Row],[//PAJAK]]-1)))</f>
        <v>30</v>
      </c>
      <c r="D9" s="3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45300</v>
      </c>
      <c r="F9" s="2">
        <f ca="1">IF(ATALI[[#This Row],[//PAJAK]]="","",INDEX(INDIRECT("PAJAK["&amp;ATALI[#Headers]&amp;"]"),ATALI[[#This Row],[//PAJAK]]-1))</f>
        <v>45297</v>
      </c>
      <c r="G9" s="7" t="str">
        <f ca="1">IF(ATALI[[#This Row],[//PAJAK]]="","",INDEX(INDIRECT("PAJAK["&amp;ATALI[#Headers]&amp;"]"),ATALI[[#This Row],[//PAJAK]]-1))</f>
        <v>SA240100363</v>
      </c>
      <c r="H9" s="3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17039627.5</v>
      </c>
      <c r="J9" s="1">
        <f ca="1">IF(ATALI[[#This Row],[//PAJAK]]="","",INDEX(PAJAK[DISC DLL],ATALI[[#This Row],[//PAJAK]]-1))</f>
        <v>3093842</v>
      </c>
      <c r="K9" s="1">
        <f ca="1">(ATALI[[#This Row],[SUB TOTAL]]-ATALI[[#This Row],[DISKON]])/1.11</f>
        <v>12563770.72072072</v>
      </c>
      <c r="L9" s="1">
        <f ca="1">ATALI[[#This Row],[DPP]]*11%</f>
        <v>1382014.7792792791</v>
      </c>
      <c r="M9" s="1">
        <f ca="1">ATALI[[#This Row],[DPP]]+ATALI[[#This Row],[PPN (11%)]]</f>
        <v>13945785.499999998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211</v>
      </c>
      <c r="B10" s="7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17</v>
      </c>
      <c r="C10" s="12">
        <f ca="1">HYPERLINK("[NOTA_.xlsx]PAJAK!b"&amp;ATALI[[#This Row],[//PAJAK]],IF(ATALI[[#This Row],[//PAJAK]]="","",INDEX(INDIRECT("PAJAK["&amp;ATALI[#Headers]&amp;"]"),ATALI[[#This Row],[//PAJAK]]-1)))</f>
        <v>31</v>
      </c>
      <c r="D10" s="3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45300</v>
      </c>
      <c r="F10" s="2">
        <f ca="1">IF(ATALI[[#This Row],[//PAJAK]]="","",INDEX(INDIRECT("PAJAK["&amp;ATALI[#Headers]&amp;"]"),ATALI[[#This Row],[//PAJAK]]-1))</f>
        <v>45296</v>
      </c>
      <c r="G10" s="7" t="str">
        <f ca="1">IF(ATALI[[#This Row],[//PAJAK]]="","",INDEX(INDIRECT("PAJAK["&amp;ATALI[#Headers]&amp;"]"),ATALI[[#This Row],[//PAJAK]]-1))</f>
        <v>SA240100277</v>
      </c>
      <c r="H10" s="3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8294711.25</v>
      </c>
      <c r="J10" s="1">
        <f ca="1">IF(ATALI[[#This Row],[//PAJAK]]="","",INDEX(PAJAK[DISC DLL],ATALI[[#This Row],[//PAJAK]]-1))</f>
        <v>526680</v>
      </c>
      <c r="K10" s="1">
        <f ca="1">(ATALI[[#This Row],[SUB TOTAL]]-ATALI[[#This Row],[DISKON]])/1.11</f>
        <v>6998226.3513513505</v>
      </c>
      <c r="L10" s="1">
        <f ca="1">ATALI[[#This Row],[DPP]]*11%</f>
        <v>769804.89864864852</v>
      </c>
      <c r="M10" s="1">
        <f ca="1">ATALI[[#This Row],[DPP]]+ATALI[[#This Row],[PPN (11%)]]</f>
        <v>7768031.2499999991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218</v>
      </c>
      <c r="B11" s="7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18</v>
      </c>
      <c r="C11" s="12">
        <f ca="1">HYPERLINK("[NOTA_.xlsx]PAJAK!b"&amp;ATALI[[#This Row],[//PAJAK]],IF(ATALI[[#This Row],[//PAJAK]]="","",INDEX(INDIRECT("PAJAK["&amp;ATALI[#Headers]&amp;"]"),ATALI[[#This Row],[//PAJAK]]-1)))</f>
        <v>32</v>
      </c>
      <c r="D11" s="3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45300</v>
      </c>
      <c r="F11" s="2">
        <f ca="1">IF(ATALI[[#This Row],[//PAJAK]]="","",INDEX(INDIRECT("PAJAK["&amp;ATALI[#Headers]&amp;"]"),ATALI[[#This Row],[//PAJAK]]-1))</f>
        <v>45296</v>
      </c>
      <c r="G11" s="7" t="str">
        <f ca="1">IF(ATALI[[#This Row],[//PAJAK]]="","",INDEX(INDIRECT("PAJAK["&amp;ATALI[#Headers]&amp;"]"),ATALI[[#This Row],[//PAJAK]]-1))</f>
        <v>SA240100284</v>
      </c>
      <c r="H11" s="3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7292390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6569720.7207207205</v>
      </c>
      <c r="L11" s="1">
        <f ca="1">ATALI[[#This Row],[DPP]]*11%</f>
        <v>722669.27927927929</v>
      </c>
      <c r="M11" s="1">
        <f ca="1">ATALI[[#This Row],[DPP]]+ATALI[[#This Row],[PPN (11%)]]</f>
        <v>7292390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364</v>
      </c>
      <c r="B12" s="7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23</v>
      </c>
      <c r="C12" s="12">
        <f ca="1">HYPERLINK("[NOTA_.xlsx]PAJAK!b"&amp;ATALI[[#This Row],[//PAJAK]],IF(ATALI[[#This Row],[//PAJAK]]="","",INDEX(INDIRECT("PAJAK["&amp;ATALI[#Headers]&amp;"]"),ATALI[[#This Row],[//PAJAK]]-1)))</f>
        <v>60</v>
      </c>
      <c r="D12" s="3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45304</v>
      </c>
      <c r="F12" s="2">
        <f ca="1">IF(ATALI[[#This Row],[//PAJAK]]="","",INDEX(INDIRECT("PAJAK["&amp;ATALI[#Headers]&amp;"]"),ATALI[[#This Row],[//PAJAK]]-1))</f>
        <v>45301</v>
      </c>
      <c r="G12" s="7" t="str">
        <f ca="1">IF(ATALI[[#This Row],[//PAJAK]]="","",INDEX(INDIRECT("PAJAK["&amp;ATALI[#Headers]&amp;"]"),ATALI[[#This Row],[//PAJAK]]-1))</f>
        <v>SA240100641</v>
      </c>
      <c r="H12" s="3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2407965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2169337.8378378376</v>
      </c>
      <c r="L12" s="1">
        <f ca="1">ATALI[[#This Row],[DPP]]*11%</f>
        <v>238627.16216216213</v>
      </c>
      <c r="M12" s="1">
        <f ca="1">ATALI[[#This Row],[DPP]]+ATALI[[#This Row],[PPN (11%)]]</f>
        <v>2407965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369</v>
      </c>
      <c r="B13" s="7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24</v>
      </c>
      <c r="C13" s="12">
        <f ca="1">HYPERLINK("[NOTA_.xlsx]PAJAK!b"&amp;ATALI[[#This Row],[//PAJAK]],IF(ATALI[[#This Row],[//PAJAK]]="","",INDEX(INDIRECT("PAJAK["&amp;ATALI[#Headers]&amp;"]"),ATALI[[#This Row],[//PAJAK]]-1)))</f>
        <v>61</v>
      </c>
      <c r="D13" s="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45304</v>
      </c>
      <c r="F13" s="2">
        <f ca="1">IF(ATALI[[#This Row],[//PAJAK]]="","",INDEX(INDIRECT("PAJAK["&amp;ATALI[#Headers]&amp;"]"),ATALI[[#This Row],[//PAJAK]]-1))</f>
        <v>45300</v>
      </c>
      <c r="G13" s="7" t="str">
        <f ca="1">IF(ATALI[[#This Row],[//PAJAK]]="","",INDEX(INDIRECT("PAJAK["&amp;ATALI[#Headers]&amp;"]"),ATALI[[#This Row],[//PAJAK]]-1))</f>
        <v>SA240100537</v>
      </c>
      <c r="H13" s="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5813430</v>
      </c>
      <c r="J13" s="1">
        <f ca="1">IF(ATALI[[#This Row],[//PAJAK]]="","",INDEX(PAJAK[DISC DLL],ATALI[[#This Row],[//PAJAK]]-1))</f>
        <v>91770</v>
      </c>
      <c r="K13" s="1">
        <f ca="1">(ATALI[[#This Row],[SUB TOTAL]]-ATALI[[#This Row],[DISKON]])/1.11</f>
        <v>5154648.6486486485</v>
      </c>
      <c r="L13" s="1">
        <f ca="1">ATALI[[#This Row],[DPP]]*11%</f>
        <v>567011.35135135136</v>
      </c>
      <c r="M13" s="1">
        <f ca="1">ATALI[[#This Row],[DPP]]+ATALI[[#This Row],[PPN (11%)]]</f>
        <v>5721660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373</v>
      </c>
      <c r="B14" s="7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25</v>
      </c>
      <c r="C14" s="12">
        <f ca="1">HYPERLINK("[NOTA_.xlsx]PAJAK!b"&amp;ATALI[[#This Row],[//PAJAK]],IF(ATALI[[#This Row],[//PAJAK]]="","",INDEX(INDIRECT("PAJAK["&amp;ATALI[#Headers]&amp;"]"),ATALI[[#This Row],[//PAJAK]]-1)))</f>
        <v>62</v>
      </c>
      <c r="D14" s="3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45304</v>
      </c>
      <c r="F14" s="2">
        <f ca="1">IF(ATALI[[#This Row],[//PAJAK]]="","",INDEX(INDIRECT("PAJAK["&amp;ATALI[#Headers]&amp;"]"),ATALI[[#This Row],[//PAJAK]]-1))</f>
        <v>45300</v>
      </c>
      <c r="G14" s="7" t="str">
        <f ca="1">IF(ATALI[[#This Row],[//PAJAK]]="","",INDEX(INDIRECT("PAJAK["&amp;ATALI[#Headers]&amp;"]"),ATALI[[#This Row],[//PAJAK]]-1))</f>
        <v>SA240100565</v>
      </c>
      <c r="H14" s="3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18810855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16946716.216216214</v>
      </c>
      <c r="L14" s="1">
        <f ca="1">ATALI[[#This Row],[DPP]]*11%</f>
        <v>1864138.7837837834</v>
      </c>
      <c r="M14" s="1">
        <f ca="1">ATALI[[#This Row],[DPP]]+ATALI[[#This Row],[PPN (11%)]]</f>
        <v>18810854.999999996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414</v>
      </c>
      <c r="B15" s="7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29</v>
      </c>
      <c r="C15" s="12">
        <f ca="1">HYPERLINK("[NOTA_.xlsx]PAJAK!b"&amp;ATALI[[#This Row],[//PAJAK]],IF(ATALI[[#This Row],[//PAJAK]]="","",INDEX(INDIRECT("PAJAK["&amp;ATALI[#Headers]&amp;"]"),ATALI[[#This Row],[//PAJAK]]-1)))</f>
        <v>66</v>
      </c>
      <c r="D15" s="3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45307</v>
      </c>
      <c r="F15" s="2">
        <f ca="1">IF(ATALI[[#This Row],[//PAJAK]]="","",INDEX(INDIRECT("PAJAK["&amp;ATALI[#Headers]&amp;"]"),ATALI[[#This Row],[//PAJAK]]-1))</f>
        <v>45302</v>
      </c>
      <c r="G15" s="7" t="str">
        <f ca="1">IF(ATALI[[#This Row],[//PAJAK]]="","",INDEX(INDIRECT("PAJAK["&amp;ATALI[#Headers]&amp;"]"),ATALI[[#This Row],[//PAJAK]]-1))</f>
        <v>SA240100684</v>
      </c>
      <c r="H15" s="3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15936060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14356810.81081081</v>
      </c>
      <c r="L15" s="1">
        <f ca="1">ATALI[[#This Row],[DPP]]*11%</f>
        <v>1579249.1891891891</v>
      </c>
      <c r="M15" s="1">
        <f ca="1">ATALI[[#This Row],[DPP]]+ATALI[[#This Row],[PPN (11%)]]</f>
        <v>15936060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425</v>
      </c>
      <c r="B16" s="7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30</v>
      </c>
      <c r="C16" s="12">
        <f ca="1">HYPERLINK("[NOTA_.xlsx]PAJAK!b"&amp;ATALI[[#This Row],[//PAJAK]],IF(ATALI[[#This Row],[//PAJAK]]="","",INDEX(INDIRECT("PAJAK["&amp;ATALI[#Headers]&amp;"]"),ATALI[[#This Row],[//PAJAK]]-1)))</f>
        <v>67</v>
      </c>
      <c r="D16" s="3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45307</v>
      </c>
      <c r="F16" s="2">
        <f ca="1">IF(ATALI[[#This Row],[//PAJAK]]="","",INDEX(INDIRECT("PAJAK["&amp;ATALI[#Headers]&amp;"]"),ATALI[[#This Row],[//PAJAK]]-1))</f>
        <v>45302</v>
      </c>
      <c r="G16" s="7" t="str">
        <f ca="1">IF(ATALI[[#This Row],[//PAJAK]]="","",INDEX(INDIRECT("PAJAK["&amp;ATALI[#Headers]&amp;"]"),ATALI[[#This Row],[//PAJAK]]-1))</f>
        <v>SA240100685</v>
      </c>
      <c r="H16" s="3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9192045.625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8281122.1846846836</v>
      </c>
      <c r="L16" s="1">
        <f ca="1">ATALI[[#This Row],[DPP]]*11%</f>
        <v>910923.44031531515</v>
      </c>
      <c r="M16" s="1">
        <f ca="1">ATALI[[#This Row],[DPP]]+ATALI[[#This Row],[PPN (11%)]]</f>
        <v>9192045.6249999981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500</v>
      </c>
      <c r="B17" s="7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33</v>
      </c>
      <c r="C17" s="12">
        <f ca="1">HYPERLINK("[NOTA_.xlsx]PAJAK!b"&amp;ATALI[[#This Row],[//PAJAK]],IF(ATALI[[#This Row],[//PAJAK]]="","",INDEX(INDIRECT("PAJAK["&amp;ATALI[#Headers]&amp;"]"),ATALI[[#This Row],[//PAJAK]]-1)))</f>
        <v>81</v>
      </c>
      <c r="D17" s="3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45308</v>
      </c>
      <c r="F17" s="2">
        <f ca="1">IF(ATALI[[#This Row],[//PAJAK]]="","",INDEX(INDIRECT("PAJAK["&amp;ATALI[#Headers]&amp;"]"),ATALI[[#This Row],[//PAJAK]]-1))</f>
        <v>45303</v>
      </c>
      <c r="G17" s="7" t="str">
        <f ca="1">IF(ATALI[[#This Row],[//PAJAK]]="","",INDEX(INDIRECT("PAJAK["&amp;ATALI[#Headers]&amp;"]"),ATALI[[#This Row],[//PAJAK]]-1))</f>
        <v>SA240100801</v>
      </c>
      <c r="H17" s="3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10208415</v>
      </c>
      <c r="J17" s="1">
        <f ca="1">IF(ATALI[[#This Row],[//PAJAK]]="","",INDEX(PAJAK[DISC DLL],ATALI[[#This Row],[//PAJAK]]-1))</f>
        <v>269325</v>
      </c>
      <c r="K17" s="1">
        <f ca="1">(ATALI[[#This Row],[SUB TOTAL]]-ATALI[[#This Row],[DISKON]])/1.11</f>
        <v>8954135.1351351347</v>
      </c>
      <c r="L17" s="1">
        <f ca="1">ATALI[[#This Row],[DPP]]*11%</f>
        <v>984954.86486486485</v>
      </c>
      <c r="M17" s="1">
        <f ca="1">ATALI[[#This Row],[DPP]]+ATALI[[#This Row],[PPN (11%)]]</f>
        <v>9939090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509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34</v>
      </c>
      <c r="C18" s="12">
        <f ca="1">HYPERLINK("[NOTA_.xlsx]PAJAK!b"&amp;ATALI[[#This Row],[//PAJAK]],IF(ATALI[[#This Row],[//PAJAK]]="","",INDEX(INDIRECT("PAJAK["&amp;ATALI[#Headers]&amp;"]"),ATALI[[#This Row],[//PAJAK]]-1)))</f>
        <v>82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45308</v>
      </c>
      <c r="F18" s="2">
        <f ca="1">IF(ATALI[[#This Row],[//PAJAK]]="","",INDEX(INDIRECT("PAJAK["&amp;ATALI[#Headers]&amp;"]"),ATALI[[#This Row],[//PAJAK]]-1))</f>
        <v>45303</v>
      </c>
      <c r="G18" s="7" t="str">
        <f ca="1">IF(ATALI[[#This Row],[//PAJAK]]="","",INDEX(INDIRECT("PAJAK["&amp;ATALI[#Headers]&amp;"]"),ATALI[[#This Row],[//PAJAK]]-1))</f>
        <v>SA240100800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5745600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5176216.2162162159</v>
      </c>
      <c r="L18" s="1">
        <f ca="1">ATALI[[#This Row],[DPP]]*11%</f>
        <v>569383.78378378379</v>
      </c>
      <c r="M18" s="1">
        <f ca="1">ATALI[[#This Row],[DPP]]+ATALI[[#This Row],[PPN (11%)]]</f>
        <v>5745600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518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35</v>
      </c>
      <c r="C19" s="12">
        <f ca="1">HYPERLINK("[NOTA_.xlsx]PAJAK!b"&amp;ATALI[[#This Row],[//PAJAK]],IF(ATALI[[#This Row],[//PAJAK]]="","",INDEX(INDIRECT("PAJAK["&amp;ATALI[#Headers]&amp;"]"),ATALI[[#This Row],[//PAJAK]]-1)))</f>
        <v>83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45308</v>
      </c>
      <c r="F19" s="2">
        <f ca="1">IF(ATALI[[#This Row],[//PAJAK]]="","",INDEX(INDIRECT("PAJAK["&amp;ATALI[#Headers]&amp;"]"),ATALI[[#This Row],[//PAJAK]]-1))</f>
        <v>45303</v>
      </c>
      <c r="G19" s="7" t="str">
        <f ca="1">IF(ATALI[[#This Row],[//PAJAK]]="","",INDEX(INDIRECT("PAJAK["&amp;ATALI[#Headers]&amp;"]"),ATALI[[#This Row],[//PAJAK]]-1))</f>
        <v>SA240100798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24858365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22394923.423423421</v>
      </c>
      <c r="L19" s="1">
        <f ca="1">ATALI[[#This Row],[DPP]]*11%</f>
        <v>2463441.5765765761</v>
      </c>
      <c r="M19" s="1">
        <f ca="1">ATALI[[#This Row],[DPP]]+ATALI[[#This Row],[PPN (11%)]]</f>
        <v>24858364.999999996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530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36</v>
      </c>
      <c r="C20" s="12">
        <f ca="1">HYPERLINK("[NOTA_.xlsx]PAJAK!b"&amp;ATALI[[#This Row],[//PAJAK]],IF(ATALI[[#This Row],[//PAJAK]]="","",INDEX(INDIRECT("PAJAK["&amp;ATALI[#Headers]&amp;"]"),ATALI[[#This Row],[//PAJAK]]-1)))</f>
        <v>84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45308</v>
      </c>
      <c r="F20" s="2">
        <f ca="1">IF(ATALI[[#This Row],[//PAJAK]]="","",INDEX(INDIRECT("PAJAK["&amp;ATALI[#Headers]&amp;"]"),ATALI[[#This Row],[//PAJAK]]-1))</f>
        <v>45303</v>
      </c>
      <c r="G20" s="7" t="str">
        <f ca="1">IF(ATALI[[#This Row],[//PAJAK]]="","",INDEX(INDIRECT("PAJAK["&amp;ATALI[#Headers]&amp;"]"),ATALI[[#This Row],[//PAJAK]]-1))</f>
        <v>SA240100799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13513132.5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12173993.243243242</v>
      </c>
      <c r="L20" s="1">
        <f ca="1">ATALI[[#This Row],[DPP]]*11%</f>
        <v>1339139.2567567567</v>
      </c>
      <c r="M20" s="1">
        <f ca="1">ATALI[[#This Row],[DPP]]+ATALI[[#This Row],[PPN (11%)]]</f>
        <v>13513132.499999998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539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37</v>
      </c>
      <c r="C21" s="12">
        <f ca="1">HYPERLINK("[NOTA_.xlsx]PAJAK!b"&amp;ATALI[[#This Row],[//PAJAK]],IF(ATALI[[#This Row],[//PAJAK]]="","",INDEX(INDIRECT("PAJAK["&amp;ATALI[#Headers]&amp;"]"),ATALI[[#This Row],[//PAJAK]]-1)))</f>
        <v>85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45308</v>
      </c>
      <c r="F21" s="2">
        <f ca="1">IF(ATALI[[#This Row],[//PAJAK]]="","",INDEX(INDIRECT("PAJAK["&amp;ATALI[#Headers]&amp;"]"),ATALI[[#This Row],[//PAJAK]]-1))</f>
        <v>45304</v>
      </c>
      <c r="G21" s="7" t="str">
        <f ca="1">IF(ATALI[[#This Row],[//PAJAK]]="","",INDEX(INDIRECT("PAJAK["&amp;ATALI[#Headers]&amp;"]"),ATALI[[#This Row],[//PAJAK]]-1))</f>
        <v>SA240100878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1704062.5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1535191.4414414414</v>
      </c>
      <c r="L21" s="1">
        <f ca="1">ATALI[[#This Row],[DPP]]*11%</f>
        <v>168871.05855855855</v>
      </c>
      <c r="M21" s="1">
        <f ca="1">ATALI[[#This Row],[DPP]]+ATALI[[#This Row],[PPN (11%)]]</f>
        <v>1704062.5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578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44</v>
      </c>
      <c r="C22" s="12">
        <f ca="1">HYPERLINK("[NOTA_.xlsx]PAJAK!b"&amp;ATALI[[#This Row],[//PAJAK]],IF(ATALI[[#This Row],[//PAJAK]]="","",INDEX(INDIRECT("PAJAK["&amp;ATALI[#Headers]&amp;"]"),ATALI[[#This Row],[//PAJAK]]-1)))</f>
        <v>93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45310</v>
      </c>
      <c r="F22" s="2">
        <f ca="1">IF(ATALI[[#This Row],[//PAJAK]]="","",INDEX(INDIRECT("PAJAK["&amp;ATALI[#Headers]&amp;"]"),ATALI[[#This Row],[//PAJAK]]-1))</f>
        <v>45307</v>
      </c>
      <c r="G22" s="7" t="str">
        <f ca="1">IF(ATALI[[#This Row],[//PAJAK]]="","",INDEX(INDIRECT("PAJAK["&amp;ATALI[#Headers]&amp;"]"),ATALI[[#This Row],[//PAJAK]]-1))</f>
        <v>SA240100983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8090722.5</v>
      </c>
      <c r="J22" s="1">
        <f ca="1">IF(ATALI[[#This Row],[//PAJAK]]="","",INDEX(PAJAK[DISC DLL],ATALI[[#This Row],[//PAJAK]]-1))</f>
        <v>317205</v>
      </c>
      <c r="K22" s="1">
        <f ca="1">(ATALI[[#This Row],[SUB TOTAL]]-ATALI[[#This Row],[DISKON]])/1.11</f>
        <v>7003168.9189189179</v>
      </c>
      <c r="L22" s="1">
        <f ca="1">ATALI[[#This Row],[DPP]]*11%</f>
        <v>770348.58108108095</v>
      </c>
      <c r="M22" s="1">
        <f ca="1">ATALI[[#This Row],[DPP]]+ATALI[[#This Row],[PPN (11%)]]</f>
        <v>7773517.4999999991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586</v>
      </c>
      <c r="B23" s="5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45</v>
      </c>
      <c r="C23" s="12">
        <f ca="1">HYPERLINK("[NOTA_.xlsx]PAJAK!b"&amp;ATALI[[#This Row],[//PAJAK]],IF(ATALI[[#This Row],[//PAJAK]]="","",INDEX(INDIRECT("PAJAK["&amp;ATALI[#Headers]&amp;"]"),ATALI[[#This Row],[//PAJAK]]-1)))</f>
        <v>94</v>
      </c>
      <c r="D2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45310</v>
      </c>
      <c r="F23" s="2">
        <f ca="1">IF(ATALI[[#This Row],[//PAJAK]]="","",INDEX(INDIRECT("PAJAK["&amp;ATALI[#Headers]&amp;"]"),ATALI[[#This Row],[//PAJAK]]-1))</f>
        <v>45307</v>
      </c>
      <c r="G23" s="5" t="str">
        <f ca="1">IF(ATALI[[#This Row],[//PAJAK]]="","",INDEX(INDIRECT("PAJAK["&amp;ATALI[#Headers]&amp;"]"),ATALI[[#This Row],[//PAJAK]]-1))</f>
        <v>SA240100982</v>
      </c>
      <c r="H2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13944385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12562509.009009007</v>
      </c>
      <c r="L23" s="1">
        <f ca="1">ATALI[[#This Row],[DPP]]*11%</f>
        <v>1381875.9909909908</v>
      </c>
      <c r="M23" s="1">
        <f ca="1">ATALI[[#This Row],[DPP]]+ATALI[[#This Row],[PPN (11%)]]</f>
        <v>13944384.999999998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633</v>
      </c>
      <c r="B24" s="5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48</v>
      </c>
      <c r="C24" s="12">
        <f ca="1">HYPERLINK("[NOTA_.xlsx]PAJAK!b"&amp;ATALI[[#This Row],[//PAJAK]],IF(ATALI[[#This Row],[//PAJAK]]="","",INDEX(INDIRECT("PAJAK["&amp;ATALI[#Headers]&amp;"]"),ATALI[[#This Row],[//PAJAK]]-1)))</f>
        <v>103</v>
      </c>
      <c r="D24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45313</v>
      </c>
      <c r="F24" s="2">
        <f ca="1">IF(ATALI[[#This Row],[//PAJAK]]="","",INDEX(INDIRECT("PAJAK["&amp;ATALI[#Headers]&amp;"]"),ATALI[[#This Row],[//PAJAK]]-1))</f>
        <v>45310</v>
      </c>
      <c r="G24" s="5" t="str">
        <f ca="1">IF(ATALI[[#This Row],[//PAJAK]]="","",INDEX(INDIRECT("PAJAK["&amp;ATALI[#Headers]&amp;"]"),ATALI[[#This Row],[//PAJAK]]-1))</f>
        <v>SA240101222</v>
      </c>
      <c r="H24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20018162.5</v>
      </c>
      <c r="J24" s="1">
        <f ca="1">IF(ATALI[[#This Row],[//PAJAK]]="","",INDEX(PAJAK[DISC DLL],ATALI[[#This Row],[//PAJAK]]-1))</f>
        <v>183540</v>
      </c>
      <c r="K24" s="1">
        <f ca="1">(ATALI[[#This Row],[SUB TOTAL]]-ATALI[[#This Row],[DISKON]])/1.11</f>
        <v>17869029.279279277</v>
      </c>
      <c r="L24" s="1">
        <f ca="1">ATALI[[#This Row],[DPP]]*11%</f>
        <v>1965593.2207207205</v>
      </c>
      <c r="M24" s="1">
        <f ca="1">ATALI[[#This Row],[DPP]]+ATALI[[#This Row],[PPN (11%)]]</f>
        <v>19834622.499999996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645</v>
      </c>
      <c r="B25" s="5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49</v>
      </c>
      <c r="C25" s="12">
        <f ca="1">HYPERLINK("[NOTA_.xlsx]PAJAK!b"&amp;ATALI[[#This Row],[//PAJAK]],IF(ATALI[[#This Row],[//PAJAK]]="","",INDEX(INDIRECT("PAJAK["&amp;ATALI[#Headers]&amp;"]"),ATALI[[#This Row],[//PAJAK]]-1)))</f>
        <v>104</v>
      </c>
      <c r="D25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45313</v>
      </c>
      <c r="F25" s="2">
        <f ca="1">IF(ATALI[[#This Row],[//PAJAK]]="","",INDEX(INDIRECT("PAJAK["&amp;ATALI[#Headers]&amp;"]"),ATALI[[#This Row],[//PAJAK]]-1))</f>
        <v>45310</v>
      </c>
      <c r="G25" s="5" t="str">
        <f ca="1">IF(ATALI[[#This Row],[//PAJAK]]="","",INDEX(INDIRECT("PAJAK["&amp;ATALI[#Headers]&amp;"]"),ATALI[[#This Row],[//PAJAK]]-1))</f>
        <v>SA240101271</v>
      </c>
      <c r="H25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5343940</v>
      </c>
      <c r="J25" s="1">
        <f ca="1">IF(ATALI[[#This Row],[//PAJAK]]="","",INDEX(PAJAK[DISC DLL],ATALI[[#This Row],[//PAJAK]]-1))</f>
        <v>263340</v>
      </c>
      <c r="K25" s="1">
        <f ca="1">(ATALI[[#This Row],[SUB TOTAL]]-ATALI[[#This Row],[DISKON]])/1.11</f>
        <v>4577117.1171171172</v>
      </c>
      <c r="L25" s="1">
        <f ca="1">ATALI[[#This Row],[DPP]]*11%</f>
        <v>503482.8828828829</v>
      </c>
      <c r="M25" s="1">
        <f ca="1">ATALI[[#This Row],[DPP]]+ATALI[[#This Row],[PPN (11%)]]</f>
        <v>5080600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650</v>
      </c>
      <c r="B26" s="5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50</v>
      </c>
      <c r="C26" s="12">
        <f ca="1">HYPERLINK("[NOTA_.xlsx]PAJAK!b"&amp;ATALI[[#This Row],[//PAJAK]],IF(ATALI[[#This Row],[//PAJAK]]="","",INDEX(INDIRECT("PAJAK["&amp;ATALI[#Headers]&amp;"]"),ATALI[[#This Row],[//PAJAK]]-1)))</f>
        <v>105</v>
      </c>
      <c r="D26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45313</v>
      </c>
      <c r="F26" s="2">
        <f ca="1">IF(ATALI[[#This Row],[//PAJAK]]="","",INDEX(INDIRECT("PAJAK["&amp;ATALI[#Headers]&amp;"]"),ATALI[[#This Row],[//PAJAK]]-1))</f>
        <v>45309</v>
      </c>
      <c r="G26" s="5" t="str">
        <f ca="1">IF(ATALI[[#This Row],[//PAJAK]]="","",INDEX(INDIRECT("PAJAK["&amp;ATALI[#Headers]&amp;"]"),ATALI[[#This Row],[//PAJAK]]-1))</f>
        <v>SA240101157</v>
      </c>
      <c r="H26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1571062.5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1415371.6216216215</v>
      </c>
      <c r="L26" s="1">
        <f ca="1">ATALI[[#This Row],[DPP]]*11%</f>
        <v>155690.87837837837</v>
      </c>
      <c r="M26" s="1">
        <f ca="1">ATALI[[#This Row],[DPP]]+ATALI[[#This Row],[PPN (11%)]]</f>
        <v>1571062.5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652</v>
      </c>
      <c r="B27" s="5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51</v>
      </c>
      <c r="C27" s="12">
        <f ca="1">HYPERLINK("[NOTA_.xlsx]PAJAK!b"&amp;ATALI[[#This Row],[//PAJAK]],IF(ATALI[[#This Row],[//PAJAK]]="","",INDEX(INDIRECT("PAJAK["&amp;ATALI[#Headers]&amp;"]"),ATALI[[#This Row],[//PAJAK]]-1)))</f>
        <v>106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45313</v>
      </c>
      <c r="F27" s="2">
        <f ca="1">IF(ATALI[[#This Row],[//PAJAK]]="","",INDEX(INDIRECT("PAJAK["&amp;ATALI[#Headers]&amp;"]"),ATALI[[#This Row],[//PAJAK]]-1))</f>
        <v>45308</v>
      </c>
      <c r="G27" s="7" t="str">
        <f ca="1">IF(ATALI[[#This Row],[//PAJAK]]="","",INDEX(INDIRECT("PAJAK["&amp;ATALI[#Headers]&amp;"]"),ATALI[[#This Row],[//PAJAK]]-1))</f>
        <v>SA240101081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6683250</v>
      </c>
      <c r="J27" s="1">
        <f ca="1">IF(ATALI[[#This Row],[//PAJAK]]="","",INDEX(PAJAK[DISC DLL],ATALI[[#This Row],[//PAJAK]]-1))</f>
        <v>183540</v>
      </c>
      <c r="K27" s="1">
        <f ca="1">(ATALI[[#This Row],[SUB TOTAL]]-ATALI[[#This Row],[DISKON]])/1.11</f>
        <v>5855594.5945945941</v>
      </c>
      <c r="L27" s="1">
        <f ca="1">ATALI[[#This Row],[DPP]]*11%</f>
        <v>644115.40540540533</v>
      </c>
      <c r="M27" s="1">
        <f ca="1">ATALI[[#This Row],[DPP]]+ATALI[[#This Row],[PPN (11%)]]</f>
        <v>6499709.9999999991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744</v>
      </c>
      <c r="B28" s="5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59</v>
      </c>
      <c r="C28" s="12">
        <f ca="1">HYPERLINK("[NOTA_.xlsx]PAJAK!b"&amp;ATALI[[#This Row],[//PAJAK]],IF(ATALI[[#This Row],[//PAJAK]]="","",INDEX(INDIRECT("PAJAK["&amp;ATALI[#Headers]&amp;"]"),ATALI[[#This Row],[//PAJAK]]-1)))</f>
        <v>126</v>
      </c>
      <c r="D28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45317</v>
      </c>
      <c r="F28" s="2">
        <f ca="1">IF(ATALI[[#This Row],[//PAJAK]]="","",INDEX(INDIRECT("PAJAK["&amp;ATALI[#Headers]&amp;"]"),ATALI[[#This Row],[//PAJAK]]-1))</f>
        <v>45311</v>
      </c>
      <c r="G28" s="5" t="str">
        <f ca="1">IF(ATALI[[#This Row],[//PAJAK]]="","",INDEX(INDIRECT("PAJAK["&amp;ATALI[#Headers]&amp;"]"),ATALI[[#This Row],[//PAJAK]]-1))</f>
        <v>SA240101309</v>
      </c>
      <c r="H28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7138110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6430729.7297297288</v>
      </c>
      <c r="L28" s="1">
        <f ca="1">ATALI[[#This Row],[DPP]]*11%</f>
        <v>707380.27027027018</v>
      </c>
      <c r="M28" s="1">
        <f ca="1">ATALI[[#This Row],[DPP]]+ATALI[[#This Row],[PPN (11%)]]</f>
        <v>7138109.9999999991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748</v>
      </c>
      <c r="B29" s="5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60</v>
      </c>
      <c r="C29" s="12">
        <f ca="1">HYPERLINK("[NOTA_.xlsx]PAJAK!b"&amp;ATALI[[#This Row],[//PAJAK]],IF(ATALI[[#This Row],[//PAJAK]]="","",INDEX(INDIRECT("PAJAK["&amp;ATALI[#Headers]&amp;"]"),ATALI[[#This Row],[//PAJAK]]-1)))</f>
        <v>127</v>
      </c>
      <c r="D29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45317</v>
      </c>
      <c r="F29" s="2">
        <f ca="1">IF(ATALI[[#This Row],[//PAJAK]]="","",INDEX(INDIRECT("PAJAK["&amp;ATALI[#Headers]&amp;"]"),ATALI[[#This Row],[//PAJAK]]-1))</f>
        <v>45314</v>
      </c>
      <c r="G29" s="5" t="str">
        <f ca="1">IF(ATALI[[#This Row],[//PAJAK]]="","",INDEX(INDIRECT("PAJAK["&amp;ATALI[#Headers]&amp;"]"),ATALI[[#This Row],[//PAJAK]]-1))</f>
        <v>SA240101458</v>
      </c>
      <c r="H29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8412915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7579202.702702702</v>
      </c>
      <c r="L29" s="1">
        <f ca="1">ATALI[[#This Row],[DPP]]*11%</f>
        <v>833712.29729729728</v>
      </c>
      <c r="M29" s="1">
        <f ca="1">ATALI[[#This Row],[DPP]]+ATALI[[#This Row],[PPN (11%)]]</f>
        <v>8412915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767</v>
      </c>
      <c r="B30" s="5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65</v>
      </c>
      <c r="C30" s="12">
        <f ca="1">HYPERLINK("[NOTA_.xlsx]PAJAK!b"&amp;ATALI[[#This Row],[//PAJAK]],IF(ATALI[[#This Row],[//PAJAK]]="","",INDEX(INDIRECT("PAJAK["&amp;ATALI[#Headers]&amp;"]"),ATALI[[#This Row],[//PAJAK]]-1)))</f>
        <v>132</v>
      </c>
      <c r="D30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45320</v>
      </c>
      <c r="F30" s="2">
        <f ca="1">IF(ATALI[[#This Row],[//PAJAK]]="","",INDEX(INDIRECT("PAJAK["&amp;ATALI[#Headers]&amp;"]"),ATALI[[#This Row],[//PAJAK]]-1))</f>
        <v>45315</v>
      </c>
      <c r="G30" s="5" t="str">
        <f ca="1">IF(ATALI[[#This Row],[//PAJAK]]="","",INDEX(INDIRECT("PAJAK["&amp;ATALI[#Headers]&amp;"]"),ATALI[[#This Row],[//PAJAK]]-1))</f>
        <v>SA240101538</v>
      </c>
      <c r="H30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1149120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1035243.2432432432</v>
      </c>
      <c r="L30" s="1">
        <f ca="1">ATALI[[#This Row],[DPP]]*11%</f>
        <v>113876.75675675675</v>
      </c>
      <c r="M30" s="1">
        <f ca="1">ATALI[[#This Row],[DPP]]+ATALI[[#This Row],[PPN (11%)]]</f>
        <v>1149120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870</v>
      </c>
      <c r="B31" s="5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73</v>
      </c>
      <c r="C31" s="12">
        <f ca="1">HYPERLINK("[NOTA_.xlsx]PAJAK!b"&amp;ATALI[[#This Row],[//PAJAK]],IF(ATALI[[#This Row],[//PAJAK]]="","",INDEX(INDIRECT("PAJAK["&amp;ATALI[#Headers]&amp;"]"),ATALI[[#This Row],[//PAJAK]]-1)))</f>
        <v>157</v>
      </c>
      <c r="D31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45329</v>
      </c>
      <c r="F31" s="2">
        <f ca="1">IF(ATALI[[#This Row],[//PAJAK]]="","",INDEX(INDIRECT("PAJAK["&amp;ATALI[#Headers]&amp;"]"),ATALI[[#This Row],[//PAJAK]]-1))</f>
        <v>45325</v>
      </c>
      <c r="G31" s="5" t="str">
        <f ca="1">IF(ATALI[[#This Row],[//PAJAK]]="","",INDEX(INDIRECT("PAJAK["&amp;ATALI[#Headers]&amp;"]"),ATALI[[#This Row],[//PAJAK]]-1))</f>
        <v>SA240202225</v>
      </c>
      <c r="H31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8818731.25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7944802.9279279271</v>
      </c>
      <c r="L31" s="1">
        <f ca="1">ATALI[[#This Row],[DPP]]*11%</f>
        <v>873928.32207207195</v>
      </c>
      <c r="M31" s="1">
        <f ca="1">ATALI[[#This Row],[DPP]]+ATALI[[#This Row],[PPN (11%)]]</f>
        <v>8818731.25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875</v>
      </c>
      <c r="B32" s="5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74</v>
      </c>
      <c r="C32" s="12">
        <f ca="1">HYPERLINK("[NOTA_.xlsx]PAJAK!b"&amp;ATALI[[#This Row],[//PAJAK]],IF(ATALI[[#This Row],[//PAJAK]]="","",INDEX(INDIRECT("PAJAK["&amp;ATALI[#Headers]&amp;"]"),ATALI[[#This Row],[//PAJAK]]-1)))</f>
        <v>158</v>
      </c>
      <c r="D32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45329</v>
      </c>
      <c r="F32" s="2">
        <f ca="1">IF(ATALI[[#This Row],[//PAJAK]]="","",INDEX(INDIRECT("PAJAK["&amp;ATALI[#Headers]&amp;"]"),ATALI[[#This Row],[//PAJAK]]-1))</f>
        <v>45323</v>
      </c>
      <c r="G32" s="5" t="str">
        <f ca="1">IF(ATALI[[#This Row],[//PAJAK]]="","",INDEX(INDIRECT("PAJAK["&amp;ATALI[#Headers]&amp;"]"),ATALI[[#This Row],[//PAJAK]]-1))</f>
        <v>SA240202092</v>
      </c>
      <c r="H32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9685725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8725878.3783783782</v>
      </c>
      <c r="L32" s="1">
        <f ca="1">ATALI[[#This Row],[DPP]]*11%</f>
        <v>959846.62162162166</v>
      </c>
      <c r="M32" s="1">
        <f ca="1">ATALI[[#This Row],[DPP]]+ATALI[[#This Row],[PPN (11%)]]</f>
        <v>9685725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880</v>
      </c>
      <c r="B33" s="5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75</v>
      </c>
      <c r="C33" s="12">
        <f ca="1">HYPERLINK("[NOTA_.xlsx]PAJAK!b"&amp;ATALI[[#This Row],[//PAJAK]],IF(ATALI[[#This Row],[//PAJAK]]="","",INDEX(INDIRECT("PAJAK["&amp;ATALI[#Headers]&amp;"]"),ATALI[[#This Row],[//PAJAK]]-1)))</f>
        <v>159</v>
      </c>
      <c r="D3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45329</v>
      </c>
      <c r="F33" s="2">
        <f ca="1">IF(ATALI[[#This Row],[//PAJAK]]="","",INDEX(INDIRECT("PAJAK["&amp;ATALI[#Headers]&amp;"]"),ATALI[[#This Row],[//PAJAK]]-1))</f>
        <v>45322</v>
      </c>
      <c r="G33" s="5" t="str">
        <f ca="1">IF(ATALI[[#This Row],[//PAJAK]]="","",INDEX(INDIRECT("PAJAK["&amp;ATALI[#Headers]&amp;"]"),ATALI[[#This Row],[//PAJAK]]-1))</f>
        <v>SA240101975</v>
      </c>
      <c r="H3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9421720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8488036.036036035</v>
      </c>
      <c r="L33" s="1">
        <f ca="1">ATALI[[#This Row],[DPP]]*11%</f>
        <v>933683.96396396391</v>
      </c>
      <c r="M33" s="1">
        <f ca="1">ATALI[[#This Row],[DPP]]+ATALI[[#This Row],[PPN (11%)]]</f>
        <v>9421719.9999999981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885</v>
      </c>
      <c r="B34" s="5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76</v>
      </c>
      <c r="C34" s="12">
        <f ca="1">HYPERLINK("[NOTA_.xlsx]PAJAK!b"&amp;ATALI[[#This Row],[//PAJAK]],IF(ATALI[[#This Row],[//PAJAK]]="","",INDEX(INDIRECT("PAJAK["&amp;ATALI[#Headers]&amp;"]"),ATALI[[#This Row],[//PAJAK]]-1)))</f>
        <v>160</v>
      </c>
      <c r="D34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45329</v>
      </c>
      <c r="F34" s="2">
        <f ca="1">IF(ATALI[[#This Row],[//PAJAK]]="","",INDEX(INDIRECT("PAJAK["&amp;ATALI[#Headers]&amp;"]"),ATALI[[#This Row],[//PAJAK]]-1))</f>
        <v>45324</v>
      </c>
      <c r="G34" s="5" t="str">
        <f ca="1">IF(ATALI[[#This Row],[//PAJAK]]="","",INDEX(INDIRECT("PAJAK["&amp;ATALI[#Headers]&amp;"]"),ATALI[[#This Row],[//PAJAK]]-1))</f>
        <v>SA240202143</v>
      </c>
      <c r="H34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12301170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11082135.135135135</v>
      </c>
      <c r="L34" s="1">
        <f ca="1">ATALI[[#This Row],[DPP]]*11%</f>
        <v>1219034.8648648649</v>
      </c>
      <c r="M34" s="1">
        <f ca="1">ATALI[[#This Row],[DPP]]+ATALI[[#This Row],[PPN (11%)]]</f>
        <v>12301170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889</v>
      </c>
      <c r="B35" s="5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77</v>
      </c>
      <c r="C35" s="12">
        <f ca="1">HYPERLINK("[NOTA_.xlsx]PAJAK!b"&amp;ATALI[[#This Row],[//PAJAK]],IF(ATALI[[#This Row],[//PAJAK]]="","",INDEX(INDIRECT("PAJAK["&amp;ATALI[#Headers]&amp;"]"),ATALI[[#This Row],[//PAJAK]]-1)))</f>
        <v>161</v>
      </c>
      <c r="D35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45329</v>
      </c>
      <c r="F35" s="2">
        <f ca="1">IF(ATALI[[#This Row],[//PAJAK]]="","",INDEX(INDIRECT("PAJAK["&amp;ATALI[#Headers]&amp;"]"),ATALI[[#This Row],[//PAJAK]]-1))</f>
        <v>45321</v>
      </c>
      <c r="G35" s="5" t="str">
        <f ca="1">IF(ATALI[[#This Row],[//PAJAK]]="","",INDEX(INDIRECT("PAJAK["&amp;ATALI[#Headers]&amp;"]"),ATALI[[#This Row],[//PAJAK]]-1))</f>
        <v>SA240101959</v>
      </c>
      <c r="H35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9748068.75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8782043.9189189188</v>
      </c>
      <c r="L35" s="1">
        <f ca="1">ATALI[[#This Row],[DPP]]*11%</f>
        <v>966024.83108108107</v>
      </c>
      <c r="M35" s="1">
        <f ca="1">ATALI[[#This Row],[DPP]]+ATALI[[#This Row],[PPN (11%)]]</f>
        <v>9748068.75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5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5" t="str">
        <f ca="1">IF(ATALI[[#This Row],[//PAJAK]]="","",INDEX(INDIRECT("PAJAK["&amp;ATALI[#Headers]&amp;"]"),ATALI[[#This Row],[//PAJAK]]-1))</f>
        <v/>
      </c>
      <c r="H36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5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5" t="str">
        <f ca="1">IF(ATALI[[#This Row],[//PAJAK]]="","",INDEX(INDIRECT("PAJAK["&amp;ATALI[#Headers]&amp;"]"),ATALI[[#This Row],[//PAJAK]]-1))</f>
        <v/>
      </c>
      <c r="H40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EXP\BARU\2024\01 JANUARI\[NOTA 01 JANUARI 2024.xlsx]99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EXP\BARU\2024\01 JANUARI\[NOTA 01 JANUARI 2024.xlsx]SDI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EXP\BARU\2024\01 JANUARI\[NOTA 01 JANUARI 2024.xlsx]SAJ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340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21</v>
      </c>
      <c r="C3" s="12">
        <f ca="1">HYPERLINK("[NOTA_.xlsx]PAJAK!b"&amp;SAJ[[#This Row],[//PAJAK]],IF(SAJ[[#This Row],[//PAJAK]]="","",INDEX(INDIRECT("PAJAK["&amp;SAJ[#Headers]&amp;"]"),SAJ[[#This Row],[//PAJAK]]-1)))</f>
        <v>55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45303</v>
      </c>
      <c r="F3" s="2">
        <f ca="1">IF(SAJ[[#This Row],[//PAJAK]]="","",INDEX(INDIRECT("PAJAK["&amp;SAJ[#Headers]&amp;"]"),SAJ[[#This Row],[//PAJAK]]-1))</f>
        <v>45301</v>
      </c>
      <c r="G3" s="14" t="str">
        <f ca="1">IF(SAJ[[#This Row],[//PAJAK]]="","",INDEX(INDIRECT("PAJAK["&amp;SAJ[#Headers]&amp;"]"),SAJ[[#This Row],[//PAJAK]]-1))</f>
        <v>JL-16963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20520000</v>
      </c>
      <c r="J3" s="1">
        <f ca="1">IF(SAJ[[#This Row],[//PAJAK]]="","",INDEX(INDIRECT("PAJAK["&amp;SAJ[#Headers]&amp;"]"),SAJ[[#This Row],[//PAJAK]]-1))</f>
        <v>1436400.0000000002</v>
      </c>
      <c r="K3" s="1">
        <f ca="1">(SAJ[[#This Row],[SUB TOTAL]]-SAJ[[#This Row],[DISKON]])/1.11</f>
        <v>17192432.432432432</v>
      </c>
      <c r="L3" s="1">
        <f ca="1">SAJ[[#This Row],[DPP]]*11%</f>
        <v>1891167.5675675676</v>
      </c>
      <c r="M3" s="1">
        <f ca="1">SAJ[[#This Row],[DPP]]+SAJ[[#This Row],[PPN (11%)]]</f>
        <v>19083600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EXP\BARU\2024\01 JANUARI\[NOTA 01 JANUARI 2024.xlsx]MGN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195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14</v>
      </c>
      <c r="C3" s="12">
        <f ca="1">HYPERLINK("[NOTA_.xlsx]PAJAK!b"&amp;MGN[[#This Row],[//PAJAK]],IF(MGN[[#This Row],[//PAJAK]]="","",INDEX(INDIRECT("PAJAK["&amp;MGN[#Headers]&amp;"]"),MGN[[#This Row],[//PAJAK]]-1)))</f>
        <v>28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45302</v>
      </c>
      <c r="F3" s="2">
        <f ca="1">IF(MGN[[#This Row],[//PAJAK]]="","",INDEX(INDIRECT("PAJAK["&amp;MGN[#Headers]&amp;"]"),MGN[[#This Row],[//PAJAK]]-1))</f>
        <v>45300</v>
      </c>
      <c r="G3" s="14" t="str">
        <f ca="1">IF(MGN[[#This Row],[//PAJAK]]="","",INDEX(INDIRECT("PAJAK["&amp;MGN[#Headers]&amp;"]"),MGN[[#This Row],[//PAJAK]]-1))</f>
        <v>L:101079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29200000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23783783.783783782</v>
      </c>
      <c r="L3" s="1">
        <f ca="1">MGN[[#This Row],[DPP]]*11%</f>
        <v>2616216.2162162159</v>
      </c>
      <c r="M3" s="1">
        <f ca="1">MGN[[#This Row],[DPP]]+MGN[[#This Row],[PPN (11%)]]</f>
        <v>26400000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764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64</v>
      </c>
      <c r="C4" s="12">
        <f ca="1">HYPERLINK("[NOTA_.xlsx]PAJAK!b"&amp;MGN[[#This Row],[//PAJAK]],IF(MGN[[#This Row],[//PAJAK]]="","",INDEX(INDIRECT("PAJAK["&amp;MGN[#Headers]&amp;"]"),MGN[[#This Row],[//PAJAK]]-1)))</f>
        <v>131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45323</v>
      </c>
      <c r="F4" s="2">
        <f ca="1">IF(MGN[[#This Row],[//PAJAK]]="","",INDEX(INDIRECT("PAJAK["&amp;MGN[#Headers]&amp;"]"),MGN[[#This Row],[//PAJAK]]-1))</f>
        <v>45316</v>
      </c>
      <c r="G4" t="str">
        <f ca="1">IF(MGN[[#This Row],[//PAJAK]]="","",INDEX(INDIRECT("PAJAK["&amp;MGN[#Headers]&amp;"]"),MGN[[#This Row],[//PAJAK]]-1))</f>
        <v>L301032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62000000</v>
      </c>
      <c r="J4" s="1">
        <f ca="1">IF(MGN[[#This Row],[//PAJAK]]="","",INDEX(INDIRECT("PAJAK["&amp;MGN[#Headers]&amp;"]"),MGN[[#This Row],[//PAJAK]]-1))</f>
        <v>5600000</v>
      </c>
      <c r="K4" s="1">
        <f ca="1">(MGN[[#This Row],[SUB TOTAL]]-MGN[[#This Row],[DISKON]])/1.11</f>
        <v>50810810.810810804</v>
      </c>
      <c r="L4" s="1">
        <f ca="1">MGN[[#This Row],[DPP]]*11%</f>
        <v>5589189.1891891882</v>
      </c>
      <c r="M4" s="1">
        <f ca="1">MGN[[#This Row],[DPP]]+MGN[[#This Row],[PPN (11%)]]</f>
        <v>56399999.999999993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2024-02-07T09:16:50Z</dcterms:modified>
</cp:coreProperties>
</file>