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6" r:id="rId8"/>
  </pivotCaches>
</workbook>
</file>

<file path=xl/calcChain.xml><?xml version="1.0" encoding="utf-8"?>
<calcChain xmlns="http://schemas.openxmlformats.org/spreadsheetml/2006/main">
  <c r="N35" i="1" l="1"/>
  <c r="N36" i="1"/>
  <c r="B36" i="1"/>
  <c r="G36" i="1"/>
  <c r="A36" i="1" s="1"/>
  <c r="AC36" i="1" s="1"/>
  <c r="H35" i="1"/>
  <c r="H36" i="1"/>
  <c r="I35" i="1"/>
  <c r="I36" i="1"/>
  <c r="V36" i="1"/>
  <c r="W36" i="1" s="1"/>
  <c r="X35" i="1"/>
  <c r="X36" i="1"/>
  <c r="Y35" i="1"/>
  <c r="Y36" i="1"/>
  <c r="Z35" i="1"/>
  <c r="Z36" i="1"/>
  <c r="AA35" i="1"/>
  <c r="AA36" i="1"/>
  <c r="AB35" i="1"/>
  <c r="S35" i="1" s="1"/>
  <c r="AB36" i="1"/>
  <c r="S36" i="1" s="1"/>
  <c r="AE35" i="1"/>
  <c r="AE36" i="1"/>
  <c r="N37" i="1"/>
  <c r="N38" i="1"/>
  <c r="N39" i="1"/>
  <c r="N40" i="1"/>
  <c r="N41" i="1"/>
  <c r="N42" i="1"/>
  <c r="N43" i="1"/>
  <c r="N4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A1" i="1" l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4" i="1"/>
  <c r="AA161" i="1"/>
  <c r="AA158" i="1"/>
  <c r="AA156" i="1"/>
  <c r="AA151" i="1"/>
  <c r="AA149" i="1"/>
  <c r="AA147" i="1"/>
  <c r="AA142" i="1"/>
  <c r="AA136" i="1"/>
  <c r="AA134" i="1"/>
  <c r="AA132" i="1"/>
  <c r="AA118" i="1"/>
  <c r="AA113" i="1"/>
  <c r="AA107" i="1"/>
  <c r="AA104" i="1"/>
  <c r="AA100" i="1"/>
  <c r="AA89" i="1"/>
  <c r="AA87" i="1"/>
  <c r="AA81" i="1"/>
  <c r="AA79" i="1"/>
  <c r="AA78" i="1"/>
  <c r="AA76" i="1"/>
  <c r="AA74" i="1"/>
  <c r="AA68" i="1"/>
  <c r="AA66" i="1"/>
  <c r="AA59" i="1"/>
  <c r="AA57" i="1"/>
  <c r="AA55" i="1"/>
  <c r="AA30" i="1"/>
  <c r="AA4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C168" i="1" s="1"/>
  <c r="AE167" i="1"/>
  <c r="X167" i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B162" i="1"/>
  <c r="G162" i="1" s="1"/>
  <c r="A162" i="1" s="1"/>
  <c r="AE161" i="1"/>
  <c r="AB161" i="1"/>
  <c r="S161" i="1" s="1"/>
  <c r="X161" i="1"/>
  <c r="V161" i="1"/>
  <c r="W161" i="1" s="1"/>
  <c r="H161" i="1"/>
  <c r="B161" i="1"/>
  <c r="G161" i="1" s="1"/>
  <c r="A161" i="1" s="1"/>
  <c r="AC161" i="1" s="1"/>
  <c r="AE160" i="1"/>
  <c r="X160" i="1"/>
  <c r="H160" i="1"/>
  <c r="B160" i="1"/>
  <c r="G160" i="1" s="1"/>
  <c r="A160" i="1" s="1"/>
  <c r="AC160" i="1" s="1"/>
  <c r="AE159" i="1"/>
  <c r="X159" i="1"/>
  <c r="H159" i="1"/>
  <c r="AE158" i="1"/>
  <c r="AB158" i="1"/>
  <c r="S158" i="1" s="1"/>
  <c r="X158" i="1"/>
  <c r="V158" i="1"/>
  <c r="W158" i="1" s="1"/>
  <c r="H158" i="1"/>
  <c r="B158" i="1"/>
  <c r="G158" i="1" s="1"/>
  <c r="A158" i="1" s="1"/>
  <c r="AC158" i="1" s="1"/>
  <c r="AE157" i="1"/>
  <c r="X157" i="1"/>
  <c r="H157" i="1"/>
  <c r="AE156" i="1"/>
  <c r="AB156" i="1"/>
  <c r="S156" i="1" s="1"/>
  <c r="X156" i="1"/>
  <c r="V156" i="1"/>
  <c r="W156" i="1" s="1"/>
  <c r="H156" i="1"/>
  <c r="B156" i="1"/>
  <c r="G156" i="1" s="1"/>
  <c r="A156" i="1" s="1"/>
  <c r="AC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C154" i="1" s="1"/>
  <c r="AE153" i="1"/>
  <c r="X153" i="1"/>
  <c r="H153" i="1"/>
  <c r="B153" i="1"/>
  <c r="G153" i="1" s="1"/>
  <c r="A153" i="1" s="1"/>
  <c r="AC153" i="1" s="1"/>
  <c r="AE152" i="1"/>
  <c r="X152" i="1"/>
  <c r="H152" i="1"/>
  <c r="AE151" i="1"/>
  <c r="AB151" i="1"/>
  <c r="S151" i="1" s="1"/>
  <c r="X151" i="1"/>
  <c r="V151" i="1"/>
  <c r="W151" i="1" s="1"/>
  <c r="H151" i="1"/>
  <c r="B151" i="1"/>
  <c r="G151" i="1" s="1"/>
  <c r="A151" i="1" s="1"/>
  <c r="AC151" i="1" s="1"/>
  <c r="AE150" i="1"/>
  <c r="X150" i="1"/>
  <c r="H150" i="1"/>
  <c r="AE149" i="1"/>
  <c r="AB149" i="1"/>
  <c r="S149" i="1" s="1"/>
  <c r="X149" i="1"/>
  <c r="V149" i="1"/>
  <c r="W149" i="1" s="1"/>
  <c r="H149" i="1"/>
  <c r="B149" i="1"/>
  <c r="G149" i="1" s="1"/>
  <c r="A149" i="1" s="1"/>
  <c r="AC149" i="1" s="1"/>
  <c r="AE148" i="1"/>
  <c r="X148" i="1"/>
  <c r="H148" i="1"/>
  <c r="AE147" i="1"/>
  <c r="AB147" i="1"/>
  <c r="S147" i="1" s="1"/>
  <c r="X147" i="1"/>
  <c r="V147" i="1"/>
  <c r="W147" i="1" s="1"/>
  <c r="H147" i="1"/>
  <c r="B147" i="1"/>
  <c r="G147" i="1" s="1"/>
  <c r="A147" i="1" s="1"/>
  <c r="AC147" i="1" s="1"/>
  <c r="AE146" i="1"/>
  <c r="X146" i="1"/>
  <c r="H146" i="1"/>
  <c r="B146" i="1"/>
  <c r="G146" i="1" s="1"/>
  <c r="A146" i="1" s="1"/>
  <c r="AC146" i="1" s="1"/>
  <c r="AE145" i="1"/>
  <c r="X145" i="1"/>
  <c r="H145" i="1"/>
  <c r="B145" i="1"/>
  <c r="G145" i="1" s="1"/>
  <c r="A145" i="1" s="1"/>
  <c r="AC145" i="1" s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B140" i="1"/>
  <c r="G140" i="1" s="1"/>
  <c r="A140" i="1" s="1"/>
  <c r="AC140" i="1" s="1"/>
  <c r="AE139" i="1"/>
  <c r="X139" i="1"/>
  <c r="H139" i="1"/>
  <c r="B139" i="1"/>
  <c r="G139" i="1" s="1"/>
  <c r="A139" i="1" s="1"/>
  <c r="AC139" i="1" s="1"/>
  <c r="AE138" i="1"/>
  <c r="X138" i="1"/>
  <c r="H138" i="1"/>
  <c r="B138" i="1"/>
  <c r="G138" i="1" s="1"/>
  <c r="A138" i="1" s="1"/>
  <c r="AC138" i="1" s="1"/>
  <c r="AE137" i="1"/>
  <c r="X137" i="1"/>
  <c r="H137" i="1"/>
  <c r="AE136" i="1"/>
  <c r="AB136" i="1"/>
  <c r="S136" i="1" s="1"/>
  <c r="X136" i="1"/>
  <c r="V136" i="1"/>
  <c r="W136" i="1" s="1"/>
  <c r="H136" i="1"/>
  <c r="B136" i="1"/>
  <c r="G136" i="1" s="1"/>
  <c r="A136" i="1" s="1"/>
  <c r="AC136" i="1" s="1"/>
  <c r="AE135" i="1"/>
  <c r="X135" i="1"/>
  <c r="H135" i="1"/>
  <c r="AE134" i="1"/>
  <c r="AB134" i="1"/>
  <c r="S134" i="1" s="1"/>
  <c r="X134" i="1"/>
  <c r="V134" i="1"/>
  <c r="W134" i="1" s="1"/>
  <c r="H134" i="1"/>
  <c r="B134" i="1"/>
  <c r="G134" i="1" s="1"/>
  <c r="A134" i="1" s="1"/>
  <c r="AC134" i="1" s="1"/>
  <c r="AE133" i="1"/>
  <c r="X133" i="1"/>
  <c r="H133" i="1"/>
  <c r="AE132" i="1"/>
  <c r="AB132" i="1"/>
  <c r="S132" i="1" s="1"/>
  <c r="X132" i="1"/>
  <c r="V132" i="1"/>
  <c r="W132" i="1" s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9" i="1"/>
  <c r="X129" i="1"/>
  <c r="H129" i="1"/>
  <c r="B129" i="1"/>
  <c r="G129" i="1" s="1"/>
  <c r="A129" i="1" s="1"/>
  <c r="AC129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B126" i="1"/>
  <c r="G126" i="1" s="1"/>
  <c r="A126" i="1" s="1"/>
  <c r="AC126" i="1" s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B123" i="1"/>
  <c r="G123" i="1" s="1"/>
  <c r="A123" i="1" s="1"/>
  <c r="AC123" i="1" s="1"/>
  <c r="AE122" i="1"/>
  <c r="X122" i="1"/>
  <c r="H122" i="1"/>
  <c r="B122" i="1"/>
  <c r="G122" i="1" s="1"/>
  <c r="A122" i="1" s="1"/>
  <c r="AC122" i="1" s="1"/>
  <c r="AE121" i="1"/>
  <c r="X121" i="1"/>
  <c r="H121" i="1"/>
  <c r="B121" i="1"/>
  <c r="G121" i="1" s="1"/>
  <c r="A121" i="1" s="1"/>
  <c r="AC121" i="1" s="1"/>
  <c r="AE120" i="1"/>
  <c r="X120" i="1"/>
  <c r="H120" i="1"/>
  <c r="B120" i="1"/>
  <c r="G120" i="1" s="1"/>
  <c r="A120" i="1" s="1"/>
  <c r="AC120" i="1" s="1"/>
  <c r="AE119" i="1"/>
  <c r="X119" i="1"/>
  <c r="H119" i="1"/>
  <c r="AE118" i="1"/>
  <c r="AB118" i="1"/>
  <c r="S118" i="1" s="1"/>
  <c r="X118" i="1"/>
  <c r="V118" i="1"/>
  <c r="W118" i="1" s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B116" i="1"/>
  <c r="G116" i="1" s="1"/>
  <c r="A116" i="1" s="1"/>
  <c r="AC116" i="1" s="1"/>
  <c r="AE115" i="1"/>
  <c r="X115" i="1"/>
  <c r="H115" i="1"/>
  <c r="B115" i="1"/>
  <c r="G115" i="1" s="1"/>
  <c r="A115" i="1" s="1"/>
  <c r="AC115" i="1" s="1"/>
  <c r="AE114" i="1"/>
  <c r="X114" i="1"/>
  <c r="H114" i="1"/>
  <c r="AE113" i="1"/>
  <c r="AB113" i="1"/>
  <c r="S113" i="1" s="1"/>
  <c r="X113" i="1"/>
  <c r="V113" i="1"/>
  <c r="W113" i="1" s="1"/>
  <c r="H113" i="1"/>
  <c r="B113" i="1"/>
  <c r="G113" i="1" s="1"/>
  <c r="A113" i="1" s="1"/>
  <c r="AC113" i="1" s="1"/>
  <c r="AE112" i="1"/>
  <c r="X112" i="1"/>
  <c r="H112" i="1"/>
  <c r="B112" i="1"/>
  <c r="G112" i="1" s="1"/>
  <c r="A112" i="1" s="1"/>
  <c r="AC112" i="1" s="1"/>
  <c r="AE111" i="1"/>
  <c r="X111" i="1"/>
  <c r="H111" i="1"/>
  <c r="B111" i="1"/>
  <c r="G111" i="1" s="1"/>
  <c r="A111" i="1" s="1"/>
  <c r="AC111" i="1" s="1"/>
  <c r="AE110" i="1"/>
  <c r="X110" i="1"/>
  <c r="H110" i="1"/>
  <c r="B110" i="1"/>
  <c r="G110" i="1" s="1"/>
  <c r="A110" i="1" s="1"/>
  <c r="AC110" i="1" s="1"/>
  <c r="AE109" i="1"/>
  <c r="X109" i="1"/>
  <c r="H109" i="1"/>
  <c r="B109" i="1"/>
  <c r="G109" i="1" s="1"/>
  <c r="A109" i="1" s="1"/>
  <c r="AC109" i="1" s="1"/>
  <c r="AE108" i="1"/>
  <c r="X108" i="1"/>
  <c r="H108" i="1"/>
  <c r="AE107" i="1"/>
  <c r="AB107" i="1"/>
  <c r="S107" i="1" s="1"/>
  <c r="X107" i="1"/>
  <c r="V107" i="1"/>
  <c r="W107" i="1" s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AE104" i="1"/>
  <c r="AB104" i="1"/>
  <c r="S104" i="1" s="1"/>
  <c r="X104" i="1"/>
  <c r="V104" i="1"/>
  <c r="W104" i="1" s="1"/>
  <c r="H104" i="1"/>
  <c r="B104" i="1"/>
  <c r="G104" i="1" s="1"/>
  <c r="A104" i="1" s="1"/>
  <c r="AC104" i="1" s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AB100" i="1"/>
  <c r="S100" i="1" s="1"/>
  <c r="X100" i="1"/>
  <c r="V100" i="1"/>
  <c r="W100" i="1" s="1"/>
  <c r="H100" i="1"/>
  <c r="B100" i="1"/>
  <c r="G100" i="1" s="1"/>
  <c r="A100" i="1" s="1"/>
  <c r="AC100" i="1" s="1"/>
  <c r="AE99" i="1"/>
  <c r="X99" i="1"/>
  <c r="H99" i="1"/>
  <c r="B99" i="1"/>
  <c r="G99" i="1" s="1"/>
  <c r="A99" i="1" s="1"/>
  <c r="AC99" i="1" s="1"/>
  <c r="AE98" i="1"/>
  <c r="X98" i="1"/>
  <c r="H98" i="1"/>
  <c r="B98" i="1"/>
  <c r="G98" i="1" s="1"/>
  <c r="A98" i="1" s="1"/>
  <c r="AC98" i="1" s="1"/>
  <c r="AE97" i="1"/>
  <c r="X97" i="1"/>
  <c r="H97" i="1"/>
  <c r="B97" i="1"/>
  <c r="G97" i="1" s="1"/>
  <c r="A97" i="1" s="1"/>
  <c r="AC97" i="1" s="1"/>
  <c r="AE96" i="1"/>
  <c r="X96" i="1"/>
  <c r="H96" i="1"/>
  <c r="B96" i="1"/>
  <c r="G96" i="1" s="1"/>
  <c r="A96" i="1" s="1"/>
  <c r="AC96" i="1" s="1"/>
  <c r="AE95" i="1"/>
  <c r="X95" i="1"/>
  <c r="H95" i="1"/>
  <c r="B95" i="1"/>
  <c r="G95" i="1" s="1"/>
  <c r="A95" i="1" s="1"/>
  <c r="AC95" i="1" s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X91" i="1"/>
  <c r="H91" i="1"/>
  <c r="B91" i="1"/>
  <c r="G91" i="1" s="1"/>
  <c r="A91" i="1" s="1"/>
  <c r="AC91" i="1" s="1"/>
  <c r="AE90" i="1"/>
  <c r="X90" i="1"/>
  <c r="H90" i="1"/>
  <c r="AE89" i="1"/>
  <c r="AB89" i="1"/>
  <c r="S89" i="1" s="1"/>
  <c r="X89" i="1"/>
  <c r="V89" i="1"/>
  <c r="W89" i="1" s="1"/>
  <c r="H89" i="1"/>
  <c r="B89" i="1"/>
  <c r="G89" i="1" s="1"/>
  <c r="A89" i="1" s="1"/>
  <c r="AC89" i="1" s="1"/>
  <c r="AE88" i="1"/>
  <c r="X88" i="1"/>
  <c r="H88" i="1"/>
  <c r="AE87" i="1"/>
  <c r="AB87" i="1"/>
  <c r="S87" i="1" s="1"/>
  <c r="X87" i="1"/>
  <c r="V87" i="1"/>
  <c r="W87" i="1" s="1"/>
  <c r="H87" i="1"/>
  <c r="B87" i="1"/>
  <c r="G87" i="1" s="1"/>
  <c r="A87" i="1" s="1"/>
  <c r="AC87" i="1" s="1"/>
  <c r="AE86" i="1"/>
  <c r="X86" i="1"/>
  <c r="H86" i="1"/>
  <c r="B86" i="1"/>
  <c r="G86" i="1" s="1"/>
  <c r="A86" i="1" s="1"/>
  <c r="AC86" i="1" s="1"/>
  <c r="AE85" i="1"/>
  <c r="X85" i="1"/>
  <c r="H85" i="1"/>
  <c r="B85" i="1"/>
  <c r="G85" i="1" s="1"/>
  <c r="A85" i="1" s="1"/>
  <c r="AC85" i="1" s="1"/>
  <c r="AE84" i="1"/>
  <c r="H84" i="1"/>
  <c r="B84" i="1"/>
  <c r="G84" i="1" s="1"/>
  <c r="A84" i="1" s="1"/>
  <c r="AC84" i="1" s="1"/>
  <c r="AE83" i="1"/>
  <c r="X83" i="1"/>
  <c r="H83" i="1"/>
  <c r="B83" i="1"/>
  <c r="G83" i="1" s="1"/>
  <c r="A83" i="1" s="1"/>
  <c r="AC83" i="1" s="1"/>
  <c r="AE82" i="1"/>
  <c r="X82" i="1"/>
  <c r="H82" i="1"/>
  <c r="AE81" i="1"/>
  <c r="AB81" i="1"/>
  <c r="S81" i="1" s="1"/>
  <c r="X81" i="1"/>
  <c r="V81" i="1"/>
  <c r="W81" i="1" s="1"/>
  <c r="H81" i="1"/>
  <c r="B81" i="1"/>
  <c r="G81" i="1" s="1"/>
  <c r="A81" i="1" s="1"/>
  <c r="AC81" i="1" s="1"/>
  <c r="AE80" i="1"/>
  <c r="X80" i="1"/>
  <c r="H80" i="1"/>
  <c r="AE79" i="1"/>
  <c r="AB79" i="1"/>
  <c r="S79" i="1" s="1"/>
  <c r="X79" i="1"/>
  <c r="V79" i="1"/>
  <c r="W79" i="1" s="1"/>
  <c r="H79" i="1"/>
  <c r="B79" i="1"/>
  <c r="G79" i="1" s="1"/>
  <c r="A79" i="1" s="1"/>
  <c r="AC79" i="1" s="1"/>
  <c r="AE78" i="1"/>
  <c r="AB78" i="1"/>
  <c r="S78" i="1" s="1"/>
  <c r="X78" i="1"/>
  <c r="V78" i="1"/>
  <c r="W78" i="1" s="1"/>
  <c r="H78" i="1"/>
  <c r="B78" i="1"/>
  <c r="G78" i="1" s="1"/>
  <c r="A78" i="1" s="1"/>
  <c r="AC78" i="1" s="1"/>
  <c r="AE77" i="1"/>
  <c r="X77" i="1"/>
  <c r="H77" i="1"/>
  <c r="AE76" i="1"/>
  <c r="AB76" i="1"/>
  <c r="S76" i="1" s="1"/>
  <c r="X76" i="1"/>
  <c r="V76" i="1"/>
  <c r="W76" i="1" s="1"/>
  <c r="H76" i="1"/>
  <c r="B76" i="1"/>
  <c r="G76" i="1" s="1"/>
  <c r="A76" i="1" s="1"/>
  <c r="AC76" i="1" s="1"/>
  <c r="AE75" i="1"/>
  <c r="X75" i="1"/>
  <c r="H75" i="1"/>
  <c r="AE74" i="1"/>
  <c r="AB74" i="1"/>
  <c r="S74" i="1" s="1"/>
  <c r="X74" i="1"/>
  <c r="V74" i="1"/>
  <c r="W74" i="1" s="1"/>
  <c r="H74" i="1"/>
  <c r="B74" i="1"/>
  <c r="G74" i="1" s="1"/>
  <c r="A74" i="1" s="1"/>
  <c r="AC74" i="1" s="1"/>
  <c r="AE73" i="1"/>
  <c r="X73" i="1"/>
  <c r="H73" i="1"/>
  <c r="B73" i="1"/>
  <c r="G73" i="1" s="1"/>
  <c r="A73" i="1" s="1"/>
  <c r="AC73" i="1" s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AE68" i="1"/>
  <c r="AB68" i="1"/>
  <c r="S68" i="1" s="1"/>
  <c r="X68" i="1"/>
  <c r="V68" i="1"/>
  <c r="W68" i="1" s="1"/>
  <c r="H68" i="1"/>
  <c r="B68" i="1"/>
  <c r="G68" i="1" s="1"/>
  <c r="A68" i="1" s="1"/>
  <c r="AC68" i="1" s="1"/>
  <c r="AE67" i="1"/>
  <c r="X67" i="1"/>
  <c r="H67" i="1"/>
  <c r="AE66" i="1"/>
  <c r="AB66" i="1"/>
  <c r="S66" i="1" s="1"/>
  <c r="X66" i="1"/>
  <c r="V66" i="1"/>
  <c r="W66" i="1" s="1"/>
  <c r="H66" i="1"/>
  <c r="B66" i="1"/>
  <c r="G66" i="1" s="1"/>
  <c r="A66" i="1" s="1"/>
  <c r="AC66" i="1" s="1"/>
  <c r="AE65" i="1"/>
  <c r="X65" i="1"/>
  <c r="H65" i="1"/>
  <c r="B65" i="1"/>
  <c r="G65" i="1" s="1"/>
  <c r="A65" i="1" s="1"/>
  <c r="AC65" i="1" s="1"/>
  <c r="AE64" i="1"/>
  <c r="X64" i="1"/>
  <c r="H64" i="1"/>
  <c r="B64" i="1"/>
  <c r="G64" i="1" s="1"/>
  <c r="A64" i="1" s="1"/>
  <c r="AC64" i="1" s="1"/>
  <c r="AE63" i="1"/>
  <c r="X63" i="1"/>
  <c r="H63" i="1"/>
  <c r="B63" i="1"/>
  <c r="G63" i="1" s="1"/>
  <c r="A63" i="1" s="1"/>
  <c r="AC63" i="1" s="1"/>
  <c r="AE62" i="1"/>
  <c r="X62" i="1"/>
  <c r="H62" i="1"/>
  <c r="B62" i="1"/>
  <c r="G62" i="1" s="1"/>
  <c r="A62" i="1" s="1"/>
  <c r="AC62" i="1" s="1"/>
  <c r="AE61" i="1"/>
  <c r="X61" i="1"/>
  <c r="H61" i="1"/>
  <c r="B61" i="1"/>
  <c r="G61" i="1" s="1"/>
  <c r="A61" i="1" s="1"/>
  <c r="AC61" i="1" s="1"/>
  <c r="AE60" i="1"/>
  <c r="X60" i="1"/>
  <c r="H60" i="1"/>
  <c r="AE59" i="1"/>
  <c r="AB59" i="1"/>
  <c r="S59" i="1" s="1"/>
  <c r="X59" i="1"/>
  <c r="V59" i="1"/>
  <c r="W59" i="1" s="1"/>
  <c r="H59" i="1"/>
  <c r="B59" i="1"/>
  <c r="G59" i="1" s="1"/>
  <c r="A59" i="1" s="1"/>
  <c r="AC59" i="1" s="1"/>
  <c r="AE58" i="1"/>
  <c r="X58" i="1"/>
  <c r="H58" i="1"/>
  <c r="AE57" i="1"/>
  <c r="AB57" i="1"/>
  <c r="S57" i="1" s="1"/>
  <c r="X57" i="1"/>
  <c r="V57" i="1"/>
  <c r="W57" i="1" s="1"/>
  <c r="H57" i="1"/>
  <c r="B57" i="1"/>
  <c r="G57" i="1" s="1"/>
  <c r="A57" i="1" s="1"/>
  <c r="AC57" i="1" s="1"/>
  <c r="AE56" i="1"/>
  <c r="X56" i="1"/>
  <c r="H56" i="1"/>
  <c r="AE55" i="1"/>
  <c r="AB55" i="1"/>
  <c r="S55" i="1" s="1"/>
  <c r="X55" i="1"/>
  <c r="V55" i="1"/>
  <c r="W55" i="1" s="1"/>
  <c r="H55" i="1"/>
  <c r="B55" i="1"/>
  <c r="G55" i="1" s="1"/>
  <c r="A55" i="1" s="1"/>
  <c r="AC55" i="1" s="1"/>
  <c r="AE54" i="1"/>
  <c r="X54" i="1"/>
  <c r="H54" i="1"/>
  <c r="B54" i="1"/>
  <c r="G54" i="1" s="1"/>
  <c r="A54" i="1" s="1"/>
  <c r="AC54" i="1" s="1"/>
  <c r="AE53" i="1"/>
  <c r="X53" i="1"/>
  <c r="H53" i="1"/>
  <c r="B53" i="1"/>
  <c r="G53" i="1" s="1"/>
  <c r="A53" i="1" s="1"/>
  <c r="AC53" i="1" s="1"/>
  <c r="AE52" i="1"/>
  <c r="X52" i="1"/>
  <c r="H52" i="1"/>
  <c r="B52" i="1"/>
  <c r="G52" i="1" s="1"/>
  <c r="A52" i="1" s="1"/>
  <c r="AC52" i="1" s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H45" i="1"/>
  <c r="AE44" i="1"/>
  <c r="X44" i="1"/>
  <c r="H44" i="1"/>
  <c r="AE43" i="1"/>
  <c r="X43" i="1"/>
  <c r="H43" i="1"/>
  <c r="AE42" i="1"/>
  <c r="X42" i="1"/>
  <c r="H42" i="1"/>
  <c r="AE41" i="1"/>
  <c r="X41" i="1"/>
  <c r="H41" i="1"/>
  <c r="AE40" i="1"/>
  <c r="X40" i="1"/>
  <c r="H40" i="1"/>
  <c r="AE39" i="1"/>
  <c r="X39" i="1"/>
  <c r="H39" i="1"/>
  <c r="AE38" i="1"/>
  <c r="X38" i="1"/>
  <c r="H38" i="1"/>
  <c r="AE37" i="1"/>
  <c r="X37" i="1"/>
  <c r="H37" i="1"/>
  <c r="AE34" i="1"/>
  <c r="X34" i="1"/>
  <c r="H34" i="1"/>
  <c r="AE33" i="1"/>
  <c r="X33" i="1"/>
  <c r="H33" i="1"/>
  <c r="AE32" i="1"/>
  <c r="X32" i="1"/>
  <c r="H32" i="1"/>
  <c r="B32" i="1"/>
  <c r="G32" i="1" s="1"/>
  <c r="A32" i="1" s="1"/>
  <c r="AE31" i="1"/>
  <c r="X31" i="1"/>
  <c r="H31" i="1"/>
  <c r="AE30" i="1"/>
  <c r="AB30" i="1"/>
  <c r="S30" i="1" s="1"/>
  <c r="X30" i="1"/>
  <c r="V30" i="1"/>
  <c r="W30" i="1" s="1"/>
  <c r="H30" i="1"/>
  <c r="B30" i="1"/>
  <c r="G30" i="1" s="1"/>
  <c r="A30" i="1" s="1"/>
  <c r="AC30" i="1" s="1"/>
  <c r="AE29" i="1"/>
  <c r="X29" i="1"/>
  <c r="H29" i="1"/>
  <c r="AE28" i="1"/>
  <c r="X28" i="1"/>
  <c r="H28" i="1"/>
  <c r="B28" i="1"/>
  <c r="G28" i="1" s="1"/>
  <c r="A28" i="1" s="1"/>
  <c r="AC28" i="1" s="1"/>
  <c r="AE27" i="1"/>
  <c r="X27" i="1"/>
  <c r="H27" i="1"/>
  <c r="AE26" i="1"/>
  <c r="X26" i="1"/>
  <c r="H26" i="1"/>
  <c r="B26" i="1"/>
  <c r="G26" i="1" s="1"/>
  <c r="A26" i="1" s="1"/>
  <c r="AC26" i="1" s="1"/>
  <c r="AE25" i="1"/>
  <c r="X25" i="1"/>
  <c r="H25" i="1"/>
  <c r="B25" i="1"/>
  <c r="G25" i="1" s="1"/>
  <c r="A25" i="1" s="1"/>
  <c r="AC25" i="1" s="1"/>
  <c r="AE24" i="1"/>
  <c r="X24" i="1"/>
  <c r="H24" i="1"/>
  <c r="AE23" i="1"/>
  <c r="X23" i="1"/>
  <c r="H23" i="1"/>
  <c r="AE22" i="1"/>
  <c r="X22" i="1"/>
  <c r="H22" i="1"/>
  <c r="AE21" i="1"/>
  <c r="X21" i="1"/>
  <c r="H21" i="1"/>
  <c r="AE20" i="1"/>
  <c r="X20" i="1"/>
  <c r="H20" i="1"/>
  <c r="AE19" i="1"/>
  <c r="X19" i="1"/>
  <c r="H19" i="1"/>
  <c r="AE18" i="1"/>
  <c r="X18" i="1"/>
  <c r="H18" i="1"/>
  <c r="B18" i="1"/>
  <c r="G18" i="1" s="1"/>
  <c r="A18" i="1" s="1"/>
  <c r="AC18" i="1" s="1"/>
  <c r="AE17" i="1"/>
  <c r="X17" i="1"/>
  <c r="H17" i="1"/>
  <c r="AE16" i="1"/>
  <c r="X16" i="1"/>
  <c r="H16" i="1"/>
  <c r="B16" i="1"/>
  <c r="G16" i="1" s="1"/>
  <c r="A16" i="1" s="1"/>
  <c r="AC16" i="1" s="1"/>
  <c r="AE15" i="1"/>
  <c r="X15" i="1"/>
  <c r="H15" i="1"/>
  <c r="AE14" i="1"/>
  <c r="X14" i="1"/>
  <c r="H14" i="1"/>
  <c r="AE13" i="1"/>
  <c r="X13" i="1"/>
  <c r="H13" i="1"/>
  <c r="B13" i="1"/>
  <c r="G13" i="1" s="1"/>
  <c r="A13" i="1" s="1"/>
  <c r="AC13" i="1" s="1"/>
  <c r="AE12" i="1"/>
  <c r="X12" i="1"/>
  <c r="H12" i="1"/>
  <c r="AE11" i="1"/>
  <c r="X11" i="1"/>
  <c r="H11" i="1"/>
  <c r="AE10" i="1"/>
  <c r="X10" i="1"/>
  <c r="H10" i="1"/>
  <c r="B10" i="1"/>
  <c r="G10" i="1" s="1"/>
  <c r="A10" i="1" s="1"/>
  <c r="AC10" i="1" s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B7" i="1"/>
  <c r="G7" i="1" s="1"/>
  <c r="A7" i="1" s="1"/>
  <c r="AC7" i="1" s="1"/>
  <c r="AE6" i="1"/>
  <c r="X6" i="1"/>
  <c r="H6" i="1"/>
  <c r="B6" i="1"/>
  <c r="G6" i="1" s="1"/>
  <c r="A6" i="1" s="1"/>
  <c r="AC6" i="1" s="1"/>
  <c r="AE5" i="1"/>
  <c r="X5" i="1"/>
  <c r="H5" i="1"/>
  <c r="AE4" i="1"/>
  <c r="AB4" i="1"/>
  <c r="S4" i="1" s="1"/>
  <c r="X4" i="1"/>
  <c r="V4" i="1"/>
  <c r="W4" i="1" s="1"/>
  <c r="H4" i="1"/>
  <c r="B4" i="1"/>
  <c r="G4" i="1" s="1"/>
  <c r="A4" i="1" s="1"/>
  <c r="AC4" i="1" s="1"/>
  <c r="AE3" i="1"/>
  <c r="X3" i="1"/>
  <c r="H3" i="1"/>
  <c r="B3" i="1"/>
  <c r="V165" i="1"/>
  <c r="V162" i="1"/>
  <c r="V163" i="1"/>
  <c r="V166" i="1"/>
  <c r="G3" i="1" l="1"/>
  <c r="A3" i="1" s="1"/>
  <c r="V3" i="1" s="1"/>
  <c r="B33" i="1"/>
  <c r="Y3" i="1"/>
  <c r="Z3" i="1"/>
  <c r="Z4" i="1"/>
  <c r="Y4" i="1"/>
  <c r="Z6" i="1"/>
  <c r="Y6" i="1"/>
  <c r="Z14" i="1"/>
  <c r="Y14" i="1"/>
  <c r="Y21" i="1"/>
  <c r="Z24" i="1"/>
  <c r="Y24" i="1"/>
  <c r="Z28" i="1"/>
  <c r="Y28" i="1"/>
  <c r="Y31" i="1"/>
  <c r="Z31" i="1"/>
  <c r="Z34" i="1"/>
  <c r="Y34" i="1"/>
  <c r="AA34" i="1" s="1"/>
  <c r="Z38" i="1"/>
  <c r="Y38" i="1"/>
  <c r="Z39" i="1"/>
  <c r="Y39" i="1"/>
  <c r="Z42" i="1"/>
  <c r="Y42" i="1"/>
  <c r="Z45" i="1"/>
  <c r="Y45" i="1"/>
  <c r="AA45" i="1" s="1"/>
  <c r="Z47" i="1"/>
  <c r="Y47" i="1"/>
  <c r="Z49" i="1"/>
  <c r="Y49" i="1"/>
  <c r="Z51" i="1"/>
  <c r="Y51" i="1"/>
  <c r="Z53" i="1"/>
  <c r="Y53" i="1"/>
  <c r="AA53" i="1" s="1"/>
  <c r="Y56" i="1"/>
  <c r="Z56" i="1"/>
  <c r="Z57" i="1"/>
  <c r="Y57" i="1"/>
  <c r="Y60" i="1"/>
  <c r="Z60" i="1"/>
  <c r="Z62" i="1"/>
  <c r="Y62" i="1"/>
  <c r="AA62" i="1" s="1"/>
  <c r="Y64" i="1"/>
  <c r="Z64" i="1"/>
  <c r="Z67" i="1"/>
  <c r="Y67" i="1"/>
  <c r="AA67" i="1" s="1"/>
  <c r="Y68" i="1"/>
  <c r="Z68" i="1"/>
  <c r="Z70" i="1"/>
  <c r="Y70" i="1"/>
  <c r="AA70" i="1" s="1"/>
  <c r="Y72" i="1"/>
  <c r="Z72" i="1"/>
  <c r="Z75" i="1"/>
  <c r="Y75" i="1"/>
  <c r="AA75" i="1" s="1"/>
  <c r="Y76" i="1"/>
  <c r="Z76" i="1"/>
  <c r="Z79" i="1"/>
  <c r="Y79" i="1"/>
  <c r="Z82" i="1"/>
  <c r="Y82" i="1"/>
  <c r="AA82" i="1" s="1"/>
  <c r="Z85" i="1"/>
  <c r="Y85" i="1"/>
  <c r="AA85" i="1" s="1"/>
  <c r="Y88" i="1"/>
  <c r="Z88" i="1"/>
  <c r="Z89" i="1"/>
  <c r="Y89" i="1"/>
  <c r="Z91" i="1"/>
  <c r="Y91" i="1"/>
  <c r="AA91" i="1" s="1"/>
  <c r="Z93" i="1"/>
  <c r="Y93" i="1"/>
  <c r="AA93" i="1" s="1"/>
  <c r="Z95" i="1"/>
  <c r="Y95" i="1"/>
  <c r="AA95" i="1" s="1"/>
  <c r="Z97" i="1"/>
  <c r="Y97" i="1"/>
  <c r="AA97" i="1" s="1"/>
  <c r="Z99" i="1"/>
  <c r="Y99" i="1"/>
  <c r="AA99" i="1" s="1"/>
  <c r="Y100" i="1"/>
  <c r="Z100" i="1"/>
  <c r="Z102" i="1"/>
  <c r="Y102" i="1"/>
  <c r="AA102" i="1" s="1"/>
  <c r="Z105" i="1"/>
  <c r="Y105" i="1"/>
  <c r="Y108" i="1"/>
  <c r="Z108" i="1"/>
  <c r="Z110" i="1"/>
  <c r="Y110" i="1"/>
  <c r="AA110" i="1" s="1"/>
  <c r="Y112" i="1"/>
  <c r="Z112" i="1"/>
  <c r="Z113" i="1"/>
  <c r="Y113" i="1"/>
  <c r="Z115" i="1"/>
  <c r="Y115" i="1"/>
  <c r="AA115" i="1" s="1"/>
  <c r="Z117" i="1"/>
  <c r="Y117" i="1"/>
  <c r="AA117" i="1" s="1"/>
  <c r="Z118" i="1"/>
  <c r="Y118" i="1"/>
  <c r="Y120" i="1"/>
  <c r="Z120" i="1"/>
  <c r="Z122" i="1"/>
  <c r="Y122" i="1"/>
  <c r="AA122" i="1" s="1"/>
  <c r="Z124" i="1"/>
  <c r="Y124" i="1"/>
  <c r="AA124" i="1" s="1"/>
  <c r="Z126" i="1"/>
  <c r="Y126" i="1"/>
  <c r="AA126" i="1" s="1"/>
  <c r="Z128" i="1"/>
  <c r="Y128" i="1"/>
  <c r="AA128" i="1" s="1"/>
  <c r="Z130" i="1"/>
  <c r="Y130" i="1"/>
  <c r="AA130" i="1" s="1"/>
  <c r="Y133" i="1"/>
  <c r="Z133" i="1"/>
  <c r="Z134" i="1"/>
  <c r="Y134" i="1"/>
  <c r="Y137" i="1"/>
  <c r="Z137" i="1"/>
  <c r="AA137" i="1" s="1"/>
  <c r="Z139" i="1"/>
  <c r="Y139" i="1"/>
  <c r="AA139" i="1" s="1"/>
  <c r="Y141" i="1"/>
  <c r="Z141" i="1"/>
  <c r="Z142" i="1"/>
  <c r="Y142" i="1"/>
  <c r="Z144" i="1"/>
  <c r="Y144" i="1"/>
  <c r="AA144" i="1" s="1"/>
  <c r="Z146" i="1"/>
  <c r="Y146" i="1"/>
  <c r="AA146" i="1" s="1"/>
  <c r="Z147" i="1"/>
  <c r="Y147" i="1"/>
  <c r="Z150" i="1"/>
  <c r="Y150" i="1"/>
  <c r="AA150" i="1" s="1"/>
  <c r="Z151" i="1"/>
  <c r="Y151" i="1"/>
  <c r="Y153" i="1"/>
  <c r="Z153" i="1"/>
  <c r="AA153" i="1" s="1"/>
  <c r="Y155" i="1"/>
  <c r="Z156" i="1"/>
  <c r="Y156" i="1"/>
  <c r="Z8" i="1"/>
  <c r="Y8" i="1"/>
  <c r="Y11" i="1"/>
  <c r="Z11" i="1"/>
  <c r="Y17" i="1"/>
  <c r="Z20" i="1"/>
  <c r="Y20" i="1"/>
  <c r="Y27" i="1"/>
  <c r="Z27" i="1"/>
  <c r="Z5" i="1"/>
  <c r="Y5" i="1"/>
  <c r="Y7" i="1"/>
  <c r="Z7" i="1"/>
  <c r="Z9" i="1"/>
  <c r="Y9" i="1"/>
  <c r="Z10" i="1"/>
  <c r="Y10" i="1"/>
  <c r="Z12" i="1"/>
  <c r="Y12" i="1"/>
  <c r="Z13" i="1"/>
  <c r="Y13" i="1"/>
  <c r="Y15" i="1"/>
  <c r="Z15" i="1" s="1"/>
  <c r="Z16" i="1"/>
  <c r="Y16" i="1"/>
  <c r="Z18" i="1"/>
  <c r="Y18" i="1"/>
  <c r="AA18" i="1" s="1"/>
  <c r="Y19" i="1"/>
  <c r="Z19" i="1"/>
  <c r="Z22" i="1"/>
  <c r="Y22" i="1"/>
  <c r="AA22" i="1" s="1"/>
  <c r="Y23" i="1"/>
  <c r="AA23" i="1" s="1"/>
  <c r="AB23" i="1" s="1"/>
  <c r="S23" i="1" s="1"/>
  <c r="Z23" i="1"/>
  <c r="Z25" i="1"/>
  <c r="Y25" i="1"/>
  <c r="Z26" i="1"/>
  <c r="Y26" i="1"/>
  <c r="Z29" i="1"/>
  <c r="Y29" i="1"/>
  <c r="Z30" i="1"/>
  <c r="Y30" i="1"/>
  <c r="Z32" i="1"/>
  <c r="Y32" i="1"/>
  <c r="Z33" i="1"/>
  <c r="Y33" i="1"/>
  <c r="Z37" i="1"/>
  <c r="Y37" i="1"/>
  <c r="Y40" i="1"/>
  <c r="Z40" i="1"/>
  <c r="Z41" i="1"/>
  <c r="Y41" i="1"/>
  <c r="Z43" i="1"/>
  <c r="Y43" i="1"/>
  <c r="Y44" i="1"/>
  <c r="Z44" i="1"/>
  <c r="Z46" i="1"/>
  <c r="Y46" i="1"/>
  <c r="AA46" i="1" s="1"/>
  <c r="Y48" i="1"/>
  <c r="Z48" i="1"/>
  <c r="Z50" i="1"/>
  <c r="Y50" i="1"/>
  <c r="AA50" i="1" s="1"/>
  <c r="Y52" i="1"/>
  <c r="Z52" i="1"/>
  <c r="Z54" i="1"/>
  <c r="Y54" i="1"/>
  <c r="AA54" i="1" s="1"/>
  <c r="Z55" i="1"/>
  <c r="Y55" i="1"/>
  <c r="Z58" i="1"/>
  <c r="Y58" i="1"/>
  <c r="AA58" i="1" s="1"/>
  <c r="Z59" i="1"/>
  <c r="Y59" i="1"/>
  <c r="Z61" i="1"/>
  <c r="Y61" i="1"/>
  <c r="Z63" i="1"/>
  <c r="Y63" i="1"/>
  <c r="AA63" i="1" s="1"/>
  <c r="Z65" i="1"/>
  <c r="Y65" i="1"/>
  <c r="AA65" i="1" s="1"/>
  <c r="Z66" i="1"/>
  <c r="Y66" i="1"/>
  <c r="Z69" i="1"/>
  <c r="Y69" i="1"/>
  <c r="Z71" i="1"/>
  <c r="Y71" i="1"/>
  <c r="AA71" i="1" s="1"/>
  <c r="Z73" i="1"/>
  <c r="Y73" i="1"/>
  <c r="AA73" i="1" s="1"/>
  <c r="Z74" i="1"/>
  <c r="Y74" i="1"/>
  <c r="Z77" i="1"/>
  <c r="Y77" i="1"/>
  <c r="Z78" i="1"/>
  <c r="Y78" i="1"/>
  <c r="Y80" i="1"/>
  <c r="Z80" i="1"/>
  <c r="Z81" i="1"/>
  <c r="Y81" i="1"/>
  <c r="Z83" i="1"/>
  <c r="Y83" i="1"/>
  <c r="AA83" i="1" s="1"/>
  <c r="Z86" i="1"/>
  <c r="Y86" i="1"/>
  <c r="AA86" i="1" s="1"/>
  <c r="Z87" i="1"/>
  <c r="Y87" i="1"/>
  <c r="Z90" i="1"/>
  <c r="Y90" i="1"/>
  <c r="AA90" i="1" s="1"/>
  <c r="Y92" i="1"/>
  <c r="Z92" i="1"/>
  <c r="Z94" i="1"/>
  <c r="Y94" i="1"/>
  <c r="AA94" i="1" s="1"/>
  <c r="Y96" i="1"/>
  <c r="Z96" i="1"/>
  <c r="Z98" i="1"/>
  <c r="Y98" i="1"/>
  <c r="AA98" i="1" s="1"/>
  <c r="Z101" i="1"/>
  <c r="Y101" i="1"/>
  <c r="AA101" i="1" s="1"/>
  <c r="Z103" i="1"/>
  <c r="Y103" i="1"/>
  <c r="AA103" i="1" s="1"/>
  <c r="Y104" i="1"/>
  <c r="Z104" i="1"/>
  <c r="Z106" i="1"/>
  <c r="Y106" i="1"/>
  <c r="AA106" i="1" s="1"/>
  <c r="Z107" i="1"/>
  <c r="Y107" i="1"/>
  <c r="Z109" i="1"/>
  <c r="Y109" i="1"/>
  <c r="AA109" i="1" s="1"/>
  <c r="Z111" i="1"/>
  <c r="Y111" i="1"/>
  <c r="AA111" i="1" s="1"/>
  <c r="Z114" i="1"/>
  <c r="Y114" i="1"/>
  <c r="AA114" i="1" s="1"/>
  <c r="Y116" i="1"/>
  <c r="Z116" i="1"/>
  <c r="Z119" i="1"/>
  <c r="Y119" i="1"/>
  <c r="AA119" i="1" s="1"/>
  <c r="Z123" i="1"/>
  <c r="Y123" i="1"/>
  <c r="AA123" i="1" s="1"/>
  <c r="Y125" i="1"/>
  <c r="Z125" i="1"/>
  <c r="Z127" i="1"/>
  <c r="Y127" i="1"/>
  <c r="AA127" i="1" s="1"/>
  <c r="Y129" i="1"/>
  <c r="Z129" i="1"/>
  <c r="Z131" i="1"/>
  <c r="Y131" i="1"/>
  <c r="AA131" i="1" s="1"/>
  <c r="Z132" i="1"/>
  <c r="Y132" i="1"/>
  <c r="Z135" i="1"/>
  <c r="Y135" i="1"/>
  <c r="AA135" i="1" s="1"/>
  <c r="Z136" i="1"/>
  <c r="Y136" i="1"/>
  <c r="Z138" i="1"/>
  <c r="Y138" i="1"/>
  <c r="AA138" i="1" s="1"/>
  <c r="Z140" i="1"/>
  <c r="Y140" i="1"/>
  <c r="AA140" i="1" s="1"/>
  <c r="Z143" i="1"/>
  <c r="Y143" i="1"/>
  <c r="AA143" i="1" s="1"/>
  <c r="Y145" i="1"/>
  <c r="Z145" i="1"/>
  <c r="Z148" i="1"/>
  <c r="Y148" i="1"/>
  <c r="AA148" i="1" s="1"/>
  <c r="Y149" i="1"/>
  <c r="Z149" i="1"/>
  <c r="Y152" i="1"/>
  <c r="Y154" i="1"/>
  <c r="Y157" i="1"/>
  <c r="Z157" i="1"/>
  <c r="Z158" i="1"/>
  <c r="Y158" i="1"/>
  <c r="Z121" i="1"/>
  <c r="Y121" i="1"/>
  <c r="Y160" i="1"/>
  <c r="Z160" i="1"/>
  <c r="Y161" i="1"/>
  <c r="Z161" i="1"/>
  <c r="Z163" i="1"/>
  <c r="Y163" i="1"/>
  <c r="Z165" i="1"/>
  <c r="Y165" i="1"/>
  <c r="AA165" i="1" s="1"/>
  <c r="AB165" i="1" s="1"/>
  <c r="S165" i="1" s="1"/>
  <c r="Y167" i="1"/>
  <c r="Z167" i="1"/>
  <c r="Z169" i="1"/>
  <c r="Y169" i="1"/>
  <c r="Z171" i="1"/>
  <c r="Y171" i="1"/>
  <c r="Y173" i="1"/>
  <c r="Z173" i="1"/>
  <c r="Z175" i="1"/>
  <c r="Y175" i="1"/>
  <c r="Z177" i="1"/>
  <c r="Y177" i="1"/>
  <c r="Y179" i="1"/>
  <c r="Z179" i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Z203" i="1"/>
  <c r="Y203" i="1"/>
  <c r="Y205" i="1"/>
  <c r="Z205" i="1"/>
  <c r="Z207" i="1"/>
  <c r="Y207" i="1"/>
  <c r="Y209" i="1"/>
  <c r="Z209" i="1"/>
  <c r="Z211" i="1"/>
  <c r="Y211" i="1"/>
  <c r="Y213" i="1"/>
  <c r="Z213" i="1"/>
  <c r="Z215" i="1"/>
  <c r="Y215" i="1"/>
  <c r="Z159" i="1"/>
  <c r="Y159" i="1"/>
  <c r="AA159" i="1" s="1"/>
  <c r="Y162" i="1"/>
  <c r="Z162" i="1"/>
  <c r="Y164" i="1"/>
  <c r="Z164" i="1"/>
  <c r="Y166" i="1"/>
  <c r="Z166" i="1"/>
  <c r="Y168" i="1"/>
  <c r="Z168" i="1"/>
  <c r="Y170" i="1"/>
  <c r="Z170" i="1"/>
  <c r="Y172" i="1"/>
  <c r="Z172" i="1"/>
  <c r="Y174" i="1"/>
  <c r="Z174" i="1"/>
  <c r="Z176" i="1"/>
  <c r="Y176" i="1"/>
  <c r="Y178" i="1"/>
  <c r="Z178" i="1"/>
  <c r="Y180" i="1"/>
  <c r="Z180" i="1"/>
  <c r="Y182" i="1"/>
  <c r="Z182" i="1"/>
  <c r="Y184" i="1"/>
  <c r="Z184" i="1"/>
  <c r="Y186" i="1"/>
  <c r="Z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Z210" i="1"/>
  <c r="Y210" i="1"/>
  <c r="Y212" i="1"/>
  <c r="Z212" i="1"/>
  <c r="Y214" i="1"/>
  <c r="Z214" i="1"/>
  <c r="Y216" i="1"/>
  <c r="Z216" i="1"/>
  <c r="B5" i="1"/>
  <c r="AB22" i="1"/>
  <c r="S22" i="1" s="1"/>
  <c r="AB45" i="1"/>
  <c r="S45" i="1" s="1"/>
  <c r="AB46" i="1"/>
  <c r="S46" i="1" s="1"/>
  <c r="AB54" i="1"/>
  <c r="S54" i="1" s="1"/>
  <c r="AB63" i="1"/>
  <c r="S63" i="1" s="1"/>
  <c r="AB65" i="1"/>
  <c r="S65" i="1" s="1"/>
  <c r="AB67" i="1"/>
  <c r="S67" i="1" s="1"/>
  <c r="AB71" i="1"/>
  <c r="S71" i="1" s="1"/>
  <c r="AB73" i="1"/>
  <c r="S73" i="1" s="1"/>
  <c r="AB75" i="1"/>
  <c r="S75" i="1" s="1"/>
  <c r="AB85" i="1"/>
  <c r="S85" i="1" s="1"/>
  <c r="AB90" i="1"/>
  <c r="S90" i="1" s="1"/>
  <c r="AB91" i="1"/>
  <c r="S91" i="1" s="1"/>
  <c r="AB101" i="1"/>
  <c r="S101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18" i="1"/>
  <c r="S18" i="1" s="1"/>
  <c r="AB34" i="1"/>
  <c r="S34" i="1" s="1"/>
  <c r="AB50" i="1"/>
  <c r="S50" i="1" s="1"/>
  <c r="AB53" i="1"/>
  <c r="S53" i="1" s="1"/>
  <c r="AB58" i="1"/>
  <c r="S58" i="1" s="1"/>
  <c r="AB62" i="1"/>
  <c r="S62" i="1" s="1"/>
  <c r="B9" i="1"/>
  <c r="G9" i="1" s="1"/>
  <c r="A9" i="1" s="1"/>
  <c r="AB70" i="1"/>
  <c r="S70" i="1" s="1"/>
  <c r="AB82" i="1"/>
  <c r="S82" i="1" s="1"/>
  <c r="AB83" i="1"/>
  <c r="S83" i="1" s="1"/>
  <c r="X84" i="1"/>
  <c r="AB86" i="1"/>
  <c r="S86" i="1" s="1"/>
  <c r="AB93" i="1"/>
  <c r="S93" i="1" s="1"/>
  <c r="AB94" i="1"/>
  <c r="S94" i="1" s="1"/>
  <c r="AB95" i="1"/>
  <c r="S95" i="1" s="1"/>
  <c r="AB97" i="1"/>
  <c r="S97" i="1" s="1"/>
  <c r="AB98" i="1"/>
  <c r="S98" i="1" s="1"/>
  <c r="AB99" i="1"/>
  <c r="S99" i="1" s="1"/>
  <c r="AB102" i="1"/>
  <c r="S102" i="1" s="1"/>
  <c r="AB103" i="1"/>
  <c r="S103" i="1" s="1"/>
  <c r="AB106" i="1"/>
  <c r="S106" i="1" s="1"/>
  <c r="AB109" i="1"/>
  <c r="S109" i="1" s="1"/>
  <c r="AB119" i="1"/>
  <c r="S119" i="1" s="1"/>
  <c r="C58" i="5"/>
  <c r="I58" i="5" s="1"/>
  <c r="AB138" i="1"/>
  <c r="S138" i="1" s="1"/>
  <c r="AB140" i="1"/>
  <c r="S140" i="1" s="1"/>
  <c r="AB144" i="1"/>
  <c r="S144" i="1" s="1"/>
  <c r="AB146" i="1"/>
  <c r="S146" i="1" s="1"/>
  <c r="AB159" i="1"/>
  <c r="S159" i="1" s="1"/>
  <c r="AB153" i="1"/>
  <c r="S153" i="1" s="1"/>
  <c r="AB150" i="1"/>
  <c r="S150" i="1" s="1"/>
  <c r="AB148" i="1"/>
  <c r="S148" i="1" s="1"/>
  <c r="AB143" i="1"/>
  <c r="S143" i="1" s="1"/>
  <c r="AB137" i="1"/>
  <c r="S137" i="1" s="1"/>
  <c r="AB139" i="1"/>
  <c r="S139" i="1" s="1"/>
  <c r="AB135" i="1"/>
  <c r="S135" i="1" s="1"/>
  <c r="C7" i="5"/>
  <c r="I7" i="5" s="1"/>
  <c r="C21" i="5"/>
  <c r="I21" i="5" s="1"/>
  <c r="C6" i="5"/>
  <c r="I6" i="5" s="1"/>
  <c r="C12" i="5"/>
  <c r="I12" i="5" s="1"/>
  <c r="C47" i="5"/>
  <c r="I47" i="5" s="1"/>
  <c r="AB131" i="1"/>
  <c r="S131" i="1" s="1"/>
  <c r="AB127" i="1"/>
  <c r="S127" i="1" s="1"/>
  <c r="AB123" i="1"/>
  <c r="S123" i="1" s="1"/>
  <c r="AB122" i="1"/>
  <c r="S122" i="1" s="1"/>
  <c r="AB124" i="1"/>
  <c r="S124" i="1" s="1"/>
  <c r="AB126" i="1"/>
  <c r="S126" i="1" s="1"/>
  <c r="AB128" i="1"/>
  <c r="S128" i="1" s="1"/>
  <c r="AB130" i="1"/>
  <c r="S130" i="1" s="1"/>
  <c r="C50" i="5"/>
  <c r="I50" i="5" s="1"/>
  <c r="AB111" i="1"/>
  <c r="C33" i="5"/>
  <c r="I33" i="5" s="1"/>
  <c r="C35" i="5"/>
  <c r="I35" i="5" s="1"/>
  <c r="C43" i="5"/>
  <c r="I43" i="5" s="1"/>
  <c r="C32" i="5"/>
  <c r="I32" i="5" s="1"/>
  <c r="C34" i="5"/>
  <c r="I34" i="5" s="1"/>
  <c r="AB117" i="1"/>
  <c r="S117" i="1" s="1"/>
  <c r="AB115" i="1"/>
  <c r="S115" i="1" s="1"/>
  <c r="AB114" i="1"/>
  <c r="S114" i="1" s="1"/>
  <c r="AB110" i="1"/>
  <c r="S110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G5" i="5"/>
  <c r="K5" i="5" s="1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E23" i="5"/>
  <c r="D23" i="5" s="1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G39" i="5"/>
  <c r="K39" i="5" s="1"/>
  <c r="F40" i="5"/>
  <c r="H40" i="5"/>
  <c r="E41" i="5"/>
  <c r="D41" i="5" s="1"/>
  <c r="F42" i="5"/>
  <c r="H42" i="5"/>
  <c r="F44" i="5"/>
  <c r="H44" i="5"/>
  <c r="E45" i="5"/>
  <c r="D45" i="5" s="1"/>
  <c r="F46" i="5"/>
  <c r="H46" i="5"/>
  <c r="E47" i="5"/>
  <c r="D47" i="5" s="1"/>
  <c r="F48" i="5"/>
  <c r="H48" i="5"/>
  <c r="G49" i="5"/>
  <c r="K49" i="5" s="1"/>
  <c r="F50" i="5"/>
  <c r="H50" i="5"/>
  <c r="G51" i="5"/>
  <c r="K51" i="5" s="1"/>
  <c r="H51" i="5"/>
  <c r="G55" i="5"/>
  <c r="K55" i="5" s="1"/>
  <c r="G59" i="5"/>
  <c r="K59" i="5" s="1"/>
  <c r="G61" i="5"/>
  <c r="K61" i="5" s="1"/>
  <c r="E63" i="5"/>
  <c r="D63" i="5" s="1"/>
  <c r="E67" i="5"/>
  <c r="D67" i="5" s="1"/>
  <c r="E54" i="5"/>
  <c r="D54" i="5" s="1"/>
  <c r="G56" i="5"/>
  <c r="K56" i="5" s="1"/>
  <c r="E60" i="5"/>
  <c r="D60" i="5" s="1"/>
  <c r="E64" i="5"/>
  <c r="D64" i="5" s="1"/>
  <c r="E68" i="5"/>
  <c r="D68" i="5" s="1"/>
  <c r="V167" i="1"/>
  <c r="G13" i="5" l="1"/>
  <c r="K13" i="5" s="1"/>
  <c r="AA51" i="1"/>
  <c r="AB51" i="1" s="1"/>
  <c r="S51" i="1" s="1"/>
  <c r="G7" i="5"/>
  <c r="K7" i="5" s="1"/>
  <c r="AA49" i="1"/>
  <c r="AB49" i="1" s="1"/>
  <c r="S49" i="1" s="1"/>
  <c r="G31" i="5"/>
  <c r="K31" i="5" s="1"/>
  <c r="G68" i="5"/>
  <c r="K68" i="5" s="1"/>
  <c r="G64" i="5"/>
  <c r="K64" i="5" s="1"/>
  <c r="G60" i="5"/>
  <c r="K60" i="5" s="1"/>
  <c r="G58" i="5"/>
  <c r="K58" i="5" s="1"/>
  <c r="G54" i="5"/>
  <c r="K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E39" i="5"/>
  <c r="D39" i="5" s="1"/>
  <c r="G27" i="5"/>
  <c r="K27" i="5" s="1"/>
  <c r="E31" i="5"/>
  <c r="D31" i="5" s="1"/>
  <c r="E27" i="5"/>
  <c r="D27" i="5" s="1"/>
  <c r="AA8" i="1"/>
  <c r="AB8" i="1" s="1"/>
  <c r="S8" i="1" s="1"/>
  <c r="G5" i="1"/>
  <c r="A5" i="1" s="1"/>
  <c r="V5" i="1" s="1"/>
  <c r="AA16" i="1"/>
  <c r="AB16" i="1" s="1"/>
  <c r="S16" i="1" s="1"/>
  <c r="AA9" i="1"/>
  <c r="AB9" i="1" s="1"/>
  <c r="S9" i="1" s="1"/>
  <c r="AA5" i="1"/>
  <c r="AB5" i="1" s="1"/>
  <c r="S5" i="1" s="1"/>
  <c r="AA44" i="1"/>
  <c r="AB44" i="1" s="1"/>
  <c r="S44" i="1" s="1"/>
  <c r="AA43" i="1"/>
  <c r="AB43" i="1" s="1"/>
  <c r="S43" i="1" s="1"/>
  <c r="AA41" i="1"/>
  <c r="AB41" i="1" s="1"/>
  <c r="S41" i="1" s="1"/>
  <c r="AA37" i="1"/>
  <c r="AB37" i="1" s="1"/>
  <c r="S37" i="1" s="1"/>
  <c r="AA42" i="1"/>
  <c r="AB42" i="1" s="1"/>
  <c r="S42" i="1" s="1"/>
  <c r="AA39" i="1"/>
  <c r="AB39" i="1" s="1"/>
  <c r="S39" i="1" s="1"/>
  <c r="AA38" i="1"/>
  <c r="AB38" i="1" s="1"/>
  <c r="S38" i="1" s="1"/>
  <c r="G33" i="1"/>
  <c r="A33" i="1" s="1"/>
  <c r="E19" i="5"/>
  <c r="D19" i="5" s="1"/>
  <c r="G3" i="5"/>
  <c r="K3" i="5" s="1"/>
  <c r="L3" i="5" s="1"/>
  <c r="M3" i="5" s="1"/>
  <c r="AA33" i="1"/>
  <c r="AB33" i="1" s="1"/>
  <c r="S33" i="1" s="1"/>
  <c r="AA32" i="1"/>
  <c r="AB32" i="1" s="1"/>
  <c r="S32" i="1" s="1"/>
  <c r="G23" i="5"/>
  <c r="K23" i="5" s="1"/>
  <c r="J23" i="5" s="1"/>
  <c r="G19" i="5"/>
  <c r="K19" i="5" s="1"/>
  <c r="J19" i="5" s="1"/>
  <c r="AA29" i="1"/>
  <c r="AB29" i="1" s="1"/>
  <c r="S29" i="1" s="1"/>
  <c r="AA26" i="1"/>
  <c r="AB26" i="1" s="1"/>
  <c r="S26" i="1" s="1"/>
  <c r="AA25" i="1"/>
  <c r="AB25" i="1" s="1"/>
  <c r="S25" i="1" s="1"/>
  <c r="AA28" i="1"/>
  <c r="AB28" i="1" s="1"/>
  <c r="S28" i="1" s="1"/>
  <c r="AA24" i="1"/>
  <c r="AB24" i="1" s="1"/>
  <c r="S24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L53" i="5" s="1"/>
  <c r="M53" i="5" s="1"/>
  <c r="E43" i="5"/>
  <c r="D43" i="5" s="1"/>
  <c r="E33" i="5"/>
  <c r="D33" i="5" s="1"/>
  <c r="E25" i="5"/>
  <c r="D25" i="5" s="1"/>
  <c r="Z21" i="1"/>
  <c r="AA21" i="1" s="1"/>
  <c r="AB21" i="1" s="1"/>
  <c r="S21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19" i="1"/>
  <c r="AB19" i="1" s="1"/>
  <c r="S19" i="1" s="1"/>
  <c r="G42" i="5"/>
  <c r="K42" i="5" s="1"/>
  <c r="L42" i="5" s="1"/>
  <c r="M42" i="5" s="1"/>
  <c r="Z17" i="1"/>
  <c r="AA17" i="1" s="1"/>
  <c r="AB17" i="1" s="1"/>
  <c r="S17" i="1" s="1"/>
  <c r="AA13" i="1"/>
  <c r="AB13" i="1" s="1"/>
  <c r="S13" i="1" s="1"/>
  <c r="AA12" i="1"/>
  <c r="AB12" i="1" s="1"/>
  <c r="S12" i="1" s="1"/>
  <c r="AA10" i="1"/>
  <c r="AB10" i="1" s="1"/>
  <c r="S10" i="1" s="1"/>
  <c r="AA6" i="1"/>
  <c r="AB6" i="1" s="1"/>
  <c r="S6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84" i="1"/>
  <c r="Z84" i="1"/>
  <c r="AA162" i="1"/>
  <c r="AB162" i="1" s="1"/>
  <c r="S162" i="1" s="1"/>
  <c r="AA157" i="1"/>
  <c r="AB157" i="1" s="1"/>
  <c r="S157" i="1" s="1"/>
  <c r="Z154" i="1"/>
  <c r="AA154" i="1" s="1"/>
  <c r="AB154" i="1" s="1"/>
  <c r="S154" i="1" s="1"/>
  <c r="Z152" i="1"/>
  <c r="AA152" i="1" s="1"/>
  <c r="AB152" i="1" s="1"/>
  <c r="S152" i="1" s="1"/>
  <c r="AA145" i="1"/>
  <c r="AB145" i="1" s="1"/>
  <c r="S145" i="1" s="1"/>
  <c r="AA129" i="1"/>
  <c r="AB129" i="1" s="1"/>
  <c r="S129" i="1" s="1"/>
  <c r="AA125" i="1"/>
  <c r="AB125" i="1" s="1"/>
  <c r="S125" i="1" s="1"/>
  <c r="AA116" i="1"/>
  <c r="AB116" i="1" s="1"/>
  <c r="S116" i="1" s="1"/>
  <c r="AA96" i="1"/>
  <c r="AB96" i="1" s="1"/>
  <c r="S96" i="1" s="1"/>
  <c r="AA92" i="1"/>
  <c r="AB92" i="1" s="1"/>
  <c r="S92" i="1" s="1"/>
  <c r="AA80" i="1"/>
  <c r="AB80" i="1" s="1"/>
  <c r="S80" i="1" s="1"/>
  <c r="AA77" i="1"/>
  <c r="AB77" i="1" s="1"/>
  <c r="S77" i="1" s="1"/>
  <c r="AA69" i="1"/>
  <c r="AB69" i="1" s="1"/>
  <c r="S69" i="1" s="1"/>
  <c r="AA61" i="1"/>
  <c r="AB61" i="1" s="1"/>
  <c r="S61" i="1" s="1"/>
  <c r="AA52" i="1"/>
  <c r="AB52" i="1" s="1"/>
  <c r="S52" i="1" s="1"/>
  <c r="AA48" i="1"/>
  <c r="AB48" i="1" s="1"/>
  <c r="S48" i="1" s="1"/>
  <c r="AA40" i="1"/>
  <c r="AB40" i="1" s="1"/>
  <c r="S40" i="1" s="1"/>
  <c r="AA15" i="1"/>
  <c r="AB15" i="1" s="1"/>
  <c r="S15" i="1" s="1"/>
  <c r="AA7" i="1"/>
  <c r="AB7" i="1" s="1"/>
  <c r="S7" i="1" s="1"/>
  <c r="AA27" i="1"/>
  <c r="AB27" i="1" s="1"/>
  <c r="S27" i="1" s="1"/>
  <c r="AA20" i="1"/>
  <c r="AB20" i="1" s="1"/>
  <c r="S20" i="1" s="1"/>
  <c r="AA11" i="1"/>
  <c r="AB11" i="1" s="1"/>
  <c r="S11" i="1" s="1"/>
  <c r="Z155" i="1"/>
  <c r="AA155" i="1" s="1"/>
  <c r="AB155" i="1" s="1"/>
  <c r="S155" i="1" s="1"/>
  <c r="AA141" i="1"/>
  <c r="AB141" i="1" s="1"/>
  <c r="S141" i="1" s="1"/>
  <c r="AA133" i="1"/>
  <c r="AB133" i="1" s="1"/>
  <c r="S133" i="1" s="1"/>
  <c r="AA120" i="1"/>
  <c r="AB120" i="1" s="1"/>
  <c r="S120" i="1" s="1"/>
  <c r="AA112" i="1"/>
  <c r="AB112" i="1" s="1"/>
  <c r="S112" i="1" s="1"/>
  <c r="AA108" i="1"/>
  <c r="AB108" i="1" s="1"/>
  <c r="S108" i="1" s="1"/>
  <c r="AA105" i="1"/>
  <c r="AB105" i="1" s="1"/>
  <c r="S105" i="1" s="1"/>
  <c r="AA88" i="1"/>
  <c r="AB88" i="1" s="1"/>
  <c r="S88" i="1" s="1"/>
  <c r="AA72" i="1"/>
  <c r="AB72" i="1" s="1"/>
  <c r="S72" i="1" s="1"/>
  <c r="AA64" i="1"/>
  <c r="AB64" i="1" s="1"/>
  <c r="S64" i="1" s="1"/>
  <c r="AA60" i="1"/>
  <c r="AB60" i="1" s="1"/>
  <c r="S60" i="1" s="1"/>
  <c r="AA56" i="1"/>
  <c r="AB56" i="1" s="1"/>
  <c r="S56" i="1" s="1"/>
  <c r="AA47" i="1"/>
  <c r="AB47" i="1" s="1"/>
  <c r="S47" i="1" s="1"/>
  <c r="AA31" i="1"/>
  <c r="AB31" i="1" s="1"/>
  <c r="S31" i="1" s="1"/>
  <c r="AA14" i="1"/>
  <c r="AB14" i="1" s="1"/>
  <c r="S14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8" i="1"/>
  <c r="AB168" i="1" s="1"/>
  <c r="S168" i="1" s="1"/>
  <c r="AA166" i="1"/>
  <c r="AB166" i="1" s="1"/>
  <c r="S166" i="1" s="1"/>
  <c r="AA167" i="1"/>
  <c r="AB167" i="1" s="1"/>
  <c r="S167" i="1" s="1"/>
  <c r="AA121" i="1"/>
  <c r="AB121" i="1" s="1"/>
  <c r="S121" i="1" s="1"/>
  <c r="G48" i="5"/>
  <c r="K48" i="5" s="1"/>
  <c r="L48" i="5" s="1"/>
  <c r="M48" i="5" s="1"/>
  <c r="E34" i="5"/>
  <c r="D34" i="5" s="1"/>
  <c r="AA163" i="1"/>
  <c r="AB163" i="1" s="1"/>
  <c r="S16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0" i="1"/>
  <c r="AB160" i="1" s="1"/>
  <c r="S16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1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1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4" i="5"/>
  <c r="M64" i="5" s="1"/>
  <c r="J64" i="5"/>
  <c r="L62" i="5"/>
  <c r="M62" i="5" s="1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67" i="5"/>
  <c r="M67" i="5" s="1"/>
  <c r="J67" i="5"/>
  <c r="L63" i="5"/>
  <c r="M63" i="5" s="1"/>
  <c r="J63" i="5"/>
  <c r="L61" i="5"/>
  <c r="M61" i="5" s="1"/>
  <c r="J61" i="5"/>
  <c r="L59" i="5"/>
  <c r="M59" i="5" s="1"/>
  <c r="J59" i="5"/>
  <c r="L55" i="5"/>
  <c r="M55" i="5" s="1"/>
  <c r="J55" i="5"/>
  <c r="J53" i="5"/>
  <c r="L51" i="5"/>
  <c r="M51" i="5" s="1"/>
  <c r="J51" i="5"/>
  <c r="L49" i="5"/>
  <c r="M49" i="5" s="1"/>
  <c r="J49" i="5"/>
  <c r="L45" i="5"/>
  <c r="M45" i="5" s="1"/>
  <c r="J45" i="5"/>
  <c r="L39" i="5"/>
  <c r="M39" i="5" s="1"/>
  <c r="J39" i="5"/>
  <c r="L31" i="5"/>
  <c r="M31" i="5" s="1"/>
  <c r="J31" i="5"/>
  <c r="L27" i="5"/>
  <c r="M27" i="5" s="1"/>
  <c r="J27" i="5"/>
  <c r="L23" i="5"/>
  <c r="M23" i="5" s="1"/>
  <c r="L13" i="5"/>
  <c r="M13" i="5" s="1"/>
  <c r="J13" i="5"/>
  <c r="J7" i="5"/>
  <c r="L7" i="5" s="1"/>
  <c r="M7" i="5" s="1"/>
  <c r="J5" i="5"/>
  <c r="L5" i="5" s="1"/>
  <c r="M5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J42" i="5"/>
  <c r="I2" i="5"/>
  <c r="G2" i="5"/>
  <c r="K2" i="5" s="1"/>
  <c r="E2" i="5"/>
  <c r="D2" i="5" s="1"/>
  <c r="V168" i="1"/>
  <c r="V6" i="1"/>
  <c r="J28" i="5" l="1"/>
  <c r="B12" i="1"/>
  <c r="G12" i="1" s="1"/>
  <c r="A12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84" i="1"/>
  <c r="AB84" i="1" s="1"/>
  <c r="S84" i="1" s="1"/>
  <c r="J12" i="5"/>
  <c r="G11" i="1"/>
  <c r="A11" i="1" s="1"/>
  <c r="B14" i="1"/>
  <c r="G14" i="1" s="1"/>
  <c r="A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4" i="1"/>
  <c r="V7" i="1"/>
  <c r="B15" i="1" l="1"/>
  <c r="G15" i="1" s="1"/>
  <c r="A15" i="1" s="1"/>
  <c r="V15" i="1" s="1"/>
  <c r="B17" i="1"/>
  <c r="B19" i="1" s="1"/>
  <c r="G19" i="1" s="1"/>
  <c r="A19" i="1" s="1"/>
  <c r="V19" i="1" s="1"/>
  <c r="B20" i="1"/>
  <c r="G20" i="1" s="1"/>
  <c r="A20" i="1" s="1"/>
  <c r="V11" i="1"/>
  <c r="V20" i="1"/>
  <c r="V12" i="1"/>
  <c r="V8" i="1"/>
  <c r="V9" i="1"/>
  <c r="V16" i="1"/>
  <c r="V13" i="1"/>
  <c r="B21" i="1" l="1"/>
  <c r="G21" i="1" s="1"/>
  <c r="A21" i="1" s="1"/>
  <c r="V21" i="1" s="1"/>
  <c r="G17" i="1"/>
  <c r="A17" i="1" s="1"/>
  <c r="B22" i="1"/>
  <c r="V10" i="1"/>
  <c r="B23" i="1" l="1"/>
  <c r="G23" i="1" s="1"/>
  <c r="A23" i="1" s="1"/>
  <c r="V23" i="1" s="1"/>
  <c r="G22" i="1"/>
  <c r="A22" i="1" s="1"/>
  <c r="B24" i="1"/>
  <c r="V22" i="1"/>
  <c r="V18" i="1"/>
  <c r="V17" i="1"/>
  <c r="G24" i="1" l="1"/>
  <c r="A24" i="1" s="1"/>
  <c r="B27" i="1"/>
  <c r="G27" i="1" l="1"/>
  <c r="A27" i="1" s="1"/>
  <c r="B29" i="1"/>
  <c r="V24" i="1"/>
  <c r="V25" i="1"/>
  <c r="G29" i="1" l="1"/>
  <c r="A29" i="1" s="1"/>
  <c r="B31" i="1"/>
  <c r="V26" i="1"/>
  <c r="V27" i="1"/>
  <c r="G31" i="1" l="1"/>
  <c r="A31" i="1" s="1"/>
  <c r="B34" i="1"/>
  <c r="B35" i="1" s="1"/>
  <c r="G35" i="1" s="1"/>
  <c r="A35" i="1" s="1"/>
  <c r="V28" i="1"/>
  <c r="V29" i="1"/>
  <c r="G34" i="1" l="1"/>
  <c r="A34" i="1" s="1"/>
  <c r="B37" i="1"/>
  <c r="V31" i="1"/>
  <c r="V32" i="1"/>
  <c r="B38" i="1" l="1"/>
  <c r="G38" i="1" s="1"/>
  <c r="A38" i="1" s="1"/>
  <c r="G37" i="1"/>
  <c r="A37" i="1" s="1"/>
  <c r="V34" i="1"/>
  <c r="V35" i="1"/>
  <c r="V33" i="1"/>
  <c r="B40" i="1" l="1"/>
  <c r="B39" i="1"/>
  <c r="G39" i="1" s="1"/>
  <c r="A39" i="1" s="1"/>
  <c r="G40" i="1"/>
  <c r="A40" i="1" s="1"/>
  <c r="V37" i="1"/>
  <c r="V38" i="1"/>
  <c r="B41" i="1" l="1"/>
  <c r="G41" i="1" s="1"/>
  <c r="A41" i="1" s="1"/>
  <c r="B42" i="1"/>
  <c r="G42" i="1" s="1"/>
  <c r="A42" i="1" s="1"/>
  <c r="B43" i="1"/>
  <c r="G43" i="1" s="1"/>
  <c r="A43" i="1" s="1"/>
  <c r="V39" i="1"/>
  <c r="B44" i="1" l="1"/>
  <c r="B56" i="1"/>
  <c r="V40" i="1"/>
  <c r="G44" i="1" l="1"/>
  <c r="A44" i="1" s="1"/>
  <c r="B45" i="1"/>
  <c r="B46" i="1" s="1"/>
  <c r="G46" i="1" s="1"/>
  <c r="A46" i="1" s="1"/>
  <c r="G56" i="1"/>
  <c r="A56" i="1" s="1"/>
  <c r="B58" i="1"/>
  <c r="V45" i="1"/>
  <c r="V46" i="1"/>
  <c r="V41" i="1"/>
  <c r="G45" i="1" l="1"/>
  <c r="A45" i="1" s="1"/>
  <c r="B47" i="1"/>
  <c r="G47" i="1" s="1"/>
  <c r="A47" i="1" s="1"/>
  <c r="G58" i="1"/>
  <c r="A58" i="1" s="1"/>
  <c r="B60" i="1"/>
  <c r="V56" i="1"/>
  <c r="V42" i="1"/>
  <c r="V47" i="1"/>
  <c r="B48" i="1" l="1"/>
  <c r="G60" i="1"/>
  <c r="A60" i="1" s="1"/>
  <c r="B67" i="1"/>
  <c r="V58" i="1"/>
  <c r="V48" i="1"/>
  <c r="V49" i="1" s="1"/>
  <c r="V43" i="1"/>
  <c r="V44" i="1" s="1"/>
  <c r="G48" i="1" l="1"/>
  <c r="A48" i="1" s="1"/>
  <c r="B49" i="1"/>
  <c r="G67" i="1"/>
  <c r="A67" i="1" s="1"/>
  <c r="B69" i="1"/>
  <c r="V60" i="1"/>
  <c r="V50" i="1"/>
  <c r="V51" i="1" s="1"/>
  <c r="V61" i="1"/>
  <c r="G49" i="1" l="1"/>
  <c r="A49" i="1" s="1"/>
  <c r="B50" i="1"/>
  <c r="G69" i="1"/>
  <c r="A69" i="1" s="1"/>
  <c r="B75" i="1"/>
  <c r="V67" i="1"/>
  <c r="V62" i="1"/>
  <c r="V52" i="1"/>
  <c r="V53" i="1"/>
  <c r="G50" i="1" l="1"/>
  <c r="A50" i="1" s="1"/>
  <c r="B51" i="1"/>
  <c r="G51" i="1" s="1"/>
  <c r="A51" i="1" s="1"/>
  <c r="G75" i="1"/>
  <c r="A75" i="1" s="1"/>
  <c r="B77" i="1"/>
  <c r="V69" i="1"/>
  <c r="V70" i="1"/>
  <c r="V54" i="1"/>
  <c r="V63" i="1"/>
  <c r="V64" i="1" s="1"/>
  <c r="G77" i="1" l="1"/>
  <c r="A77" i="1" s="1"/>
  <c r="B80" i="1"/>
  <c r="V75" i="1"/>
  <c r="V71" i="1"/>
  <c r="V65" i="1"/>
  <c r="G80" i="1" l="1"/>
  <c r="A80" i="1" s="1"/>
  <c r="B82" i="1"/>
  <c r="V77" i="1"/>
  <c r="V72" i="1"/>
  <c r="V73" i="1" s="1"/>
  <c r="G82" i="1" l="1"/>
  <c r="A82" i="1" s="1"/>
  <c r="B88" i="1"/>
  <c r="V80" i="1"/>
  <c r="G88" i="1" l="1"/>
  <c r="A88" i="1" s="1"/>
  <c r="B90" i="1"/>
  <c r="V82" i="1"/>
  <c r="V83" i="1"/>
  <c r="G90" i="1" l="1"/>
  <c r="A90" i="1" s="1"/>
  <c r="B101" i="1"/>
  <c r="V88" i="1"/>
  <c r="V84" i="1"/>
  <c r="G101" i="1" l="1"/>
  <c r="A101" i="1" s="1"/>
  <c r="B105" i="1"/>
  <c r="V90" i="1"/>
  <c r="V85" i="1"/>
  <c r="V86" i="1" s="1"/>
  <c r="V91" i="1"/>
  <c r="G105" i="1" l="1"/>
  <c r="A105" i="1" s="1"/>
  <c r="B108" i="1"/>
  <c r="V101" i="1"/>
  <c r="V92" i="1"/>
  <c r="V102" i="1"/>
  <c r="G108" i="1" l="1"/>
  <c r="A108" i="1" s="1"/>
  <c r="B114" i="1"/>
  <c r="V105" i="1"/>
  <c r="V106" i="1"/>
  <c r="V93" i="1"/>
  <c r="V94" i="1" s="1"/>
  <c r="V103" i="1"/>
  <c r="G114" i="1" l="1"/>
  <c r="A114" i="1" s="1"/>
  <c r="B119" i="1"/>
  <c r="V108" i="1"/>
  <c r="V95" i="1"/>
  <c r="V96" i="1" s="1"/>
  <c r="V109" i="1"/>
  <c r="G119" i="1" l="1"/>
  <c r="A119" i="1" s="1"/>
  <c r="B133" i="1"/>
  <c r="V114" i="1"/>
  <c r="V110" i="1"/>
  <c r="V115" i="1"/>
  <c r="V97" i="1"/>
  <c r="V98" i="1"/>
  <c r="G133" i="1" l="1"/>
  <c r="A133" i="1" s="1"/>
  <c r="B135" i="1"/>
  <c r="V119" i="1"/>
  <c r="V120" i="1"/>
  <c r="V116" i="1"/>
  <c r="V99" i="1"/>
  <c r="V111" i="1"/>
  <c r="G135" i="1" l="1"/>
  <c r="A135" i="1" s="1"/>
  <c r="B137" i="1"/>
  <c r="V133" i="1"/>
  <c r="V112" i="1"/>
  <c r="V117" i="1"/>
  <c r="V121" i="1"/>
  <c r="G137" i="1" l="1"/>
  <c r="A137" i="1" s="1"/>
  <c r="B143" i="1"/>
  <c r="V135" i="1"/>
  <c r="V122" i="1"/>
  <c r="V123" i="1" s="1"/>
  <c r="G143" i="1" l="1"/>
  <c r="A143" i="1" s="1"/>
  <c r="B148" i="1"/>
  <c r="V137" i="1"/>
  <c r="V124" i="1"/>
  <c r="V125" i="1" s="1"/>
  <c r="V138" i="1"/>
  <c r="G148" i="1" l="1"/>
  <c r="A148" i="1" s="1"/>
  <c r="B150" i="1"/>
  <c r="V143" i="1"/>
  <c r="V139" i="1"/>
  <c r="V144" i="1"/>
  <c r="V126" i="1"/>
  <c r="V127" i="1"/>
  <c r="G150" i="1" l="1"/>
  <c r="A150" i="1" s="1"/>
  <c r="B152" i="1"/>
  <c r="V148" i="1"/>
  <c r="V145" i="1"/>
  <c r="V128" i="1"/>
  <c r="V129" i="1" s="1"/>
  <c r="V140" i="1"/>
  <c r="G152" i="1" l="1"/>
  <c r="A152" i="1" s="1"/>
  <c r="B157" i="1"/>
  <c r="V150" i="1"/>
  <c r="V141" i="1"/>
  <c r="V130" i="1"/>
  <c r="V146" i="1"/>
  <c r="V131" i="1"/>
  <c r="G157" i="1" l="1"/>
  <c r="A157" i="1" s="1"/>
  <c r="B159" i="1"/>
  <c r="G159" i="1" s="1"/>
  <c r="A159" i="1" s="1"/>
  <c r="V152" i="1"/>
  <c r="V153" i="1"/>
  <c r="A1" i="2" l="1"/>
  <c r="D1" i="4"/>
  <c r="V159" i="1"/>
  <c r="V157" i="1"/>
  <c r="V154" i="1"/>
  <c r="V160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L47" i="4" s="1"/>
  <c r="C19" i="4"/>
  <c r="C52" i="4"/>
  <c r="L52" i="4" s="1"/>
  <c r="C48" i="4"/>
  <c r="L48" i="4" s="1"/>
  <c r="C51" i="4"/>
  <c r="L51" i="4" s="1"/>
  <c r="C45" i="4"/>
  <c r="L45" i="4" s="1"/>
  <c r="C41" i="4"/>
  <c r="L41" i="4" s="1"/>
  <c r="C37" i="4"/>
  <c r="L37" i="4" s="1"/>
  <c r="C33" i="4"/>
  <c r="L33" i="4" s="1"/>
  <c r="C46" i="4"/>
  <c r="L46" i="4" s="1"/>
  <c r="C38" i="4"/>
  <c r="L38" i="4" s="1"/>
  <c r="C53" i="4"/>
  <c r="L53" i="4" s="1"/>
  <c r="C36" i="4"/>
  <c r="L36" i="4" s="1"/>
  <c r="C32" i="4"/>
  <c r="L32" i="4" s="1"/>
  <c r="C30" i="4"/>
  <c r="L30" i="4" s="1"/>
  <c r="C28" i="4"/>
  <c r="L28" i="4" s="1"/>
  <c r="C26" i="4"/>
  <c r="L26" i="4" s="1"/>
  <c r="C24" i="4"/>
  <c r="L24" i="4" s="1"/>
  <c r="C22" i="4"/>
  <c r="L22" i="4" s="1"/>
  <c r="C20" i="4"/>
  <c r="C18" i="4"/>
  <c r="C15" i="4"/>
  <c r="D15" i="4" s="1"/>
  <c r="C11" i="4"/>
  <c r="D11" i="4" s="1"/>
  <c r="C8" i="4"/>
  <c r="C6" i="4"/>
  <c r="C4" i="4"/>
  <c r="C16" i="4"/>
  <c r="C12" i="4"/>
  <c r="D12" i="4" s="1"/>
  <c r="C54" i="4"/>
  <c r="L54" i="4" s="1"/>
  <c r="C50" i="4"/>
  <c r="L50" i="4" s="1"/>
  <c r="C55" i="4"/>
  <c r="L55" i="4" s="1"/>
  <c r="C43" i="4"/>
  <c r="L43" i="4" s="1"/>
  <c r="C39" i="4"/>
  <c r="L39" i="4" s="1"/>
  <c r="C35" i="4"/>
  <c r="L35" i="4" s="1"/>
  <c r="C49" i="4"/>
  <c r="L49" i="4" s="1"/>
  <c r="C42" i="4"/>
  <c r="L42" i="4" s="1"/>
  <c r="C34" i="4"/>
  <c r="L34" i="4" s="1"/>
  <c r="C44" i="4"/>
  <c r="L44" i="4" s="1"/>
  <c r="C40" i="4"/>
  <c r="L40" i="4" s="1"/>
  <c r="C31" i="4"/>
  <c r="L31" i="4" s="1"/>
  <c r="C29" i="4"/>
  <c r="L29" i="4" s="1"/>
  <c r="C27" i="4"/>
  <c r="L27" i="4" s="1"/>
  <c r="C25" i="4"/>
  <c r="L25" i="4" s="1"/>
  <c r="C23" i="4"/>
  <c r="L23" i="4" s="1"/>
  <c r="C21" i="4"/>
  <c r="C17" i="4"/>
  <c r="C13" i="4"/>
  <c r="D13" i="4" s="1"/>
  <c r="C9" i="4"/>
  <c r="C7" i="4"/>
  <c r="C5" i="4"/>
  <c r="C3" i="4"/>
  <c r="C14" i="4"/>
  <c r="D14" i="4" s="1"/>
  <c r="C10" i="4"/>
  <c r="V155" i="1"/>
  <c r="W8" i="1" s="1"/>
  <c r="D21" i="4" l="1"/>
  <c r="L21" i="4"/>
  <c r="D16" i="4"/>
  <c r="L16" i="4"/>
  <c r="D18" i="4"/>
  <c r="L18" i="4"/>
  <c r="D17" i="4"/>
  <c r="L17" i="4"/>
  <c r="D20" i="4"/>
  <c r="L20" i="4"/>
  <c r="D19" i="4"/>
  <c r="L19" i="4"/>
  <c r="W35" i="1"/>
  <c r="AC35" i="1"/>
  <c r="W39" i="1"/>
  <c r="W41" i="1"/>
  <c r="W44" i="1"/>
  <c r="AC32" i="1"/>
  <c r="AC33" i="1"/>
  <c r="AC50" i="1"/>
  <c r="AC44" i="1"/>
  <c r="AC39" i="1"/>
  <c r="AC48" i="1"/>
  <c r="AC41" i="1"/>
  <c r="AC51" i="1"/>
  <c r="AC49" i="1"/>
  <c r="AC47" i="1"/>
  <c r="AC46" i="1"/>
  <c r="AC38" i="1"/>
  <c r="AC43" i="1"/>
  <c r="W33" i="1"/>
  <c r="W26" i="1"/>
  <c r="W28" i="1"/>
  <c r="W23" i="1"/>
  <c r="AC23" i="1"/>
  <c r="W21" i="1"/>
  <c r="AC21" i="1"/>
  <c r="W19" i="1"/>
  <c r="AC19" i="1"/>
  <c r="W16" i="1"/>
  <c r="AC15" i="1"/>
  <c r="W13" i="1"/>
  <c r="AC12" i="1"/>
  <c r="W10" i="1"/>
  <c r="W165" i="1"/>
  <c r="W167" i="1"/>
  <c r="W163" i="1"/>
  <c r="AC162" i="1"/>
  <c r="W152" i="1"/>
  <c r="AC143" i="1"/>
  <c r="W148" i="1"/>
  <c r="AC159" i="1"/>
  <c r="AC135" i="1"/>
  <c r="W146" i="1"/>
  <c r="W135" i="1"/>
  <c r="W159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2" i="1"/>
  <c r="W40" i="1"/>
  <c r="W38" i="1"/>
  <c r="W43" i="1"/>
  <c r="W53" i="1"/>
  <c r="W42" i="1"/>
  <c r="AC60" i="1"/>
  <c r="W51" i="1"/>
  <c r="W52" i="1"/>
  <c r="W48" i="1"/>
  <c r="W46" i="1"/>
  <c r="W58" i="1"/>
  <c r="W67" i="1"/>
  <c r="W62" i="1"/>
  <c r="W65" i="1"/>
  <c r="AC58" i="1"/>
  <c r="W60" i="1"/>
  <c r="W72" i="1"/>
  <c r="W73" i="1"/>
  <c r="W71" i="1"/>
  <c r="W77" i="1"/>
  <c r="W86" i="1"/>
  <c r="AC82" i="1"/>
  <c r="W83" i="1"/>
  <c r="W80" i="1"/>
  <c r="W82" i="1"/>
  <c r="AC90" i="1"/>
  <c r="W93" i="1"/>
  <c r="W97" i="1"/>
  <c r="W90" i="1"/>
  <c r="W96" i="1"/>
  <c r="W92" i="1"/>
  <c r="AC101" i="1"/>
  <c r="W101" i="1"/>
  <c r="AC108" i="1"/>
  <c r="W105" i="1"/>
  <c r="W112" i="1"/>
  <c r="W111" i="1"/>
  <c r="AC114" i="1"/>
  <c r="W115" i="1"/>
  <c r="W122" i="1"/>
  <c r="W130" i="1"/>
  <c r="W124" i="1"/>
  <c r="AC119" i="1"/>
  <c r="W114" i="1"/>
  <c r="W131" i="1"/>
  <c r="W129" i="1"/>
  <c r="W123" i="1"/>
  <c r="W127" i="1"/>
  <c r="AC152" i="1"/>
  <c r="W150" i="1"/>
  <c r="W139" i="1"/>
  <c r="W141" i="1"/>
  <c r="W155" i="1"/>
  <c r="AC133" i="1"/>
  <c r="W128" i="1"/>
  <c r="W168" i="1"/>
  <c r="W166" i="1"/>
  <c r="AC165" i="1"/>
  <c r="W162" i="1"/>
  <c r="W160" i="1"/>
  <c r="W138" i="1"/>
  <c r="W143" i="1"/>
  <c r="W144" i="1"/>
  <c r="AC157" i="1"/>
  <c r="W137" i="1"/>
  <c r="AC150" i="1"/>
  <c r="W157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7" i="1"/>
  <c r="AC34" i="1"/>
  <c r="W37" i="1"/>
  <c r="AC40" i="1"/>
  <c r="W45" i="1"/>
  <c r="AC45" i="1"/>
  <c r="W47" i="1"/>
  <c r="W56" i="1"/>
  <c r="AC56" i="1"/>
  <c r="W54" i="1"/>
  <c r="W50" i="1"/>
  <c r="W49" i="1"/>
  <c r="W63" i="1"/>
  <c r="W61" i="1"/>
  <c r="W64" i="1"/>
  <c r="AC67" i="1"/>
  <c r="AC75" i="1"/>
  <c r="AC69" i="1"/>
  <c r="W75" i="1"/>
  <c r="W69" i="1"/>
  <c r="W70" i="1"/>
  <c r="AC77" i="1"/>
  <c r="W88" i="1"/>
  <c r="W84" i="1"/>
  <c r="W85" i="1"/>
  <c r="AC80" i="1"/>
  <c r="AC88" i="1"/>
  <c r="W99" i="1"/>
  <c r="W91" i="1"/>
  <c r="W95" i="1"/>
  <c r="W98" i="1"/>
  <c r="W102" i="1"/>
  <c r="W94" i="1"/>
  <c r="W103" i="1"/>
  <c r="AC105" i="1"/>
  <c r="W106" i="1"/>
  <c r="W108" i="1"/>
  <c r="W116" i="1"/>
  <c r="W109" i="1"/>
  <c r="W110" i="1"/>
  <c r="W117" i="1"/>
  <c r="W120" i="1"/>
  <c r="W133" i="1"/>
  <c r="W121" i="1"/>
  <c r="AC137" i="1"/>
  <c r="W154" i="1"/>
  <c r="AC148" i="1"/>
  <c r="W153" i="1"/>
  <c r="W126" i="1"/>
  <c r="W125" i="1"/>
  <c r="W119" i="1"/>
  <c r="W140" i="1"/>
  <c r="W145" i="1"/>
  <c r="F14" i="4"/>
  <c r="Q14" i="4" s="1"/>
  <c r="O14" i="4"/>
  <c r="G14" i="4"/>
  <c r="N14" i="4"/>
  <c r="E14" i="4"/>
  <c r="H14" i="4"/>
  <c r="J14" i="4"/>
  <c r="I14" i="4"/>
  <c r="F5" i="4"/>
  <c r="Q5" i="4" s="1"/>
  <c r="G5" i="4"/>
  <c r="E5" i="4"/>
  <c r="D5" i="4"/>
  <c r="N5" i="4"/>
  <c r="O5" i="4"/>
  <c r="H5" i="4"/>
  <c r="I5" i="4"/>
  <c r="J5" i="4"/>
  <c r="F9" i="4"/>
  <c r="Q9" i="4" s="1"/>
  <c r="O9" i="4"/>
  <c r="G9" i="4"/>
  <c r="N9" i="4"/>
  <c r="E9" i="4"/>
  <c r="D9" i="4"/>
  <c r="J9" i="4"/>
  <c r="H9" i="4"/>
  <c r="I9" i="4"/>
  <c r="F17" i="4"/>
  <c r="Q17" i="4" s="1"/>
  <c r="O17" i="4"/>
  <c r="G17" i="4"/>
  <c r="E17" i="4"/>
  <c r="N17" i="4"/>
  <c r="J17" i="4"/>
  <c r="H17" i="4"/>
  <c r="I17" i="4"/>
  <c r="F23" i="4"/>
  <c r="Q23" i="4" s="1"/>
  <c r="O23" i="4"/>
  <c r="G23" i="4"/>
  <c r="N23" i="4"/>
  <c r="E23" i="4"/>
  <c r="S23" i="4" s="1"/>
  <c r="D23" i="4"/>
  <c r="H23" i="4"/>
  <c r="I23" i="4"/>
  <c r="J23" i="4"/>
  <c r="F27" i="4"/>
  <c r="Q27" i="4" s="1"/>
  <c r="O27" i="4"/>
  <c r="G27" i="4"/>
  <c r="N27" i="4"/>
  <c r="D27" i="4"/>
  <c r="E27" i="4"/>
  <c r="I27" i="4"/>
  <c r="J27" i="4"/>
  <c r="H27" i="4"/>
  <c r="N31" i="4"/>
  <c r="D31" i="4"/>
  <c r="E31" i="4"/>
  <c r="O31" i="4"/>
  <c r="F31" i="4"/>
  <c r="Q31" i="4" s="1"/>
  <c r="V31" i="4" s="1"/>
  <c r="G31" i="4"/>
  <c r="J31" i="4"/>
  <c r="I31" i="4"/>
  <c r="H31" i="4"/>
  <c r="O44" i="4"/>
  <c r="D44" i="4"/>
  <c r="E44" i="4"/>
  <c r="F44" i="4"/>
  <c r="Q44" i="4" s="1"/>
  <c r="G44" i="4"/>
  <c r="N44" i="4"/>
  <c r="I44" i="4"/>
  <c r="H44" i="4"/>
  <c r="J44" i="4"/>
  <c r="O42" i="4"/>
  <c r="D42" i="4"/>
  <c r="N42" i="4"/>
  <c r="F42" i="4"/>
  <c r="Q42" i="4" s="1"/>
  <c r="E42" i="4"/>
  <c r="G42" i="4"/>
  <c r="I42" i="4"/>
  <c r="J42" i="4"/>
  <c r="H42" i="4"/>
  <c r="N35" i="4"/>
  <c r="E35" i="4"/>
  <c r="F35" i="4"/>
  <c r="Q35" i="4" s="1"/>
  <c r="V35" i="4" s="1"/>
  <c r="G35" i="4"/>
  <c r="D35" i="4"/>
  <c r="O35" i="4"/>
  <c r="H35" i="4"/>
  <c r="I35" i="4"/>
  <c r="J35" i="4"/>
  <c r="N43" i="4"/>
  <c r="E43" i="4"/>
  <c r="F43" i="4"/>
  <c r="Q43" i="4" s="1"/>
  <c r="V43" i="4" s="1"/>
  <c r="G43" i="4"/>
  <c r="O43" i="4"/>
  <c r="D43" i="4"/>
  <c r="J43" i="4"/>
  <c r="I43" i="4"/>
  <c r="H43" i="4"/>
  <c r="N50" i="4"/>
  <c r="I50" i="4"/>
  <c r="E50" i="4"/>
  <c r="D50" i="4"/>
  <c r="F50" i="4"/>
  <c r="Q50" i="4" s="1"/>
  <c r="V50" i="4" s="1"/>
  <c r="G50" i="4"/>
  <c r="H50" i="4"/>
  <c r="O50" i="4"/>
  <c r="J50" i="4"/>
  <c r="F12" i="4"/>
  <c r="Q12" i="4" s="1"/>
  <c r="O12" i="4"/>
  <c r="G12" i="4"/>
  <c r="N12" i="4"/>
  <c r="E12" i="4"/>
  <c r="I12" i="4"/>
  <c r="H12" i="4"/>
  <c r="J12" i="4"/>
  <c r="F4" i="4"/>
  <c r="Q4" i="4" s="1"/>
  <c r="G4" i="4"/>
  <c r="E4" i="4"/>
  <c r="N4" i="4"/>
  <c r="D4" i="4"/>
  <c r="O4" i="4"/>
  <c r="J4" i="4"/>
  <c r="H4" i="4"/>
  <c r="I4" i="4"/>
  <c r="F8" i="4"/>
  <c r="Q8" i="4" s="1"/>
  <c r="O8" i="4"/>
  <c r="E8" i="4"/>
  <c r="N8" i="4"/>
  <c r="D8" i="4"/>
  <c r="G8" i="4"/>
  <c r="H8" i="4"/>
  <c r="J8" i="4"/>
  <c r="I8" i="4"/>
  <c r="F15" i="4"/>
  <c r="Q15" i="4" s="1"/>
  <c r="O15" i="4"/>
  <c r="G15" i="4"/>
  <c r="E15" i="4"/>
  <c r="N15" i="4"/>
  <c r="I15" i="4"/>
  <c r="J15" i="4"/>
  <c r="H15" i="4"/>
  <c r="F20" i="4"/>
  <c r="Q20" i="4" s="1"/>
  <c r="O20" i="4"/>
  <c r="G20" i="4"/>
  <c r="N20" i="4"/>
  <c r="E20" i="4"/>
  <c r="J20" i="4"/>
  <c r="I20" i="4"/>
  <c r="H20" i="4"/>
  <c r="F24" i="4"/>
  <c r="Q24" i="4" s="1"/>
  <c r="O24" i="4"/>
  <c r="G24" i="4"/>
  <c r="N24" i="4"/>
  <c r="E24" i="4"/>
  <c r="D24" i="4"/>
  <c r="I24" i="4"/>
  <c r="J24" i="4"/>
  <c r="H24" i="4"/>
  <c r="N28" i="4"/>
  <c r="D28" i="4"/>
  <c r="E28" i="4"/>
  <c r="O28" i="4"/>
  <c r="G28" i="4"/>
  <c r="F28" i="4"/>
  <c r="Q28" i="4" s="1"/>
  <c r="I28" i="4"/>
  <c r="J28" i="4"/>
  <c r="H28" i="4"/>
  <c r="O32" i="4"/>
  <c r="D32" i="4"/>
  <c r="E32" i="4"/>
  <c r="F32" i="4"/>
  <c r="Q32" i="4" s="1"/>
  <c r="G32" i="4"/>
  <c r="N32" i="4"/>
  <c r="I32" i="4"/>
  <c r="J32" i="4"/>
  <c r="H32" i="4"/>
  <c r="O53" i="4"/>
  <c r="H53" i="4"/>
  <c r="D53" i="4"/>
  <c r="I53" i="4"/>
  <c r="G53" i="4"/>
  <c r="J53" i="4"/>
  <c r="F53" i="4"/>
  <c r="Q53" i="4" s="1"/>
  <c r="E53" i="4"/>
  <c r="N53" i="4"/>
  <c r="O46" i="4"/>
  <c r="H46" i="4"/>
  <c r="D46" i="4"/>
  <c r="G46" i="4"/>
  <c r="N46" i="4"/>
  <c r="J46" i="4"/>
  <c r="I46" i="4"/>
  <c r="F46" i="4"/>
  <c r="Q46" i="4" s="1"/>
  <c r="E46" i="4"/>
  <c r="N37" i="4"/>
  <c r="E37" i="4"/>
  <c r="O37" i="4"/>
  <c r="G37" i="4"/>
  <c r="F37" i="4"/>
  <c r="Q37" i="4" s="1"/>
  <c r="V37" i="4" s="1"/>
  <c r="D37" i="4"/>
  <c r="J37" i="4"/>
  <c r="H37" i="4"/>
  <c r="I37" i="4"/>
  <c r="N45" i="4"/>
  <c r="I45" i="4"/>
  <c r="E45" i="4"/>
  <c r="D45" i="4"/>
  <c r="O45" i="4"/>
  <c r="H45" i="4"/>
  <c r="J45" i="4"/>
  <c r="G45" i="4"/>
  <c r="F45" i="4"/>
  <c r="Q45" i="4" s="1"/>
  <c r="V45" i="4" s="1"/>
  <c r="N48" i="4"/>
  <c r="I48" i="4"/>
  <c r="E48" i="4"/>
  <c r="J48" i="4"/>
  <c r="D48" i="4"/>
  <c r="O48" i="4"/>
  <c r="H48" i="4"/>
  <c r="G48" i="4"/>
  <c r="F48" i="4"/>
  <c r="Q48" i="4" s="1"/>
  <c r="F19" i="4"/>
  <c r="Q19" i="4" s="1"/>
  <c r="O19" i="4"/>
  <c r="G19" i="4"/>
  <c r="N19" i="4"/>
  <c r="E19" i="4"/>
  <c r="I19" i="4"/>
  <c r="J19" i="4"/>
  <c r="H19" i="4"/>
  <c r="F10" i="4"/>
  <c r="Q10" i="4" s="1"/>
  <c r="O10" i="4"/>
  <c r="G10" i="4"/>
  <c r="N10" i="4"/>
  <c r="D10" i="4"/>
  <c r="E10" i="4"/>
  <c r="J10" i="4"/>
  <c r="I10" i="4"/>
  <c r="H10" i="4"/>
  <c r="F3" i="4"/>
  <c r="Q3" i="4" s="1"/>
  <c r="G3" i="4"/>
  <c r="E3" i="4"/>
  <c r="N3" i="4"/>
  <c r="D3" i="4"/>
  <c r="O3" i="4"/>
  <c r="H3" i="4"/>
  <c r="J3" i="4"/>
  <c r="K3" i="4" s="1"/>
  <c r="L3" i="4" s="1"/>
  <c r="I3" i="4"/>
  <c r="F7" i="4"/>
  <c r="Q7" i="4" s="1"/>
  <c r="G7" i="4"/>
  <c r="E7" i="4"/>
  <c r="D7" i="4"/>
  <c r="N7" i="4"/>
  <c r="O7" i="4"/>
  <c r="H7" i="4"/>
  <c r="I7" i="4"/>
  <c r="J7" i="4"/>
  <c r="F13" i="4"/>
  <c r="Q13" i="4" s="1"/>
  <c r="O13" i="4"/>
  <c r="G13" i="4"/>
  <c r="E13" i="4"/>
  <c r="N13" i="4"/>
  <c r="I13" i="4"/>
  <c r="J13" i="4"/>
  <c r="H13" i="4"/>
  <c r="F21" i="4"/>
  <c r="Q21" i="4" s="1"/>
  <c r="O21" i="4"/>
  <c r="G21" i="4"/>
  <c r="N21" i="4"/>
  <c r="E21" i="4"/>
  <c r="I21" i="4"/>
  <c r="J21" i="4"/>
  <c r="H21" i="4"/>
  <c r="F25" i="4"/>
  <c r="Q25" i="4" s="1"/>
  <c r="O25" i="4"/>
  <c r="G25" i="4"/>
  <c r="N25" i="4"/>
  <c r="D25" i="4"/>
  <c r="E25" i="4"/>
  <c r="I25" i="4"/>
  <c r="J25" i="4"/>
  <c r="H25" i="4"/>
  <c r="N29" i="4"/>
  <c r="D29" i="4"/>
  <c r="E29" i="4"/>
  <c r="O29" i="4"/>
  <c r="G29" i="4"/>
  <c r="F29" i="4"/>
  <c r="Q29" i="4" s="1"/>
  <c r="H29" i="4"/>
  <c r="I29" i="4"/>
  <c r="J29" i="4"/>
  <c r="O40" i="4"/>
  <c r="D40" i="4"/>
  <c r="E40" i="4"/>
  <c r="N40" i="4"/>
  <c r="G40" i="4"/>
  <c r="F40" i="4"/>
  <c r="Q40" i="4" s="1"/>
  <c r="V40" i="4" s="1"/>
  <c r="J40" i="4"/>
  <c r="H40" i="4"/>
  <c r="I40" i="4"/>
  <c r="O34" i="4"/>
  <c r="D34" i="4"/>
  <c r="N34" i="4"/>
  <c r="G34" i="4"/>
  <c r="F34" i="4"/>
  <c r="Q34" i="4" s="1"/>
  <c r="V34" i="4" s="1"/>
  <c r="E34" i="4"/>
  <c r="I34" i="4"/>
  <c r="H34" i="4"/>
  <c r="J34" i="4"/>
  <c r="O49" i="4"/>
  <c r="H49" i="4"/>
  <c r="D49" i="4"/>
  <c r="I49" i="4"/>
  <c r="J49" i="4"/>
  <c r="N49" i="4"/>
  <c r="E49" i="4"/>
  <c r="F49" i="4"/>
  <c r="Q49" i="4" s="1"/>
  <c r="V49" i="4" s="1"/>
  <c r="G49" i="4"/>
  <c r="N39" i="4"/>
  <c r="E39" i="4"/>
  <c r="F39" i="4"/>
  <c r="Q39" i="4" s="1"/>
  <c r="V39" i="4" s="1"/>
  <c r="G39" i="4"/>
  <c r="D39" i="4"/>
  <c r="O39" i="4"/>
  <c r="H39" i="4"/>
  <c r="I39" i="4"/>
  <c r="J39" i="4"/>
  <c r="O55" i="4"/>
  <c r="H55" i="4"/>
  <c r="D55" i="4"/>
  <c r="G55" i="4"/>
  <c r="E55" i="4"/>
  <c r="J55" i="4"/>
  <c r="F55" i="4"/>
  <c r="Q55" i="4" s="1"/>
  <c r="N55" i="4"/>
  <c r="I55" i="4"/>
  <c r="N54" i="4"/>
  <c r="I54" i="4"/>
  <c r="E54" i="4"/>
  <c r="D54" i="4"/>
  <c r="F54" i="4"/>
  <c r="Q54" i="4" s="1"/>
  <c r="V54" i="4" s="1"/>
  <c r="H54" i="4"/>
  <c r="J54" i="4"/>
  <c r="G54" i="4"/>
  <c r="O54" i="4"/>
  <c r="F16" i="4"/>
  <c r="Q16" i="4" s="1"/>
  <c r="O16" i="4"/>
  <c r="G16" i="4"/>
  <c r="N16" i="4"/>
  <c r="E16" i="4"/>
  <c r="J16" i="4"/>
  <c r="I16" i="4"/>
  <c r="H16" i="4"/>
  <c r="F6" i="4"/>
  <c r="Q6" i="4" s="1"/>
  <c r="G6" i="4"/>
  <c r="E6" i="4"/>
  <c r="O6" i="4"/>
  <c r="N6" i="4"/>
  <c r="D6" i="4"/>
  <c r="J6" i="4"/>
  <c r="H6" i="4"/>
  <c r="I6" i="4"/>
  <c r="F11" i="4"/>
  <c r="Q11" i="4" s="1"/>
  <c r="O11" i="4"/>
  <c r="G11" i="4"/>
  <c r="E11" i="4"/>
  <c r="N11" i="4"/>
  <c r="H11" i="4"/>
  <c r="I11" i="4"/>
  <c r="J11" i="4"/>
  <c r="F18" i="4"/>
  <c r="Q18" i="4" s="1"/>
  <c r="O18" i="4"/>
  <c r="G18" i="4"/>
  <c r="N18" i="4"/>
  <c r="E18" i="4"/>
  <c r="I18" i="4"/>
  <c r="J18" i="4"/>
  <c r="H18" i="4"/>
  <c r="F22" i="4"/>
  <c r="Q22" i="4" s="1"/>
  <c r="O22" i="4"/>
  <c r="G22" i="4"/>
  <c r="N22" i="4"/>
  <c r="D22" i="4"/>
  <c r="E22" i="4"/>
  <c r="J22" i="4"/>
  <c r="I22" i="4"/>
  <c r="H22" i="4"/>
  <c r="F26" i="4"/>
  <c r="Q26" i="4" s="1"/>
  <c r="O26" i="4"/>
  <c r="G26" i="4"/>
  <c r="N26" i="4"/>
  <c r="D26" i="4"/>
  <c r="E26" i="4"/>
  <c r="J26" i="4"/>
  <c r="H26" i="4"/>
  <c r="I26" i="4"/>
  <c r="N30" i="4"/>
  <c r="D30" i="4"/>
  <c r="E30" i="4"/>
  <c r="O30" i="4"/>
  <c r="G30" i="4"/>
  <c r="F30" i="4"/>
  <c r="Q30" i="4" s="1"/>
  <c r="H30" i="4"/>
  <c r="I30" i="4"/>
  <c r="J30" i="4"/>
  <c r="O36" i="4"/>
  <c r="D36" i="4"/>
  <c r="E36" i="4"/>
  <c r="F36" i="4"/>
  <c r="Q36" i="4" s="1"/>
  <c r="G36" i="4"/>
  <c r="N36" i="4"/>
  <c r="J36" i="4"/>
  <c r="H36" i="4"/>
  <c r="I36" i="4"/>
  <c r="O38" i="4"/>
  <c r="D38" i="4"/>
  <c r="N38" i="4"/>
  <c r="F38" i="4"/>
  <c r="Q38" i="4" s="1"/>
  <c r="E38" i="4"/>
  <c r="G38" i="4"/>
  <c r="J38" i="4"/>
  <c r="H38" i="4"/>
  <c r="I38" i="4"/>
  <c r="N33" i="4"/>
  <c r="E33" i="4"/>
  <c r="O33" i="4"/>
  <c r="G33" i="4"/>
  <c r="F33" i="4"/>
  <c r="Q33" i="4" s="1"/>
  <c r="V33" i="4" s="1"/>
  <c r="D33" i="4"/>
  <c r="H33" i="4"/>
  <c r="I33" i="4"/>
  <c r="J33" i="4"/>
  <c r="N41" i="4"/>
  <c r="E41" i="4"/>
  <c r="O41" i="4"/>
  <c r="G41" i="4"/>
  <c r="D41" i="4"/>
  <c r="F41" i="4"/>
  <c r="Q41" i="4" s="1"/>
  <c r="H41" i="4"/>
  <c r="J41" i="4"/>
  <c r="I41" i="4"/>
  <c r="O51" i="4"/>
  <c r="H51" i="4"/>
  <c r="D51" i="4"/>
  <c r="G51" i="4"/>
  <c r="E51" i="4"/>
  <c r="F51" i="4"/>
  <c r="Q51" i="4" s="1"/>
  <c r="I51" i="4"/>
  <c r="J51" i="4"/>
  <c r="N51" i="4"/>
  <c r="N52" i="4"/>
  <c r="I52" i="4"/>
  <c r="E52" i="4"/>
  <c r="J52" i="4"/>
  <c r="H52" i="4"/>
  <c r="G52" i="4"/>
  <c r="F52" i="4"/>
  <c r="Q52" i="4" s="1"/>
  <c r="O52" i="4"/>
  <c r="D52" i="4"/>
  <c r="O47" i="4"/>
  <c r="H47" i="4"/>
  <c r="G47" i="4"/>
  <c r="N47" i="4"/>
  <c r="I47" i="4"/>
  <c r="J47" i="4"/>
  <c r="E47" i="4"/>
  <c r="F47" i="4"/>
  <c r="Q47" i="4" s="1"/>
  <c r="V47" i="4" s="1"/>
  <c r="D47" i="4"/>
  <c r="H3" i="2"/>
  <c r="H41" i="2" s="1"/>
  <c r="H79" i="2" s="1"/>
  <c r="H6" i="2"/>
  <c r="H44" i="2" s="1"/>
  <c r="H82" i="2" s="1"/>
  <c r="H5" i="2"/>
  <c r="H43" i="2" s="1"/>
  <c r="H81" i="2" s="1"/>
  <c r="M38" i="4" l="1"/>
  <c r="K38" i="4"/>
  <c r="M16" i="4"/>
  <c r="K16" i="4"/>
  <c r="M54" i="4"/>
  <c r="K54" i="4"/>
  <c r="M34" i="4"/>
  <c r="K34" i="4"/>
  <c r="M29" i="4"/>
  <c r="K29" i="4"/>
  <c r="M25" i="4"/>
  <c r="K25" i="4"/>
  <c r="M19" i="4"/>
  <c r="U19" i="4" s="1"/>
  <c r="K19" i="4"/>
  <c r="M48" i="4"/>
  <c r="U48" i="4" s="1"/>
  <c r="K48" i="4"/>
  <c r="M45" i="4"/>
  <c r="U45" i="4" s="1"/>
  <c r="K45" i="4"/>
  <c r="M53" i="4"/>
  <c r="U53" i="4" s="1"/>
  <c r="K53" i="4"/>
  <c r="M28" i="4"/>
  <c r="K28" i="4"/>
  <c r="M43" i="4"/>
  <c r="U43" i="4" s="1"/>
  <c r="K43" i="4"/>
  <c r="M31" i="4"/>
  <c r="U31" i="4" s="1"/>
  <c r="K31" i="4"/>
  <c r="M27" i="4"/>
  <c r="U27" i="4" s="1"/>
  <c r="K27" i="4"/>
  <c r="M23" i="4"/>
  <c r="U23" i="4" s="1"/>
  <c r="K23" i="4"/>
  <c r="M47" i="4"/>
  <c r="U47" i="4" s="1"/>
  <c r="K47" i="4"/>
  <c r="M51" i="4"/>
  <c r="U51" i="4" s="1"/>
  <c r="K51" i="4"/>
  <c r="M30" i="4"/>
  <c r="K30" i="4"/>
  <c r="M22" i="4"/>
  <c r="U22" i="4" s="1"/>
  <c r="K22" i="4"/>
  <c r="M18" i="4"/>
  <c r="K18" i="4"/>
  <c r="M55" i="4"/>
  <c r="K55" i="4"/>
  <c r="M39" i="4"/>
  <c r="K39" i="4"/>
  <c r="M52" i="4"/>
  <c r="K52" i="4"/>
  <c r="M41" i="4"/>
  <c r="U41" i="4" s="1"/>
  <c r="K41" i="4"/>
  <c r="M33" i="4"/>
  <c r="U33" i="4" s="1"/>
  <c r="K33" i="4"/>
  <c r="M36" i="4"/>
  <c r="K36" i="4"/>
  <c r="M26" i="4"/>
  <c r="K26" i="4"/>
  <c r="M49" i="4"/>
  <c r="K49" i="4"/>
  <c r="M40" i="4"/>
  <c r="K40" i="4"/>
  <c r="M21" i="4"/>
  <c r="U21" i="4" s="1"/>
  <c r="K21" i="4"/>
  <c r="M37" i="4"/>
  <c r="U37" i="4" s="1"/>
  <c r="K37" i="4"/>
  <c r="M46" i="4"/>
  <c r="K46" i="4"/>
  <c r="M32" i="4"/>
  <c r="U32" i="4" s="1"/>
  <c r="K32" i="4"/>
  <c r="M24" i="4"/>
  <c r="U24" i="4" s="1"/>
  <c r="K24" i="4"/>
  <c r="M20" i="4"/>
  <c r="U20" i="4" s="1"/>
  <c r="K20" i="4"/>
  <c r="M50" i="4"/>
  <c r="K50" i="4"/>
  <c r="M35" i="4"/>
  <c r="U35" i="4" s="1"/>
  <c r="K35" i="4"/>
  <c r="M42" i="4"/>
  <c r="K42" i="4"/>
  <c r="M44" i="4"/>
  <c r="K44" i="4"/>
  <c r="M17" i="4"/>
  <c r="U17" i="4" s="1"/>
  <c r="K17" i="4"/>
  <c r="M6" i="4"/>
  <c r="U6" i="4" s="1"/>
  <c r="K6" i="4"/>
  <c r="L6" i="4" s="1"/>
  <c r="M7" i="4"/>
  <c r="U7" i="4" s="1"/>
  <c r="K7" i="4"/>
  <c r="L7" i="4" s="1"/>
  <c r="M10" i="4"/>
  <c r="U10" i="4" s="1"/>
  <c r="K10" i="4"/>
  <c r="L10" i="4" s="1"/>
  <c r="M15" i="4"/>
  <c r="U15" i="4" s="1"/>
  <c r="K15" i="4"/>
  <c r="L15" i="4" s="1"/>
  <c r="M8" i="4"/>
  <c r="U8" i="4" s="1"/>
  <c r="K8" i="4"/>
  <c r="L8" i="4" s="1"/>
  <c r="M4" i="4"/>
  <c r="K4" i="4"/>
  <c r="L4" i="4" s="1"/>
  <c r="M9" i="4"/>
  <c r="U9" i="4" s="1"/>
  <c r="K9" i="4"/>
  <c r="L9" i="4" s="1"/>
  <c r="M13" i="4"/>
  <c r="U13" i="4" s="1"/>
  <c r="K13" i="4"/>
  <c r="L13" i="4" s="1"/>
  <c r="M12" i="4"/>
  <c r="U12" i="4" s="1"/>
  <c r="K12" i="4"/>
  <c r="L12" i="4" s="1"/>
  <c r="M5" i="4"/>
  <c r="U5" i="4" s="1"/>
  <c r="K5" i="4"/>
  <c r="L5" i="4" s="1"/>
  <c r="M14" i="4"/>
  <c r="U14" i="4" s="1"/>
  <c r="K14" i="4"/>
  <c r="L14" i="4" s="1"/>
  <c r="M11" i="4"/>
  <c r="U11" i="4" s="1"/>
  <c r="K11" i="4"/>
  <c r="L11" i="4" s="1"/>
  <c r="V41" i="4"/>
  <c r="V38" i="4"/>
  <c r="V30" i="4"/>
  <c r="V26" i="4"/>
  <c r="V16" i="4"/>
  <c r="V55" i="4"/>
  <c r="V19" i="4"/>
  <c r="V46" i="4"/>
  <c r="V28" i="4"/>
  <c r="V24" i="4"/>
  <c r="V20" i="4"/>
  <c r="V4" i="4"/>
  <c r="V12" i="4"/>
  <c r="V42" i="4"/>
  <c r="V27" i="4"/>
  <c r="V9" i="4"/>
  <c r="V14" i="4"/>
  <c r="V52" i="4"/>
  <c r="J38" i="2"/>
  <c r="V6" i="4"/>
  <c r="V7" i="4"/>
  <c r="V10" i="4"/>
  <c r="V15" i="4"/>
  <c r="V51" i="4"/>
  <c r="V36" i="4"/>
  <c r="V22" i="4"/>
  <c r="V18" i="4"/>
  <c r="V11" i="4"/>
  <c r="V29" i="4"/>
  <c r="V25" i="4"/>
  <c r="V21" i="4"/>
  <c r="V13" i="4"/>
  <c r="V3" i="4"/>
  <c r="V48" i="4"/>
  <c r="V53" i="4"/>
  <c r="V32" i="4"/>
  <c r="V8" i="4"/>
  <c r="V44" i="4"/>
  <c r="V23" i="4"/>
  <c r="V17" i="4"/>
  <c r="V5" i="4"/>
  <c r="S20" i="4"/>
  <c r="S17" i="4"/>
  <c r="S15" i="4"/>
  <c r="S11" i="4"/>
  <c r="S9" i="4"/>
  <c r="S8" i="4"/>
  <c r="S7" i="4"/>
  <c r="S14" i="4"/>
  <c r="S13" i="4"/>
  <c r="S21" i="4"/>
  <c r="S10" i="4"/>
  <c r="S48" i="4"/>
  <c r="S53" i="4"/>
  <c r="S32" i="4"/>
  <c r="S12" i="4"/>
  <c r="S35" i="4"/>
  <c r="S42" i="4"/>
  <c r="S27" i="4"/>
  <c r="S5" i="4"/>
  <c r="S24" i="4"/>
  <c r="S4" i="4"/>
  <c r="G1" i="2"/>
  <c r="B12" i="2" s="1"/>
  <c r="B50" i="2" s="1"/>
  <c r="B88" i="2" s="1"/>
  <c r="S3" i="4"/>
  <c r="S19" i="4"/>
  <c r="S33" i="4"/>
  <c r="S38" i="4"/>
  <c r="S30" i="4"/>
  <c r="S26" i="4"/>
  <c r="S18" i="4"/>
  <c r="S39" i="4"/>
  <c r="S49" i="4"/>
  <c r="S29" i="4"/>
  <c r="S25" i="4"/>
  <c r="S6" i="4"/>
  <c r="R21" i="4"/>
  <c r="T21" i="4"/>
  <c r="R7" i="4"/>
  <c r="T7" i="4"/>
  <c r="R10" i="4"/>
  <c r="T10" i="4"/>
  <c r="R48" i="4"/>
  <c r="T48" i="4"/>
  <c r="R45" i="4"/>
  <c r="T45" i="4"/>
  <c r="S45" i="4"/>
  <c r="S37" i="4"/>
  <c r="S46" i="4"/>
  <c r="R53" i="4"/>
  <c r="T53" i="4"/>
  <c r="R32" i="4"/>
  <c r="T32" i="4"/>
  <c r="S28" i="4"/>
  <c r="R20" i="4"/>
  <c r="T20" i="4"/>
  <c r="R8" i="4"/>
  <c r="T8" i="4"/>
  <c r="R12" i="4"/>
  <c r="T12" i="4"/>
  <c r="R50" i="4"/>
  <c r="U50" i="4"/>
  <c r="T50" i="4"/>
  <c r="S50" i="4"/>
  <c r="S43" i="4"/>
  <c r="T35" i="4"/>
  <c r="R35" i="4"/>
  <c r="R42" i="4"/>
  <c r="U42" i="4"/>
  <c r="T42" i="4"/>
  <c r="S44" i="4"/>
  <c r="R27" i="4"/>
  <c r="T27" i="4"/>
  <c r="R17" i="4"/>
  <c r="T17" i="4"/>
  <c r="R5" i="4"/>
  <c r="T5" i="4"/>
  <c r="R14" i="4"/>
  <c r="T14" i="4"/>
  <c r="R47" i="4"/>
  <c r="T47" i="4"/>
  <c r="T51" i="4"/>
  <c r="R51" i="4"/>
  <c r="R36" i="4"/>
  <c r="U36" i="4"/>
  <c r="T36" i="4"/>
  <c r="R22" i="4"/>
  <c r="T22" i="4"/>
  <c r="T11" i="4"/>
  <c r="R11" i="4"/>
  <c r="R16" i="4"/>
  <c r="U16" i="4"/>
  <c r="T16" i="4"/>
  <c r="R54" i="4"/>
  <c r="T54" i="4"/>
  <c r="U54" i="4"/>
  <c r="S54" i="4"/>
  <c r="R55" i="4"/>
  <c r="T55" i="4"/>
  <c r="U55" i="4"/>
  <c r="S55" i="4"/>
  <c r="R34" i="4"/>
  <c r="T34" i="4"/>
  <c r="U34" i="4"/>
  <c r="R40" i="4"/>
  <c r="U40" i="4"/>
  <c r="T40" i="4"/>
  <c r="S47" i="4"/>
  <c r="R52" i="4"/>
  <c r="U52" i="4"/>
  <c r="T52" i="4"/>
  <c r="S52" i="4"/>
  <c r="S51" i="4"/>
  <c r="R41" i="4"/>
  <c r="T41" i="4"/>
  <c r="S41" i="4"/>
  <c r="R33" i="4"/>
  <c r="T33" i="4"/>
  <c r="R38" i="4"/>
  <c r="U38" i="4"/>
  <c r="T38" i="4"/>
  <c r="S36" i="4"/>
  <c r="R30" i="4"/>
  <c r="U30" i="4"/>
  <c r="T30" i="4"/>
  <c r="R26" i="4"/>
  <c r="T26" i="4"/>
  <c r="U26" i="4"/>
  <c r="S22" i="4"/>
  <c r="R18" i="4"/>
  <c r="T18" i="4"/>
  <c r="U18" i="4"/>
  <c r="R6" i="4"/>
  <c r="T6" i="4"/>
  <c r="S16" i="4"/>
  <c r="R39" i="4"/>
  <c r="T39" i="4"/>
  <c r="U39" i="4"/>
  <c r="R49" i="4"/>
  <c r="U49" i="4"/>
  <c r="T49" i="4"/>
  <c r="S34" i="4"/>
  <c r="S40" i="4"/>
  <c r="R29" i="4"/>
  <c r="T29" i="4"/>
  <c r="U29" i="4"/>
  <c r="R25" i="4"/>
  <c r="U25" i="4"/>
  <c r="T25" i="4"/>
  <c r="R13" i="4"/>
  <c r="T13" i="4"/>
  <c r="T3" i="4"/>
  <c r="R3" i="4"/>
  <c r="T19" i="4"/>
  <c r="R19" i="4"/>
  <c r="R37" i="4"/>
  <c r="T37" i="4"/>
  <c r="R46" i="4"/>
  <c r="T46" i="4"/>
  <c r="U46" i="4"/>
  <c r="R28" i="4"/>
  <c r="U28" i="4"/>
  <c r="T28" i="4"/>
  <c r="R24" i="4"/>
  <c r="T24" i="4"/>
  <c r="T15" i="4"/>
  <c r="R15" i="4"/>
  <c r="R4" i="4"/>
  <c r="U4" i="4"/>
  <c r="T4" i="4"/>
  <c r="T43" i="4"/>
  <c r="R43" i="4"/>
  <c r="R44" i="4"/>
  <c r="U44" i="4"/>
  <c r="T44" i="4"/>
  <c r="T31" i="4"/>
  <c r="R31" i="4"/>
  <c r="S31" i="4"/>
  <c r="T23" i="4"/>
  <c r="R23" i="4"/>
  <c r="T9" i="4"/>
  <c r="R9" i="4"/>
  <c r="J37" i="2"/>
  <c r="J75" i="2" s="1"/>
  <c r="J113" i="2" s="1"/>
  <c r="J29" i="2"/>
  <c r="J67" i="2" s="1"/>
  <c r="J105" i="2" s="1"/>
  <c r="I56" i="4"/>
  <c r="H56" i="4"/>
  <c r="J56" i="4"/>
  <c r="M3" i="4"/>
  <c r="U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L56" i="4"/>
  <c r="Y3" i="4"/>
  <c r="Y2" i="4"/>
  <c r="Y4" i="4" s="1"/>
  <c r="M56" i="4"/>
</calcChain>
</file>

<file path=xl/sharedStrings.xml><?xml version="1.0" encoding="utf-8"?>
<sst xmlns="http://schemas.openxmlformats.org/spreadsheetml/2006/main" count="393" uniqueCount="250">
  <si>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</si>
  <si>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</si>
  <si>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</si>
  <si>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</si>
  <si>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</si>
  <si>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</si>
  <si>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</si>
  <si>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</si>
  <si>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</si>
  <si>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</si>
  <si>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</si>
  <si>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</si>
  <si>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</si>
  <si>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</si>
  <si>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</si>
  <si>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</si>
  <si>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</si>
  <si>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</si>
  <si>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</si>
  <si>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</si>
  <si>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</si>
  <si>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</si>
  <si>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</si>
  <si>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</si>
  <si>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</si>
  <si>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</si>
  <si>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</si>
  <si>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</si>
  <si>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</si>
  <si>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</si>
  <si>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</si>
  <si>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</si>
  <si>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</si>
  <si>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</si>
  <si>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</si>
  <si>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</si>
  <si>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</si>
  <si>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</si>
  <si>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</si>
  <si>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</si>
  <si>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</si>
  <si>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</si>
  <si>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</si>
  <si>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</si>
  <si>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</si>
  <si>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</si>
  <si>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</si>
  <si>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</si>
  <si>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</si>
  <si>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</si>
  <si>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</si>
  <si>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</si>
  <si>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</si>
  <si>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</si>
  <si>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</si>
  <si>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</si>
  <si>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</si>
  <si>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</si>
  <si>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</si>
  <si>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</si>
  <si>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</si>
  <si>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</si>
  <si>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</si>
  <si>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</si>
  <si>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</si>
  <si>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</si>
  <si>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</si>
  <si>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</si>
  <si>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</si>
  <si>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</si>
  <si>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</si>
  <si>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</si>
  <si>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</si>
  <si>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</si>
  <si>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</si>
  <si>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</si>
  <si>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</si>
  <si>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</si>
  <si>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</si>
  <si>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</si>
  <si>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</si>
  <si>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</si>
  <si>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</si>
  <si>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</si>
  <si>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</si>
  <si>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</si>
  <si>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</si>
  <si>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</si>
  <si>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</si>
  <si>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</si>
  <si>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</si>
  <si>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</si>
  <si>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</si>
  <si>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</si>
  <si>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</si>
  <si>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</si>
  <si>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</si>
  <si>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</si>
  <si>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</si>
  <si>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</si>
  <si>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</si>
  <si>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</si>
  <si>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</si>
  <si>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</si>
  <si>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</si>
  <si>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</si>
  <si>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</si>
  <si>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</si>
  <si>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</si>
  <si>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</si>
  <si>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</si>
  <si>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</si>
  <si>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</si>
  <si>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</si>
  <si>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</si>
  <si>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</si>
  <si>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</si>
  <si>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</si>
  <si>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</si>
  <si>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</si>
  <si>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</si>
  <si>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</si>
  <si>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</si>
  <si>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</si>
  <si>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</si>
  <si>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</si>
  <si>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</si>
  <si>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</si>
  <si>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</si>
  <si>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KO</t>
  </si>
  <si>
    <t>1417</t>
  </si>
  <si>
    <t>LSN</t>
  </si>
  <si>
    <t>ISIKENBESAR</t>
  </si>
  <si>
    <t>NOVI / CONDRO</t>
  </si>
  <si>
    <t>ISI CUTTER 18 MM KENKO L-150 (BESAR)</t>
  </si>
  <si>
    <t>ISI CUTTER 18 MM KENKO L-150 (BESAR)LSN64800</t>
  </si>
  <si>
    <t>G</t>
  </si>
  <si>
    <t>1435</t>
  </si>
  <si>
    <t>PENJKBP338</t>
  </si>
  <si>
    <t>BOX</t>
  </si>
  <si>
    <t>ISIKEN1210</t>
  </si>
  <si>
    <t>TIPKENKE01</t>
  </si>
  <si>
    <t>LEMKEN8GR</t>
  </si>
  <si>
    <t>PCS</t>
  </si>
  <si>
    <t>HIGHLIGHTER / STABILO KENKO HL-100 PINK</t>
  </si>
  <si>
    <t>HIGHLIGHTER / STABILO KENKO HL-100 HIJAU</t>
  </si>
  <si>
    <t>BALLPEN JOYKO BP-338 VOCUS HITAM</t>
  </si>
  <si>
    <t>ISI STAPLER (STAPLES) KENKO 1210 PREMIUM (23/10)</t>
  </si>
  <si>
    <t>CORRECTION FLUID KENKO KE-01</t>
  </si>
  <si>
    <t>LEM STICK KENKO 8 GR (KECIL) isi 30 pc</t>
  </si>
  <si>
    <t>BALLPEN JOYKO BP-338 VOCUS HITAMLSN12600</t>
  </si>
  <si>
    <t>CORRECTION FLUID KENKO KE-01LSN54300</t>
  </si>
  <si>
    <t>HIGHLIGHTER / STABILO KENKO HL-100 HIJAUPCS3050</t>
  </si>
  <si>
    <t>HIGHLIGHTER / STABILO KENKO HL-100 PINKPCS3050</t>
  </si>
  <si>
    <t>ISI STAPLER (STAPLES) KENKO 1210 PREMIUM (23/10)BOX4200</t>
  </si>
  <si>
    <t>LEM STICK KENKO 8 GR (KECIL) isi 30 pcBOX66000</t>
  </si>
  <si>
    <t>1458</t>
  </si>
  <si>
    <t>PENJKGP265</t>
  </si>
  <si>
    <t>STIJK40PUTIH</t>
  </si>
  <si>
    <t>GEL PEN JOYKO GP-265 Q-GEL</t>
  </si>
  <si>
    <t>STIP / PENGHAPUS JOYKO 526-B40P PUTIH</t>
  </si>
  <si>
    <t>GEL PEN JOYKO GP-265 Q-GELLSN28200</t>
  </si>
  <si>
    <t>1459</t>
  </si>
  <si>
    <t>TIPJKCT522</t>
  </si>
  <si>
    <t>OPJK24W</t>
  </si>
  <si>
    <t>CALJKCC800CH</t>
  </si>
  <si>
    <t>CRAYON / OIL PASTEL JOYKO OP-24S PP CASE SEA WORLD</t>
  </si>
  <si>
    <t>CORRECTION TAPE JOYKO CT-522</t>
  </si>
  <si>
    <t>CALCULATOR JOYKO CC-800CH</t>
  </si>
  <si>
    <t>CALCULATOR JOYKO CC-800CHPCS79000</t>
  </si>
  <si>
    <t>CORRECTION TAPE JOYKO CT-522PCS4800</t>
  </si>
  <si>
    <t>CRAYON / OIL PASTEL JOYKO OP-24S PP CASE SEA WORLDPCS29600</t>
  </si>
  <si>
    <t>STIP / PENGHAPUS JOYKO 526-B40P PUTIHBOX28300</t>
  </si>
  <si>
    <t>KO 1467</t>
  </si>
  <si>
    <t>GRS</t>
  </si>
  <si>
    <t>PENKEN6191</t>
  </si>
  <si>
    <t>PENSIL KENKO 2B-6191 HIJAU CAP HITAM</t>
  </si>
  <si>
    <t>PENSIL KENKO 2B-6191 HIJAU CAP HITAMGRS110400</t>
  </si>
  <si>
    <t>1474</t>
  </si>
  <si>
    <t>OPJK12W</t>
  </si>
  <si>
    <t>CRAYON / OIL PASTEL JOYKO OP-12S PP CASE SEA WORLD</t>
  </si>
  <si>
    <t>CRAYON / OIL PASTEL JOYKO OP-12S PP CASE SEA WORLDPCS11900</t>
  </si>
  <si>
    <t>ko</t>
  </si>
  <si>
    <t>1027</t>
  </si>
  <si>
    <t>lancar</t>
  </si>
  <si>
    <t>TIPJKCT507</t>
  </si>
  <si>
    <t>PWJK24WPANJANG</t>
  </si>
  <si>
    <t>PWJK12WPENDEK</t>
  </si>
  <si>
    <t>PWJK12WPANJANG</t>
  </si>
  <si>
    <t>STAJKHD50</t>
  </si>
  <si>
    <t>STIJK20PUTIH</t>
  </si>
  <si>
    <t>TIPJKCT508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</si>
  <si>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</si>
  <si>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</si>
  <si>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</si>
  <si>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</si>
  <si>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</si>
  <si>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</si>
  <si>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</si>
  <si>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CORRECTION TAPE JOYKO CT-507LSN55200</t>
  </si>
  <si>
    <t>CORRECTION TAPE JOYKO CT-508LSN54000</t>
  </si>
  <si>
    <t>PENSIL WARNA JOYKO CP-12PB (PANJANG)PCS10600</t>
  </si>
  <si>
    <t>PENSIL WARNA JOYKO CP-24PB (PANJANG)PCS21200</t>
  </si>
  <si>
    <t>PENSIL WARNA JOYKO CP-S12 MINI (PENDEK)PCS6700</t>
  </si>
  <si>
    <t>STAPLER JOYKO HD-50PCS18700</t>
  </si>
  <si>
    <t>STIP / PENGHAPUS JOYKO 526-B20 PUTIHBOX34100</t>
  </si>
  <si>
    <t>1482</t>
  </si>
  <si>
    <t>LS</t>
  </si>
  <si>
    <t>PENSIL WARNA KAYAGI KY-CP1224 TWIN</t>
  </si>
  <si>
    <t>HIGHLIGHTER / STABILLO TIZO TF-616 (isi 24 pc)</t>
  </si>
  <si>
    <t>HIGHLIGHTER / STABILLO TIZO TF-610 (isi 54 pc)</t>
  </si>
  <si>
    <t>GEL PEN TIZO TG30801-EL</t>
  </si>
  <si>
    <t>GEL PEN TIZO TG31590-EL</t>
  </si>
  <si>
    <t>GEL PEN TIZO TG31762-EL</t>
  </si>
  <si>
    <t>SET</t>
  </si>
  <si>
    <t>COLOR BRUSH PEN KENKO DBP-12 DUAL TIP  (12 WARNA)</t>
  </si>
  <si>
    <t>TAPE DISPENSER POLAR BEAR MN-305 @12pc</t>
  </si>
  <si>
    <t>2944</t>
  </si>
  <si>
    <t>COLOR BRUSH PEN KENKO DBP-12 DUAL TIP  (12 WARNA)SET25000</t>
  </si>
  <si>
    <t>GEL PEN TIZO TG30801-ELLS18500</t>
  </si>
  <si>
    <t>GEL PEN TIZO TG31590-ELLS18500</t>
  </si>
  <si>
    <t>GEL PEN TIZO TG31762-ELLS18500</t>
  </si>
  <si>
    <t>HIGHLIGHTER / STABILLO TIZO TF-610 (isi 54 pc)BOX122000</t>
  </si>
  <si>
    <t>HIGHLIGHTER / STABILLO TIZO TF-616 (isi 24 pc)BOX57000</t>
  </si>
  <si>
    <t>PENSIL WARNA KAYAGI KY-CP1224 TWINLS149000</t>
  </si>
  <si>
    <t>TAPE DISPENSER POLAR BEAR MN-305 @12pcBOX105000</t>
  </si>
  <si>
    <t>RISMA / YO</t>
  </si>
  <si>
    <t>4010</t>
  </si>
  <si>
    <t>PENCIL CASE 22 x 7.5 MAGNET C-1758</t>
  </si>
  <si>
    <t>NOVI / YO</t>
  </si>
  <si>
    <t>PENCIL CASE 22 x 7.5 MAGNET C-1758LS150000</t>
  </si>
  <si>
    <t>AAAAAAAA</t>
  </si>
  <si>
    <t>2945</t>
  </si>
  <si>
    <t>dwijaya</t>
  </si>
  <si>
    <t>TIPKENCT606</t>
  </si>
  <si>
    <t>CORRECTION TAPE KENKO CT-606 (6M x 5MM)</t>
  </si>
  <si>
    <t>PUNKEN40</t>
  </si>
  <si>
    <t>PUNCH KENKO NO. 40</t>
  </si>
  <si>
    <t>CORRECTION TAPE KENKO CT-606 (6M x 5MM)LSN58800</t>
  </si>
  <si>
    <t>PUNCH KENKO NO. 40LSN282000</t>
  </si>
  <si>
    <t>1463</t>
  </si>
  <si>
    <t>ISOKENTD321</t>
  </si>
  <si>
    <t>TAPE DISPENSER KENKO TD-321 (1" &amp; 3" CORE)</t>
  </si>
  <si>
    <t>RISMA / CONDRO</t>
  </si>
  <si>
    <t>TAPE DISPENSER KENKO TD-321 (1" &amp; 3" CORE)PCS18500</t>
  </si>
  <si>
    <t>1464</t>
  </si>
  <si>
    <t>STAJKHL100</t>
  </si>
  <si>
    <t>HIGHLIGHTER / STABILLO JOYKO HL MIX (kuning, hijau)</t>
  </si>
  <si>
    <t>HIGHLIGHTER / STABILLO JOYKO HL MIX (kuning, hijau)PCS3700</t>
  </si>
  <si>
    <t>DPP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</si>
</sst>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Normal" xfId="0" builtinId="0"/>
    <cellStyle name="Normal 2" xfId="1"/>
  </cellStyles>
  <dxfs count="110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9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>
        <row r="1">
          <cell r="D1"/>
          <cell r="J1"/>
        </row>
        <row r="2">
          <cell r="D2" t="str">
            <v>AM</v>
          </cell>
          <cell r="E2">
            <v>23040001</v>
          </cell>
          <cell r="J2"/>
          <cell r="K2"/>
        </row>
        <row r="3">
          <cell r="D3"/>
          <cell r="E3"/>
          <cell r="J3"/>
          <cell r="K3"/>
        </row>
        <row r="4">
          <cell r="D4">
            <v>45021</v>
          </cell>
          <cell r="E4"/>
          <cell r="J4"/>
          <cell r="K4"/>
        </row>
        <row r="5">
          <cell r="D5"/>
          <cell r="E5"/>
          <cell r="J5"/>
          <cell r="K5"/>
        </row>
        <row r="6">
          <cell r="D6" t="str">
            <v>KO 1417</v>
          </cell>
          <cell r="E6"/>
          <cell r="J6"/>
          <cell r="K6"/>
        </row>
        <row r="7">
          <cell r="D7"/>
          <cell r="J7"/>
          <cell r="K7"/>
        </row>
        <row r="8">
          <cell r="D8" t="str">
            <v>C</v>
          </cell>
          <cell r="E8"/>
          <cell r="J8" t="str">
            <v>Disc 2</v>
          </cell>
          <cell r="K8" t="str">
            <v>Amount</v>
          </cell>
        </row>
        <row r="9">
          <cell r="D9"/>
          <cell r="E9"/>
          <cell r="J9"/>
          <cell r="K9"/>
        </row>
        <row r="10">
          <cell r="D10">
            <v>2</v>
          </cell>
          <cell r="E10" t="str">
            <v>ISI CUTTER 18 MM KENKO L-150 (BESAR)</v>
          </cell>
          <cell r="J10"/>
          <cell r="K10">
            <v>6726240</v>
          </cell>
        </row>
        <row r="11">
          <cell r="D11"/>
          <cell r="E11"/>
          <cell r="J11"/>
          <cell r="K11">
            <v>0</v>
          </cell>
        </row>
        <row r="12">
          <cell r="D12"/>
          <cell r="E12"/>
          <cell r="J12"/>
          <cell r="K12">
            <v>0</v>
          </cell>
        </row>
        <row r="13">
          <cell r="D13"/>
          <cell r="E13"/>
          <cell r="J13"/>
          <cell r="K13">
            <v>0</v>
          </cell>
        </row>
        <row r="14">
          <cell r="D14"/>
          <cell r="E14"/>
          <cell r="J14"/>
          <cell r="K14">
            <v>0</v>
          </cell>
        </row>
        <row r="15">
          <cell r="D15"/>
          <cell r="E15"/>
          <cell r="J15"/>
          <cell r="K15">
            <v>0</v>
          </cell>
        </row>
        <row r="16">
          <cell r="D16"/>
          <cell r="E16"/>
          <cell r="J16"/>
          <cell r="K16">
            <v>0</v>
          </cell>
        </row>
        <row r="17">
          <cell r="D17"/>
          <cell r="E17"/>
          <cell r="J17"/>
          <cell r="K17">
            <v>0</v>
          </cell>
        </row>
        <row r="18">
          <cell r="D18"/>
          <cell r="E18"/>
          <cell r="J18"/>
          <cell r="K18">
            <v>0</v>
          </cell>
        </row>
        <row r="19">
          <cell r="D19"/>
          <cell r="E19"/>
          <cell r="J19"/>
          <cell r="K19">
            <v>0</v>
          </cell>
        </row>
        <row r="20">
          <cell r="D20"/>
          <cell r="E20"/>
          <cell r="J20"/>
          <cell r="K20">
            <v>0</v>
          </cell>
        </row>
        <row r="21">
          <cell r="D21"/>
          <cell r="E21"/>
          <cell r="J21"/>
          <cell r="K21">
            <v>0</v>
          </cell>
        </row>
        <row r="22">
          <cell r="D22"/>
          <cell r="E22"/>
          <cell r="J22"/>
          <cell r="K22">
            <v>0</v>
          </cell>
        </row>
        <row r="23">
          <cell r="D23"/>
          <cell r="E23"/>
          <cell r="J23"/>
          <cell r="K23">
            <v>0</v>
          </cell>
        </row>
        <row r="24">
          <cell r="D24"/>
          <cell r="E24"/>
          <cell r="J24"/>
          <cell r="K24">
            <v>0</v>
          </cell>
        </row>
        <row r="25">
          <cell r="D25"/>
          <cell r="E25"/>
          <cell r="J25"/>
          <cell r="K25">
            <v>0</v>
          </cell>
        </row>
        <row r="26">
          <cell r="D26"/>
          <cell r="E26"/>
          <cell r="J26"/>
          <cell r="K26"/>
        </row>
        <row r="27">
          <cell r="D27"/>
          <cell r="E27"/>
          <cell r="J27"/>
          <cell r="K27"/>
        </row>
        <row r="28">
          <cell r="D28"/>
          <cell r="J28">
            <v>6726240</v>
          </cell>
          <cell r="K28"/>
        </row>
        <row r="29">
          <cell r="D29"/>
          <cell r="J29"/>
          <cell r="K29"/>
        </row>
        <row r="30">
          <cell r="D30"/>
          <cell r="J30"/>
          <cell r="K30">
            <v>0</v>
          </cell>
        </row>
        <row r="31">
          <cell r="D31"/>
          <cell r="J31"/>
          <cell r="K31"/>
        </row>
        <row r="32">
          <cell r="D32"/>
          <cell r="E32" t="str">
            <v>Hormat Kami,</v>
          </cell>
          <cell r="J32">
            <v>666564.32432432426</v>
          </cell>
          <cell r="K32"/>
        </row>
        <row r="33">
          <cell r="D33"/>
          <cell r="J33"/>
          <cell r="K33"/>
        </row>
        <row r="34">
          <cell r="D34"/>
          <cell r="E34"/>
          <cell r="J34"/>
          <cell r="K34">
            <v>6726240</v>
          </cell>
        </row>
        <row r="35">
          <cell r="D35"/>
          <cell r="E35"/>
          <cell r="J35"/>
          <cell r="K35"/>
        </row>
        <row r="36">
          <cell r="D36"/>
          <cell r="J36" t="str">
            <v>NOVI / CONDRO</v>
          </cell>
          <cell r="K36"/>
        </row>
        <row r="37">
          <cell r="D37"/>
          <cell r="J37"/>
          <cell r="K37"/>
        </row>
        <row r="38">
          <cell r="D38"/>
          <cell r="J38"/>
          <cell r="K38"/>
        </row>
        <row r="39">
          <cell r="D39"/>
          <cell r="E39"/>
          <cell r="J39"/>
          <cell r="K39"/>
        </row>
        <row r="40">
          <cell r="D40" t="str">
            <v>AM</v>
          </cell>
          <cell r="E40">
            <v>23040001</v>
          </cell>
          <cell r="J40"/>
          <cell r="K40"/>
        </row>
        <row r="41">
          <cell r="D41"/>
          <cell r="E41"/>
          <cell r="J41"/>
          <cell r="K41"/>
        </row>
        <row r="42">
          <cell r="D42">
            <v>45021</v>
          </cell>
          <cell r="E42"/>
          <cell r="J42"/>
          <cell r="K42"/>
        </row>
        <row r="43">
          <cell r="D43"/>
          <cell r="E43"/>
          <cell r="J43"/>
          <cell r="K43"/>
        </row>
        <row r="44">
          <cell r="D44" t="str">
            <v>KO 1417</v>
          </cell>
          <cell r="E44"/>
          <cell r="J44"/>
          <cell r="K44"/>
        </row>
        <row r="45">
          <cell r="D45"/>
          <cell r="E45"/>
          <cell r="J45"/>
          <cell r="K45"/>
        </row>
        <row r="46">
          <cell r="D46" t="str">
            <v>C</v>
          </cell>
          <cell r="E46"/>
          <cell r="J46" t="str">
            <v>Disc 2</v>
          </cell>
          <cell r="K46" t="str">
            <v>Amount</v>
          </cell>
        </row>
        <row r="47">
          <cell r="D47"/>
          <cell r="E47"/>
          <cell r="J47"/>
          <cell r="K47"/>
        </row>
        <row r="48">
          <cell r="D48">
            <v>2</v>
          </cell>
          <cell r="E48" t="str">
            <v>ISI CUTTER 18 MM KENKO L-150 (BESAR)</v>
          </cell>
          <cell r="J48">
            <v>0</v>
          </cell>
          <cell r="K48">
            <v>6726240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4">
          <cell r="D64"/>
          <cell r="E64"/>
          <cell r="J64"/>
          <cell r="K64"/>
        </row>
        <row r="65">
          <cell r="D65"/>
          <cell r="E65"/>
          <cell r="J65"/>
          <cell r="K65"/>
        </row>
        <row r="66">
          <cell r="D66"/>
          <cell r="E66"/>
          <cell r="J66">
            <v>6726240</v>
          </cell>
          <cell r="K66"/>
        </row>
        <row r="67">
          <cell r="D67"/>
          <cell r="E67"/>
          <cell r="J67"/>
          <cell r="K67"/>
        </row>
        <row r="68">
          <cell r="D68"/>
          <cell r="E68"/>
          <cell r="J68">
            <v>0</v>
          </cell>
          <cell r="K68">
            <v>0</v>
          </cell>
        </row>
        <row r="69">
          <cell r="D69"/>
          <cell r="E69"/>
          <cell r="J69"/>
          <cell r="K69"/>
        </row>
        <row r="70">
          <cell r="D70"/>
          <cell r="E70" t="str">
            <v>Hormat Kami,</v>
          </cell>
          <cell r="J70">
            <v>666564.32432432426</v>
          </cell>
          <cell r="K70"/>
        </row>
        <row r="71">
          <cell r="D71"/>
          <cell r="E71"/>
          <cell r="J71"/>
          <cell r="K71"/>
        </row>
        <row r="72">
          <cell r="D72"/>
          <cell r="E72"/>
          <cell r="J72"/>
          <cell r="K72">
            <v>6726240</v>
          </cell>
        </row>
        <row r="73">
          <cell r="D73"/>
          <cell r="E73"/>
          <cell r="J73"/>
          <cell r="K73"/>
        </row>
        <row r="74">
          <cell r="D74"/>
          <cell r="E74"/>
          <cell r="J74" t="str">
            <v>NOVI / CONDRO</v>
          </cell>
          <cell r="K74"/>
        </row>
        <row r="75">
          <cell r="D75"/>
          <cell r="E75"/>
          <cell r="J75">
            <v>0</v>
          </cell>
          <cell r="K75"/>
        </row>
        <row r="76">
          <cell r="D76"/>
          <cell r="E76"/>
          <cell r="J76"/>
          <cell r="K76"/>
        </row>
        <row r="77">
          <cell r="D77"/>
          <cell r="E77"/>
          <cell r="J77"/>
          <cell r="K77"/>
        </row>
        <row r="78">
          <cell r="D78" t="str">
            <v>AM</v>
          </cell>
          <cell r="E78">
            <v>23040001</v>
          </cell>
          <cell r="J78"/>
          <cell r="K78"/>
        </row>
        <row r="79">
          <cell r="D79"/>
          <cell r="E79"/>
          <cell r="J79"/>
          <cell r="K79"/>
        </row>
        <row r="80">
          <cell r="D80">
            <v>45021</v>
          </cell>
          <cell r="E80"/>
          <cell r="J80"/>
          <cell r="K80"/>
        </row>
        <row r="81">
          <cell r="D81"/>
          <cell r="E81"/>
          <cell r="J81"/>
          <cell r="K81"/>
        </row>
        <row r="82">
          <cell r="D82" t="str">
            <v>KO 1417</v>
          </cell>
          <cell r="E82"/>
          <cell r="J82"/>
          <cell r="K82"/>
        </row>
        <row r="83">
          <cell r="D83"/>
          <cell r="E83"/>
          <cell r="J83"/>
          <cell r="K83"/>
        </row>
        <row r="84">
          <cell r="D84" t="str">
            <v>C</v>
          </cell>
          <cell r="E84"/>
          <cell r="J84" t="str">
            <v>Disc 2</v>
          </cell>
          <cell r="K84" t="str">
            <v>Amount</v>
          </cell>
        </row>
        <row r="85">
          <cell r="D85"/>
          <cell r="E85"/>
          <cell r="J85"/>
          <cell r="K85"/>
        </row>
        <row r="86">
          <cell r="D86">
            <v>2</v>
          </cell>
          <cell r="E86" t="str">
            <v>ISI CUTTER 18 MM KENKO L-150 (BESAR)</v>
          </cell>
          <cell r="J86">
            <v>0</v>
          </cell>
          <cell r="K86">
            <v>6726240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2">
          <cell r="D102"/>
          <cell r="E102"/>
          <cell r="J102"/>
          <cell r="K102"/>
        </row>
        <row r="103">
          <cell r="D103"/>
          <cell r="E103"/>
          <cell r="J103"/>
          <cell r="K103"/>
        </row>
        <row r="104">
          <cell r="D104"/>
          <cell r="E104"/>
          <cell r="J104">
            <v>6726240</v>
          </cell>
          <cell r="K104"/>
        </row>
        <row r="105">
          <cell r="D105"/>
          <cell r="E105"/>
          <cell r="J105"/>
          <cell r="K105"/>
        </row>
        <row r="106">
          <cell r="D106"/>
          <cell r="E106"/>
          <cell r="J106">
            <v>0</v>
          </cell>
          <cell r="K106">
            <v>0</v>
          </cell>
        </row>
        <row r="107">
          <cell r="D107"/>
          <cell r="E107"/>
          <cell r="J107"/>
          <cell r="K107"/>
        </row>
        <row r="108">
          <cell r="D108"/>
          <cell r="E108" t="str">
            <v>Hormat Kami,</v>
          </cell>
          <cell r="J108">
            <v>666564.32432432426</v>
          </cell>
          <cell r="K108"/>
        </row>
        <row r="109">
          <cell r="D109"/>
          <cell r="E109"/>
          <cell r="J109"/>
          <cell r="K109"/>
        </row>
        <row r="110">
          <cell r="D110"/>
          <cell r="E110"/>
          <cell r="J110"/>
          <cell r="K110">
            <v>6726240</v>
          </cell>
        </row>
        <row r="111">
          <cell r="D111"/>
          <cell r="E111"/>
          <cell r="J111"/>
          <cell r="K111"/>
        </row>
        <row r="112">
          <cell r="D112"/>
          <cell r="E112"/>
          <cell r="J112" t="str">
            <v>NOVI / CONDRO</v>
          </cell>
          <cell r="K112"/>
        </row>
        <row r="113">
          <cell r="D113"/>
          <cell r="E113"/>
          <cell r="J113">
            <v>0</v>
          </cell>
          <cell r="K113"/>
        </row>
        <row r="114">
          <cell r="D114"/>
          <cell r="E114"/>
          <cell r="J114"/>
          <cell r="K114"/>
        </row>
        <row r="115">
          <cell r="D115"/>
          <cell r="J115"/>
        </row>
        <row r="116">
          <cell r="D116" t="str">
            <v>AM</v>
          </cell>
          <cell r="E116">
            <v>23040002</v>
          </cell>
          <cell r="J116"/>
          <cell r="K116"/>
        </row>
        <row r="117">
          <cell r="D117"/>
          <cell r="E117"/>
          <cell r="J117"/>
          <cell r="K117"/>
        </row>
        <row r="118">
          <cell r="D118">
            <v>45024</v>
          </cell>
          <cell r="E118"/>
          <cell r="J118"/>
          <cell r="K118"/>
        </row>
        <row r="119">
          <cell r="D119"/>
          <cell r="E119"/>
          <cell r="J119"/>
          <cell r="K119"/>
        </row>
        <row r="120">
          <cell r="D120" t="str">
            <v>KO 1435</v>
          </cell>
          <cell r="E120"/>
          <cell r="J120"/>
          <cell r="K120"/>
        </row>
        <row r="121">
          <cell r="D121"/>
          <cell r="J121"/>
          <cell r="K121"/>
        </row>
        <row r="122">
          <cell r="D122" t="str">
            <v>C</v>
          </cell>
          <cell r="E122"/>
          <cell r="J122" t="str">
            <v>Disc 2</v>
          </cell>
          <cell r="K122" t="str">
            <v>Amount</v>
          </cell>
        </row>
        <row r="123">
          <cell r="D123"/>
          <cell r="E123"/>
          <cell r="J123"/>
          <cell r="K123"/>
        </row>
        <row r="124">
          <cell r="D124">
            <v>1</v>
          </cell>
          <cell r="E124" t="str">
            <v>BALLPEN JOYKO BP-338 VOCUS HITAM</v>
          </cell>
          <cell r="J124"/>
          <cell r="K124">
            <v>1569456</v>
          </cell>
        </row>
        <row r="125">
          <cell r="D125">
            <v>4</v>
          </cell>
          <cell r="E125" t="str">
            <v>ISI STAPLER (STAPLES) KENKO 1210 PREMIUM (23/10)</v>
          </cell>
          <cell r="J125"/>
          <cell r="K125">
            <v>2906400</v>
          </cell>
        </row>
        <row r="126">
          <cell r="D126">
            <v>3</v>
          </cell>
          <cell r="E126" t="str">
            <v>CORRECTION FLUID KENKO KE-01</v>
          </cell>
          <cell r="J126"/>
          <cell r="K126">
            <v>10145412</v>
          </cell>
        </row>
        <row r="127">
          <cell r="D127">
            <v>1</v>
          </cell>
          <cell r="E127" t="str">
            <v>LEM STICK KENKO 8 GR (KECIL) isi 30 pc</v>
          </cell>
          <cell r="J127"/>
          <cell r="K127">
            <v>2055240</v>
          </cell>
        </row>
        <row r="128">
          <cell r="D128">
            <v>1</v>
          </cell>
          <cell r="E128" t="str">
            <v>HIGHLIGHTER / STABILO KENKO HL-100 PINK</v>
          </cell>
          <cell r="J128"/>
          <cell r="K128">
            <v>1266360</v>
          </cell>
        </row>
        <row r="129">
          <cell r="D129">
            <v>1</v>
          </cell>
          <cell r="E129" t="str">
            <v>HIGHLIGHTER / STABILO KENKO HL-100 HIJAU</v>
          </cell>
          <cell r="J129"/>
          <cell r="K129">
            <v>1266360</v>
          </cell>
        </row>
        <row r="130">
          <cell r="D130"/>
          <cell r="E130"/>
          <cell r="J130"/>
          <cell r="K130">
            <v>0</v>
          </cell>
        </row>
        <row r="131">
          <cell r="D131"/>
          <cell r="E131"/>
          <cell r="J131"/>
          <cell r="K131">
            <v>0</v>
          </cell>
        </row>
        <row r="132">
          <cell r="D132"/>
          <cell r="E132"/>
          <cell r="J132"/>
          <cell r="K132">
            <v>0</v>
          </cell>
        </row>
        <row r="133">
          <cell r="D133"/>
          <cell r="E133"/>
          <cell r="J133"/>
          <cell r="K133">
            <v>0</v>
          </cell>
        </row>
        <row r="134">
          <cell r="D134"/>
          <cell r="E134"/>
          <cell r="J134"/>
          <cell r="K134">
            <v>0</v>
          </cell>
        </row>
        <row r="135">
          <cell r="D135"/>
          <cell r="E135"/>
          <cell r="J135"/>
          <cell r="K135">
            <v>0</v>
          </cell>
        </row>
        <row r="136">
          <cell r="D136"/>
          <cell r="E136"/>
          <cell r="J136"/>
          <cell r="K136">
            <v>0</v>
          </cell>
        </row>
        <row r="137">
          <cell r="D137"/>
          <cell r="E137"/>
          <cell r="J137"/>
          <cell r="K137">
            <v>0</v>
          </cell>
        </row>
        <row r="138">
          <cell r="D138"/>
          <cell r="E138"/>
          <cell r="J138"/>
          <cell r="K138">
            <v>0</v>
          </cell>
        </row>
        <row r="139">
          <cell r="D139"/>
          <cell r="E139"/>
          <cell r="J139"/>
          <cell r="K139">
            <v>0</v>
          </cell>
        </row>
        <row r="140">
          <cell r="D140"/>
          <cell r="E140"/>
          <cell r="J140"/>
          <cell r="K140"/>
        </row>
        <row r="141">
          <cell r="D141"/>
          <cell r="E141"/>
          <cell r="J141"/>
          <cell r="K141"/>
        </row>
        <row r="142">
          <cell r="D142"/>
          <cell r="J142">
            <v>19209228</v>
          </cell>
          <cell r="K142"/>
        </row>
        <row r="143">
          <cell r="D143"/>
          <cell r="J143"/>
          <cell r="K143"/>
        </row>
        <row r="144">
          <cell r="D144"/>
          <cell r="J144"/>
          <cell r="K144">
            <v>0</v>
          </cell>
        </row>
        <row r="145">
          <cell r="D145"/>
          <cell r="J145"/>
          <cell r="K145"/>
        </row>
        <row r="146">
          <cell r="D146"/>
          <cell r="E146" t="str">
            <v>Hormat Kami,</v>
          </cell>
          <cell r="J146">
            <v>1903617.1891891889</v>
          </cell>
          <cell r="K146"/>
        </row>
        <row r="147">
          <cell r="D147"/>
          <cell r="J147"/>
          <cell r="K147"/>
        </row>
        <row r="148">
          <cell r="D148"/>
          <cell r="E148"/>
          <cell r="J148"/>
          <cell r="K148">
            <v>19209228</v>
          </cell>
        </row>
        <row r="149">
          <cell r="D149"/>
          <cell r="E149"/>
          <cell r="J149"/>
          <cell r="K149"/>
        </row>
        <row r="150">
          <cell r="D150"/>
          <cell r="J150" t="str">
            <v>NOVI / CONDRO</v>
          </cell>
          <cell r="K150"/>
        </row>
        <row r="151">
          <cell r="D151"/>
          <cell r="J151"/>
          <cell r="K151"/>
        </row>
        <row r="152">
          <cell r="D152"/>
          <cell r="J152"/>
          <cell r="K152"/>
        </row>
        <row r="153">
          <cell r="D153"/>
          <cell r="E153"/>
          <cell r="J153"/>
          <cell r="K153"/>
        </row>
        <row r="154">
          <cell r="D154" t="str">
            <v>AM</v>
          </cell>
          <cell r="E154">
            <v>23040002</v>
          </cell>
          <cell r="J154"/>
          <cell r="K154"/>
        </row>
        <row r="155">
          <cell r="D155"/>
          <cell r="E155"/>
          <cell r="J155"/>
          <cell r="K155"/>
        </row>
        <row r="156">
          <cell r="D156">
            <v>45024</v>
          </cell>
          <cell r="E156"/>
          <cell r="J156"/>
          <cell r="K156"/>
        </row>
        <row r="157">
          <cell r="D157"/>
          <cell r="E157"/>
          <cell r="J157"/>
          <cell r="K157"/>
        </row>
        <row r="158">
          <cell r="D158" t="str">
            <v>KO 1435</v>
          </cell>
          <cell r="E158"/>
          <cell r="J158"/>
          <cell r="K158"/>
        </row>
        <row r="159">
          <cell r="D159"/>
          <cell r="E159"/>
          <cell r="J159"/>
          <cell r="K159"/>
        </row>
        <row r="160">
          <cell r="D160" t="str">
            <v>C</v>
          </cell>
          <cell r="E160"/>
          <cell r="J160" t="str">
            <v>Disc 2</v>
          </cell>
          <cell r="K160" t="str">
            <v>Amount</v>
          </cell>
        </row>
        <row r="161">
          <cell r="D161"/>
          <cell r="E161"/>
          <cell r="J161"/>
          <cell r="K161"/>
        </row>
        <row r="162">
          <cell r="D162">
            <v>1</v>
          </cell>
          <cell r="E162" t="str">
            <v>BALLPEN JOYKO BP-338 VOCUS HITAM</v>
          </cell>
          <cell r="J162">
            <v>0</v>
          </cell>
          <cell r="K162">
            <v>1569456</v>
          </cell>
        </row>
        <row r="163">
          <cell r="D163">
            <v>4</v>
          </cell>
          <cell r="E163" t="str">
            <v>ISI STAPLER (STAPLES) KENKO 1210 PREMIUM (23/10)</v>
          </cell>
          <cell r="J163">
            <v>0</v>
          </cell>
          <cell r="K163">
            <v>2906400</v>
          </cell>
        </row>
        <row r="164">
          <cell r="D164">
            <v>3</v>
          </cell>
          <cell r="E164" t="str">
            <v>CORRECTION FLUID KENKO KE-01</v>
          </cell>
          <cell r="J164">
            <v>0</v>
          </cell>
          <cell r="K164">
            <v>10145412</v>
          </cell>
        </row>
        <row r="165">
          <cell r="D165">
            <v>1</v>
          </cell>
          <cell r="E165" t="str">
            <v>LEM STICK KENKO 8 GR (KECIL) isi 30 pc</v>
          </cell>
          <cell r="J165">
            <v>0</v>
          </cell>
          <cell r="K165">
            <v>2055240</v>
          </cell>
        </row>
        <row r="166">
          <cell r="D166">
            <v>1</v>
          </cell>
          <cell r="E166" t="str">
            <v>HIGHLIGHTER / STABILO KENKO HL-100 PINK</v>
          </cell>
          <cell r="J166">
            <v>0</v>
          </cell>
          <cell r="K166">
            <v>1266360</v>
          </cell>
        </row>
        <row r="167">
          <cell r="D167">
            <v>1</v>
          </cell>
          <cell r="E167" t="str">
            <v>HIGHLIGHTER / STABILO KENKO HL-100 HIJAU</v>
          </cell>
          <cell r="J167">
            <v>0</v>
          </cell>
          <cell r="K167">
            <v>1266360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78">
          <cell r="D178"/>
          <cell r="E178"/>
          <cell r="J178"/>
          <cell r="K178"/>
        </row>
        <row r="179">
          <cell r="D179"/>
          <cell r="E179"/>
          <cell r="J179"/>
          <cell r="K179"/>
        </row>
        <row r="180">
          <cell r="D180"/>
          <cell r="E180"/>
          <cell r="J180">
            <v>19209228</v>
          </cell>
          <cell r="K180"/>
        </row>
        <row r="181">
          <cell r="D181"/>
          <cell r="E181"/>
          <cell r="J181"/>
          <cell r="K181"/>
        </row>
        <row r="182">
          <cell r="D182"/>
          <cell r="E182"/>
          <cell r="J182">
            <v>0</v>
          </cell>
          <cell r="K182">
            <v>0</v>
          </cell>
        </row>
        <row r="183">
          <cell r="D183"/>
          <cell r="E183"/>
          <cell r="J183"/>
          <cell r="K183"/>
        </row>
        <row r="184">
          <cell r="D184"/>
          <cell r="E184" t="str">
            <v>Hormat Kami,</v>
          </cell>
          <cell r="J184">
            <v>1903617.1891891889</v>
          </cell>
          <cell r="K184"/>
        </row>
        <row r="185">
          <cell r="D185"/>
          <cell r="E185"/>
          <cell r="J185"/>
          <cell r="K185"/>
        </row>
        <row r="186">
          <cell r="D186"/>
          <cell r="E186"/>
          <cell r="J186"/>
          <cell r="K186">
            <v>19209228</v>
          </cell>
        </row>
        <row r="187">
          <cell r="D187"/>
          <cell r="E187"/>
          <cell r="J187"/>
          <cell r="K187"/>
        </row>
        <row r="188">
          <cell r="D188"/>
          <cell r="E188"/>
          <cell r="J188" t="str">
            <v>NOVI / CONDRO</v>
          </cell>
          <cell r="K188"/>
        </row>
        <row r="189">
          <cell r="D189"/>
          <cell r="E189"/>
          <cell r="J189">
            <v>0</v>
          </cell>
          <cell r="K189"/>
        </row>
        <row r="190">
          <cell r="D190"/>
          <cell r="E190"/>
          <cell r="J190"/>
          <cell r="K190"/>
        </row>
        <row r="191">
          <cell r="D191"/>
          <cell r="E191"/>
          <cell r="J191"/>
          <cell r="K191"/>
        </row>
        <row r="192">
          <cell r="D192" t="str">
            <v>AM</v>
          </cell>
          <cell r="E192">
            <v>23040002</v>
          </cell>
          <cell r="J192"/>
          <cell r="K192"/>
        </row>
        <row r="193">
          <cell r="D193"/>
          <cell r="E193"/>
          <cell r="J193"/>
          <cell r="K193"/>
        </row>
        <row r="194">
          <cell r="D194">
            <v>45024</v>
          </cell>
          <cell r="E194"/>
          <cell r="J194"/>
          <cell r="K194"/>
        </row>
        <row r="195">
          <cell r="D195"/>
          <cell r="E195"/>
          <cell r="J195"/>
          <cell r="K195"/>
        </row>
        <row r="196">
          <cell r="D196" t="str">
            <v>KO 1435</v>
          </cell>
          <cell r="E196"/>
          <cell r="J196"/>
          <cell r="K196"/>
        </row>
        <row r="197">
          <cell r="D197"/>
          <cell r="E197"/>
          <cell r="J197"/>
          <cell r="K197"/>
        </row>
        <row r="198">
          <cell r="D198" t="str">
            <v>C</v>
          </cell>
          <cell r="E198"/>
          <cell r="J198" t="str">
            <v>Disc 2</v>
          </cell>
          <cell r="K198" t="str">
            <v>Amount</v>
          </cell>
        </row>
        <row r="199">
          <cell r="D199"/>
          <cell r="E199"/>
          <cell r="J199"/>
          <cell r="K199"/>
        </row>
        <row r="200">
          <cell r="D200">
            <v>1</v>
          </cell>
          <cell r="E200" t="str">
            <v>BALLPEN JOYKO BP-338 VOCUS HITAM</v>
          </cell>
          <cell r="J200">
            <v>0</v>
          </cell>
          <cell r="K200">
            <v>1569456</v>
          </cell>
        </row>
        <row r="201">
          <cell r="D201">
            <v>4</v>
          </cell>
          <cell r="E201" t="str">
            <v>ISI STAPLER (STAPLES) KENKO 1210 PREMIUM (23/10)</v>
          </cell>
          <cell r="J201">
            <v>0</v>
          </cell>
          <cell r="K201">
            <v>2906400</v>
          </cell>
        </row>
        <row r="202">
          <cell r="D202">
            <v>3</v>
          </cell>
          <cell r="E202" t="str">
            <v>CORRECTION FLUID KENKO KE-01</v>
          </cell>
          <cell r="J202">
            <v>0</v>
          </cell>
          <cell r="K202">
            <v>10145412</v>
          </cell>
        </row>
        <row r="203">
          <cell r="D203">
            <v>1</v>
          </cell>
          <cell r="E203" t="str">
            <v>LEM STICK KENKO 8 GR (KECIL) isi 30 pc</v>
          </cell>
          <cell r="J203">
            <v>0</v>
          </cell>
          <cell r="K203">
            <v>2055240</v>
          </cell>
        </row>
        <row r="204">
          <cell r="D204">
            <v>1</v>
          </cell>
          <cell r="E204" t="str">
            <v>HIGHLIGHTER / STABILO KENKO HL-100 PINK</v>
          </cell>
          <cell r="J204">
            <v>0</v>
          </cell>
          <cell r="K204">
            <v>1266360</v>
          </cell>
        </row>
        <row r="205">
          <cell r="D205">
            <v>1</v>
          </cell>
          <cell r="E205" t="str">
            <v>HIGHLIGHTER / STABILO KENKO HL-100 HIJAU</v>
          </cell>
          <cell r="J205">
            <v>0</v>
          </cell>
          <cell r="K205">
            <v>1266360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6">
          <cell r="D216"/>
          <cell r="E216"/>
          <cell r="J216"/>
          <cell r="K216"/>
        </row>
        <row r="217">
          <cell r="D217"/>
          <cell r="E217"/>
          <cell r="J217"/>
          <cell r="K217"/>
        </row>
        <row r="218">
          <cell r="D218"/>
          <cell r="E218"/>
          <cell r="J218">
            <v>19209228</v>
          </cell>
          <cell r="K218"/>
        </row>
        <row r="219">
          <cell r="D219"/>
          <cell r="E219"/>
          <cell r="J219"/>
          <cell r="K219"/>
        </row>
        <row r="220">
          <cell r="D220"/>
          <cell r="E220"/>
          <cell r="J220">
            <v>0</v>
          </cell>
          <cell r="K220">
            <v>0</v>
          </cell>
        </row>
        <row r="221">
          <cell r="D221"/>
          <cell r="E221"/>
          <cell r="J221"/>
          <cell r="K221"/>
        </row>
        <row r="222">
          <cell r="D222"/>
          <cell r="E222" t="str">
            <v>Hormat Kami,</v>
          </cell>
          <cell r="J222">
            <v>1903617.1891891889</v>
          </cell>
          <cell r="K222"/>
        </row>
        <row r="223">
          <cell r="D223"/>
          <cell r="E223"/>
          <cell r="J223"/>
          <cell r="K223"/>
        </row>
        <row r="224">
          <cell r="D224"/>
          <cell r="E224"/>
          <cell r="J224"/>
          <cell r="K224">
            <v>19209228</v>
          </cell>
        </row>
        <row r="225">
          <cell r="D225"/>
          <cell r="E225"/>
          <cell r="J225"/>
          <cell r="K225"/>
        </row>
        <row r="226">
          <cell r="D226"/>
          <cell r="E226"/>
          <cell r="J226" t="str">
            <v>NOVI / CONDRO</v>
          </cell>
          <cell r="K226"/>
        </row>
        <row r="227">
          <cell r="D227"/>
          <cell r="E227"/>
          <cell r="J227">
            <v>0</v>
          </cell>
          <cell r="K227"/>
        </row>
        <row r="228">
          <cell r="D228"/>
          <cell r="E228"/>
          <cell r="J228"/>
          <cell r="K228"/>
        </row>
        <row r="229">
          <cell r="D229"/>
          <cell r="J229"/>
        </row>
        <row r="230">
          <cell r="D230" t="str">
            <v>AM</v>
          </cell>
          <cell r="E230">
            <v>23040003</v>
          </cell>
          <cell r="J230"/>
          <cell r="K230"/>
        </row>
        <row r="231">
          <cell r="D231"/>
          <cell r="E231"/>
          <cell r="J231"/>
          <cell r="K231"/>
        </row>
        <row r="232">
          <cell r="D232">
            <v>45024</v>
          </cell>
          <cell r="E232"/>
          <cell r="J232"/>
          <cell r="K232"/>
        </row>
        <row r="233">
          <cell r="D233"/>
          <cell r="E233"/>
          <cell r="J233"/>
          <cell r="K233"/>
        </row>
        <row r="234">
          <cell r="D234" t="str">
            <v>KO 1458</v>
          </cell>
          <cell r="E234"/>
          <cell r="J234"/>
          <cell r="K234"/>
        </row>
        <row r="235">
          <cell r="D235"/>
          <cell r="J235"/>
          <cell r="K235"/>
        </row>
        <row r="236">
          <cell r="D236" t="str">
            <v>C</v>
          </cell>
          <cell r="E236"/>
          <cell r="J236" t="str">
            <v>Disc 2</v>
          </cell>
          <cell r="K236" t="str">
            <v>Amount</v>
          </cell>
        </row>
        <row r="237">
          <cell r="D237"/>
          <cell r="E237"/>
          <cell r="J237"/>
          <cell r="K237"/>
        </row>
        <row r="238">
          <cell r="D238">
            <v>1</v>
          </cell>
          <cell r="E238" t="str">
            <v>GEL PEN JOYKO GP-265 Q-GEL</v>
          </cell>
          <cell r="J238"/>
          <cell r="K238">
            <v>3512592</v>
          </cell>
        </row>
        <row r="239">
          <cell r="D239">
            <v>1</v>
          </cell>
          <cell r="E239" t="str">
            <v>STIP / PENGHAPUS JOYKO 526-B40P PUTIH</v>
          </cell>
          <cell r="J239"/>
          <cell r="K239">
            <v>1223975</v>
          </cell>
        </row>
        <row r="240">
          <cell r="D240"/>
          <cell r="E240"/>
          <cell r="J240"/>
          <cell r="K240">
            <v>0</v>
          </cell>
        </row>
        <row r="241">
          <cell r="D241"/>
          <cell r="E241"/>
          <cell r="J241"/>
          <cell r="K241">
            <v>0</v>
          </cell>
        </row>
        <row r="242">
          <cell r="D242"/>
          <cell r="E242"/>
          <cell r="J242"/>
          <cell r="K242">
            <v>0</v>
          </cell>
        </row>
        <row r="243">
          <cell r="D243"/>
          <cell r="E243"/>
          <cell r="J243"/>
          <cell r="K243">
            <v>0</v>
          </cell>
        </row>
        <row r="244">
          <cell r="D244"/>
          <cell r="E244"/>
          <cell r="J244"/>
          <cell r="K244">
            <v>0</v>
          </cell>
        </row>
        <row r="245">
          <cell r="D245"/>
          <cell r="E245"/>
          <cell r="J245"/>
          <cell r="K245">
            <v>0</v>
          </cell>
        </row>
        <row r="246">
          <cell r="D246"/>
          <cell r="E246"/>
          <cell r="J246"/>
          <cell r="K246">
            <v>0</v>
          </cell>
        </row>
        <row r="247">
          <cell r="D247"/>
          <cell r="E247"/>
          <cell r="J247"/>
          <cell r="K247">
            <v>0</v>
          </cell>
        </row>
        <row r="248">
          <cell r="D248"/>
          <cell r="E248"/>
          <cell r="J248"/>
          <cell r="K248">
            <v>0</v>
          </cell>
        </row>
        <row r="249">
          <cell r="D249"/>
          <cell r="E249"/>
          <cell r="J249"/>
          <cell r="K249">
            <v>0</v>
          </cell>
        </row>
        <row r="250">
          <cell r="D250"/>
          <cell r="E250"/>
          <cell r="J250"/>
          <cell r="K250">
            <v>0</v>
          </cell>
        </row>
        <row r="251">
          <cell r="D251"/>
          <cell r="E251"/>
          <cell r="J251"/>
          <cell r="K251">
            <v>0</v>
          </cell>
        </row>
        <row r="252">
          <cell r="D252"/>
          <cell r="E252"/>
          <cell r="J252"/>
          <cell r="K252">
            <v>0</v>
          </cell>
        </row>
        <row r="253">
          <cell r="D253"/>
          <cell r="E253"/>
          <cell r="J253"/>
          <cell r="K253">
            <v>0</v>
          </cell>
        </row>
        <row r="254">
          <cell r="D254"/>
          <cell r="E254"/>
          <cell r="J254"/>
          <cell r="K254"/>
        </row>
        <row r="255">
          <cell r="D255"/>
          <cell r="E255"/>
          <cell r="J255"/>
          <cell r="K255"/>
        </row>
        <row r="256">
          <cell r="D256"/>
          <cell r="J256">
            <v>4736567</v>
          </cell>
          <cell r="K256"/>
        </row>
        <row r="257">
          <cell r="D257"/>
          <cell r="J257"/>
          <cell r="K257"/>
        </row>
        <row r="258">
          <cell r="D258"/>
          <cell r="J258"/>
          <cell r="K258">
            <v>0</v>
          </cell>
        </row>
        <row r="259">
          <cell r="D259"/>
          <cell r="J259"/>
          <cell r="K259"/>
        </row>
        <row r="260">
          <cell r="D260"/>
          <cell r="E260" t="str">
            <v>Hormat Kami,</v>
          </cell>
          <cell r="J260">
            <v>469389.52252252249</v>
          </cell>
          <cell r="K260"/>
        </row>
        <row r="261">
          <cell r="D261"/>
          <cell r="J261"/>
          <cell r="K261"/>
        </row>
        <row r="262">
          <cell r="D262"/>
          <cell r="E262"/>
          <cell r="J262"/>
          <cell r="K262">
            <v>4736567</v>
          </cell>
        </row>
        <row r="263">
          <cell r="D263"/>
          <cell r="E263"/>
          <cell r="J263"/>
          <cell r="K263"/>
        </row>
        <row r="264">
          <cell r="D264"/>
          <cell r="J264" t="str">
            <v>NOVI / CONDRO</v>
          </cell>
          <cell r="K264"/>
        </row>
        <row r="265">
          <cell r="D265"/>
          <cell r="J265"/>
          <cell r="K265"/>
        </row>
        <row r="266">
          <cell r="D266"/>
          <cell r="J266"/>
          <cell r="K266"/>
        </row>
        <row r="267">
          <cell r="D267"/>
          <cell r="E267"/>
          <cell r="J267"/>
          <cell r="K267"/>
        </row>
        <row r="268">
          <cell r="D268" t="str">
            <v>AM</v>
          </cell>
          <cell r="E268">
            <v>23040003</v>
          </cell>
          <cell r="J268"/>
          <cell r="K268"/>
        </row>
        <row r="269">
          <cell r="D269"/>
          <cell r="E269"/>
          <cell r="J269"/>
          <cell r="K269"/>
        </row>
        <row r="270">
          <cell r="D270">
            <v>45024</v>
          </cell>
          <cell r="E270"/>
          <cell r="J270"/>
          <cell r="K270"/>
        </row>
        <row r="271">
          <cell r="D271"/>
          <cell r="E271"/>
          <cell r="J271"/>
          <cell r="K271"/>
        </row>
        <row r="272">
          <cell r="D272" t="str">
            <v>KO 1458</v>
          </cell>
          <cell r="E272"/>
          <cell r="J272"/>
          <cell r="K272"/>
        </row>
        <row r="273">
          <cell r="D273"/>
          <cell r="E273"/>
          <cell r="J273"/>
          <cell r="K273"/>
        </row>
        <row r="274">
          <cell r="D274" t="str">
            <v>C</v>
          </cell>
          <cell r="E274"/>
          <cell r="J274" t="str">
            <v>Disc 2</v>
          </cell>
          <cell r="K274" t="str">
            <v>Amount</v>
          </cell>
        </row>
        <row r="275">
          <cell r="D275"/>
          <cell r="E275"/>
          <cell r="J275"/>
          <cell r="K275"/>
        </row>
        <row r="276">
          <cell r="D276">
            <v>1</v>
          </cell>
          <cell r="E276" t="str">
            <v>GEL PEN JOYKO GP-265 Q-GEL</v>
          </cell>
          <cell r="J276">
            <v>0</v>
          </cell>
          <cell r="K276">
            <v>3512592</v>
          </cell>
        </row>
        <row r="277">
          <cell r="D277">
            <v>1</v>
          </cell>
          <cell r="E277" t="str">
            <v>STIP / PENGHAPUS JOYKO 526-B40P PUTIH</v>
          </cell>
          <cell r="J277">
            <v>0</v>
          </cell>
          <cell r="K277">
            <v>1223975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2">
          <cell r="D292"/>
          <cell r="E292"/>
          <cell r="J292"/>
          <cell r="K292"/>
        </row>
        <row r="293">
          <cell r="D293"/>
          <cell r="E293"/>
          <cell r="J293"/>
          <cell r="K293"/>
        </row>
        <row r="294">
          <cell r="D294"/>
          <cell r="E294"/>
          <cell r="J294">
            <v>4736567</v>
          </cell>
          <cell r="K294"/>
        </row>
        <row r="295">
          <cell r="D295"/>
          <cell r="E295"/>
          <cell r="J295"/>
          <cell r="K295"/>
        </row>
        <row r="296">
          <cell r="D296"/>
          <cell r="E296"/>
          <cell r="J296">
            <v>0</v>
          </cell>
          <cell r="K296">
            <v>0</v>
          </cell>
        </row>
        <row r="297">
          <cell r="D297"/>
          <cell r="E297"/>
          <cell r="J297"/>
          <cell r="K297"/>
        </row>
        <row r="298">
          <cell r="D298"/>
          <cell r="E298" t="str">
            <v>Hormat Kami,</v>
          </cell>
          <cell r="J298">
            <v>469389.52252252249</v>
          </cell>
          <cell r="K298"/>
        </row>
        <row r="299">
          <cell r="D299"/>
          <cell r="E299"/>
          <cell r="J299"/>
          <cell r="K299"/>
        </row>
        <row r="300">
          <cell r="D300"/>
          <cell r="E300"/>
          <cell r="J300"/>
          <cell r="K300">
            <v>4736567</v>
          </cell>
        </row>
        <row r="301">
          <cell r="D301"/>
          <cell r="E301"/>
          <cell r="J301"/>
          <cell r="K301"/>
        </row>
        <row r="302">
          <cell r="D302"/>
          <cell r="E302"/>
          <cell r="J302" t="str">
            <v>NOVI / CONDRO</v>
          </cell>
          <cell r="K302"/>
        </row>
        <row r="303">
          <cell r="D303"/>
          <cell r="E303"/>
          <cell r="J303">
            <v>0</v>
          </cell>
          <cell r="K303"/>
        </row>
        <row r="304">
          <cell r="D304"/>
          <cell r="E304"/>
          <cell r="J304"/>
          <cell r="K304"/>
        </row>
        <row r="305">
          <cell r="D305"/>
          <cell r="E305"/>
          <cell r="J305"/>
          <cell r="K305"/>
        </row>
        <row r="306">
          <cell r="D306" t="str">
            <v>AM</v>
          </cell>
          <cell r="E306">
            <v>23040003</v>
          </cell>
          <cell r="J306"/>
          <cell r="K306"/>
        </row>
        <row r="307">
          <cell r="D307"/>
          <cell r="E307"/>
          <cell r="J307"/>
          <cell r="K307"/>
        </row>
        <row r="308">
          <cell r="D308">
            <v>45024</v>
          </cell>
          <cell r="E308"/>
          <cell r="J308"/>
          <cell r="K308"/>
        </row>
        <row r="309">
          <cell r="D309"/>
          <cell r="E309"/>
          <cell r="J309"/>
          <cell r="K309"/>
        </row>
        <row r="310">
          <cell r="D310" t="str">
            <v>KO 1458</v>
          </cell>
          <cell r="E310"/>
          <cell r="J310"/>
          <cell r="K310"/>
        </row>
        <row r="311">
          <cell r="D311"/>
          <cell r="E311"/>
          <cell r="J311"/>
          <cell r="K311"/>
        </row>
        <row r="312">
          <cell r="D312" t="str">
            <v>C</v>
          </cell>
          <cell r="E312"/>
          <cell r="J312" t="str">
            <v>Disc 2</v>
          </cell>
          <cell r="K312" t="str">
            <v>Amount</v>
          </cell>
        </row>
        <row r="313">
          <cell r="D313"/>
          <cell r="E313"/>
          <cell r="J313"/>
          <cell r="K313"/>
        </row>
        <row r="314">
          <cell r="D314">
            <v>1</v>
          </cell>
          <cell r="E314" t="str">
            <v>GEL PEN JOYKO GP-265 Q-GEL</v>
          </cell>
          <cell r="J314">
            <v>0</v>
          </cell>
          <cell r="K314">
            <v>3512592</v>
          </cell>
        </row>
        <row r="315">
          <cell r="D315">
            <v>1</v>
          </cell>
          <cell r="E315" t="str">
            <v>STIP / PENGHAPUS JOYKO 526-B40P PUTIH</v>
          </cell>
          <cell r="J315">
            <v>0</v>
          </cell>
          <cell r="K315">
            <v>1223975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0">
          <cell r="D330"/>
          <cell r="E330"/>
          <cell r="J330"/>
          <cell r="K330"/>
        </row>
        <row r="331">
          <cell r="D331"/>
          <cell r="E331"/>
          <cell r="J331"/>
          <cell r="K331"/>
        </row>
        <row r="332">
          <cell r="D332"/>
          <cell r="E332"/>
          <cell r="J332">
            <v>4736567</v>
          </cell>
          <cell r="K332"/>
        </row>
        <row r="333">
          <cell r="D333"/>
          <cell r="E333"/>
          <cell r="J333"/>
          <cell r="K333"/>
        </row>
        <row r="334">
          <cell r="D334"/>
          <cell r="E334"/>
          <cell r="J334">
            <v>0</v>
          </cell>
          <cell r="K334">
            <v>0</v>
          </cell>
        </row>
        <row r="335">
          <cell r="D335"/>
          <cell r="E335"/>
          <cell r="J335"/>
          <cell r="K335"/>
        </row>
        <row r="336">
          <cell r="D336"/>
          <cell r="E336" t="str">
            <v>Hormat Kami,</v>
          </cell>
          <cell r="J336">
            <v>469389.52252252249</v>
          </cell>
          <cell r="K336"/>
        </row>
        <row r="337">
          <cell r="D337"/>
          <cell r="E337"/>
          <cell r="J337"/>
          <cell r="K337"/>
        </row>
        <row r="338">
          <cell r="D338"/>
          <cell r="E338"/>
          <cell r="J338"/>
          <cell r="K338">
            <v>4736567</v>
          </cell>
        </row>
        <row r="339">
          <cell r="D339"/>
          <cell r="E339"/>
          <cell r="J339"/>
          <cell r="K339"/>
        </row>
        <row r="340">
          <cell r="D340"/>
          <cell r="E340"/>
          <cell r="J340" t="str">
            <v>NOVI / CONDRO</v>
          </cell>
          <cell r="K340"/>
        </row>
        <row r="341">
          <cell r="D341"/>
          <cell r="E341"/>
          <cell r="J341">
            <v>0</v>
          </cell>
          <cell r="K341"/>
        </row>
        <row r="342">
          <cell r="D342"/>
          <cell r="E342"/>
          <cell r="J342"/>
          <cell r="K342"/>
        </row>
        <row r="343">
          <cell r="D343"/>
          <cell r="J343"/>
        </row>
        <row r="344">
          <cell r="D344" t="str">
            <v>AM</v>
          </cell>
          <cell r="E344">
            <v>23040004</v>
          </cell>
          <cell r="J344"/>
          <cell r="K344"/>
        </row>
        <row r="345">
          <cell r="D345"/>
          <cell r="E345"/>
          <cell r="J345"/>
          <cell r="K345"/>
        </row>
        <row r="346">
          <cell r="D346">
            <v>45024</v>
          </cell>
          <cell r="E346"/>
          <cell r="J346"/>
          <cell r="K346"/>
        </row>
        <row r="347">
          <cell r="D347"/>
          <cell r="E347"/>
          <cell r="J347"/>
          <cell r="K347"/>
        </row>
        <row r="348">
          <cell r="D348" t="str">
            <v>G 1459</v>
          </cell>
          <cell r="E348"/>
          <cell r="J348"/>
          <cell r="K348"/>
        </row>
        <row r="349">
          <cell r="D349"/>
          <cell r="J349"/>
          <cell r="K349"/>
        </row>
        <row r="350">
          <cell r="D350" t="str">
            <v>C</v>
          </cell>
          <cell r="E350"/>
          <cell r="J350" t="str">
            <v>Disc 2</v>
          </cell>
          <cell r="K350" t="str">
            <v>Amount</v>
          </cell>
        </row>
        <row r="351">
          <cell r="D351"/>
          <cell r="E351"/>
          <cell r="J351"/>
          <cell r="K351"/>
        </row>
        <row r="352">
          <cell r="D352">
            <v>5</v>
          </cell>
          <cell r="E352" t="str">
            <v>CRAYON / OIL PASTEL JOYKO OP-24S PP CASE SEA WORLD</v>
          </cell>
          <cell r="J352">
            <v>0.03</v>
          </cell>
          <cell r="K352">
            <v>6029520</v>
          </cell>
        </row>
        <row r="353">
          <cell r="D353">
            <v>1</v>
          </cell>
          <cell r="E353" t="str">
            <v>CORRECTION TAPE JOYKO CT-522</v>
          </cell>
          <cell r="J353"/>
          <cell r="K353">
            <v>3024000</v>
          </cell>
        </row>
        <row r="354">
          <cell r="D354">
            <v>1</v>
          </cell>
          <cell r="E354" t="str">
            <v>CALCULATOR JOYKO CC-800CH</v>
          </cell>
          <cell r="J354">
            <v>0.05</v>
          </cell>
          <cell r="K354">
            <v>3940125</v>
          </cell>
        </row>
        <row r="355">
          <cell r="D355"/>
          <cell r="E355"/>
          <cell r="J355"/>
          <cell r="K355">
            <v>0</v>
          </cell>
        </row>
        <row r="356">
          <cell r="D356"/>
          <cell r="E356"/>
          <cell r="J356"/>
          <cell r="K356">
            <v>0</v>
          </cell>
        </row>
        <row r="357">
          <cell r="D357"/>
          <cell r="E357"/>
          <cell r="J357"/>
          <cell r="K357">
            <v>0</v>
          </cell>
        </row>
        <row r="358">
          <cell r="D358"/>
          <cell r="E358"/>
          <cell r="J358"/>
          <cell r="K358">
            <v>0</v>
          </cell>
        </row>
        <row r="359">
          <cell r="D359"/>
          <cell r="E359"/>
          <cell r="J359"/>
          <cell r="K359">
            <v>0</v>
          </cell>
        </row>
        <row r="360">
          <cell r="D360"/>
          <cell r="E360"/>
          <cell r="J360"/>
          <cell r="K360">
            <v>0</v>
          </cell>
        </row>
        <row r="361">
          <cell r="D361"/>
          <cell r="E361"/>
          <cell r="J361"/>
          <cell r="K361">
            <v>0</v>
          </cell>
        </row>
        <row r="362">
          <cell r="D362"/>
          <cell r="E362"/>
          <cell r="J362"/>
          <cell r="K362">
            <v>0</v>
          </cell>
        </row>
        <row r="363">
          <cell r="D363"/>
          <cell r="E363"/>
          <cell r="J363"/>
          <cell r="K363">
            <v>0</v>
          </cell>
        </row>
        <row r="364">
          <cell r="D364"/>
          <cell r="E364"/>
          <cell r="J364"/>
          <cell r="K364">
            <v>0</v>
          </cell>
        </row>
        <row r="365">
          <cell r="D365"/>
          <cell r="E365"/>
          <cell r="J365"/>
          <cell r="K365">
            <v>0</v>
          </cell>
        </row>
        <row r="366">
          <cell r="D366"/>
          <cell r="E366"/>
          <cell r="J366"/>
          <cell r="K366">
            <v>0</v>
          </cell>
        </row>
        <row r="367">
          <cell r="D367"/>
          <cell r="E367"/>
          <cell r="J367"/>
          <cell r="K367">
            <v>0</v>
          </cell>
        </row>
        <row r="368">
          <cell r="D368"/>
          <cell r="E368"/>
          <cell r="J368"/>
          <cell r="K368"/>
        </row>
        <row r="369">
          <cell r="D369"/>
          <cell r="E369"/>
          <cell r="J369"/>
          <cell r="K369"/>
        </row>
        <row r="370">
          <cell r="D370"/>
          <cell r="J370">
            <v>12993645</v>
          </cell>
          <cell r="K370"/>
        </row>
        <row r="371">
          <cell r="D371"/>
          <cell r="J371"/>
          <cell r="K371"/>
        </row>
        <row r="372">
          <cell r="D372"/>
          <cell r="J372"/>
          <cell r="K372">
            <v>0</v>
          </cell>
        </row>
        <row r="373">
          <cell r="D373"/>
          <cell r="J373"/>
          <cell r="K373"/>
        </row>
        <row r="374">
          <cell r="D374"/>
          <cell r="E374" t="str">
            <v>Hormat Kami,</v>
          </cell>
          <cell r="J374">
            <v>1287658.5135135134</v>
          </cell>
          <cell r="K374"/>
        </row>
        <row r="375">
          <cell r="D375"/>
          <cell r="J375"/>
          <cell r="K375"/>
        </row>
        <row r="376">
          <cell r="D376"/>
          <cell r="E376"/>
          <cell r="J376"/>
          <cell r="K376">
            <v>12993645</v>
          </cell>
        </row>
        <row r="377">
          <cell r="D377"/>
          <cell r="E377"/>
          <cell r="J377"/>
          <cell r="K377"/>
        </row>
        <row r="378">
          <cell r="D378"/>
          <cell r="J378" t="str">
            <v>NOVI / CONDRO</v>
          </cell>
          <cell r="K378"/>
        </row>
        <row r="379">
          <cell r="D379"/>
          <cell r="J379"/>
          <cell r="K379"/>
        </row>
        <row r="380">
          <cell r="D380"/>
          <cell r="J380"/>
          <cell r="K380"/>
        </row>
        <row r="381">
          <cell r="D381"/>
          <cell r="E381"/>
          <cell r="J381"/>
          <cell r="K381"/>
        </row>
        <row r="382">
          <cell r="D382" t="str">
            <v>AM</v>
          </cell>
          <cell r="E382">
            <v>23040004</v>
          </cell>
          <cell r="J382"/>
          <cell r="K382"/>
        </row>
        <row r="383">
          <cell r="D383"/>
          <cell r="E383"/>
          <cell r="J383"/>
          <cell r="K383"/>
        </row>
        <row r="384">
          <cell r="D384">
            <v>45024</v>
          </cell>
          <cell r="E384"/>
          <cell r="J384"/>
          <cell r="K384"/>
        </row>
        <row r="385">
          <cell r="D385"/>
          <cell r="E385"/>
          <cell r="J385"/>
          <cell r="K385"/>
        </row>
        <row r="386">
          <cell r="D386" t="str">
            <v>G 1459</v>
          </cell>
          <cell r="E386"/>
          <cell r="J386"/>
          <cell r="K386"/>
        </row>
        <row r="387">
          <cell r="D387"/>
          <cell r="E387"/>
          <cell r="J387"/>
          <cell r="K387"/>
        </row>
        <row r="388">
          <cell r="D388" t="str">
            <v>C</v>
          </cell>
          <cell r="E388"/>
          <cell r="J388" t="str">
            <v>Disc 2</v>
          </cell>
          <cell r="K388" t="str">
            <v>Amount</v>
          </cell>
        </row>
        <row r="389">
          <cell r="D389"/>
          <cell r="E389"/>
          <cell r="J389"/>
          <cell r="K389"/>
        </row>
        <row r="390">
          <cell r="D390">
            <v>5</v>
          </cell>
          <cell r="E390" t="str">
            <v>CRAYON / OIL PASTEL JOYKO OP-24S PP CASE SEA WORLD</v>
          </cell>
          <cell r="J390">
            <v>0.03</v>
          </cell>
          <cell r="K390">
            <v>6029520</v>
          </cell>
        </row>
        <row r="391">
          <cell r="D391">
            <v>1</v>
          </cell>
          <cell r="E391" t="str">
            <v>CORRECTION TAPE JOYKO CT-522</v>
          </cell>
          <cell r="J391">
            <v>0</v>
          </cell>
          <cell r="K391">
            <v>3024000</v>
          </cell>
        </row>
        <row r="392">
          <cell r="D392">
            <v>1</v>
          </cell>
          <cell r="E392" t="str">
            <v>CALCULATOR JOYKO CC-800CH</v>
          </cell>
          <cell r="J392">
            <v>0.05</v>
          </cell>
          <cell r="K392">
            <v>3940125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6">
          <cell r="D406"/>
          <cell r="E406"/>
          <cell r="J406"/>
          <cell r="K406"/>
        </row>
        <row r="407">
          <cell r="D407"/>
          <cell r="E407"/>
          <cell r="J407"/>
          <cell r="K407"/>
        </row>
        <row r="408">
          <cell r="D408"/>
          <cell r="E408"/>
          <cell r="J408">
            <v>12993645</v>
          </cell>
          <cell r="K408"/>
        </row>
        <row r="409">
          <cell r="D409"/>
          <cell r="E409"/>
          <cell r="J409"/>
          <cell r="K409"/>
        </row>
        <row r="410">
          <cell r="D410"/>
          <cell r="E410"/>
          <cell r="J410">
            <v>0</v>
          </cell>
          <cell r="K410">
            <v>0</v>
          </cell>
        </row>
        <row r="411">
          <cell r="D411"/>
          <cell r="E411"/>
          <cell r="J411"/>
          <cell r="K411"/>
        </row>
        <row r="412">
          <cell r="D412"/>
          <cell r="E412" t="str">
            <v>Hormat Kami,</v>
          </cell>
          <cell r="J412">
            <v>1287658.5135135134</v>
          </cell>
          <cell r="K412"/>
        </row>
        <row r="413">
          <cell r="D413"/>
          <cell r="E413"/>
          <cell r="J413"/>
          <cell r="K413"/>
        </row>
        <row r="414">
          <cell r="D414"/>
          <cell r="E414"/>
          <cell r="J414"/>
          <cell r="K414">
            <v>12993645</v>
          </cell>
        </row>
        <row r="415">
          <cell r="D415"/>
          <cell r="E415"/>
          <cell r="J415"/>
          <cell r="K415"/>
        </row>
        <row r="416">
          <cell r="D416"/>
          <cell r="E416"/>
          <cell r="J416" t="str">
            <v>NOVI / CONDRO</v>
          </cell>
          <cell r="K416"/>
        </row>
        <row r="417">
          <cell r="D417"/>
          <cell r="E417"/>
          <cell r="J417">
            <v>0</v>
          </cell>
          <cell r="K417"/>
        </row>
        <row r="418">
          <cell r="D418"/>
          <cell r="E418"/>
          <cell r="J418"/>
          <cell r="K418"/>
        </row>
        <row r="419">
          <cell r="D419"/>
          <cell r="E419"/>
          <cell r="J419"/>
          <cell r="K419"/>
        </row>
        <row r="420">
          <cell r="D420" t="str">
            <v>AM</v>
          </cell>
          <cell r="E420">
            <v>23040004</v>
          </cell>
          <cell r="J420"/>
          <cell r="K420"/>
        </row>
        <row r="421">
          <cell r="D421"/>
          <cell r="E421"/>
          <cell r="J421"/>
          <cell r="K421"/>
        </row>
        <row r="422">
          <cell r="D422">
            <v>45024</v>
          </cell>
          <cell r="E422"/>
          <cell r="J422"/>
          <cell r="K422"/>
        </row>
        <row r="423">
          <cell r="D423"/>
          <cell r="E423"/>
          <cell r="J423"/>
          <cell r="K423"/>
        </row>
        <row r="424">
          <cell r="D424" t="str">
            <v>G 1459</v>
          </cell>
          <cell r="E424"/>
          <cell r="J424"/>
          <cell r="K424"/>
        </row>
        <row r="425">
          <cell r="D425"/>
          <cell r="E425"/>
          <cell r="J425"/>
          <cell r="K425"/>
        </row>
        <row r="426">
          <cell r="D426" t="str">
            <v>C</v>
          </cell>
          <cell r="E426"/>
          <cell r="J426" t="str">
            <v>Disc 2</v>
          </cell>
          <cell r="K426" t="str">
            <v>Amount</v>
          </cell>
        </row>
        <row r="427">
          <cell r="D427"/>
          <cell r="E427"/>
          <cell r="J427"/>
          <cell r="K427"/>
        </row>
        <row r="428">
          <cell r="D428">
            <v>5</v>
          </cell>
          <cell r="E428" t="str">
            <v>CRAYON / OIL PASTEL JOYKO OP-24S PP CASE SEA WORLD</v>
          </cell>
          <cell r="J428">
            <v>0.03</v>
          </cell>
          <cell r="K428">
            <v>6029520</v>
          </cell>
        </row>
        <row r="429">
          <cell r="D429">
            <v>1</v>
          </cell>
          <cell r="E429" t="str">
            <v>CORRECTION TAPE JOYKO CT-522</v>
          </cell>
          <cell r="J429">
            <v>0</v>
          </cell>
          <cell r="K429">
            <v>3024000</v>
          </cell>
        </row>
        <row r="430">
          <cell r="D430">
            <v>1</v>
          </cell>
          <cell r="E430" t="str">
            <v>CALCULATOR JOYKO CC-800CH</v>
          </cell>
          <cell r="J430">
            <v>0.05</v>
          </cell>
          <cell r="K430">
            <v>3940125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4">
          <cell r="D444"/>
          <cell r="E444"/>
          <cell r="J444"/>
          <cell r="K444"/>
        </row>
        <row r="445">
          <cell r="D445"/>
          <cell r="E445"/>
          <cell r="J445"/>
          <cell r="K445"/>
        </row>
        <row r="446">
          <cell r="D446"/>
          <cell r="E446"/>
          <cell r="J446">
            <v>12993645</v>
          </cell>
          <cell r="K446"/>
        </row>
        <row r="447">
          <cell r="D447"/>
          <cell r="E447"/>
          <cell r="J447"/>
          <cell r="K447"/>
        </row>
        <row r="448">
          <cell r="D448"/>
          <cell r="E448"/>
          <cell r="J448">
            <v>0</v>
          </cell>
          <cell r="K448">
            <v>0</v>
          </cell>
        </row>
        <row r="449">
          <cell r="D449"/>
          <cell r="E449"/>
          <cell r="J449"/>
          <cell r="K449"/>
        </row>
        <row r="450">
          <cell r="D450"/>
          <cell r="E450" t="str">
            <v>Hormat Kami,</v>
          </cell>
          <cell r="J450">
            <v>1287658.5135135134</v>
          </cell>
          <cell r="K450"/>
        </row>
        <row r="451">
          <cell r="D451"/>
          <cell r="E451"/>
          <cell r="J451"/>
          <cell r="K451"/>
        </row>
        <row r="452">
          <cell r="D452"/>
          <cell r="E452"/>
          <cell r="J452"/>
          <cell r="K452">
            <v>12993645</v>
          </cell>
        </row>
        <row r="453">
          <cell r="D453"/>
          <cell r="E453"/>
          <cell r="J453"/>
          <cell r="K453"/>
        </row>
        <row r="454">
          <cell r="D454"/>
          <cell r="E454"/>
          <cell r="J454" t="str">
            <v>NOVI / CONDRO</v>
          </cell>
          <cell r="K454"/>
        </row>
        <row r="455">
          <cell r="D455"/>
          <cell r="E455"/>
          <cell r="J455">
            <v>0</v>
          </cell>
          <cell r="K455"/>
        </row>
        <row r="456">
          <cell r="D456"/>
          <cell r="E456"/>
          <cell r="J456"/>
          <cell r="K456"/>
        </row>
        <row r="457">
          <cell r="D457"/>
          <cell r="J457"/>
        </row>
        <row r="458">
          <cell r="D458" t="str">
            <v>AM</v>
          </cell>
          <cell r="E458">
            <v>23040005</v>
          </cell>
          <cell r="J458"/>
          <cell r="K458"/>
        </row>
        <row r="459">
          <cell r="D459"/>
          <cell r="E459"/>
          <cell r="J459"/>
          <cell r="K459"/>
        </row>
        <row r="460">
          <cell r="D460">
            <v>45027</v>
          </cell>
          <cell r="E460"/>
          <cell r="J460"/>
          <cell r="K460"/>
        </row>
        <row r="461">
          <cell r="D461"/>
          <cell r="E461"/>
          <cell r="J461"/>
          <cell r="K461"/>
        </row>
        <row r="462">
          <cell r="D462" t="str">
            <v xml:space="preserve">KO 1467 </v>
          </cell>
          <cell r="E462"/>
          <cell r="J462"/>
          <cell r="K462"/>
        </row>
        <row r="463">
          <cell r="D463"/>
          <cell r="J463"/>
          <cell r="K463"/>
        </row>
        <row r="464">
          <cell r="D464" t="str">
            <v>C</v>
          </cell>
          <cell r="E464"/>
          <cell r="J464" t="str">
            <v>Disc 2</v>
          </cell>
          <cell r="K464" t="str">
            <v>Amount</v>
          </cell>
        </row>
        <row r="465">
          <cell r="D465"/>
          <cell r="E465"/>
          <cell r="J465"/>
          <cell r="K465"/>
        </row>
        <row r="466">
          <cell r="D466">
            <v>2</v>
          </cell>
          <cell r="E466" t="str">
            <v>PENSIL KENKO 2B-6191 HIJAU CAP HITAM</v>
          </cell>
          <cell r="J466"/>
          <cell r="K466">
            <v>3819840</v>
          </cell>
        </row>
        <row r="467">
          <cell r="D467"/>
          <cell r="E467"/>
          <cell r="J467"/>
          <cell r="K467">
            <v>0</v>
          </cell>
        </row>
        <row r="468">
          <cell r="D468"/>
          <cell r="E468"/>
          <cell r="J468"/>
          <cell r="K468">
            <v>0</v>
          </cell>
        </row>
        <row r="469">
          <cell r="D469"/>
          <cell r="E469"/>
          <cell r="J469"/>
          <cell r="K469">
            <v>0</v>
          </cell>
        </row>
        <row r="470">
          <cell r="D470"/>
          <cell r="E470"/>
          <cell r="J470"/>
          <cell r="K470">
            <v>0</v>
          </cell>
        </row>
        <row r="471">
          <cell r="D471"/>
          <cell r="E471"/>
          <cell r="J471"/>
          <cell r="K471">
            <v>0</v>
          </cell>
        </row>
        <row r="472">
          <cell r="D472"/>
          <cell r="E472"/>
          <cell r="J472"/>
          <cell r="K472">
            <v>0</v>
          </cell>
        </row>
        <row r="473">
          <cell r="D473"/>
          <cell r="E473"/>
          <cell r="J473"/>
          <cell r="K473">
            <v>0</v>
          </cell>
        </row>
        <row r="474">
          <cell r="D474"/>
          <cell r="E474"/>
          <cell r="J474"/>
          <cell r="K474">
            <v>0</v>
          </cell>
        </row>
        <row r="475">
          <cell r="D475"/>
          <cell r="E475"/>
          <cell r="J475"/>
          <cell r="K475">
            <v>0</v>
          </cell>
        </row>
        <row r="476">
          <cell r="D476"/>
          <cell r="E476"/>
          <cell r="J476"/>
          <cell r="K476">
            <v>0</v>
          </cell>
        </row>
        <row r="477">
          <cell r="D477"/>
          <cell r="E477"/>
          <cell r="J477"/>
          <cell r="K477">
            <v>0</v>
          </cell>
        </row>
        <row r="478">
          <cell r="D478"/>
          <cell r="E478"/>
          <cell r="J478"/>
          <cell r="K478">
            <v>0</v>
          </cell>
        </row>
        <row r="479">
          <cell r="D479"/>
          <cell r="E479"/>
          <cell r="J479"/>
          <cell r="K479">
            <v>0</v>
          </cell>
        </row>
        <row r="480">
          <cell r="D480"/>
          <cell r="E480"/>
          <cell r="J480"/>
          <cell r="K480">
            <v>0</v>
          </cell>
        </row>
        <row r="481">
          <cell r="D481"/>
          <cell r="E481"/>
          <cell r="J481"/>
          <cell r="K481">
            <v>0</v>
          </cell>
        </row>
        <row r="482">
          <cell r="D482"/>
          <cell r="E482"/>
          <cell r="J482"/>
          <cell r="K482"/>
        </row>
        <row r="483">
          <cell r="D483"/>
          <cell r="E483"/>
          <cell r="J483"/>
          <cell r="K483"/>
        </row>
        <row r="484">
          <cell r="D484"/>
          <cell r="J484">
            <v>3819840</v>
          </cell>
          <cell r="K484"/>
        </row>
        <row r="485">
          <cell r="D485"/>
          <cell r="J485"/>
          <cell r="K485"/>
        </row>
        <row r="486">
          <cell r="D486"/>
          <cell r="J486"/>
          <cell r="K486">
            <v>0</v>
          </cell>
        </row>
        <row r="487">
          <cell r="D487"/>
          <cell r="J487"/>
          <cell r="K487"/>
        </row>
        <row r="488">
          <cell r="D488"/>
          <cell r="E488" t="str">
            <v>Hormat Kami,</v>
          </cell>
          <cell r="J488">
            <v>378542.70270270266</v>
          </cell>
          <cell r="K488"/>
        </row>
        <row r="489">
          <cell r="D489"/>
          <cell r="J489"/>
          <cell r="K489"/>
        </row>
        <row r="490">
          <cell r="D490"/>
          <cell r="E490"/>
          <cell r="J490"/>
          <cell r="K490">
            <v>3819840</v>
          </cell>
        </row>
        <row r="491">
          <cell r="D491"/>
          <cell r="E491"/>
          <cell r="J491"/>
          <cell r="K491"/>
        </row>
        <row r="492">
          <cell r="D492"/>
          <cell r="J492" t="str">
            <v>NOVI / CONDRO</v>
          </cell>
          <cell r="K492"/>
        </row>
        <row r="493">
          <cell r="D493"/>
          <cell r="J493"/>
          <cell r="K493"/>
        </row>
        <row r="494">
          <cell r="D494"/>
          <cell r="J494"/>
          <cell r="K494"/>
        </row>
        <row r="495">
          <cell r="D495"/>
          <cell r="E495"/>
          <cell r="J495"/>
          <cell r="K495"/>
        </row>
        <row r="496">
          <cell r="D496" t="str">
            <v>AM</v>
          </cell>
          <cell r="E496">
            <v>23040005</v>
          </cell>
          <cell r="J496"/>
          <cell r="K496"/>
        </row>
        <row r="497">
          <cell r="D497"/>
          <cell r="E497"/>
          <cell r="J497"/>
          <cell r="K497"/>
        </row>
        <row r="498">
          <cell r="D498">
            <v>45027</v>
          </cell>
          <cell r="E498"/>
          <cell r="J498"/>
          <cell r="K498"/>
        </row>
        <row r="499">
          <cell r="D499"/>
          <cell r="E499"/>
          <cell r="J499"/>
          <cell r="K499"/>
        </row>
        <row r="500">
          <cell r="D500" t="str">
            <v xml:space="preserve">KO 1467 </v>
          </cell>
          <cell r="E500"/>
          <cell r="J500"/>
          <cell r="K500"/>
        </row>
        <row r="501">
          <cell r="D501"/>
          <cell r="E501"/>
          <cell r="J501"/>
          <cell r="K501"/>
        </row>
        <row r="502">
          <cell r="D502" t="str">
            <v>C</v>
          </cell>
          <cell r="E502"/>
          <cell r="J502" t="str">
            <v>Disc 2</v>
          </cell>
          <cell r="K502" t="str">
            <v>Amount</v>
          </cell>
        </row>
        <row r="503">
          <cell r="D503"/>
          <cell r="E503"/>
          <cell r="J503"/>
          <cell r="K503"/>
        </row>
        <row r="504">
          <cell r="D504">
            <v>2</v>
          </cell>
          <cell r="E504" t="str">
            <v>PENSIL KENKO 2B-6191 HIJAU CAP HITAM</v>
          </cell>
          <cell r="J504">
            <v>0</v>
          </cell>
          <cell r="K504">
            <v>3819840</v>
          </cell>
        </row>
        <row r="505">
          <cell r="D505">
            <v>0</v>
          </cell>
          <cell r="E505">
            <v>0</v>
          </cell>
          <cell r="J505">
            <v>0</v>
          </cell>
          <cell r="K505">
            <v>0</v>
          </cell>
        </row>
        <row r="506">
          <cell r="D506">
            <v>0</v>
          </cell>
          <cell r="E506">
            <v>0</v>
          </cell>
          <cell r="J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J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0">
          <cell r="D520"/>
          <cell r="E520"/>
          <cell r="J520"/>
          <cell r="K520"/>
        </row>
        <row r="521">
          <cell r="D521"/>
          <cell r="E521"/>
          <cell r="J521"/>
          <cell r="K521"/>
        </row>
        <row r="522">
          <cell r="D522"/>
          <cell r="E522"/>
          <cell r="J522">
            <v>3819840</v>
          </cell>
          <cell r="K522"/>
        </row>
        <row r="523">
          <cell r="D523"/>
          <cell r="E523"/>
          <cell r="J523"/>
          <cell r="K523"/>
        </row>
        <row r="524">
          <cell r="D524"/>
          <cell r="E524"/>
          <cell r="J524">
            <v>0</v>
          </cell>
          <cell r="K524">
            <v>0</v>
          </cell>
        </row>
        <row r="525">
          <cell r="D525"/>
          <cell r="E525"/>
          <cell r="J525"/>
          <cell r="K525"/>
        </row>
        <row r="526">
          <cell r="D526"/>
          <cell r="E526" t="str">
            <v>Hormat Kami,</v>
          </cell>
          <cell r="J526">
            <v>378542.70270270266</v>
          </cell>
          <cell r="K526"/>
        </row>
        <row r="527">
          <cell r="D527"/>
          <cell r="E527"/>
          <cell r="J527"/>
          <cell r="K527"/>
        </row>
        <row r="528">
          <cell r="D528"/>
          <cell r="E528"/>
          <cell r="J528"/>
          <cell r="K528">
            <v>3819840</v>
          </cell>
        </row>
        <row r="529">
          <cell r="D529"/>
          <cell r="E529"/>
          <cell r="J529"/>
          <cell r="K529"/>
        </row>
        <row r="530">
          <cell r="D530"/>
          <cell r="E530"/>
          <cell r="J530" t="str">
            <v>NOVI / CONDRO</v>
          </cell>
          <cell r="K530"/>
        </row>
        <row r="531">
          <cell r="D531"/>
          <cell r="E531"/>
          <cell r="J531">
            <v>0</v>
          </cell>
          <cell r="K531"/>
        </row>
        <row r="532">
          <cell r="D532"/>
          <cell r="E532"/>
          <cell r="J532"/>
          <cell r="K532"/>
        </row>
        <row r="533">
          <cell r="D533"/>
          <cell r="E533"/>
          <cell r="J533"/>
          <cell r="K533"/>
        </row>
        <row r="534">
          <cell r="D534" t="str">
            <v>AM</v>
          </cell>
          <cell r="E534">
            <v>23040005</v>
          </cell>
          <cell r="J534"/>
          <cell r="K534"/>
        </row>
        <row r="535">
          <cell r="D535"/>
          <cell r="E535"/>
          <cell r="J535"/>
          <cell r="K535"/>
        </row>
        <row r="536">
          <cell r="D536">
            <v>45027</v>
          </cell>
          <cell r="E536"/>
          <cell r="J536"/>
          <cell r="K536"/>
        </row>
        <row r="537">
          <cell r="D537"/>
          <cell r="E537"/>
          <cell r="J537"/>
          <cell r="K537"/>
        </row>
        <row r="538">
          <cell r="D538" t="str">
            <v xml:space="preserve">KO 1467 </v>
          </cell>
          <cell r="E538"/>
          <cell r="J538"/>
          <cell r="K538"/>
        </row>
        <row r="539">
          <cell r="D539"/>
          <cell r="E539"/>
          <cell r="J539"/>
          <cell r="K539"/>
        </row>
        <row r="540">
          <cell r="D540" t="str">
            <v>C</v>
          </cell>
          <cell r="E540"/>
          <cell r="J540" t="str">
            <v>Disc 2</v>
          </cell>
          <cell r="K540" t="str">
            <v>Amount</v>
          </cell>
        </row>
        <row r="541">
          <cell r="D541"/>
          <cell r="E541"/>
          <cell r="J541"/>
          <cell r="K541"/>
        </row>
        <row r="542">
          <cell r="D542">
            <v>2</v>
          </cell>
          <cell r="E542" t="str">
            <v>PENSIL KENKO 2B-6191 HIJAU CAP HITAM</v>
          </cell>
          <cell r="J542">
            <v>0</v>
          </cell>
          <cell r="K542">
            <v>3819840</v>
          </cell>
        </row>
        <row r="543">
          <cell r="D543">
            <v>0</v>
          </cell>
          <cell r="E543">
            <v>0</v>
          </cell>
          <cell r="J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58">
          <cell r="D558"/>
          <cell r="E558"/>
          <cell r="J558"/>
          <cell r="K558"/>
        </row>
        <row r="559">
          <cell r="D559"/>
          <cell r="E559"/>
          <cell r="J559"/>
          <cell r="K559"/>
        </row>
        <row r="560">
          <cell r="D560"/>
          <cell r="E560"/>
          <cell r="J560">
            <v>3819840</v>
          </cell>
          <cell r="K560"/>
        </row>
        <row r="561">
          <cell r="D561"/>
          <cell r="E561"/>
          <cell r="J561"/>
          <cell r="K561"/>
        </row>
        <row r="562">
          <cell r="D562"/>
          <cell r="E562"/>
          <cell r="J562">
            <v>0</v>
          </cell>
          <cell r="K562">
            <v>0</v>
          </cell>
        </row>
        <row r="563">
          <cell r="D563"/>
          <cell r="E563"/>
          <cell r="J563"/>
          <cell r="K563"/>
        </row>
        <row r="564">
          <cell r="D564"/>
          <cell r="E564" t="str">
            <v>Hormat Kami,</v>
          </cell>
          <cell r="J564">
            <v>378542.70270270266</v>
          </cell>
          <cell r="K564"/>
        </row>
        <row r="565">
          <cell r="D565"/>
          <cell r="E565"/>
          <cell r="J565"/>
          <cell r="K565"/>
        </row>
        <row r="566">
          <cell r="D566"/>
          <cell r="E566"/>
          <cell r="J566"/>
          <cell r="K566">
            <v>3819840</v>
          </cell>
        </row>
        <row r="567">
          <cell r="D567"/>
          <cell r="E567"/>
          <cell r="J567"/>
          <cell r="K567"/>
        </row>
        <row r="568">
          <cell r="D568"/>
          <cell r="E568"/>
          <cell r="J568" t="str">
            <v>NOVI / CONDRO</v>
          </cell>
          <cell r="K568"/>
        </row>
        <row r="569">
          <cell r="D569"/>
          <cell r="E569"/>
          <cell r="J569">
            <v>0</v>
          </cell>
          <cell r="K569"/>
        </row>
        <row r="570">
          <cell r="D570"/>
          <cell r="E570"/>
          <cell r="J570"/>
          <cell r="K570"/>
        </row>
        <row r="571">
          <cell r="D571"/>
          <cell r="J571"/>
        </row>
        <row r="572">
          <cell r="D572" t="str">
            <v>AM</v>
          </cell>
          <cell r="E572">
            <v>23040006</v>
          </cell>
          <cell r="J572"/>
          <cell r="K572"/>
        </row>
        <row r="573">
          <cell r="D573"/>
          <cell r="E573"/>
          <cell r="J573"/>
          <cell r="K573"/>
        </row>
        <row r="574">
          <cell r="D574">
            <v>45028</v>
          </cell>
          <cell r="E574"/>
          <cell r="J574"/>
          <cell r="K574"/>
        </row>
        <row r="575">
          <cell r="D575"/>
          <cell r="E575"/>
          <cell r="J575"/>
          <cell r="K575"/>
        </row>
        <row r="576">
          <cell r="D576" t="str">
            <v>G 1474</v>
          </cell>
          <cell r="E576"/>
          <cell r="J576"/>
          <cell r="K576"/>
        </row>
        <row r="577">
          <cell r="D577"/>
          <cell r="J577"/>
          <cell r="K577"/>
        </row>
        <row r="578">
          <cell r="D578" t="str">
            <v>C</v>
          </cell>
          <cell r="E578"/>
          <cell r="J578" t="str">
            <v>Disc 2</v>
          </cell>
          <cell r="K578" t="str">
            <v>Amount</v>
          </cell>
        </row>
        <row r="579">
          <cell r="D579"/>
          <cell r="E579"/>
          <cell r="J579"/>
          <cell r="K579"/>
        </row>
        <row r="580">
          <cell r="D580">
            <v>10</v>
          </cell>
          <cell r="E580" t="str">
            <v>CRAYON / OIL PASTEL JOYKO OP-12S PP CASE SEA WORLD</v>
          </cell>
          <cell r="J580">
            <v>0.03</v>
          </cell>
          <cell r="K580">
            <v>14544180</v>
          </cell>
        </row>
        <row r="581">
          <cell r="D581"/>
          <cell r="E581"/>
          <cell r="J581"/>
          <cell r="K581">
            <v>0</v>
          </cell>
        </row>
        <row r="582">
          <cell r="D582"/>
          <cell r="E582"/>
          <cell r="J582"/>
          <cell r="K582">
            <v>0</v>
          </cell>
        </row>
        <row r="583">
          <cell r="D583"/>
          <cell r="E583"/>
          <cell r="J583"/>
          <cell r="K583">
            <v>0</v>
          </cell>
        </row>
        <row r="584">
          <cell r="D584"/>
          <cell r="E584"/>
          <cell r="J584"/>
          <cell r="K584">
            <v>0</v>
          </cell>
        </row>
        <row r="585">
          <cell r="D585"/>
          <cell r="E585"/>
          <cell r="J585"/>
          <cell r="K585">
            <v>0</v>
          </cell>
        </row>
        <row r="586">
          <cell r="D586"/>
          <cell r="E586"/>
          <cell r="J586"/>
          <cell r="K586">
            <v>0</v>
          </cell>
        </row>
        <row r="587">
          <cell r="D587"/>
          <cell r="E587"/>
          <cell r="J587"/>
          <cell r="K587">
            <v>0</v>
          </cell>
        </row>
        <row r="588">
          <cell r="D588"/>
          <cell r="E588"/>
          <cell r="J588"/>
          <cell r="K588">
            <v>0</v>
          </cell>
        </row>
        <row r="589">
          <cell r="D589"/>
          <cell r="E589"/>
          <cell r="J589"/>
          <cell r="K589">
            <v>0</v>
          </cell>
        </row>
        <row r="590">
          <cell r="D590"/>
          <cell r="E590"/>
          <cell r="J590"/>
          <cell r="K590">
            <v>0</v>
          </cell>
        </row>
        <row r="591">
          <cell r="D591"/>
          <cell r="E591"/>
          <cell r="J591"/>
          <cell r="K591">
            <v>0</v>
          </cell>
        </row>
        <row r="592">
          <cell r="D592"/>
          <cell r="E592"/>
          <cell r="J592"/>
          <cell r="K592">
            <v>0</v>
          </cell>
        </row>
        <row r="593">
          <cell r="D593"/>
          <cell r="E593"/>
          <cell r="J593"/>
          <cell r="K593">
            <v>0</v>
          </cell>
        </row>
        <row r="594">
          <cell r="D594"/>
          <cell r="E594"/>
          <cell r="J594"/>
          <cell r="K594">
            <v>0</v>
          </cell>
        </row>
        <row r="595">
          <cell r="D595"/>
          <cell r="E595"/>
          <cell r="J595"/>
          <cell r="K595">
            <v>0</v>
          </cell>
        </row>
        <row r="596">
          <cell r="D596"/>
          <cell r="E596"/>
          <cell r="J596"/>
          <cell r="K596"/>
        </row>
        <row r="597">
          <cell r="D597"/>
          <cell r="E597"/>
          <cell r="J597"/>
          <cell r="K597"/>
        </row>
        <row r="598">
          <cell r="D598"/>
          <cell r="J598">
            <v>14544180</v>
          </cell>
          <cell r="K598"/>
        </row>
        <row r="599">
          <cell r="D599"/>
          <cell r="J599"/>
          <cell r="K599"/>
        </row>
        <row r="600">
          <cell r="D600"/>
          <cell r="J600"/>
          <cell r="K600">
            <v>0</v>
          </cell>
        </row>
        <row r="601">
          <cell r="D601"/>
          <cell r="J601"/>
          <cell r="K601"/>
        </row>
        <row r="602">
          <cell r="D602"/>
          <cell r="E602" t="str">
            <v>Hormat Kami,</v>
          </cell>
          <cell r="J602">
            <v>1441315.1351351349</v>
          </cell>
          <cell r="K602"/>
        </row>
        <row r="603">
          <cell r="D603"/>
          <cell r="J603"/>
          <cell r="K603"/>
        </row>
        <row r="604">
          <cell r="D604"/>
          <cell r="E604"/>
          <cell r="J604"/>
          <cell r="K604">
            <v>14544180</v>
          </cell>
        </row>
        <row r="605">
          <cell r="D605"/>
          <cell r="E605"/>
          <cell r="J605"/>
          <cell r="K605"/>
        </row>
        <row r="606">
          <cell r="D606"/>
          <cell r="J606" t="str">
            <v>NOVI / CONDRO</v>
          </cell>
          <cell r="K606"/>
        </row>
        <row r="607">
          <cell r="D607"/>
          <cell r="J607"/>
          <cell r="K607"/>
        </row>
        <row r="608">
          <cell r="D608"/>
          <cell r="J608"/>
          <cell r="K608"/>
        </row>
        <row r="609">
          <cell r="D609"/>
          <cell r="E609"/>
          <cell r="J609"/>
          <cell r="K609"/>
        </row>
        <row r="610">
          <cell r="D610" t="str">
            <v>AM</v>
          </cell>
          <cell r="E610">
            <v>23040006</v>
          </cell>
          <cell r="J610"/>
          <cell r="K610"/>
        </row>
        <row r="611">
          <cell r="D611"/>
          <cell r="E611"/>
          <cell r="J611"/>
          <cell r="K611"/>
        </row>
        <row r="612">
          <cell r="D612">
            <v>45028</v>
          </cell>
          <cell r="E612"/>
          <cell r="J612"/>
          <cell r="K612"/>
        </row>
        <row r="613">
          <cell r="D613"/>
          <cell r="E613"/>
          <cell r="J613"/>
          <cell r="K613"/>
        </row>
        <row r="614">
          <cell r="D614" t="str">
            <v>G 1474</v>
          </cell>
          <cell r="E614"/>
          <cell r="J614"/>
          <cell r="K614"/>
        </row>
        <row r="615">
          <cell r="D615"/>
          <cell r="E615"/>
          <cell r="J615"/>
          <cell r="K615"/>
        </row>
        <row r="616">
          <cell r="D616" t="str">
            <v>C</v>
          </cell>
          <cell r="E616"/>
          <cell r="J616" t="str">
            <v>Disc 2</v>
          </cell>
          <cell r="K616" t="str">
            <v>Amount</v>
          </cell>
        </row>
        <row r="617">
          <cell r="D617"/>
          <cell r="E617"/>
          <cell r="J617"/>
          <cell r="K617"/>
        </row>
        <row r="618">
          <cell r="D618">
            <v>10</v>
          </cell>
          <cell r="E618" t="str">
            <v>CRAYON / OIL PASTEL JOYKO OP-12S PP CASE SEA WORLD</v>
          </cell>
          <cell r="J618">
            <v>0.03</v>
          </cell>
          <cell r="K618">
            <v>14544180</v>
          </cell>
        </row>
        <row r="619">
          <cell r="D619">
            <v>0</v>
          </cell>
          <cell r="E619">
            <v>0</v>
          </cell>
          <cell r="J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4">
          <cell r="D634"/>
          <cell r="E634"/>
          <cell r="J634"/>
          <cell r="K634"/>
        </row>
        <row r="635">
          <cell r="D635"/>
          <cell r="E635"/>
          <cell r="J635"/>
          <cell r="K635"/>
        </row>
        <row r="636">
          <cell r="D636"/>
          <cell r="E636"/>
          <cell r="J636">
            <v>14544180</v>
          </cell>
          <cell r="K636"/>
        </row>
        <row r="637">
          <cell r="D637"/>
          <cell r="E637"/>
          <cell r="J637"/>
          <cell r="K637"/>
        </row>
        <row r="638">
          <cell r="D638"/>
          <cell r="E638"/>
          <cell r="J638">
            <v>0</v>
          </cell>
          <cell r="K638">
            <v>0</v>
          </cell>
        </row>
        <row r="639">
          <cell r="D639"/>
          <cell r="E639"/>
          <cell r="J639"/>
          <cell r="K639"/>
        </row>
        <row r="640">
          <cell r="D640"/>
          <cell r="E640" t="str">
            <v>Hormat Kami,</v>
          </cell>
          <cell r="J640">
            <v>1441315.1351351349</v>
          </cell>
          <cell r="K640"/>
        </row>
        <row r="641">
          <cell r="D641"/>
          <cell r="E641"/>
          <cell r="J641"/>
          <cell r="K641"/>
        </row>
        <row r="642">
          <cell r="D642"/>
          <cell r="E642"/>
          <cell r="J642"/>
          <cell r="K642">
            <v>14544180</v>
          </cell>
        </row>
        <row r="643">
          <cell r="D643"/>
          <cell r="E643"/>
          <cell r="J643"/>
          <cell r="K643"/>
        </row>
        <row r="644">
          <cell r="D644"/>
          <cell r="E644"/>
          <cell r="J644" t="str">
            <v>NOVI / CONDRO</v>
          </cell>
          <cell r="K644"/>
        </row>
        <row r="645">
          <cell r="D645"/>
          <cell r="E645"/>
          <cell r="J645">
            <v>0</v>
          </cell>
          <cell r="K645"/>
        </row>
        <row r="646">
          <cell r="D646"/>
          <cell r="E646"/>
          <cell r="J646"/>
          <cell r="K646"/>
        </row>
        <row r="647">
          <cell r="D647"/>
          <cell r="E647"/>
          <cell r="J647"/>
          <cell r="K647"/>
        </row>
        <row r="648">
          <cell r="D648" t="str">
            <v>AM</v>
          </cell>
          <cell r="E648">
            <v>23040006</v>
          </cell>
          <cell r="J648"/>
          <cell r="K648"/>
        </row>
        <row r="649">
          <cell r="D649"/>
          <cell r="E649"/>
          <cell r="J649"/>
          <cell r="K649"/>
        </row>
        <row r="650">
          <cell r="D650">
            <v>45028</v>
          </cell>
          <cell r="E650"/>
          <cell r="J650"/>
          <cell r="K650"/>
        </row>
        <row r="651">
          <cell r="D651"/>
          <cell r="E651"/>
          <cell r="J651"/>
          <cell r="K651"/>
        </row>
        <row r="652">
          <cell r="D652" t="str">
            <v>G 1474</v>
          </cell>
          <cell r="E652"/>
          <cell r="J652"/>
          <cell r="K652"/>
        </row>
        <row r="653">
          <cell r="D653"/>
          <cell r="E653"/>
          <cell r="J653"/>
          <cell r="K653"/>
        </row>
        <row r="654">
          <cell r="D654" t="str">
            <v>C</v>
          </cell>
          <cell r="E654"/>
          <cell r="J654" t="str">
            <v>Disc 2</v>
          </cell>
          <cell r="K654" t="str">
            <v>Amount</v>
          </cell>
        </row>
        <row r="655">
          <cell r="D655"/>
          <cell r="E655"/>
          <cell r="J655"/>
          <cell r="K655"/>
        </row>
        <row r="656">
          <cell r="D656">
            <v>10</v>
          </cell>
          <cell r="E656" t="str">
            <v>CRAYON / OIL PASTEL JOYKO OP-12S PP CASE SEA WORLD</v>
          </cell>
          <cell r="J656">
            <v>0.03</v>
          </cell>
          <cell r="K656">
            <v>14544180</v>
          </cell>
        </row>
        <row r="657">
          <cell r="D657">
            <v>0</v>
          </cell>
          <cell r="E657">
            <v>0</v>
          </cell>
          <cell r="J657">
            <v>0</v>
          </cell>
          <cell r="K657">
            <v>0</v>
          </cell>
        </row>
        <row r="658">
          <cell r="D658">
            <v>0</v>
          </cell>
          <cell r="E658">
            <v>0</v>
          </cell>
          <cell r="J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2">
          <cell r="D672"/>
          <cell r="E672"/>
          <cell r="J672"/>
          <cell r="K672"/>
        </row>
        <row r="673">
          <cell r="D673"/>
          <cell r="E673"/>
          <cell r="J673"/>
          <cell r="K673"/>
        </row>
        <row r="674">
          <cell r="D674"/>
          <cell r="E674"/>
          <cell r="J674">
            <v>14544180</v>
          </cell>
          <cell r="K674"/>
        </row>
        <row r="675">
          <cell r="D675"/>
          <cell r="E675"/>
          <cell r="J675"/>
          <cell r="K675"/>
        </row>
        <row r="676">
          <cell r="D676"/>
          <cell r="E676"/>
          <cell r="J676">
            <v>0</v>
          </cell>
          <cell r="K676">
            <v>0</v>
          </cell>
        </row>
        <row r="677">
          <cell r="D677"/>
          <cell r="E677"/>
          <cell r="J677"/>
          <cell r="K677"/>
        </row>
        <row r="678">
          <cell r="D678"/>
          <cell r="E678" t="str">
            <v>Hormat Kami,</v>
          </cell>
          <cell r="J678">
            <v>1441315.1351351349</v>
          </cell>
          <cell r="K678"/>
        </row>
        <row r="679">
          <cell r="D679"/>
          <cell r="E679"/>
          <cell r="J679"/>
          <cell r="K679"/>
        </row>
        <row r="680">
          <cell r="D680"/>
          <cell r="E680"/>
          <cell r="J680"/>
          <cell r="K680">
            <v>14544180</v>
          </cell>
        </row>
        <row r="681">
          <cell r="D681"/>
          <cell r="E681"/>
          <cell r="J681"/>
          <cell r="K681"/>
        </row>
        <row r="682">
          <cell r="D682"/>
          <cell r="E682"/>
          <cell r="J682" t="str">
            <v>NOVI / CONDRO</v>
          </cell>
          <cell r="K682"/>
        </row>
        <row r="683">
          <cell r="D683"/>
          <cell r="E683"/>
          <cell r="J683">
            <v>0</v>
          </cell>
          <cell r="K683"/>
        </row>
        <row r="684">
          <cell r="D684"/>
          <cell r="E684"/>
          <cell r="J684"/>
          <cell r="K684"/>
        </row>
        <row r="685">
          <cell r="D685"/>
          <cell r="J685"/>
        </row>
        <row r="686">
          <cell r="D686" t="str">
            <v>AM</v>
          </cell>
          <cell r="E686">
            <v>23040007</v>
          </cell>
          <cell r="J686"/>
          <cell r="K686"/>
        </row>
        <row r="687">
          <cell r="D687"/>
          <cell r="E687"/>
          <cell r="J687"/>
          <cell r="K687"/>
        </row>
        <row r="688">
          <cell r="D688">
            <v>45028</v>
          </cell>
          <cell r="E688"/>
          <cell r="J688"/>
          <cell r="K688"/>
        </row>
        <row r="689">
          <cell r="D689"/>
          <cell r="E689"/>
          <cell r="J689"/>
          <cell r="K689"/>
        </row>
        <row r="690">
          <cell r="D690" t="str">
            <v>KO 1027</v>
          </cell>
          <cell r="E690"/>
          <cell r="J690"/>
          <cell r="K690"/>
        </row>
        <row r="691">
          <cell r="D691"/>
          <cell r="J691"/>
          <cell r="K691"/>
        </row>
        <row r="692">
          <cell r="D692" t="str">
            <v>C</v>
          </cell>
          <cell r="E692"/>
          <cell r="J692" t="str">
            <v>Disc 2</v>
          </cell>
          <cell r="K692" t="str">
            <v>Amount</v>
          </cell>
        </row>
        <row r="693">
          <cell r="D693"/>
          <cell r="E693"/>
          <cell r="J693"/>
          <cell r="K693"/>
        </row>
        <row r="694">
          <cell r="D694">
            <v>1</v>
          </cell>
          <cell r="E694" t="str">
            <v>CORRECTION TAPE JOYKO CT-507</v>
          </cell>
          <cell r="J694"/>
          <cell r="K694">
            <v>2898000</v>
          </cell>
        </row>
        <row r="695">
          <cell r="D695">
            <v>1</v>
          </cell>
          <cell r="E695" t="str">
            <v>CORRECTION TAPE JOYKO CT-508</v>
          </cell>
          <cell r="J695"/>
          <cell r="K695">
            <v>2835000</v>
          </cell>
        </row>
        <row r="696">
          <cell r="D696">
            <v>1</v>
          </cell>
          <cell r="E696" t="str">
            <v>PENSIL WARNA JOYKO CP-24PB (PANJANG)</v>
          </cell>
          <cell r="J696"/>
          <cell r="K696">
            <v>1335600</v>
          </cell>
        </row>
        <row r="697">
          <cell r="D697">
            <v>1</v>
          </cell>
          <cell r="E697" t="str">
            <v>PENSIL WARNA JOYKO CP-S12 MINI (PENDEK)</v>
          </cell>
          <cell r="J697"/>
          <cell r="K697">
            <v>1688400</v>
          </cell>
        </row>
        <row r="698">
          <cell r="D698">
            <v>3</v>
          </cell>
          <cell r="E698" t="str">
            <v>PENSIL WARNA JOYKO CP-12PB (PANJANG)</v>
          </cell>
          <cell r="J698"/>
          <cell r="K698">
            <v>4006800</v>
          </cell>
        </row>
        <row r="699">
          <cell r="D699">
            <v>2</v>
          </cell>
          <cell r="E699" t="str">
            <v>STAPLER JOYKO HD-50</v>
          </cell>
          <cell r="J699"/>
          <cell r="K699">
            <v>3927000</v>
          </cell>
        </row>
        <row r="700">
          <cell r="D700">
            <v>2</v>
          </cell>
          <cell r="E700" t="str">
            <v>STIP / PENGHAPUS JOYKO 526-B20 PUTIH</v>
          </cell>
          <cell r="J700"/>
          <cell r="K700">
            <v>2983750</v>
          </cell>
        </row>
        <row r="701">
          <cell r="D701"/>
          <cell r="E701"/>
          <cell r="J701"/>
          <cell r="K701">
            <v>0</v>
          </cell>
        </row>
        <row r="702">
          <cell r="D702"/>
          <cell r="E702"/>
          <cell r="J702"/>
          <cell r="K702">
            <v>0</v>
          </cell>
        </row>
        <row r="703">
          <cell r="D703"/>
          <cell r="E703"/>
          <cell r="J703"/>
          <cell r="K703">
            <v>0</v>
          </cell>
        </row>
        <row r="704">
          <cell r="D704"/>
          <cell r="E704"/>
          <cell r="J704"/>
          <cell r="K704">
            <v>0</v>
          </cell>
        </row>
        <row r="705">
          <cell r="D705"/>
          <cell r="E705"/>
          <cell r="J705"/>
          <cell r="K705">
            <v>0</v>
          </cell>
        </row>
        <row r="706">
          <cell r="D706"/>
          <cell r="E706"/>
          <cell r="J706"/>
          <cell r="K706">
            <v>0</v>
          </cell>
        </row>
        <row r="707">
          <cell r="D707"/>
          <cell r="E707"/>
          <cell r="J707"/>
          <cell r="K707">
            <v>0</v>
          </cell>
        </row>
        <row r="708">
          <cell r="D708"/>
          <cell r="E708"/>
          <cell r="J708"/>
          <cell r="K708">
            <v>0</v>
          </cell>
        </row>
        <row r="709">
          <cell r="D709"/>
          <cell r="E709"/>
          <cell r="J709"/>
          <cell r="K709">
            <v>0</v>
          </cell>
        </row>
        <row r="710">
          <cell r="D710"/>
          <cell r="E710"/>
          <cell r="J710"/>
          <cell r="K710"/>
        </row>
        <row r="711">
          <cell r="D711"/>
          <cell r="E711"/>
          <cell r="J711"/>
          <cell r="K711"/>
        </row>
        <row r="712">
          <cell r="D712"/>
          <cell r="J712">
            <v>19674550</v>
          </cell>
          <cell r="K712"/>
        </row>
        <row r="713">
          <cell r="D713"/>
          <cell r="J713"/>
          <cell r="K713"/>
        </row>
        <row r="714">
          <cell r="D714"/>
          <cell r="J714"/>
          <cell r="K714">
            <v>0</v>
          </cell>
        </row>
        <row r="715">
          <cell r="D715"/>
          <cell r="J715"/>
          <cell r="K715"/>
        </row>
        <row r="716">
          <cell r="D716"/>
          <cell r="E716" t="str">
            <v>Hormat Kami,</v>
          </cell>
          <cell r="J716">
            <v>1949730.1801801801</v>
          </cell>
          <cell r="K716"/>
        </row>
        <row r="717">
          <cell r="D717"/>
          <cell r="J717"/>
          <cell r="K717"/>
        </row>
        <row r="718">
          <cell r="D718"/>
          <cell r="E718"/>
          <cell r="J718"/>
          <cell r="K718">
            <v>19674550</v>
          </cell>
        </row>
        <row r="719">
          <cell r="D719"/>
          <cell r="E719"/>
          <cell r="J719"/>
          <cell r="K719"/>
        </row>
        <row r="720">
          <cell r="D720"/>
          <cell r="J720" t="str">
            <v>NOVI / CONDRO</v>
          </cell>
          <cell r="K720"/>
        </row>
        <row r="721">
          <cell r="D721"/>
          <cell r="J721"/>
          <cell r="K721"/>
        </row>
        <row r="722">
          <cell r="D722"/>
          <cell r="J722"/>
          <cell r="K722"/>
        </row>
        <row r="723">
          <cell r="D723"/>
          <cell r="E723"/>
          <cell r="J723"/>
          <cell r="K723"/>
        </row>
        <row r="724">
          <cell r="D724" t="str">
            <v>AM</v>
          </cell>
          <cell r="E724">
            <v>23040007</v>
          </cell>
          <cell r="J724"/>
          <cell r="K724"/>
        </row>
        <row r="725">
          <cell r="D725"/>
          <cell r="E725"/>
          <cell r="J725"/>
          <cell r="K725"/>
        </row>
        <row r="726">
          <cell r="D726">
            <v>45028</v>
          </cell>
          <cell r="E726"/>
          <cell r="J726"/>
          <cell r="K726"/>
        </row>
        <row r="727">
          <cell r="D727"/>
          <cell r="E727"/>
          <cell r="J727"/>
          <cell r="K727"/>
        </row>
        <row r="728">
          <cell r="D728" t="str">
            <v>KO 1027</v>
          </cell>
          <cell r="E728"/>
          <cell r="J728"/>
          <cell r="K728"/>
        </row>
        <row r="729">
          <cell r="D729"/>
          <cell r="E729"/>
          <cell r="J729"/>
          <cell r="K729"/>
        </row>
        <row r="730">
          <cell r="D730" t="str">
            <v>C</v>
          </cell>
          <cell r="E730"/>
          <cell r="J730" t="str">
            <v>Disc 2</v>
          </cell>
          <cell r="K730" t="str">
            <v>Amount</v>
          </cell>
        </row>
        <row r="731">
          <cell r="D731"/>
          <cell r="E731"/>
          <cell r="J731"/>
          <cell r="K731"/>
        </row>
        <row r="732">
          <cell r="D732">
            <v>1</v>
          </cell>
          <cell r="E732" t="str">
            <v>CORRECTION TAPE JOYKO CT-507</v>
          </cell>
          <cell r="J732">
            <v>0</v>
          </cell>
          <cell r="K732">
            <v>2898000</v>
          </cell>
        </row>
        <row r="733">
          <cell r="D733">
            <v>1</v>
          </cell>
          <cell r="E733" t="str">
            <v>CORRECTION TAPE JOYKO CT-508</v>
          </cell>
          <cell r="J733">
            <v>0</v>
          </cell>
          <cell r="K733">
            <v>2835000</v>
          </cell>
        </row>
        <row r="734">
          <cell r="D734">
            <v>1</v>
          </cell>
          <cell r="E734" t="str">
            <v>PENSIL WARNA JOYKO CP-24PB (PANJANG)</v>
          </cell>
          <cell r="J734">
            <v>0</v>
          </cell>
          <cell r="K734">
            <v>1335600</v>
          </cell>
        </row>
        <row r="735">
          <cell r="D735">
            <v>1</v>
          </cell>
          <cell r="E735" t="str">
            <v>PENSIL WARNA JOYKO CP-S12 MINI (PENDEK)</v>
          </cell>
          <cell r="J735">
            <v>0</v>
          </cell>
          <cell r="K735">
            <v>1688400</v>
          </cell>
        </row>
        <row r="736">
          <cell r="D736">
            <v>3</v>
          </cell>
          <cell r="E736" t="str">
            <v>PENSIL WARNA JOYKO CP-12PB (PANJANG)</v>
          </cell>
          <cell r="J736">
            <v>0</v>
          </cell>
          <cell r="K736">
            <v>4006800</v>
          </cell>
        </row>
        <row r="737">
          <cell r="D737">
            <v>2</v>
          </cell>
          <cell r="E737" t="str">
            <v>STAPLER JOYKO HD-50</v>
          </cell>
          <cell r="J737">
            <v>0</v>
          </cell>
          <cell r="K737">
            <v>3927000</v>
          </cell>
        </row>
        <row r="738">
          <cell r="D738">
            <v>2</v>
          </cell>
          <cell r="E738" t="str">
            <v>STIP / PENGHAPUS JOYKO 526-B20 PUTIH</v>
          </cell>
          <cell r="J738">
            <v>0</v>
          </cell>
          <cell r="K738">
            <v>2983750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48">
          <cell r="D748"/>
          <cell r="E748"/>
          <cell r="J748"/>
          <cell r="K748"/>
        </row>
        <row r="749">
          <cell r="D749"/>
          <cell r="E749"/>
          <cell r="J749"/>
          <cell r="K749"/>
        </row>
        <row r="750">
          <cell r="D750"/>
          <cell r="E750"/>
          <cell r="J750">
            <v>19674550</v>
          </cell>
          <cell r="K750"/>
        </row>
        <row r="751">
          <cell r="D751"/>
          <cell r="E751"/>
          <cell r="J751"/>
          <cell r="K751"/>
        </row>
        <row r="752">
          <cell r="D752"/>
          <cell r="E752"/>
          <cell r="J752">
            <v>0</v>
          </cell>
          <cell r="K752">
            <v>0</v>
          </cell>
        </row>
        <row r="753">
          <cell r="D753"/>
          <cell r="E753"/>
          <cell r="J753"/>
          <cell r="K753"/>
        </row>
        <row r="754">
          <cell r="D754"/>
          <cell r="E754" t="str">
            <v>Hormat Kami,</v>
          </cell>
          <cell r="J754">
            <v>1949730.1801801801</v>
          </cell>
          <cell r="K754"/>
        </row>
        <row r="755">
          <cell r="D755"/>
          <cell r="E755"/>
          <cell r="J755"/>
          <cell r="K755"/>
        </row>
        <row r="756">
          <cell r="D756"/>
          <cell r="E756"/>
          <cell r="J756"/>
          <cell r="K756">
            <v>19674550</v>
          </cell>
        </row>
        <row r="757">
          <cell r="D757"/>
          <cell r="E757"/>
          <cell r="J757"/>
          <cell r="K757"/>
        </row>
        <row r="758">
          <cell r="D758"/>
          <cell r="E758"/>
          <cell r="J758" t="str">
            <v>NOVI / CONDRO</v>
          </cell>
          <cell r="K758"/>
        </row>
        <row r="759">
          <cell r="D759"/>
          <cell r="E759"/>
          <cell r="J759">
            <v>0</v>
          </cell>
          <cell r="K759"/>
        </row>
        <row r="760">
          <cell r="D760"/>
          <cell r="E760"/>
          <cell r="J760"/>
          <cell r="K760"/>
        </row>
        <row r="761">
          <cell r="D761"/>
          <cell r="E761"/>
          <cell r="J761"/>
          <cell r="K761"/>
        </row>
        <row r="762">
          <cell r="D762" t="str">
            <v>AM</v>
          </cell>
          <cell r="E762">
            <v>23040007</v>
          </cell>
          <cell r="J762"/>
          <cell r="K762"/>
        </row>
        <row r="763">
          <cell r="D763"/>
          <cell r="E763"/>
          <cell r="J763"/>
          <cell r="K763"/>
        </row>
        <row r="764">
          <cell r="D764">
            <v>45028</v>
          </cell>
          <cell r="E764"/>
          <cell r="J764"/>
          <cell r="K764"/>
        </row>
        <row r="765">
          <cell r="D765"/>
          <cell r="E765"/>
          <cell r="J765"/>
          <cell r="K765"/>
        </row>
        <row r="766">
          <cell r="D766" t="str">
            <v>KO 1027</v>
          </cell>
          <cell r="E766"/>
          <cell r="J766"/>
          <cell r="K766"/>
        </row>
        <row r="767">
          <cell r="D767"/>
          <cell r="E767"/>
          <cell r="J767"/>
          <cell r="K767"/>
        </row>
        <row r="768">
          <cell r="D768" t="str">
            <v>C</v>
          </cell>
          <cell r="E768"/>
          <cell r="J768" t="str">
            <v>Disc 2</v>
          </cell>
          <cell r="K768" t="str">
            <v>Amount</v>
          </cell>
        </row>
        <row r="769">
          <cell r="D769"/>
          <cell r="E769"/>
          <cell r="J769"/>
          <cell r="K769"/>
        </row>
        <row r="770">
          <cell r="D770">
            <v>1</v>
          </cell>
          <cell r="E770" t="str">
            <v>CORRECTION TAPE JOYKO CT-507</v>
          </cell>
          <cell r="J770">
            <v>0</v>
          </cell>
          <cell r="K770">
            <v>2898000</v>
          </cell>
        </row>
        <row r="771">
          <cell r="D771">
            <v>1</v>
          </cell>
          <cell r="E771" t="str">
            <v>CORRECTION TAPE JOYKO CT-508</v>
          </cell>
          <cell r="J771">
            <v>0</v>
          </cell>
          <cell r="K771">
            <v>2835000</v>
          </cell>
        </row>
        <row r="772">
          <cell r="D772">
            <v>1</v>
          </cell>
          <cell r="E772" t="str">
            <v>PENSIL WARNA JOYKO CP-24PB (PANJANG)</v>
          </cell>
          <cell r="J772">
            <v>0</v>
          </cell>
          <cell r="K772">
            <v>1335600</v>
          </cell>
        </row>
        <row r="773">
          <cell r="D773">
            <v>1</v>
          </cell>
          <cell r="E773" t="str">
            <v>PENSIL WARNA JOYKO CP-S12 MINI (PENDEK)</v>
          </cell>
          <cell r="J773">
            <v>0</v>
          </cell>
          <cell r="K773">
            <v>1688400</v>
          </cell>
        </row>
        <row r="774">
          <cell r="D774">
            <v>3</v>
          </cell>
          <cell r="E774" t="str">
            <v>PENSIL WARNA JOYKO CP-12PB (PANJANG)</v>
          </cell>
          <cell r="J774">
            <v>0</v>
          </cell>
          <cell r="K774">
            <v>4006800</v>
          </cell>
        </row>
        <row r="775">
          <cell r="D775">
            <v>2</v>
          </cell>
          <cell r="E775" t="str">
            <v>STAPLER JOYKO HD-50</v>
          </cell>
          <cell r="J775">
            <v>0</v>
          </cell>
          <cell r="K775">
            <v>3927000</v>
          </cell>
        </row>
        <row r="776">
          <cell r="D776">
            <v>2</v>
          </cell>
          <cell r="E776" t="str">
            <v>STIP / PENGHAPUS JOYKO 526-B20 PUTIH</v>
          </cell>
          <cell r="J776">
            <v>0</v>
          </cell>
          <cell r="K776">
            <v>2983750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6">
          <cell r="D786"/>
          <cell r="E786"/>
          <cell r="J786"/>
          <cell r="K786"/>
        </row>
        <row r="787">
          <cell r="D787"/>
          <cell r="E787"/>
          <cell r="J787"/>
          <cell r="K787"/>
        </row>
        <row r="788">
          <cell r="D788"/>
          <cell r="E788"/>
          <cell r="J788">
            <v>19674550</v>
          </cell>
          <cell r="K788"/>
        </row>
        <row r="789">
          <cell r="D789"/>
          <cell r="E789"/>
          <cell r="J789"/>
          <cell r="K789"/>
        </row>
        <row r="790">
          <cell r="D790"/>
          <cell r="E790"/>
          <cell r="J790">
            <v>0</v>
          </cell>
          <cell r="K790">
            <v>0</v>
          </cell>
        </row>
        <row r="791">
          <cell r="D791"/>
          <cell r="E791"/>
          <cell r="J791"/>
          <cell r="K791"/>
        </row>
        <row r="792">
          <cell r="D792"/>
          <cell r="E792" t="str">
            <v>Hormat Kami,</v>
          </cell>
          <cell r="J792">
            <v>1949730.1801801801</v>
          </cell>
          <cell r="K792"/>
        </row>
        <row r="793">
          <cell r="D793"/>
          <cell r="E793"/>
          <cell r="J793"/>
          <cell r="K793"/>
        </row>
        <row r="794">
          <cell r="D794"/>
          <cell r="E794"/>
          <cell r="J794"/>
          <cell r="K794">
            <v>19674550</v>
          </cell>
        </row>
        <row r="795">
          <cell r="D795"/>
          <cell r="E795"/>
          <cell r="J795"/>
          <cell r="K795"/>
        </row>
        <row r="796">
          <cell r="D796"/>
          <cell r="E796"/>
          <cell r="J796" t="str">
            <v>NOVI / CONDRO</v>
          </cell>
          <cell r="K796"/>
        </row>
        <row r="797">
          <cell r="D797"/>
          <cell r="E797"/>
          <cell r="J797">
            <v>0</v>
          </cell>
          <cell r="K797"/>
        </row>
        <row r="798">
          <cell r="D798"/>
          <cell r="E798"/>
          <cell r="J798"/>
          <cell r="K798"/>
        </row>
        <row r="799">
          <cell r="D799"/>
          <cell r="J799"/>
        </row>
        <row r="800">
          <cell r="D800" t="str">
            <v>AM</v>
          </cell>
          <cell r="E800">
            <v>23040008</v>
          </cell>
          <cell r="J800"/>
          <cell r="K800"/>
        </row>
        <row r="801">
          <cell r="D801"/>
          <cell r="E801"/>
          <cell r="J801"/>
          <cell r="K801"/>
        </row>
        <row r="802">
          <cell r="D802">
            <v>45028</v>
          </cell>
          <cell r="E802"/>
          <cell r="J802"/>
          <cell r="K802"/>
        </row>
        <row r="803">
          <cell r="D803"/>
          <cell r="E803"/>
          <cell r="J803"/>
          <cell r="K803"/>
        </row>
        <row r="804">
          <cell r="D804" t="str">
            <v>KO 1482</v>
          </cell>
          <cell r="E804"/>
          <cell r="J804"/>
          <cell r="K804"/>
        </row>
        <row r="805">
          <cell r="D805"/>
          <cell r="J805"/>
          <cell r="K805"/>
        </row>
        <row r="806">
          <cell r="D806" t="str">
            <v>C</v>
          </cell>
          <cell r="E806"/>
          <cell r="J806" t="str">
            <v>Disc 2</v>
          </cell>
          <cell r="K806" t="str">
            <v>Amount</v>
          </cell>
        </row>
        <row r="807">
          <cell r="D807"/>
          <cell r="E807"/>
          <cell r="J807"/>
          <cell r="K807"/>
        </row>
        <row r="808">
          <cell r="D808">
            <v>1</v>
          </cell>
          <cell r="E808" t="str">
            <v>STIP / PENGHAPUS JOYKO 526-B20 PUTIH</v>
          </cell>
          <cell r="J808"/>
          <cell r="K808">
            <v>1474825</v>
          </cell>
        </row>
        <row r="809">
          <cell r="D809">
            <v>1</v>
          </cell>
          <cell r="E809" t="str">
            <v>BALLPEN JOYKO BP-338 VOCUS HITAM</v>
          </cell>
          <cell r="J809"/>
          <cell r="K809">
            <v>1569456</v>
          </cell>
        </row>
        <row r="810">
          <cell r="D810">
            <v>1</v>
          </cell>
          <cell r="E810" t="str">
            <v>STIP / PENGHAPUS JOYKO 526-B40P PUTIH</v>
          </cell>
          <cell r="J810"/>
          <cell r="K810">
            <v>1223975</v>
          </cell>
        </row>
        <row r="811">
          <cell r="D811"/>
          <cell r="E811"/>
          <cell r="J811"/>
          <cell r="K811">
            <v>0</v>
          </cell>
        </row>
        <row r="812">
          <cell r="D812"/>
          <cell r="E812"/>
          <cell r="J812"/>
          <cell r="K812">
            <v>0</v>
          </cell>
        </row>
        <row r="813">
          <cell r="D813"/>
          <cell r="E813"/>
          <cell r="J813"/>
          <cell r="K813">
            <v>0</v>
          </cell>
        </row>
        <row r="814">
          <cell r="D814"/>
          <cell r="E814"/>
          <cell r="J814"/>
          <cell r="K814">
            <v>0</v>
          </cell>
        </row>
        <row r="815">
          <cell r="D815"/>
          <cell r="E815"/>
          <cell r="J815"/>
          <cell r="K815">
            <v>0</v>
          </cell>
        </row>
        <row r="816">
          <cell r="D816"/>
          <cell r="E816"/>
          <cell r="J816"/>
          <cell r="K816">
            <v>0</v>
          </cell>
        </row>
        <row r="817">
          <cell r="D817"/>
          <cell r="E817"/>
          <cell r="J817"/>
          <cell r="K817">
            <v>0</v>
          </cell>
        </row>
        <row r="818">
          <cell r="D818"/>
          <cell r="E818"/>
          <cell r="J818"/>
          <cell r="K818">
            <v>0</v>
          </cell>
        </row>
        <row r="819">
          <cell r="D819"/>
          <cell r="E819"/>
          <cell r="J819"/>
          <cell r="K819">
            <v>0</v>
          </cell>
        </row>
        <row r="820">
          <cell r="D820"/>
          <cell r="E820"/>
          <cell r="J820"/>
          <cell r="K820">
            <v>0</v>
          </cell>
        </row>
        <row r="821">
          <cell r="D821"/>
          <cell r="E821"/>
          <cell r="J821"/>
          <cell r="K821">
            <v>0</v>
          </cell>
        </row>
        <row r="822">
          <cell r="D822"/>
          <cell r="E822"/>
          <cell r="J822"/>
          <cell r="K822">
            <v>0</v>
          </cell>
        </row>
        <row r="823">
          <cell r="D823"/>
          <cell r="E823"/>
          <cell r="J823"/>
          <cell r="K823">
            <v>0</v>
          </cell>
        </row>
        <row r="824">
          <cell r="D824"/>
          <cell r="E824"/>
          <cell r="J824"/>
          <cell r="K824"/>
        </row>
        <row r="825">
          <cell r="D825"/>
          <cell r="E825"/>
          <cell r="J825"/>
          <cell r="K825"/>
        </row>
        <row r="826">
          <cell r="D826"/>
          <cell r="J826">
            <v>4268256</v>
          </cell>
          <cell r="K826"/>
        </row>
        <row r="827">
          <cell r="D827"/>
          <cell r="J827"/>
          <cell r="K827"/>
        </row>
        <row r="828">
          <cell r="D828"/>
          <cell r="J828"/>
          <cell r="K828">
            <v>0</v>
          </cell>
        </row>
        <row r="829">
          <cell r="D829"/>
          <cell r="J829"/>
          <cell r="K829"/>
        </row>
        <row r="830">
          <cell r="D830"/>
          <cell r="E830" t="str">
            <v>Hormat Kami,</v>
          </cell>
          <cell r="J830">
            <v>422980.32432432426</v>
          </cell>
          <cell r="K830"/>
        </row>
        <row r="831">
          <cell r="D831"/>
          <cell r="J831"/>
          <cell r="K831"/>
        </row>
        <row r="832">
          <cell r="D832"/>
          <cell r="E832"/>
          <cell r="J832"/>
          <cell r="K832">
            <v>4268256</v>
          </cell>
        </row>
        <row r="833">
          <cell r="D833"/>
          <cell r="E833"/>
          <cell r="J833"/>
          <cell r="K833"/>
        </row>
        <row r="834">
          <cell r="D834"/>
          <cell r="J834" t="str">
            <v>NOVI / CONDRO</v>
          </cell>
          <cell r="K834"/>
        </row>
        <row r="835">
          <cell r="D835"/>
          <cell r="J835"/>
          <cell r="K835"/>
        </row>
        <row r="836">
          <cell r="D836"/>
          <cell r="J836"/>
          <cell r="K836"/>
        </row>
        <row r="837">
          <cell r="D837"/>
          <cell r="E837"/>
          <cell r="J837"/>
          <cell r="K837"/>
        </row>
        <row r="838">
          <cell r="D838" t="str">
            <v>AM</v>
          </cell>
          <cell r="E838">
            <v>23040008</v>
          </cell>
          <cell r="J838"/>
          <cell r="K838"/>
        </row>
        <row r="839">
          <cell r="D839"/>
          <cell r="E839"/>
          <cell r="J839"/>
          <cell r="K839"/>
        </row>
        <row r="840">
          <cell r="D840">
            <v>45028</v>
          </cell>
          <cell r="E840"/>
          <cell r="J840"/>
          <cell r="K840"/>
        </row>
        <row r="841">
          <cell r="D841"/>
          <cell r="E841"/>
          <cell r="J841"/>
          <cell r="K841"/>
        </row>
        <row r="842">
          <cell r="D842" t="str">
            <v>KO 1482</v>
          </cell>
          <cell r="E842"/>
          <cell r="J842"/>
          <cell r="K842"/>
        </row>
        <row r="843">
          <cell r="D843"/>
          <cell r="E843"/>
          <cell r="J843"/>
          <cell r="K843"/>
        </row>
        <row r="844">
          <cell r="D844" t="str">
            <v>C</v>
          </cell>
          <cell r="E844"/>
          <cell r="J844" t="str">
            <v>Disc 2</v>
          </cell>
          <cell r="K844" t="str">
            <v>Amount</v>
          </cell>
        </row>
        <row r="845">
          <cell r="D845"/>
          <cell r="E845"/>
          <cell r="J845"/>
          <cell r="K845"/>
        </row>
        <row r="846">
          <cell r="D846">
            <v>1</v>
          </cell>
          <cell r="E846" t="str">
            <v>STIP / PENGHAPUS JOYKO 526-B20 PUTIH</v>
          </cell>
          <cell r="J846">
            <v>0</v>
          </cell>
          <cell r="K846">
            <v>1474825</v>
          </cell>
        </row>
        <row r="847">
          <cell r="D847">
            <v>1</v>
          </cell>
          <cell r="E847" t="str">
            <v>BALLPEN JOYKO BP-338 VOCUS HITAM</v>
          </cell>
          <cell r="J847">
            <v>0</v>
          </cell>
          <cell r="K847">
            <v>1569456</v>
          </cell>
        </row>
        <row r="848">
          <cell r="D848">
            <v>1</v>
          </cell>
          <cell r="E848" t="str">
            <v>STIP / PENGHAPUS JOYKO 526-B40P PUTIH</v>
          </cell>
          <cell r="J848">
            <v>0</v>
          </cell>
          <cell r="K848">
            <v>1223975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2">
          <cell r="D862"/>
          <cell r="E862"/>
          <cell r="J862"/>
          <cell r="K862"/>
        </row>
        <row r="863">
          <cell r="D863"/>
          <cell r="E863"/>
          <cell r="J863"/>
          <cell r="K863"/>
        </row>
        <row r="864">
          <cell r="D864"/>
          <cell r="E864"/>
          <cell r="J864">
            <v>4268256</v>
          </cell>
          <cell r="K864"/>
        </row>
        <row r="865">
          <cell r="D865"/>
          <cell r="E865"/>
          <cell r="J865"/>
          <cell r="K865"/>
        </row>
        <row r="866">
          <cell r="D866"/>
          <cell r="E866"/>
          <cell r="J866">
            <v>0</v>
          </cell>
          <cell r="K866">
            <v>0</v>
          </cell>
        </row>
        <row r="867">
          <cell r="D867"/>
          <cell r="E867"/>
          <cell r="J867"/>
          <cell r="K867"/>
        </row>
        <row r="868">
          <cell r="D868"/>
          <cell r="E868" t="str">
            <v>Hormat Kami,</v>
          </cell>
          <cell r="J868">
            <v>422980.32432432426</v>
          </cell>
          <cell r="K868"/>
        </row>
        <row r="869">
          <cell r="D869"/>
          <cell r="E869"/>
          <cell r="J869"/>
          <cell r="K869"/>
        </row>
        <row r="870">
          <cell r="D870"/>
          <cell r="E870"/>
          <cell r="J870"/>
          <cell r="K870">
            <v>4268256</v>
          </cell>
        </row>
        <row r="871">
          <cell r="D871"/>
          <cell r="E871"/>
          <cell r="J871"/>
          <cell r="K871"/>
        </row>
        <row r="872">
          <cell r="D872"/>
          <cell r="E872"/>
          <cell r="J872" t="str">
            <v>NOVI / CONDRO</v>
          </cell>
          <cell r="K872"/>
        </row>
        <row r="873">
          <cell r="D873"/>
          <cell r="E873"/>
          <cell r="J873">
            <v>0</v>
          </cell>
          <cell r="K873"/>
        </row>
        <row r="874">
          <cell r="D874"/>
          <cell r="E874"/>
          <cell r="J874"/>
          <cell r="K874"/>
        </row>
        <row r="875">
          <cell r="D875"/>
          <cell r="E875"/>
          <cell r="J875"/>
          <cell r="K875"/>
        </row>
        <row r="876">
          <cell r="D876" t="str">
            <v>AM</v>
          </cell>
          <cell r="E876">
            <v>23040008</v>
          </cell>
          <cell r="J876"/>
          <cell r="K876"/>
        </row>
        <row r="877">
          <cell r="D877"/>
          <cell r="E877"/>
          <cell r="J877"/>
          <cell r="K877"/>
        </row>
        <row r="878">
          <cell r="D878">
            <v>45028</v>
          </cell>
          <cell r="E878"/>
          <cell r="J878"/>
          <cell r="K878"/>
        </row>
        <row r="879">
          <cell r="D879"/>
          <cell r="E879"/>
          <cell r="J879"/>
          <cell r="K879"/>
        </row>
        <row r="880">
          <cell r="D880" t="str">
            <v>KO 1482</v>
          </cell>
          <cell r="E880"/>
          <cell r="J880"/>
          <cell r="K880"/>
        </row>
        <row r="881">
          <cell r="D881"/>
          <cell r="E881"/>
          <cell r="J881"/>
          <cell r="K881"/>
        </row>
        <row r="882">
          <cell r="D882" t="str">
            <v>C</v>
          </cell>
          <cell r="E882"/>
          <cell r="J882" t="str">
            <v>Disc 2</v>
          </cell>
          <cell r="K882" t="str">
            <v>Amount</v>
          </cell>
        </row>
        <row r="883">
          <cell r="D883"/>
          <cell r="E883"/>
          <cell r="J883"/>
          <cell r="K883"/>
        </row>
        <row r="884">
          <cell r="D884">
            <v>1</v>
          </cell>
          <cell r="E884" t="str">
            <v>STIP / PENGHAPUS JOYKO 526-B20 PUTIH</v>
          </cell>
          <cell r="J884">
            <v>0</v>
          </cell>
          <cell r="K884">
            <v>1474825</v>
          </cell>
        </row>
        <row r="885">
          <cell r="D885">
            <v>1</v>
          </cell>
          <cell r="E885" t="str">
            <v>BALLPEN JOYKO BP-338 VOCUS HITAM</v>
          </cell>
          <cell r="J885">
            <v>0</v>
          </cell>
          <cell r="K885">
            <v>1569456</v>
          </cell>
        </row>
        <row r="886">
          <cell r="D886">
            <v>1</v>
          </cell>
          <cell r="E886" t="str">
            <v>STIP / PENGHAPUS JOYKO 526-B40P PUTIH</v>
          </cell>
          <cell r="J886">
            <v>0</v>
          </cell>
          <cell r="K886">
            <v>1223975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0">
          <cell r="D900"/>
          <cell r="E900"/>
          <cell r="J900"/>
          <cell r="K900"/>
        </row>
        <row r="901">
          <cell r="D901"/>
          <cell r="E901"/>
          <cell r="J901"/>
          <cell r="K901"/>
        </row>
        <row r="902">
          <cell r="D902"/>
          <cell r="E902"/>
          <cell r="J902">
            <v>4268256</v>
          </cell>
          <cell r="K902"/>
        </row>
        <row r="903">
          <cell r="D903"/>
          <cell r="E903"/>
          <cell r="J903"/>
          <cell r="K903"/>
        </row>
        <row r="904">
          <cell r="D904"/>
          <cell r="E904"/>
          <cell r="J904">
            <v>0</v>
          </cell>
          <cell r="K904">
            <v>0</v>
          </cell>
        </row>
        <row r="905">
          <cell r="D905"/>
          <cell r="E905"/>
          <cell r="J905"/>
          <cell r="K905"/>
        </row>
        <row r="906">
          <cell r="D906"/>
          <cell r="E906" t="str">
            <v>Hormat Kami,</v>
          </cell>
          <cell r="J906">
            <v>422980.32432432426</v>
          </cell>
          <cell r="K906"/>
        </row>
        <row r="907">
          <cell r="D907"/>
          <cell r="E907"/>
          <cell r="J907"/>
          <cell r="K907"/>
        </row>
        <row r="908">
          <cell r="D908"/>
          <cell r="E908"/>
          <cell r="J908"/>
          <cell r="K908">
            <v>4268256</v>
          </cell>
        </row>
        <row r="909">
          <cell r="D909"/>
          <cell r="E909"/>
          <cell r="J909"/>
          <cell r="K909"/>
        </row>
        <row r="910">
          <cell r="D910"/>
          <cell r="E910"/>
          <cell r="J910" t="str">
            <v>NOVI / CONDRO</v>
          </cell>
          <cell r="K910"/>
        </row>
        <row r="911">
          <cell r="D911"/>
          <cell r="E911"/>
          <cell r="J911">
            <v>0</v>
          </cell>
          <cell r="K911"/>
        </row>
        <row r="912">
          <cell r="D912"/>
          <cell r="E912"/>
          <cell r="J912"/>
          <cell r="K912"/>
        </row>
        <row r="913">
          <cell r="D913"/>
          <cell r="J913"/>
        </row>
        <row r="914">
          <cell r="D914" t="str">
            <v>AM</v>
          </cell>
          <cell r="E914">
            <v>23040009</v>
          </cell>
          <cell r="J914"/>
          <cell r="K914"/>
        </row>
        <row r="915">
          <cell r="D915"/>
          <cell r="E915"/>
          <cell r="J915"/>
          <cell r="K915"/>
        </row>
        <row r="916">
          <cell r="D916">
            <v>45030</v>
          </cell>
          <cell r="E916"/>
          <cell r="J916"/>
          <cell r="K916"/>
        </row>
        <row r="917">
          <cell r="D917"/>
          <cell r="E917"/>
          <cell r="J917"/>
          <cell r="K917"/>
        </row>
        <row r="918">
          <cell r="D918" t="str">
            <v>KO 4010</v>
          </cell>
          <cell r="E918"/>
          <cell r="J918"/>
          <cell r="K918"/>
        </row>
        <row r="919">
          <cell r="D919"/>
          <cell r="J919"/>
          <cell r="K919"/>
        </row>
        <row r="920">
          <cell r="D920" t="str">
            <v>C</v>
          </cell>
          <cell r="E920"/>
          <cell r="J920" t="str">
            <v>Disc 2</v>
          </cell>
          <cell r="K920" t="str">
            <v>Amount</v>
          </cell>
        </row>
        <row r="921">
          <cell r="D921"/>
          <cell r="E921"/>
          <cell r="J921"/>
          <cell r="K921"/>
        </row>
        <row r="922">
          <cell r="D922">
            <v>1</v>
          </cell>
          <cell r="E922" t="str">
            <v>PENCIL CASE 22 x 7.5 MAGNET C-1758</v>
          </cell>
          <cell r="J922"/>
          <cell r="K922">
            <v>1800000</v>
          </cell>
        </row>
        <row r="923">
          <cell r="D923"/>
          <cell r="E923"/>
          <cell r="J923"/>
          <cell r="K923">
            <v>0</v>
          </cell>
        </row>
        <row r="924">
          <cell r="D924"/>
          <cell r="E924"/>
          <cell r="J924"/>
          <cell r="K924">
            <v>0</v>
          </cell>
        </row>
        <row r="925">
          <cell r="D925"/>
          <cell r="E925"/>
          <cell r="J925"/>
          <cell r="K925">
            <v>0</v>
          </cell>
        </row>
        <row r="926">
          <cell r="D926"/>
          <cell r="E926"/>
          <cell r="J926"/>
          <cell r="K926">
            <v>0</v>
          </cell>
        </row>
        <row r="927">
          <cell r="D927"/>
          <cell r="E927"/>
          <cell r="J927"/>
          <cell r="K927">
            <v>0</v>
          </cell>
        </row>
        <row r="928">
          <cell r="D928"/>
          <cell r="E928"/>
          <cell r="J928"/>
          <cell r="K928">
            <v>0</v>
          </cell>
        </row>
        <row r="929">
          <cell r="D929"/>
          <cell r="E929"/>
          <cell r="J929"/>
          <cell r="K929">
            <v>0</v>
          </cell>
        </row>
        <row r="930">
          <cell r="D930"/>
          <cell r="E930"/>
          <cell r="J930"/>
          <cell r="K930">
            <v>0</v>
          </cell>
        </row>
        <row r="931">
          <cell r="D931"/>
          <cell r="E931"/>
          <cell r="J931"/>
          <cell r="K931">
            <v>0</v>
          </cell>
        </row>
        <row r="932">
          <cell r="D932"/>
          <cell r="E932"/>
          <cell r="J932"/>
          <cell r="K932">
            <v>0</v>
          </cell>
        </row>
        <row r="933">
          <cell r="D933"/>
          <cell r="E933"/>
          <cell r="J933"/>
          <cell r="K933">
            <v>0</v>
          </cell>
        </row>
        <row r="934">
          <cell r="D934"/>
          <cell r="E934"/>
          <cell r="J934"/>
          <cell r="K934">
            <v>0</v>
          </cell>
        </row>
        <row r="935">
          <cell r="D935"/>
          <cell r="E935"/>
          <cell r="J935"/>
          <cell r="K935">
            <v>0</v>
          </cell>
        </row>
        <row r="936">
          <cell r="D936"/>
          <cell r="E936"/>
          <cell r="J936"/>
          <cell r="K936">
            <v>0</v>
          </cell>
        </row>
        <row r="937">
          <cell r="D937"/>
          <cell r="E937"/>
          <cell r="J937"/>
          <cell r="K937">
            <v>0</v>
          </cell>
        </row>
        <row r="938">
          <cell r="D938"/>
          <cell r="E938"/>
          <cell r="J938"/>
          <cell r="K938"/>
        </row>
        <row r="939">
          <cell r="D939"/>
          <cell r="E939"/>
          <cell r="J939"/>
          <cell r="K939"/>
        </row>
        <row r="940">
          <cell r="D940"/>
          <cell r="J940">
            <v>1800000</v>
          </cell>
          <cell r="K940"/>
        </row>
        <row r="941">
          <cell r="D941"/>
          <cell r="J941"/>
          <cell r="K941"/>
        </row>
        <row r="942">
          <cell r="D942"/>
          <cell r="J942"/>
          <cell r="K942">
            <v>0</v>
          </cell>
        </row>
        <row r="943">
          <cell r="D943"/>
          <cell r="J943"/>
          <cell r="K943"/>
        </row>
        <row r="944">
          <cell r="D944"/>
          <cell r="E944" t="str">
            <v>Hormat Kami,</v>
          </cell>
          <cell r="J944">
            <v>178378.37837837837</v>
          </cell>
          <cell r="K944"/>
        </row>
        <row r="945">
          <cell r="D945"/>
          <cell r="J945"/>
          <cell r="K945"/>
        </row>
        <row r="946">
          <cell r="D946"/>
          <cell r="E946"/>
          <cell r="J946"/>
          <cell r="K946">
            <v>1800000</v>
          </cell>
        </row>
        <row r="947">
          <cell r="D947"/>
          <cell r="E947"/>
          <cell r="J947"/>
          <cell r="K947"/>
        </row>
        <row r="948">
          <cell r="D948"/>
          <cell r="J948" t="str">
            <v>NOVI / YO</v>
          </cell>
          <cell r="K948"/>
        </row>
        <row r="949">
          <cell r="D949"/>
          <cell r="J949"/>
          <cell r="K949"/>
        </row>
        <row r="950">
          <cell r="D950"/>
          <cell r="J950"/>
          <cell r="K950"/>
        </row>
        <row r="951">
          <cell r="D951"/>
          <cell r="E951"/>
          <cell r="J951"/>
          <cell r="K951"/>
        </row>
        <row r="952">
          <cell r="D952" t="str">
            <v>AM</v>
          </cell>
          <cell r="E952">
            <v>23040009</v>
          </cell>
          <cell r="J952"/>
          <cell r="K952"/>
        </row>
        <row r="953">
          <cell r="D953"/>
          <cell r="E953"/>
          <cell r="J953"/>
          <cell r="K953"/>
        </row>
        <row r="954">
          <cell r="D954">
            <v>45030</v>
          </cell>
          <cell r="E954"/>
          <cell r="J954"/>
          <cell r="K954"/>
        </row>
        <row r="955">
          <cell r="D955"/>
          <cell r="E955"/>
          <cell r="J955"/>
          <cell r="K955"/>
        </row>
        <row r="956">
          <cell r="D956" t="str">
            <v>KO 4010</v>
          </cell>
          <cell r="E956"/>
          <cell r="J956"/>
          <cell r="K956"/>
        </row>
        <row r="957">
          <cell r="D957"/>
          <cell r="E957"/>
          <cell r="J957"/>
          <cell r="K957"/>
        </row>
        <row r="958">
          <cell r="D958" t="str">
            <v>C</v>
          </cell>
          <cell r="E958"/>
          <cell r="J958" t="str">
            <v>Disc 2</v>
          </cell>
          <cell r="K958" t="str">
            <v>Amount</v>
          </cell>
        </row>
        <row r="959">
          <cell r="D959"/>
          <cell r="E959"/>
          <cell r="J959"/>
          <cell r="K959"/>
        </row>
        <row r="960">
          <cell r="D960">
            <v>1</v>
          </cell>
          <cell r="E960" t="str">
            <v>PENCIL CASE 22 x 7.5 MAGNET C-1758</v>
          </cell>
          <cell r="J960">
            <v>0</v>
          </cell>
          <cell r="K960">
            <v>1800000</v>
          </cell>
        </row>
        <row r="961">
          <cell r="D961">
            <v>0</v>
          </cell>
          <cell r="E961">
            <v>0</v>
          </cell>
          <cell r="J961">
            <v>0</v>
          </cell>
          <cell r="K961">
            <v>0</v>
          </cell>
        </row>
        <row r="962">
          <cell r="D962">
            <v>0</v>
          </cell>
          <cell r="E962">
            <v>0</v>
          </cell>
          <cell r="J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J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J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6">
          <cell r="D976"/>
          <cell r="E976"/>
          <cell r="J976"/>
          <cell r="K976"/>
        </row>
        <row r="977">
          <cell r="D977"/>
          <cell r="E977"/>
          <cell r="J977"/>
          <cell r="K977"/>
        </row>
        <row r="978">
          <cell r="D978"/>
          <cell r="E978"/>
          <cell r="J978">
            <v>1800000</v>
          </cell>
          <cell r="K978"/>
        </row>
        <row r="979">
          <cell r="D979"/>
          <cell r="E979"/>
          <cell r="J979"/>
          <cell r="K979"/>
        </row>
        <row r="980">
          <cell r="D980"/>
          <cell r="E980"/>
          <cell r="J980">
            <v>0</v>
          </cell>
          <cell r="K980">
            <v>0</v>
          </cell>
        </row>
        <row r="981">
          <cell r="D981"/>
          <cell r="E981"/>
          <cell r="J981"/>
          <cell r="K981"/>
        </row>
        <row r="982">
          <cell r="D982"/>
          <cell r="E982" t="str">
            <v>Hormat Kami,</v>
          </cell>
          <cell r="J982">
            <v>178378.37837837837</v>
          </cell>
          <cell r="K982"/>
        </row>
        <row r="983">
          <cell r="D983"/>
          <cell r="E983"/>
          <cell r="J983"/>
          <cell r="K983"/>
        </row>
        <row r="984">
          <cell r="D984"/>
          <cell r="E984"/>
          <cell r="J984"/>
          <cell r="K984">
            <v>1800000</v>
          </cell>
        </row>
        <row r="985">
          <cell r="D985"/>
          <cell r="E985"/>
          <cell r="J985"/>
          <cell r="K985"/>
        </row>
        <row r="986">
          <cell r="D986"/>
          <cell r="E986"/>
          <cell r="J986" t="str">
            <v>NOVI / YO</v>
          </cell>
          <cell r="K986"/>
        </row>
        <row r="987">
          <cell r="D987"/>
          <cell r="E987"/>
          <cell r="J987">
            <v>0</v>
          </cell>
          <cell r="K987"/>
        </row>
        <row r="988">
          <cell r="D988"/>
          <cell r="E988"/>
          <cell r="J988"/>
          <cell r="K988"/>
        </row>
        <row r="989">
          <cell r="D989"/>
          <cell r="E989"/>
          <cell r="J989"/>
          <cell r="K989"/>
        </row>
        <row r="990">
          <cell r="D990" t="str">
            <v>AM</v>
          </cell>
          <cell r="E990">
            <v>23040009</v>
          </cell>
          <cell r="J990"/>
          <cell r="K990"/>
        </row>
        <row r="991">
          <cell r="D991"/>
          <cell r="E991"/>
          <cell r="J991"/>
          <cell r="K991"/>
        </row>
        <row r="992">
          <cell r="D992">
            <v>45030</v>
          </cell>
          <cell r="E992"/>
          <cell r="J992"/>
          <cell r="K992"/>
        </row>
        <row r="993">
          <cell r="D993"/>
          <cell r="E993"/>
          <cell r="J993"/>
          <cell r="K993"/>
        </row>
        <row r="994">
          <cell r="D994" t="str">
            <v>KO 4010</v>
          </cell>
          <cell r="E994"/>
          <cell r="J994"/>
          <cell r="K994"/>
        </row>
        <row r="995">
          <cell r="D995"/>
          <cell r="E995"/>
          <cell r="J995"/>
          <cell r="K995"/>
        </row>
        <row r="996">
          <cell r="D996" t="str">
            <v>C</v>
          </cell>
          <cell r="E996"/>
          <cell r="J996" t="str">
            <v>Disc 2</v>
          </cell>
          <cell r="K996" t="str">
            <v>Amount</v>
          </cell>
        </row>
        <row r="997">
          <cell r="D997"/>
          <cell r="E997"/>
          <cell r="J997"/>
          <cell r="K997"/>
        </row>
        <row r="998">
          <cell r="D998">
            <v>1</v>
          </cell>
          <cell r="E998" t="str">
            <v>PENCIL CASE 22 x 7.5 MAGNET C-1758</v>
          </cell>
          <cell r="J998">
            <v>0</v>
          </cell>
          <cell r="K998">
            <v>1800000</v>
          </cell>
        </row>
        <row r="999">
          <cell r="D999">
            <v>0</v>
          </cell>
          <cell r="E999">
            <v>0</v>
          </cell>
          <cell r="J999">
            <v>0</v>
          </cell>
          <cell r="K999">
            <v>0</v>
          </cell>
        </row>
        <row r="1000">
          <cell r="D1000">
            <v>0</v>
          </cell>
          <cell r="E1000">
            <v>0</v>
          </cell>
          <cell r="J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J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J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4">
          <cell r="D1014"/>
          <cell r="E1014"/>
          <cell r="J1014"/>
          <cell r="K1014"/>
        </row>
        <row r="1015">
          <cell r="D1015"/>
          <cell r="E1015"/>
          <cell r="J1015"/>
          <cell r="K1015"/>
        </row>
        <row r="1016">
          <cell r="D1016"/>
          <cell r="E1016"/>
          <cell r="J1016">
            <v>1800000</v>
          </cell>
          <cell r="K1016"/>
        </row>
        <row r="1017">
          <cell r="D1017"/>
          <cell r="E1017"/>
          <cell r="J1017"/>
          <cell r="K1017"/>
        </row>
        <row r="1018">
          <cell r="D1018"/>
          <cell r="E1018"/>
          <cell r="J1018">
            <v>0</v>
          </cell>
          <cell r="K1018">
            <v>0</v>
          </cell>
        </row>
        <row r="1019">
          <cell r="D1019"/>
          <cell r="E1019"/>
          <cell r="J1019"/>
          <cell r="K1019"/>
        </row>
        <row r="1020">
          <cell r="D1020"/>
          <cell r="E1020" t="str">
            <v>Hormat Kami,</v>
          </cell>
          <cell r="J1020">
            <v>178378.37837837837</v>
          </cell>
          <cell r="K1020"/>
        </row>
        <row r="1021">
          <cell r="D1021"/>
          <cell r="E1021"/>
          <cell r="J1021"/>
          <cell r="K1021"/>
        </row>
        <row r="1022">
          <cell r="D1022"/>
          <cell r="E1022"/>
          <cell r="J1022"/>
          <cell r="K1022">
            <v>1800000</v>
          </cell>
        </row>
        <row r="1023">
          <cell r="D1023"/>
          <cell r="E1023"/>
          <cell r="J1023"/>
          <cell r="K1023"/>
        </row>
        <row r="1024">
          <cell r="D1024"/>
          <cell r="E1024"/>
          <cell r="J1024" t="str">
            <v>NOVI / YO</v>
          </cell>
          <cell r="K1024"/>
        </row>
        <row r="1025">
          <cell r="D1025"/>
          <cell r="E1025"/>
          <cell r="J1025">
            <v>0</v>
          </cell>
          <cell r="K1025"/>
        </row>
        <row r="1026">
          <cell r="D1026"/>
          <cell r="E1026"/>
          <cell r="J1026"/>
          <cell r="K1026"/>
        </row>
        <row r="1027">
          <cell r="D1027"/>
          <cell r="J1027"/>
        </row>
        <row r="1028">
          <cell r="D1028" t="str">
            <v>AM</v>
          </cell>
          <cell r="E1028">
            <v>23040010</v>
          </cell>
          <cell r="J1028"/>
          <cell r="K1028"/>
        </row>
        <row r="1029">
          <cell r="D1029"/>
          <cell r="E1029"/>
          <cell r="J1029"/>
          <cell r="K1029"/>
        </row>
        <row r="1030">
          <cell r="D1030">
            <v>45030</v>
          </cell>
          <cell r="E1030"/>
          <cell r="J1030"/>
          <cell r="K1030"/>
        </row>
        <row r="1031">
          <cell r="D1031"/>
          <cell r="E1031"/>
          <cell r="J1031"/>
          <cell r="K1031"/>
        </row>
        <row r="1032">
          <cell r="D1032" t="str">
            <v>G 2944</v>
          </cell>
          <cell r="E1032"/>
          <cell r="J1032"/>
          <cell r="K1032"/>
        </row>
        <row r="1033">
          <cell r="D1033"/>
          <cell r="J1033"/>
          <cell r="K1033"/>
        </row>
        <row r="1034">
          <cell r="D1034" t="str">
            <v>C</v>
          </cell>
          <cell r="E1034"/>
          <cell r="J1034" t="str">
            <v>Disc 2</v>
          </cell>
          <cell r="K1034" t="str">
            <v>Amount</v>
          </cell>
        </row>
        <row r="1035">
          <cell r="D1035"/>
          <cell r="E1035"/>
          <cell r="J1035"/>
          <cell r="K1035"/>
        </row>
        <row r="1036">
          <cell r="D1036"/>
          <cell r="E1036" t="str">
            <v>PENSIL WARNA KAYAGI KY-CP1224 TWIN</v>
          </cell>
          <cell r="J1036"/>
          <cell r="K1036">
            <v>298000</v>
          </cell>
        </row>
        <row r="1037">
          <cell r="D1037"/>
          <cell r="E1037" t="str">
            <v>HIGHLIGHTER / STABILLO TIZO TF-616 (isi 24 pc)</v>
          </cell>
          <cell r="J1037"/>
          <cell r="K1037">
            <v>114000</v>
          </cell>
        </row>
        <row r="1038">
          <cell r="D1038"/>
          <cell r="E1038" t="str">
            <v>HIGHLIGHTER / STABILLO TIZO TF-610 (isi 54 pc)</v>
          </cell>
          <cell r="J1038"/>
          <cell r="K1038">
            <v>244000</v>
          </cell>
        </row>
        <row r="1039">
          <cell r="D1039"/>
          <cell r="E1039" t="str">
            <v>GEL PEN TIZO TG30801-EL</v>
          </cell>
          <cell r="J1039"/>
          <cell r="K1039">
            <v>129500</v>
          </cell>
        </row>
        <row r="1040">
          <cell r="D1040"/>
          <cell r="E1040" t="str">
            <v>GEL PEN TIZO TG31590-EL</v>
          </cell>
          <cell r="J1040"/>
          <cell r="K1040">
            <v>222000</v>
          </cell>
        </row>
        <row r="1041">
          <cell r="D1041"/>
          <cell r="E1041" t="str">
            <v>GEL PEN TIZO TG31762-EL</v>
          </cell>
          <cell r="J1041"/>
          <cell r="K1041">
            <v>37000</v>
          </cell>
        </row>
        <row r="1042">
          <cell r="D1042"/>
          <cell r="E1042" t="str">
            <v>COLOR BRUSH PEN KENKO DBP-12 DUAL TIP  (12 WARNA)</v>
          </cell>
          <cell r="J1042"/>
          <cell r="K1042">
            <v>270000</v>
          </cell>
        </row>
        <row r="1043">
          <cell r="D1043"/>
          <cell r="E1043" t="str">
            <v>TAPE DISPENSER POLAR BEAR MN-305 @12pc</v>
          </cell>
          <cell r="J1043"/>
          <cell r="K1043">
            <v>210000</v>
          </cell>
        </row>
        <row r="1044">
          <cell r="D1044"/>
          <cell r="E1044"/>
          <cell r="J1044"/>
          <cell r="K1044">
            <v>0</v>
          </cell>
        </row>
        <row r="1045">
          <cell r="D1045"/>
          <cell r="E1045"/>
          <cell r="J1045"/>
          <cell r="K1045">
            <v>0</v>
          </cell>
        </row>
        <row r="1046">
          <cell r="D1046"/>
          <cell r="E1046"/>
          <cell r="J1046"/>
          <cell r="K1046">
            <v>0</v>
          </cell>
        </row>
        <row r="1047">
          <cell r="D1047"/>
          <cell r="E1047"/>
          <cell r="J1047"/>
          <cell r="K1047">
            <v>0</v>
          </cell>
        </row>
        <row r="1048">
          <cell r="D1048"/>
          <cell r="E1048"/>
          <cell r="J1048"/>
          <cell r="K1048">
            <v>0</v>
          </cell>
        </row>
        <row r="1049">
          <cell r="D1049"/>
          <cell r="E1049"/>
          <cell r="J1049"/>
          <cell r="K1049">
            <v>0</v>
          </cell>
        </row>
        <row r="1050">
          <cell r="D1050"/>
          <cell r="E1050"/>
          <cell r="J1050"/>
          <cell r="K1050">
            <v>0</v>
          </cell>
        </row>
        <row r="1051">
          <cell r="D1051"/>
          <cell r="E1051"/>
          <cell r="J1051"/>
          <cell r="K1051">
            <v>0</v>
          </cell>
        </row>
        <row r="1052">
          <cell r="D1052"/>
          <cell r="E1052"/>
          <cell r="J1052"/>
          <cell r="K1052"/>
        </row>
        <row r="1053">
          <cell r="D1053"/>
          <cell r="E1053"/>
          <cell r="J1053"/>
          <cell r="K1053"/>
        </row>
        <row r="1054">
          <cell r="D1054"/>
          <cell r="J1054">
            <v>1524500</v>
          </cell>
          <cell r="K1054"/>
        </row>
        <row r="1055">
          <cell r="D1055"/>
          <cell r="J1055"/>
          <cell r="K1055"/>
        </row>
        <row r="1056">
          <cell r="D1056"/>
          <cell r="J1056"/>
          <cell r="K1056">
            <v>0</v>
          </cell>
        </row>
        <row r="1057">
          <cell r="D1057"/>
          <cell r="J1057"/>
          <cell r="K1057"/>
        </row>
        <row r="1058">
          <cell r="D1058"/>
          <cell r="E1058" t="str">
            <v>Hormat Kami,</v>
          </cell>
          <cell r="J1058">
            <v>151076.57657657654</v>
          </cell>
          <cell r="K1058"/>
        </row>
        <row r="1059">
          <cell r="D1059"/>
          <cell r="J1059"/>
          <cell r="K1059"/>
        </row>
        <row r="1060">
          <cell r="D1060"/>
          <cell r="E1060"/>
          <cell r="J1060"/>
          <cell r="K1060">
            <v>1524500</v>
          </cell>
        </row>
        <row r="1061">
          <cell r="D1061"/>
          <cell r="E1061"/>
          <cell r="J1061"/>
          <cell r="K1061"/>
        </row>
        <row r="1062">
          <cell r="D1062"/>
          <cell r="J1062" t="str">
            <v>RISMA / YO</v>
          </cell>
          <cell r="K1062"/>
        </row>
        <row r="1063">
          <cell r="D1063"/>
          <cell r="J1063"/>
          <cell r="K1063"/>
        </row>
        <row r="1064">
          <cell r="D1064"/>
          <cell r="J1064"/>
          <cell r="K1064"/>
        </row>
        <row r="1065">
          <cell r="D1065"/>
          <cell r="E1065"/>
          <cell r="J1065"/>
          <cell r="K1065"/>
        </row>
        <row r="1066">
          <cell r="D1066" t="str">
            <v>AM</v>
          </cell>
          <cell r="E1066">
            <v>23040010</v>
          </cell>
          <cell r="J1066"/>
          <cell r="K1066"/>
        </row>
        <row r="1067">
          <cell r="D1067"/>
          <cell r="E1067"/>
          <cell r="J1067"/>
          <cell r="K1067"/>
        </row>
        <row r="1068">
          <cell r="D1068">
            <v>45030</v>
          </cell>
          <cell r="E1068"/>
          <cell r="J1068"/>
          <cell r="K1068"/>
        </row>
        <row r="1069">
          <cell r="D1069"/>
          <cell r="E1069"/>
          <cell r="J1069"/>
          <cell r="K1069"/>
        </row>
        <row r="1070">
          <cell r="D1070" t="str">
            <v>G 2944</v>
          </cell>
          <cell r="E1070"/>
          <cell r="J1070"/>
          <cell r="K1070"/>
        </row>
        <row r="1071">
          <cell r="D1071"/>
          <cell r="E1071"/>
          <cell r="J1071"/>
          <cell r="K1071"/>
        </row>
        <row r="1072">
          <cell r="D1072" t="str">
            <v>C</v>
          </cell>
          <cell r="E1072"/>
          <cell r="J1072" t="str">
            <v>Disc 2</v>
          </cell>
          <cell r="K1072" t="str">
            <v>Amount</v>
          </cell>
        </row>
        <row r="1073">
          <cell r="D1073"/>
          <cell r="E1073"/>
          <cell r="J1073"/>
          <cell r="K1073"/>
        </row>
        <row r="1074">
          <cell r="D1074">
            <v>0</v>
          </cell>
          <cell r="E1074" t="str">
            <v>PENSIL WARNA KAYAGI KY-CP1224 TWIN</v>
          </cell>
          <cell r="J1074">
            <v>0</v>
          </cell>
          <cell r="K1074">
            <v>298000</v>
          </cell>
        </row>
        <row r="1075">
          <cell r="D1075">
            <v>0</v>
          </cell>
          <cell r="E1075" t="str">
            <v>HIGHLIGHTER / STABILLO TIZO TF-616 (isi 24 pc)</v>
          </cell>
          <cell r="J1075">
            <v>0</v>
          </cell>
          <cell r="K1075">
            <v>114000</v>
          </cell>
        </row>
        <row r="1076">
          <cell r="D1076">
            <v>0</v>
          </cell>
          <cell r="E1076" t="str">
            <v>HIGHLIGHTER / STABILLO TIZO TF-610 (isi 54 pc)</v>
          </cell>
          <cell r="J1076">
            <v>0</v>
          </cell>
          <cell r="K1076">
            <v>244000</v>
          </cell>
        </row>
        <row r="1077">
          <cell r="D1077">
            <v>0</v>
          </cell>
          <cell r="E1077" t="str">
            <v>GEL PEN TIZO TG30801-EL</v>
          </cell>
          <cell r="J1077">
            <v>0</v>
          </cell>
          <cell r="K1077">
            <v>129500</v>
          </cell>
        </row>
        <row r="1078">
          <cell r="D1078">
            <v>0</v>
          </cell>
          <cell r="E1078" t="str">
            <v>GEL PEN TIZO TG31590-EL</v>
          </cell>
          <cell r="J1078">
            <v>0</v>
          </cell>
          <cell r="K1078">
            <v>222000</v>
          </cell>
        </row>
        <row r="1079">
          <cell r="D1079">
            <v>0</v>
          </cell>
          <cell r="E1079" t="str">
            <v>GEL PEN TIZO TG31762-EL</v>
          </cell>
          <cell r="J1079">
            <v>0</v>
          </cell>
          <cell r="K1079">
            <v>37000</v>
          </cell>
        </row>
        <row r="1080">
          <cell r="D1080">
            <v>0</v>
          </cell>
          <cell r="E1080" t="str">
            <v>COLOR BRUSH PEN KENKO DBP-12 DUAL TIP  (12 WARNA)</v>
          </cell>
          <cell r="J1080">
            <v>0</v>
          </cell>
          <cell r="K1080">
            <v>270000</v>
          </cell>
        </row>
        <row r="1081">
          <cell r="D1081">
            <v>0</v>
          </cell>
          <cell r="E1081" t="str">
            <v>TAPE DISPENSER POLAR BEAR MN-305 @12pc</v>
          </cell>
          <cell r="J1081">
            <v>0</v>
          </cell>
          <cell r="K1081">
            <v>210000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0">
          <cell r="D1090"/>
          <cell r="E1090"/>
          <cell r="J1090"/>
          <cell r="K1090"/>
        </row>
        <row r="1091">
          <cell r="D1091"/>
          <cell r="E1091"/>
          <cell r="J1091"/>
          <cell r="K1091"/>
        </row>
        <row r="1092">
          <cell r="D1092"/>
          <cell r="E1092"/>
          <cell r="J1092">
            <v>1524500</v>
          </cell>
          <cell r="K1092"/>
        </row>
        <row r="1093">
          <cell r="D1093"/>
          <cell r="E1093"/>
          <cell r="J1093"/>
          <cell r="K1093"/>
        </row>
        <row r="1094">
          <cell r="D1094"/>
          <cell r="E1094"/>
          <cell r="J1094">
            <v>0</v>
          </cell>
          <cell r="K1094">
            <v>0</v>
          </cell>
        </row>
        <row r="1095">
          <cell r="D1095"/>
          <cell r="E1095"/>
          <cell r="J1095"/>
          <cell r="K1095"/>
        </row>
        <row r="1096">
          <cell r="D1096"/>
          <cell r="E1096" t="str">
            <v>Hormat Kami,</v>
          </cell>
          <cell r="J1096">
            <v>151076.57657657654</v>
          </cell>
          <cell r="K1096"/>
        </row>
        <row r="1097">
          <cell r="D1097"/>
          <cell r="E1097"/>
          <cell r="J1097"/>
          <cell r="K1097"/>
        </row>
        <row r="1098">
          <cell r="D1098"/>
          <cell r="E1098"/>
          <cell r="J1098"/>
          <cell r="K1098">
            <v>1524500</v>
          </cell>
        </row>
        <row r="1099">
          <cell r="D1099"/>
          <cell r="E1099"/>
          <cell r="J1099"/>
          <cell r="K1099"/>
        </row>
        <row r="1100">
          <cell r="D1100"/>
          <cell r="E1100"/>
          <cell r="J1100" t="str">
            <v>RISMA / YO</v>
          </cell>
          <cell r="K1100"/>
        </row>
        <row r="1101">
          <cell r="D1101"/>
          <cell r="E1101"/>
          <cell r="J1101">
            <v>0</v>
          </cell>
          <cell r="K1101"/>
        </row>
        <row r="1102">
          <cell r="D1102"/>
          <cell r="E1102"/>
          <cell r="J1102"/>
          <cell r="K1102"/>
        </row>
        <row r="1103">
          <cell r="D1103"/>
          <cell r="E1103"/>
          <cell r="J1103"/>
          <cell r="K1103"/>
        </row>
        <row r="1104">
          <cell r="D1104" t="str">
            <v>AM</v>
          </cell>
          <cell r="E1104">
            <v>23040010</v>
          </cell>
          <cell r="J1104"/>
          <cell r="K1104"/>
        </row>
        <row r="1105">
          <cell r="D1105"/>
          <cell r="E1105"/>
          <cell r="J1105"/>
          <cell r="K1105"/>
        </row>
        <row r="1106">
          <cell r="D1106">
            <v>45030</v>
          </cell>
          <cell r="E1106"/>
          <cell r="J1106"/>
          <cell r="K1106"/>
        </row>
        <row r="1107">
          <cell r="D1107"/>
          <cell r="E1107"/>
          <cell r="J1107"/>
          <cell r="K1107"/>
        </row>
        <row r="1108">
          <cell r="D1108" t="str">
            <v>G 2944</v>
          </cell>
          <cell r="E1108"/>
          <cell r="J1108"/>
          <cell r="K1108"/>
        </row>
        <row r="1109">
          <cell r="D1109"/>
          <cell r="E1109"/>
          <cell r="J1109"/>
          <cell r="K1109"/>
        </row>
        <row r="1110">
          <cell r="D1110" t="str">
            <v>C</v>
          </cell>
          <cell r="E1110"/>
          <cell r="J1110" t="str">
            <v>Disc 2</v>
          </cell>
          <cell r="K1110" t="str">
            <v>Amount</v>
          </cell>
        </row>
        <row r="1111">
          <cell r="D1111"/>
          <cell r="E1111"/>
          <cell r="J1111"/>
          <cell r="K1111"/>
        </row>
        <row r="1112">
          <cell r="D1112">
            <v>0</v>
          </cell>
          <cell r="E1112" t="str">
            <v>PENSIL WARNA KAYAGI KY-CP1224 TWIN</v>
          </cell>
          <cell r="J1112">
            <v>0</v>
          </cell>
          <cell r="K1112">
            <v>298000</v>
          </cell>
        </row>
        <row r="1113">
          <cell r="D1113">
            <v>0</v>
          </cell>
          <cell r="E1113" t="str">
            <v>HIGHLIGHTER / STABILLO TIZO TF-616 (isi 24 pc)</v>
          </cell>
          <cell r="J1113">
            <v>0</v>
          </cell>
          <cell r="K1113">
            <v>114000</v>
          </cell>
        </row>
        <row r="1114">
          <cell r="D1114">
            <v>0</v>
          </cell>
          <cell r="E1114" t="str">
            <v>HIGHLIGHTER / STABILLO TIZO TF-610 (isi 54 pc)</v>
          </cell>
          <cell r="J1114">
            <v>0</v>
          </cell>
          <cell r="K1114">
            <v>244000</v>
          </cell>
        </row>
        <row r="1115">
          <cell r="D1115">
            <v>0</v>
          </cell>
          <cell r="E1115" t="str">
            <v>GEL PEN TIZO TG30801-EL</v>
          </cell>
          <cell r="J1115">
            <v>0</v>
          </cell>
          <cell r="K1115">
            <v>129500</v>
          </cell>
        </row>
        <row r="1116">
          <cell r="D1116">
            <v>0</v>
          </cell>
          <cell r="E1116" t="str">
            <v>GEL PEN TIZO TG31590-EL</v>
          </cell>
          <cell r="J1116">
            <v>0</v>
          </cell>
          <cell r="K1116">
            <v>222000</v>
          </cell>
        </row>
        <row r="1117">
          <cell r="D1117">
            <v>0</v>
          </cell>
          <cell r="E1117" t="str">
            <v>GEL PEN TIZO TG31762-EL</v>
          </cell>
          <cell r="J1117">
            <v>0</v>
          </cell>
          <cell r="K1117">
            <v>37000</v>
          </cell>
        </row>
        <row r="1118">
          <cell r="D1118">
            <v>0</v>
          </cell>
          <cell r="E1118" t="str">
            <v>COLOR BRUSH PEN KENKO DBP-12 DUAL TIP  (12 WARNA)</v>
          </cell>
          <cell r="J1118">
            <v>0</v>
          </cell>
          <cell r="K1118">
            <v>270000</v>
          </cell>
        </row>
        <row r="1119">
          <cell r="D1119">
            <v>0</v>
          </cell>
          <cell r="E1119" t="str">
            <v>TAPE DISPENSER POLAR BEAR MN-305 @12pc</v>
          </cell>
          <cell r="J1119">
            <v>0</v>
          </cell>
          <cell r="K1119">
            <v>210000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28">
          <cell r="D1128"/>
          <cell r="E1128"/>
          <cell r="J1128"/>
          <cell r="K1128"/>
        </row>
        <row r="1129">
          <cell r="D1129"/>
          <cell r="E1129"/>
          <cell r="J1129"/>
          <cell r="K1129"/>
        </row>
        <row r="1130">
          <cell r="D1130"/>
          <cell r="E1130"/>
          <cell r="J1130">
            <v>1524500</v>
          </cell>
          <cell r="K1130"/>
        </row>
        <row r="1131">
          <cell r="D1131"/>
          <cell r="E1131"/>
          <cell r="J1131"/>
          <cell r="K1131"/>
        </row>
        <row r="1132">
          <cell r="D1132"/>
          <cell r="E1132"/>
          <cell r="J1132">
            <v>0</v>
          </cell>
          <cell r="K1132">
            <v>0</v>
          </cell>
        </row>
        <row r="1133">
          <cell r="D1133"/>
          <cell r="E1133"/>
          <cell r="J1133"/>
          <cell r="K1133"/>
        </row>
        <row r="1134">
          <cell r="D1134"/>
          <cell r="E1134" t="str">
            <v>Hormat Kami,</v>
          </cell>
          <cell r="J1134">
            <v>151076.57657657654</v>
          </cell>
          <cell r="K1134"/>
        </row>
        <row r="1135">
          <cell r="D1135"/>
          <cell r="E1135"/>
          <cell r="J1135"/>
          <cell r="K1135"/>
        </row>
        <row r="1136">
          <cell r="D1136"/>
          <cell r="E1136"/>
          <cell r="J1136"/>
          <cell r="K1136">
            <v>1524500</v>
          </cell>
        </row>
        <row r="1137">
          <cell r="D1137"/>
          <cell r="E1137"/>
          <cell r="J1137"/>
          <cell r="K1137"/>
        </row>
        <row r="1138">
          <cell r="D1138"/>
          <cell r="E1138"/>
          <cell r="J1138" t="str">
            <v>RISMA / YO</v>
          </cell>
          <cell r="K1138"/>
        </row>
        <row r="1139">
          <cell r="D1139"/>
          <cell r="E1139"/>
          <cell r="J1139">
            <v>0</v>
          </cell>
          <cell r="K1139"/>
        </row>
        <row r="1140">
          <cell r="D1140"/>
          <cell r="E1140"/>
          <cell r="J1140"/>
          <cell r="K1140"/>
        </row>
        <row r="1141">
          <cell r="D1141"/>
          <cell r="J1141"/>
        </row>
        <row r="1142">
          <cell r="D1142" t="str">
            <v>AM</v>
          </cell>
          <cell r="E1142">
            <v>23040011</v>
          </cell>
          <cell r="J1142"/>
          <cell r="K1142"/>
        </row>
        <row r="1143">
          <cell r="D1143"/>
          <cell r="E1143"/>
          <cell r="J1143"/>
          <cell r="K1143"/>
        </row>
        <row r="1144">
          <cell r="D1144">
            <v>45031</v>
          </cell>
          <cell r="E1144"/>
          <cell r="J1144"/>
          <cell r="K1144"/>
        </row>
        <row r="1145">
          <cell r="D1145"/>
          <cell r="E1145"/>
          <cell r="J1145"/>
          <cell r="K1145"/>
        </row>
        <row r="1146">
          <cell r="D1146" t="str">
            <v>KO 2945</v>
          </cell>
          <cell r="E1146"/>
          <cell r="J1146"/>
          <cell r="K1146"/>
        </row>
        <row r="1147">
          <cell r="D1147"/>
          <cell r="J1147"/>
          <cell r="K1147"/>
        </row>
        <row r="1148">
          <cell r="D1148" t="str">
            <v>C</v>
          </cell>
          <cell r="E1148"/>
          <cell r="J1148" t="str">
            <v>Disc 2</v>
          </cell>
          <cell r="K1148" t="str">
            <v>Amount</v>
          </cell>
        </row>
        <row r="1149">
          <cell r="D1149"/>
          <cell r="E1149"/>
          <cell r="J1149"/>
          <cell r="K1149"/>
        </row>
        <row r="1150">
          <cell r="D1150" t="str">
            <v/>
          </cell>
          <cell r="E1150" t="str">
            <v>CORRECTION TAPE KENKO CT-606 (6M x 5MM)</v>
          </cell>
          <cell r="J1150"/>
          <cell r="K1150">
            <v>264600</v>
          </cell>
        </row>
        <row r="1151">
          <cell r="D1151" t="str">
            <v/>
          </cell>
          <cell r="E1151" t="str">
            <v>PUNCH KENKO NO. 40</v>
          </cell>
          <cell r="J1151"/>
          <cell r="K1151">
            <v>761400</v>
          </cell>
        </row>
        <row r="1152">
          <cell r="D1152"/>
          <cell r="E1152"/>
          <cell r="J1152"/>
          <cell r="K1152">
            <v>0</v>
          </cell>
        </row>
        <row r="1153">
          <cell r="D1153"/>
          <cell r="E1153"/>
          <cell r="J1153"/>
          <cell r="K1153">
            <v>0</v>
          </cell>
        </row>
        <row r="1154">
          <cell r="D1154"/>
          <cell r="E1154"/>
          <cell r="J1154"/>
          <cell r="K1154">
            <v>0</v>
          </cell>
        </row>
        <row r="1155">
          <cell r="D1155"/>
          <cell r="E1155"/>
          <cell r="J1155"/>
          <cell r="K1155">
            <v>0</v>
          </cell>
        </row>
        <row r="1156">
          <cell r="D1156"/>
          <cell r="E1156"/>
          <cell r="J1156"/>
          <cell r="K1156">
            <v>0</v>
          </cell>
        </row>
        <row r="1157">
          <cell r="D1157"/>
          <cell r="E1157"/>
          <cell r="J1157"/>
          <cell r="K1157">
            <v>0</v>
          </cell>
        </row>
        <row r="1158">
          <cell r="D1158"/>
          <cell r="E1158"/>
          <cell r="J1158"/>
          <cell r="K1158">
            <v>0</v>
          </cell>
        </row>
        <row r="1159">
          <cell r="D1159"/>
          <cell r="E1159"/>
          <cell r="J1159"/>
          <cell r="K1159">
            <v>0</v>
          </cell>
        </row>
        <row r="1160">
          <cell r="D1160"/>
          <cell r="E1160"/>
          <cell r="J1160"/>
          <cell r="K1160">
            <v>0</v>
          </cell>
        </row>
        <row r="1161">
          <cell r="D1161"/>
          <cell r="E1161"/>
          <cell r="J1161"/>
          <cell r="K1161">
            <v>0</v>
          </cell>
        </row>
        <row r="1162">
          <cell r="D1162"/>
          <cell r="E1162"/>
          <cell r="J1162"/>
          <cell r="K1162">
            <v>0</v>
          </cell>
        </row>
        <row r="1163">
          <cell r="D1163"/>
          <cell r="E1163"/>
          <cell r="J1163"/>
          <cell r="K1163">
            <v>0</v>
          </cell>
        </row>
        <row r="1164">
          <cell r="D1164"/>
          <cell r="E1164"/>
          <cell r="J1164"/>
          <cell r="K1164">
            <v>0</v>
          </cell>
        </row>
        <row r="1165">
          <cell r="D1165"/>
          <cell r="E1165"/>
          <cell r="J1165"/>
          <cell r="K1165">
            <v>0</v>
          </cell>
        </row>
        <row r="1166">
          <cell r="D1166"/>
          <cell r="E1166"/>
          <cell r="J1166"/>
          <cell r="K1166"/>
        </row>
        <row r="1167">
          <cell r="D1167"/>
          <cell r="E1167"/>
          <cell r="J1167"/>
          <cell r="K1167"/>
        </row>
        <row r="1168">
          <cell r="D1168"/>
          <cell r="J1168">
            <v>1026000</v>
          </cell>
          <cell r="K1168"/>
        </row>
        <row r="1169">
          <cell r="D1169"/>
          <cell r="J1169"/>
          <cell r="K1169"/>
        </row>
        <row r="1170">
          <cell r="D1170"/>
          <cell r="J1170"/>
          <cell r="K1170">
            <v>0</v>
          </cell>
        </row>
        <row r="1171">
          <cell r="D1171"/>
          <cell r="J1171"/>
          <cell r="K1171"/>
        </row>
        <row r="1172">
          <cell r="D1172"/>
          <cell r="E1172" t="str">
            <v>Hormat Kami,</v>
          </cell>
          <cell r="J1172">
            <v>101675.67567567567</v>
          </cell>
          <cell r="K1172"/>
        </row>
        <row r="1173">
          <cell r="D1173"/>
          <cell r="J1173"/>
          <cell r="K1173"/>
        </row>
        <row r="1174">
          <cell r="D1174"/>
          <cell r="E1174"/>
          <cell r="J1174"/>
          <cell r="K1174">
            <v>1026000</v>
          </cell>
        </row>
        <row r="1175">
          <cell r="D1175"/>
          <cell r="E1175"/>
          <cell r="J1175"/>
          <cell r="K1175"/>
        </row>
        <row r="1176">
          <cell r="D1176"/>
          <cell r="J1176" t="str">
            <v>NOVI / CONDRO</v>
          </cell>
          <cell r="K1176"/>
        </row>
        <row r="1177">
          <cell r="D1177"/>
          <cell r="J1177"/>
          <cell r="K1177"/>
        </row>
        <row r="1178">
          <cell r="D1178"/>
          <cell r="J1178"/>
          <cell r="K1178"/>
        </row>
        <row r="1179">
          <cell r="D1179"/>
          <cell r="E1179"/>
          <cell r="J1179"/>
          <cell r="K1179"/>
        </row>
        <row r="1180">
          <cell r="D1180" t="str">
            <v>AM</v>
          </cell>
          <cell r="E1180">
            <v>23040011</v>
          </cell>
          <cell r="J1180"/>
          <cell r="K1180"/>
        </row>
        <row r="1181">
          <cell r="D1181"/>
          <cell r="E1181"/>
          <cell r="J1181"/>
          <cell r="K1181"/>
        </row>
        <row r="1182">
          <cell r="D1182">
            <v>45031</v>
          </cell>
          <cell r="E1182"/>
          <cell r="J1182"/>
          <cell r="K1182"/>
        </row>
        <row r="1183">
          <cell r="D1183"/>
          <cell r="E1183"/>
          <cell r="J1183"/>
          <cell r="K1183"/>
        </row>
        <row r="1184">
          <cell r="D1184" t="str">
            <v>KO 2945</v>
          </cell>
          <cell r="E1184"/>
          <cell r="J1184"/>
          <cell r="K1184"/>
        </row>
        <row r="1185">
          <cell r="D1185"/>
          <cell r="E1185"/>
          <cell r="J1185"/>
          <cell r="K1185"/>
        </row>
        <row r="1186">
          <cell r="D1186" t="str">
            <v>C</v>
          </cell>
          <cell r="E1186"/>
          <cell r="J1186" t="str">
            <v>Disc 2</v>
          </cell>
          <cell r="K1186" t="str">
            <v>Amount</v>
          </cell>
        </row>
        <row r="1187">
          <cell r="D1187"/>
          <cell r="E1187"/>
          <cell r="J1187"/>
          <cell r="K1187"/>
        </row>
        <row r="1188">
          <cell r="D1188" t="str">
            <v/>
          </cell>
          <cell r="E1188" t="str">
            <v>CORRECTION TAPE KENKO CT-606 (6M x 5MM)</v>
          </cell>
          <cell r="J1188">
            <v>0</v>
          </cell>
          <cell r="K1188">
            <v>264600</v>
          </cell>
        </row>
        <row r="1189">
          <cell r="D1189" t="str">
            <v/>
          </cell>
          <cell r="E1189" t="str">
            <v>PUNCH KENKO NO. 40</v>
          </cell>
          <cell r="J1189">
            <v>0</v>
          </cell>
          <cell r="K1189">
            <v>761400</v>
          </cell>
        </row>
        <row r="1190">
          <cell r="D1190">
            <v>0</v>
          </cell>
          <cell r="E1190">
            <v>0</v>
          </cell>
          <cell r="J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4">
          <cell r="D1204"/>
          <cell r="E1204"/>
          <cell r="J1204"/>
          <cell r="K1204"/>
        </row>
        <row r="1205">
          <cell r="D1205"/>
          <cell r="E1205"/>
          <cell r="J1205"/>
          <cell r="K1205"/>
        </row>
        <row r="1206">
          <cell r="D1206"/>
          <cell r="E1206"/>
          <cell r="J1206">
            <v>1026000</v>
          </cell>
          <cell r="K1206"/>
        </row>
        <row r="1207">
          <cell r="D1207"/>
          <cell r="E1207"/>
          <cell r="J1207"/>
          <cell r="K1207"/>
        </row>
        <row r="1208">
          <cell r="D1208"/>
          <cell r="E1208"/>
          <cell r="J1208">
            <v>0</v>
          </cell>
          <cell r="K1208">
            <v>0</v>
          </cell>
        </row>
        <row r="1209">
          <cell r="D1209"/>
          <cell r="E1209"/>
          <cell r="J1209"/>
          <cell r="K1209"/>
        </row>
        <row r="1210">
          <cell r="D1210"/>
          <cell r="E1210" t="str">
            <v>Hormat Kami,</v>
          </cell>
          <cell r="J1210">
            <v>101675.67567567567</v>
          </cell>
          <cell r="K1210"/>
        </row>
        <row r="1211">
          <cell r="D1211"/>
          <cell r="E1211"/>
          <cell r="J1211"/>
          <cell r="K1211"/>
        </row>
        <row r="1212">
          <cell r="D1212"/>
          <cell r="E1212"/>
          <cell r="J1212"/>
          <cell r="K1212">
            <v>1026000</v>
          </cell>
        </row>
        <row r="1213">
          <cell r="D1213"/>
          <cell r="E1213"/>
          <cell r="J1213"/>
          <cell r="K1213"/>
        </row>
        <row r="1214">
          <cell r="D1214"/>
          <cell r="E1214"/>
          <cell r="J1214" t="str">
            <v>NOVI / CONDRO</v>
          </cell>
          <cell r="K1214"/>
        </row>
        <row r="1215">
          <cell r="D1215"/>
          <cell r="E1215"/>
          <cell r="J1215">
            <v>0</v>
          </cell>
          <cell r="K1215"/>
        </row>
        <row r="1216">
          <cell r="D1216"/>
          <cell r="E1216"/>
          <cell r="J1216"/>
          <cell r="K1216"/>
        </row>
        <row r="1217">
          <cell r="D1217"/>
          <cell r="E1217"/>
          <cell r="J1217"/>
          <cell r="K1217"/>
        </row>
        <row r="1218">
          <cell r="D1218" t="str">
            <v>AM</v>
          </cell>
          <cell r="E1218">
            <v>23040011</v>
          </cell>
          <cell r="J1218"/>
          <cell r="K1218"/>
        </row>
        <row r="1219">
          <cell r="D1219"/>
          <cell r="E1219"/>
          <cell r="J1219"/>
          <cell r="K1219"/>
        </row>
        <row r="1220">
          <cell r="D1220">
            <v>45031</v>
          </cell>
          <cell r="E1220"/>
          <cell r="J1220"/>
          <cell r="K1220"/>
        </row>
        <row r="1221">
          <cell r="D1221"/>
          <cell r="E1221"/>
          <cell r="J1221"/>
          <cell r="K1221"/>
        </row>
        <row r="1222">
          <cell r="D1222" t="str">
            <v>KO 2945</v>
          </cell>
          <cell r="E1222"/>
          <cell r="J1222"/>
          <cell r="K1222"/>
        </row>
        <row r="1223">
          <cell r="D1223"/>
          <cell r="E1223"/>
          <cell r="J1223"/>
          <cell r="K1223"/>
        </row>
        <row r="1224">
          <cell r="D1224" t="str">
            <v>C</v>
          </cell>
          <cell r="E1224"/>
          <cell r="J1224" t="str">
            <v>Disc 2</v>
          </cell>
          <cell r="K1224" t="str">
            <v>Amount</v>
          </cell>
        </row>
        <row r="1225">
          <cell r="D1225"/>
          <cell r="E1225"/>
          <cell r="J1225"/>
          <cell r="K1225"/>
        </row>
        <row r="1226">
          <cell r="D1226" t="str">
            <v/>
          </cell>
          <cell r="E1226" t="str">
            <v>CORRECTION TAPE KENKO CT-606 (6M x 5MM)</v>
          </cell>
          <cell r="J1226">
            <v>0</v>
          </cell>
          <cell r="K1226">
            <v>264600</v>
          </cell>
        </row>
        <row r="1227">
          <cell r="D1227" t="str">
            <v/>
          </cell>
          <cell r="E1227" t="str">
            <v>PUNCH KENKO NO. 40</v>
          </cell>
          <cell r="J1227">
            <v>0</v>
          </cell>
          <cell r="K1227">
            <v>761400</v>
          </cell>
        </row>
        <row r="1228">
          <cell r="D1228">
            <v>0</v>
          </cell>
          <cell r="E1228">
            <v>0</v>
          </cell>
          <cell r="J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2">
          <cell r="D1242"/>
          <cell r="E1242"/>
          <cell r="J1242"/>
          <cell r="K1242"/>
        </row>
        <row r="1243">
          <cell r="D1243"/>
          <cell r="E1243"/>
          <cell r="J1243"/>
          <cell r="K1243"/>
        </row>
        <row r="1244">
          <cell r="D1244"/>
          <cell r="E1244"/>
          <cell r="J1244">
            <v>1026000</v>
          </cell>
          <cell r="K1244"/>
        </row>
        <row r="1245">
          <cell r="D1245"/>
          <cell r="E1245"/>
          <cell r="J1245"/>
          <cell r="K1245"/>
        </row>
        <row r="1246">
          <cell r="D1246"/>
          <cell r="E1246"/>
          <cell r="J1246">
            <v>0</v>
          </cell>
          <cell r="K1246">
            <v>0</v>
          </cell>
        </row>
        <row r="1247">
          <cell r="D1247"/>
          <cell r="E1247"/>
          <cell r="J1247"/>
          <cell r="K1247"/>
        </row>
        <row r="1248">
          <cell r="D1248"/>
          <cell r="E1248" t="str">
            <v>Hormat Kami,</v>
          </cell>
          <cell r="J1248">
            <v>101675.67567567567</v>
          </cell>
          <cell r="K1248"/>
        </row>
        <row r="1249">
          <cell r="D1249"/>
          <cell r="E1249"/>
          <cell r="J1249"/>
          <cell r="K1249"/>
        </row>
        <row r="1250">
          <cell r="D1250"/>
          <cell r="E1250"/>
          <cell r="J1250"/>
          <cell r="K1250">
            <v>1026000</v>
          </cell>
        </row>
        <row r="1251">
          <cell r="D1251"/>
          <cell r="E1251"/>
          <cell r="J1251"/>
          <cell r="K1251"/>
        </row>
        <row r="1252">
          <cell r="D1252"/>
          <cell r="E1252"/>
          <cell r="J1252" t="str">
            <v>NOVI / CONDRO</v>
          </cell>
          <cell r="K1252"/>
        </row>
        <row r="1253">
          <cell r="D1253"/>
          <cell r="E1253"/>
          <cell r="J1253">
            <v>0</v>
          </cell>
          <cell r="K1253"/>
        </row>
        <row r="1254">
          <cell r="D1254"/>
          <cell r="E1254"/>
          <cell r="J1254"/>
          <cell r="K1254"/>
        </row>
        <row r="1255">
          <cell r="D1255"/>
          <cell r="J1255"/>
        </row>
        <row r="1256">
          <cell r="D1256" t="str">
            <v>AM</v>
          </cell>
          <cell r="E1256">
            <v>23040012</v>
          </cell>
          <cell r="J1256"/>
          <cell r="K1256"/>
        </row>
        <row r="1257">
          <cell r="D1257"/>
          <cell r="E1257"/>
          <cell r="J1257"/>
          <cell r="K1257"/>
        </row>
        <row r="1258">
          <cell r="D1258">
            <v>45026</v>
          </cell>
          <cell r="E1258"/>
          <cell r="J1258"/>
          <cell r="K1258"/>
        </row>
        <row r="1259">
          <cell r="D1259"/>
          <cell r="E1259"/>
          <cell r="J1259"/>
          <cell r="K1259"/>
        </row>
        <row r="1260">
          <cell r="D1260" t="str">
            <v>KO 1463</v>
          </cell>
          <cell r="E1260"/>
          <cell r="J1260"/>
          <cell r="K1260"/>
        </row>
        <row r="1261">
          <cell r="D1261"/>
          <cell r="J1261"/>
          <cell r="K1261"/>
        </row>
        <row r="1262">
          <cell r="D1262" t="str">
            <v>C</v>
          </cell>
          <cell r="E1262"/>
          <cell r="J1262" t="str">
            <v>Disc 2</v>
          </cell>
          <cell r="K1262" t="str">
            <v>Amount</v>
          </cell>
        </row>
        <row r="1263">
          <cell r="D1263"/>
          <cell r="E1263"/>
          <cell r="J1263"/>
          <cell r="K1263"/>
        </row>
        <row r="1264">
          <cell r="D1264">
            <v>1</v>
          </cell>
          <cell r="E1264" t="str">
            <v>TAPE DISPENSER KENKO TD-321 (1" &amp; 3" CORE)</v>
          </cell>
          <cell r="J1264"/>
          <cell r="K1264">
            <v>381840</v>
          </cell>
        </row>
        <row r="1265">
          <cell r="D1265"/>
          <cell r="E1265"/>
          <cell r="J1265"/>
          <cell r="K1265">
            <v>0</v>
          </cell>
        </row>
        <row r="1266">
          <cell r="D1266"/>
          <cell r="E1266"/>
          <cell r="J1266"/>
          <cell r="K1266">
            <v>0</v>
          </cell>
        </row>
        <row r="1267">
          <cell r="D1267"/>
          <cell r="E1267"/>
          <cell r="J1267"/>
          <cell r="K1267">
            <v>0</v>
          </cell>
        </row>
        <row r="1268">
          <cell r="D1268"/>
          <cell r="E1268"/>
          <cell r="J1268"/>
          <cell r="K1268">
            <v>0</v>
          </cell>
        </row>
        <row r="1269">
          <cell r="D1269"/>
          <cell r="E1269"/>
          <cell r="J1269"/>
          <cell r="K1269">
            <v>0</v>
          </cell>
        </row>
        <row r="1270">
          <cell r="D1270"/>
          <cell r="E1270"/>
          <cell r="J1270"/>
          <cell r="K1270">
            <v>0</v>
          </cell>
        </row>
        <row r="1271">
          <cell r="D1271"/>
          <cell r="E1271"/>
          <cell r="J1271"/>
          <cell r="K1271">
            <v>0</v>
          </cell>
        </row>
        <row r="1272">
          <cell r="D1272"/>
          <cell r="E1272"/>
          <cell r="J1272"/>
          <cell r="K1272">
            <v>0</v>
          </cell>
        </row>
        <row r="1273">
          <cell r="D1273"/>
          <cell r="E1273"/>
          <cell r="J1273"/>
          <cell r="K1273">
            <v>0</v>
          </cell>
        </row>
        <row r="1274">
          <cell r="D1274"/>
          <cell r="E1274"/>
          <cell r="J1274"/>
          <cell r="K1274">
            <v>0</v>
          </cell>
        </row>
        <row r="1275">
          <cell r="D1275"/>
          <cell r="E1275"/>
          <cell r="J1275"/>
          <cell r="K1275">
            <v>0</v>
          </cell>
        </row>
        <row r="1276">
          <cell r="D1276"/>
          <cell r="E1276"/>
          <cell r="J1276"/>
          <cell r="K1276">
            <v>0</v>
          </cell>
        </row>
        <row r="1277">
          <cell r="D1277"/>
          <cell r="E1277"/>
          <cell r="J1277"/>
          <cell r="K1277">
            <v>0</v>
          </cell>
        </row>
        <row r="1278">
          <cell r="D1278"/>
          <cell r="E1278"/>
          <cell r="J1278"/>
          <cell r="K1278">
            <v>0</v>
          </cell>
        </row>
        <row r="1279">
          <cell r="D1279"/>
          <cell r="E1279"/>
          <cell r="J1279"/>
          <cell r="K1279">
            <v>0</v>
          </cell>
        </row>
        <row r="1280">
          <cell r="D1280"/>
          <cell r="E1280"/>
          <cell r="J1280"/>
          <cell r="K1280"/>
        </row>
        <row r="1281">
          <cell r="D1281"/>
          <cell r="E1281"/>
          <cell r="J1281"/>
          <cell r="K1281"/>
        </row>
        <row r="1282">
          <cell r="D1282"/>
          <cell r="J1282">
            <v>381840</v>
          </cell>
          <cell r="K1282"/>
        </row>
        <row r="1283">
          <cell r="D1283"/>
          <cell r="J1283"/>
          <cell r="K1283"/>
        </row>
        <row r="1284">
          <cell r="D1284"/>
          <cell r="J1284"/>
          <cell r="K1284">
            <v>0</v>
          </cell>
        </row>
        <row r="1285">
          <cell r="D1285"/>
          <cell r="J1285"/>
          <cell r="K1285"/>
        </row>
        <row r="1286">
          <cell r="D1286"/>
          <cell r="E1286" t="str">
            <v>Hormat Kami,</v>
          </cell>
          <cell r="J1286">
            <v>37839.999999999993</v>
          </cell>
          <cell r="K1286"/>
        </row>
        <row r="1287">
          <cell r="D1287"/>
          <cell r="J1287"/>
          <cell r="K1287"/>
        </row>
        <row r="1288">
          <cell r="D1288"/>
          <cell r="E1288"/>
          <cell r="J1288"/>
          <cell r="K1288">
            <v>381840</v>
          </cell>
        </row>
        <row r="1289">
          <cell r="D1289"/>
          <cell r="E1289"/>
          <cell r="J1289"/>
          <cell r="K1289"/>
        </row>
        <row r="1290">
          <cell r="D1290"/>
          <cell r="J1290"/>
          <cell r="K1290"/>
        </row>
        <row r="1291">
          <cell r="D1291"/>
          <cell r="J1291" t="str">
            <v>RISMA / CONDRO</v>
          </cell>
          <cell r="K1291"/>
        </row>
        <row r="1292">
          <cell r="D1292"/>
          <cell r="J1292"/>
          <cell r="K1292"/>
        </row>
        <row r="1293">
          <cell r="D1293"/>
          <cell r="E1293"/>
          <cell r="J1293"/>
          <cell r="K1293"/>
        </row>
        <row r="1294">
          <cell r="D1294" t="str">
            <v>AM</v>
          </cell>
          <cell r="E1294">
            <v>23040012</v>
          </cell>
          <cell r="J1294"/>
          <cell r="K1294"/>
        </row>
        <row r="1295">
          <cell r="D1295"/>
          <cell r="E1295"/>
          <cell r="J1295"/>
          <cell r="K1295"/>
        </row>
        <row r="1296">
          <cell r="D1296">
            <v>45026</v>
          </cell>
          <cell r="E1296"/>
          <cell r="J1296"/>
          <cell r="K1296"/>
        </row>
        <row r="1297">
          <cell r="D1297"/>
          <cell r="E1297"/>
          <cell r="J1297"/>
          <cell r="K1297"/>
        </row>
        <row r="1298">
          <cell r="D1298" t="str">
            <v>KO 1463</v>
          </cell>
          <cell r="E1298"/>
          <cell r="J1298"/>
          <cell r="K1298"/>
        </row>
        <row r="1299">
          <cell r="D1299"/>
          <cell r="E1299"/>
          <cell r="J1299"/>
          <cell r="K1299"/>
        </row>
        <row r="1300">
          <cell r="D1300" t="str">
            <v>C</v>
          </cell>
          <cell r="E1300"/>
          <cell r="J1300" t="str">
            <v>Disc 2</v>
          </cell>
          <cell r="K1300" t="str">
            <v>Amount</v>
          </cell>
        </row>
        <row r="1301">
          <cell r="D1301"/>
          <cell r="E1301"/>
          <cell r="J1301"/>
          <cell r="K1301"/>
        </row>
        <row r="1302">
          <cell r="D1302">
            <v>1</v>
          </cell>
          <cell r="E1302" t="str">
            <v>TAPE DISPENSER KENKO TD-321 (1" &amp; 3" CORE)</v>
          </cell>
          <cell r="J1302">
            <v>0</v>
          </cell>
          <cell r="K1302">
            <v>381840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18">
          <cell r="D1318"/>
          <cell r="E1318"/>
          <cell r="J1318"/>
          <cell r="K1318"/>
        </row>
        <row r="1319">
          <cell r="D1319"/>
          <cell r="E1319"/>
          <cell r="J1319"/>
          <cell r="K1319"/>
        </row>
        <row r="1320">
          <cell r="D1320"/>
          <cell r="E1320"/>
          <cell r="J1320">
            <v>381840</v>
          </cell>
          <cell r="K1320"/>
        </row>
        <row r="1321">
          <cell r="D1321"/>
          <cell r="E1321"/>
          <cell r="J1321"/>
          <cell r="K1321"/>
        </row>
        <row r="1322">
          <cell r="D1322"/>
          <cell r="E1322"/>
          <cell r="J1322">
            <v>0</v>
          </cell>
          <cell r="K1322">
            <v>0</v>
          </cell>
        </row>
        <row r="1323">
          <cell r="D1323"/>
          <cell r="E1323"/>
          <cell r="J1323"/>
          <cell r="K1323"/>
        </row>
        <row r="1324">
          <cell r="D1324"/>
          <cell r="E1324" t="str">
            <v>Hormat Kami,</v>
          </cell>
          <cell r="J1324">
            <v>37839.999999999993</v>
          </cell>
          <cell r="K1324"/>
        </row>
        <row r="1325">
          <cell r="D1325"/>
          <cell r="E1325"/>
          <cell r="J1325"/>
          <cell r="K1325"/>
        </row>
        <row r="1326">
          <cell r="D1326"/>
          <cell r="E1326"/>
          <cell r="J1326"/>
          <cell r="K1326">
            <v>381840</v>
          </cell>
        </row>
        <row r="1327">
          <cell r="D1327"/>
          <cell r="E1327"/>
          <cell r="J1327"/>
          <cell r="K1327"/>
        </row>
        <row r="1328">
          <cell r="D1328"/>
          <cell r="E1328"/>
          <cell r="J1328">
            <v>0</v>
          </cell>
          <cell r="K1328"/>
        </row>
        <row r="1329">
          <cell r="D1329"/>
          <cell r="E1329"/>
          <cell r="J1329" t="str">
            <v>RISMA / CONDRO</v>
          </cell>
          <cell r="K1329"/>
        </row>
        <row r="1330">
          <cell r="D1330"/>
          <cell r="E1330"/>
          <cell r="J1330"/>
          <cell r="K1330"/>
        </row>
        <row r="1331">
          <cell r="D1331"/>
          <cell r="E1331"/>
          <cell r="J1331"/>
          <cell r="K1331"/>
        </row>
        <row r="1332">
          <cell r="D1332" t="str">
            <v>AM</v>
          </cell>
          <cell r="E1332">
            <v>23040012</v>
          </cell>
          <cell r="J1332"/>
          <cell r="K1332"/>
        </row>
        <row r="1333">
          <cell r="D1333"/>
          <cell r="E1333"/>
          <cell r="J1333"/>
          <cell r="K1333"/>
        </row>
        <row r="1334">
          <cell r="D1334">
            <v>45026</v>
          </cell>
          <cell r="E1334"/>
          <cell r="J1334"/>
          <cell r="K1334"/>
        </row>
        <row r="1335">
          <cell r="D1335"/>
          <cell r="E1335"/>
          <cell r="J1335"/>
          <cell r="K1335"/>
        </row>
        <row r="1336">
          <cell r="D1336" t="str">
            <v>KO 1463</v>
          </cell>
          <cell r="E1336"/>
          <cell r="J1336"/>
          <cell r="K1336"/>
        </row>
        <row r="1337">
          <cell r="D1337"/>
          <cell r="E1337"/>
          <cell r="J1337"/>
          <cell r="K1337"/>
        </row>
        <row r="1338">
          <cell r="D1338" t="str">
            <v>C</v>
          </cell>
          <cell r="E1338"/>
          <cell r="J1338" t="str">
            <v>Disc 2</v>
          </cell>
          <cell r="K1338" t="str">
            <v>Amount</v>
          </cell>
        </row>
        <row r="1339">
          <cell r="D1339"/>
          <cell r="E1339"/>
          <cell r="J1339"/>
          <cell r="K1339"/>
        </row>
        <row r="1340">
          <cell r="D1340">
            <v>1</v>
          </cell>
          <cell r="E1340" t="str">
            <v>TAPE DISPENSER KENKO TD-321 (1" &amp; 3" CORE)</v>
          </cell>
          <cell r="J1340">
            <v>0</v>
          </cell>
          <cell r="K1340">
            <v>381840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6">
          <cell r="D1356"/>
          <cell r="E1356"/>
          <cell r="J1356"/>
          <cell r="K1356"/>
        </row>
        <row r="1357">
          <cell r="D1357"/>
          <cell r="E1357"/>
          <cell r="J1357"/>
          <cell r="K1357"/>
        </row>
        <row r="1358">
          <cell r="D1358"/>
          <cell r="E1358"/>
          <cell r="J1358">
            <v>381840</v>
          </cell>
          <cell r="K1358"/>
        </row>
        <row r="1359">
          <cell r="D1359"/>
          <cell r="E1359"/>
          <cell r="J1359"/>
          <cell r="K1359"/>
        </row>
        <row r="1360">
          <cell r="D1360"/>
          <cell r="E1360"/>
          <cell r="J1360">
            <v>0</v>
          </cell>
          <cell r="K1360">
            <v>0</v>
          </cell>
        </row>
        <row r="1361">
          <cell r="D1361"/>
          <cell r="E1361"/>
          <cell r="J1361"/>
          <cell r="K1361"/>
        </row>
        <row r="1362">
          <cell r="D1362"/>
          <cell r="E1362" t="str">
            <v>Hormat Kami,</v>
          </cell>
          <cell r="J1362">
            <v>37839.999999999993</v>
          </cell>
          <cell r="K1362"/>
        </row>
        <row r="1363">
          <cell r="D1363"/>
          <cell r="E1363"/>
          <cell r="J1363"/>
          <cell r="K1363"/>
        </row>
        <row r="1364">
          <cell r="D1364"/>
          <cell r="E1364"/>
          <cell r="J1364"/>
          <cell r="K1364">
            <v>381840</v>
          </cell>
        </row>
        <row r="1365">
          <cell r="D1365"/>
          <cell r="E1365"/>
          <cell r="J1365"/>
          <cell r="K1365"/>
        </row>
        <row r="1366">
          <cell r="D1366"/>
          <cell r="E1366"/>
          <cell r="J1366">
            <v>0</v>
          </cell>
          <cell r="K1366"/>
        </row>
        <row r="1367">
          <cell r="D1367"/>
          <cell r="E1367"/>
          <cell r="J1367" t="str">
            <v>RISMA / CONDRO</v>
          </cell>
          <cell r="K1367"/>
        </row>
        <row r="1368">
          <cell r="D1368"/>
          <cell r="E1368"/>
          <cell r="J1368"/>
          <cell r="K1368"/>
        </row>
        <row r="1369">
          <cell r="D1369"/>
          <cell r="J1369"/>
        </row>
        <row r="1370">
          <cell r="D1370" t="str">
            <v>AM</v>
          </cell>
          <cell r="E1370">
            <v>23040013</v>
          </cell>
          <cell r="J1370"/>
          <cell r="K1370"/>
        </row>
        <row r="1371">
          <cell r="D1371"/>
          <cell r="E1371"/>
          <cell r="J1371"/>
          <cell r="K1371"/>
        </row>
        <row r="1372">
          <cell r="D1372">
            <v>45026</v>
          </cell>
          <cell r="E1372"/>
          <cell r="J1372"/>
          <cell r="K1372"/>
        </row>
        <row r="1373">
          <cell r="D1373"/>
          <cell r="E1373"/>
          <cell r="J1373"/>
          <cell r="K1373"/>
        </row>
        <row r="1374">
          <cell r="D1374" t="str">
            <v>KO 1464</v>
          </cell>
          <cell r="E1374"/>
          <cell r="J1374"/>
          <cell r="K1374"/>
        </row>
        <row r="1375">
          <cell r="D1375"/>
          <cell r="J1375"/>
          <cell r="K1375"/>
        </row>
        <row r="1376">
          <cell r="D1376" t="str">
            <v>C</v>
          </cell>
          <cell r="E1376"/>
          <cell r="J1376" t="str">
            <v>Disc 2</v>
          </cell>
          <cell r="K1376" t="str">
            <v>Amount</v>
          </cell>
        </row>
        <row r="1377">
          <cell r="D1377"/>
          <cell r="E1377"/>
          <cell r="J1377"/>
          <cell r="K1377"/>
        </row>
        <row r="1378">
          <cell r="D1378" t="str">
            <v/>
          </cell>
          <cell r="E1378" t="str">
            <v>HIGHLIGHTER / STABILLO JOYKO HL MIX (kuning, hijau)</v>
          </cell>
          <cell r="J1378"/>
          <cell r="K1378">
            <v>190920</v>
          </cell>
        </row>
        <row r="1379">
          <cell r="D1379"/>
          <cell r="E1379"/>
          <cell r="J1379"/>
          <cell r="K1379">
            <v>0</v>
          </cell>
        </row>
        <row r="1380">
          <cell r="D1380"/>
          <cell r="E1380"/>
          <cell r="J1380"/>
          <cell r="K1380">
            <v>0</v>
          </cell>
        </row>
        <row r="1381">
          <cell r="D1381"/>
          <cell r="E1381"/>
          <cell r="J1381"/>
          <cell r="K1381">
            <v>0</v>
          </cell>
        </row>
        <row r="1382">
          <cell r="D1382"/>
          <cell r="E1382"/>
          <cell r="J1382"/>
          <cell r="K1382">
            <v>0</v>
          </cell>
        </row>
        <row r="1383">
          <cell r="D1383"/>
          <cell r="E1383"/>
          <cell r="J1383"/>
          <cell r="K1383">
            <v>0</v>
          </cell>
        </row>
        <row r="1384">
          <cell r="D1384"/>
          <cell r="E1384"/>
          <cell r="J1384"/>
          <cell r="K1384">
            <v>0</v>
          </cell>
        </row>
        <row r="1385">
          <cell r="D1385"/>
          <cell r="E1385"/>
          <cell r="J1385"/>
          <cell r="K1385">
            <v>0</v>
          </cell>
        </row>
        <row r="1386">
          <cell r="D1386"/>
          <cell r="E1386"/>
          <cell r="J1386"/>
          <cell r="K1386">
            <v>0</v>
          </cell>
        </row>
        <row r="1387">
          <cell r="D1387"/>
          <cell r="E1387"/>
          <cell r="J1387"/>
          <cell r="K1387">
            <v>0</v>
          </cell>
        </row>
        <row r="1388">
          <cell r="D1388"/>
          <cell r="E1388"/>
          <cell r="J1388"/>
          <cell r="K1388">
            <v>0</v>
          </cell>
        </row>
        <row r="1389">
          <cell r="D1389"/>
          <cell r="E1389"/>
          <cell r="J1389"/>
          <cell r="K1389">
            <v>0</v>
          </cell>
        </row>
        <row r="1390">
          <cell r="D1390"/>
          <cell r="E1390"/>
          <cell r="J1390"/>
          <cell r="K1390">
            <v>0</v>
          </cell>
        </row>
        <row r="1391">
          <cell r="D1391"/>
          <cell r="E1391"/>
          <cell r="J1391"/>
          <cell r="K1391">
            <v>0</v>
          </cell>
        </row>
        <row r="1392">
          <cell r="D1392"/>
          <cell r="E1392"/>
          <cell r="J1392"/>
          <cell r="K1392">
            <v>0</v>
          </cell>
        </row>
        <row r="1393">
          <cell r="D1393"/>
          <cell r="E1393"/>
          <cell r="J1393"/>
          <cell r="K1393">
            <v>0</v>
          </cell>
        </row>
        <row r="1394">
          <cell r="D1394"/>
          <cell r="E1394"/>
          <cell r="J1394"/>
          <cell r="K1394"/>
        </row>
        <row r="1395">
          <cell r="D1395"/>
          <cell r="E1395"/>
          <cell r="J1395"/>
          <cell r="K1395"/>
        </row>
        <row r="1396">
          <cell r="D1396"/>
          <cell r="J1396">
            <v>190920</v>
          </cell>
          <cell r="K1396"/>
        </row>
        <row r="1397">
          <cell r="D1397"/>
          <cell r="J1397"/>
          <cell r="K1397"/>
        </row>
        <row r="1398">
          <cell r="D1398"/>
          <cell r="J1398"/>
          <cell r="K1398">
            <v>0</v>
          </cell>
        </row>
        <row r="1399">
          <cell r="D1399"/>
          <cell r="J1399"/>
          <cell r="K1399"/>
        </row>
        <row r="1400">
          <cell r="D1400"/>
          <cell r="E1400" t="str">
            <v>Hormat Kami,</v>
          </cell>
          <cell r="J1400">
            <v>18919.999999999996</v>
          </cell>
          <cell r="K1400"/>
        </row>
        <row r="1401">
          <cell r="D1401"/>
          <cell r="J1401"/>
          <cell r="K1401"/>
        </row>
        <row r="1402">
          <cell r="D1402"/>
          <cell r="E1402"/>
          <cell r="J1402"/>
          <cell r="K1402">
            <v>190920</v>
          </cell>
        </row>
        <row r="1403">
          <cell r="D1403"/>
          <cell r="E1403"/>
          <cell r="J1403"/>
          <cell r="K1403"/>
        </row>
        <row r="1404">
          <cell r="D1404"/>
          <cell r="J1404" t="str">
            <v>RISMA / CONDRO</v>
          </cell>
          <cell r="K1404"/>
        </row>
        <row r="1405">
          <cell r="D1405"/>
          <cell r="J1405"/>
          <cell r="K1405"/>
        </row>
        <row r="1406">
          <cell r="D1406"/>
          <cell r="J1406"/>
          <cell r="K1406"/>
        </row>
        <row r="1407">
          <cell r="D1407"/>
          <cell r="E1407"/>
          <cell r="J1407"/>
          <cell r="K1407"/>
        </row>
        <row r="1408">
          <cell r="D1408" t="str">
            <v>AM</v>
          </cell>
          <cell r="E1408">
            <v>23040013</v>
          </cell>
          <cell r="J1408"/>
          <cell r="K1408"/>
        </row>
        <row r="1409">
          <cell r="D1409"/>
          <cell r="E1409"/>
          <cell r="J1409"/>
          <cell r="K1409"/>
        </row>
        <row r="1410">
          <cell r="D1410">
            <v>45026</v>
          </cell>
          <cell r="E1410"/>
          <cell r="J1410"/>
          <cell r="K1410"/>
        </row>
        <row r="1411">
          <cell r="D1411"/>
          <cell r="E1411"/>
          <cell r="J1411"/>
          <cell r="K1411"/>
        </row>
        <row r="1412">
          <cell r="D1412" t="str">
            <v>KO 1464</v>
          </cell>
          <cell r="E1412"/>
          <cell r="J1412"/>
          <cell r="K1412"/>
        </row>
        <row r="1413">
          <cell r="D1413"/>
          <cell r="E1413"/>
          <cell r="J1413"/>
          <cell r="K1413"/>
        </row>
        <row r="1414">
          <cell r="D1414" t="str">
            <v>C</v>
          </cell>
          <cell r="E1414"/>
          <cell r="J1414" t="str">
            <v>Disc 2</v>
          </cell>
          <cell r="K1414" t="str">
            <v>Amount</v>
          </cell>
        </row>
        <row r="1415">
          <cell r="D1415"/>
          <cell r="E1415"/>
          <cell r="J1415"/>
          <cell r="K1415"/>
        </row>
        <row r="1416">
          <cell r="D1416" t="str">
            <v/>
          </cell>
          <cell r="E1416" t="str">
            <v>HIGHLIGHTER / STABILLO JOYKO HL MIX (kuning, hijau)</v>
          </cell>
          <cell r="J1416">
            <v>0</v>
          </cell>
          <cell r="K1416">
            <v>190920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2">
          <cell r="D1432"/>
          <cell r="E1432"/>
          <cell r="J1432"/>
          <cell r="K1432"/>
        </row>
        <row r="1433">
          <cell r="D1433"/>
          <cell r="E1433"/>
          <cell r="J1433"/>
          <cell r="K1433"/>
        </row>
        <row r="1434">
          <cell r="D1434"/>
          <cell r="E1434"/>
          <cell r="J1434">
            <v>190920</v>
          </cell>
          <cell r="K1434"/>
        </row>
        <row r="1435">
          <cell r="D1435"/>
          <cell r="E1435"/>
          <cell r="J1435"/>
          <cell r="K1435"/>
        </row>
        <row r="1436">
          <cell r="D1436"/>
          <cell r="E1436"/>
          <cell r="J1436">
            <v>0</v>
          </cell>
          <cell r="K1436">
            <v>0</v>
          </cell>
        </row>
        <row r="1437">
          <cell r="D1437"/>
          <cell r="E1437"/>
          <cell r="J1437"/>
          <cell r="K1437"/>
        </row>
        <row r="1438">
          <cell r="D1438"/>
          <cell r="E1438" t="str">
            <v>Hormat Kami,</v>
          </cell>
          <cell r="J1438">
            <v>18919.999999999996</v>
          </cell>
          <cell r="K1438"/>
        </row>
        <row r="1439">
          <cell r="D1439"/>
          <cell r="E1439"/>
          <cell r="J1439"/>
          <cell r="K1439"/>
        </row>
        <row r="1440">
          <cell r="D1440"/>
          <cell r="E1440"/>
          <cell r="J1440"/>
          <cell r="K1440">
            <v>190920</v>
          </cell>
        </row>
        <row r="1441">
          <cell r="D1441"/>
          <cell r="E1441"/>
          <cell r="J1441"/>
          <cell r="K1441"/>
        </row>
        <row r="1442">
          <cell r="D1442"/>
          <cell r="E1442"/>
          <cell r="J1442" t="str">
            <v>RISMA / CONDRO</v>
          </cell>
          <cell r="K1442"/>
        </row>
        <row r="1443">
          <cell r="D1443"/>
          <cell r="E1443"/>
          <cell r="J1443">
            <v>0</v>
          </cell>
          <cell r="K1443"/>
        </row>
        <row r="1444">
          <cell r="D1444"/>
          <cell r="E1444"/>
          <cell r="J1444"/>
          <cell r="K1444"/>
        </row>
        <row r="1445">
          <cell r="D1445"/>
          <cell r="E1445"/>
          <cell r="J1445"/>
          <cell r="K1445"/>
        </row>
        <row r="1446">
          <cell r="D1446" t="str">
            <v>AM</v>
          </cell>
          <cell r="E1446">
            <v>23040013</v>
          </cell>
          <cell r="J1446"/>
          <cell r="K1446"/>
        </row>
        <row r="1447">
          <cell r="D1447"/>
          <cell r="E1447"/>
          <cell r="J1447"/>
          <cell r="K1447"/>
        </row>
        <row r="1448">
          <cell r="D1448">
            <v>45026</v>
          </cell>
          <cell r="E1448"/>
          <cell r="J1448"/>
          <cell r="K1448"/>
        </row>
        <row r="1449">
          <cell r="D1449"/>
          <cell r="E1449"/>
          <cell r="J1449"/>
          <cell r="K1449"/>
        </row>
        <row r="1450">
          <cell r="D1450" t="str">
            <v>KO 1464</v>
          </cell>
          <cell r="E1450"/>
          <cell r="J1450"/>
          <cell r="K1450"/>
        </row>
        <row r="1451">
          <cell r="D1451"/>
          <cell r="E1451"/>
          <cell r="J1451"/>
          <cell r="K1451"/>
        </row>
        <row r="1452">
          <cell r="D1452" t="str">
            <v>C</v>
          </cell>
          <cell r="E1452"/>
          <cell r="J1452" t="str">
            <v>Disc 2</v>
          </cell>
          <cell r="K1452" t="str">
            <v>Amount</v>
          </cell>
        </row>
        <row r="1453">
          <cell r="D1453"/>
          <cell r="E1453"/>
          <cell r="J1453"/>
          <cell r="K1453"/>
        </row>
        <row r="1454">
          <cell r="D1454" t="str">
            <v/>
          </cell>
          <cell r="E1454" t="str">
            <v>HIGHLIGHTER / STABILLO JOYKO HL MIX (kuning, hijau)</v>
          </cell>
          <cell r="J1454">
            <v>0</v>
          </cell>
          <cell r="K1454">
            <v>190920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0">
          <cell r="D1470"/>
          <cell r="E1470"/>
          <cell r="J1470"/>
          <cell r="K1470"/>
        </row>
        <row r="1471">
          <cell r="D1471"/>
          <cell r="E1471"/>
          <cell r="J1471"/>
          <cell r="K1471"/>
        </row>
        <row r="1472">
          <cell r="D1472"/>
          <cell r="E1472"/>
          <cell r="J1472">
            <v>190920</v>
          </cell>
          <cell r="K1472"/>
        </row>
        <row r="1473">
          <cell r="D1473"/>
          <cell r="E1473"/>
          <cell r="J1473"/>
          <cell r="K1473"/>
        </row>
        <row r="1474">
          <cell r="D1474"/>
          <cell r="E1474"/>
          <cell r="J1474">
            <v>0</v>
          </cell>
          <cell r="K1474">
            <v>0</v>
          </cell>
        </row>
        <row r="1475">
          <cell r="D1475"/>
          <cell r="E1475"/>
          <cell r="J1475"/>
          <cell r="K1475"/>
        </row>
        <row r="1476">
          <cell r="D1476"/>
          <cell r="E1476" t="str">
            <v>Hormat Kami,</v>
          </cell>
          <cell r="J1476">
            <v>18919.999999999996</v>
          </cell>
          <cell r="K1476"/>
        </row>
        <row r="1477">
          <cell r="D1477"/>
          <cell r="E1477"/>
          <cell r="J1477"/>
          <cell r="K1477"/>
        </row>
        <row r="1478">
          <cell r="D1478"/>
          <cell r="E1478"/>
          <cell r="J1478"/>
          <cell r="K1478">
            <v>190920</v>
          </cell>
        </row>
        <row r="1479">
          <cell r="D1479"/>
          <cell r="E1479"/>
          <cell r="J1479"/>
          <cell r="K1479"/>
        </row>
        <row r="1480">
          <cell r="D1480"/>
          <cell r="E1480"/>
          <cell r="J1480" t="str">
            <v>RISMA / CONDRO</v>
          </cell>
          <cell r="K1480"/>
        </row>
        <row r="1481">
          <cell r="D1481"/>
          <cell r="E1481"/>
          <cell r="J1481">
            <v>0</v>
          </cell>
          <cell r="K1481"/>
        </row>
        <row r="1482">
          <cell r="D1482"/>
          <cell r="E1482"/>
          <cell r="J1482"/>
          <cell r="K1482"/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48.412776504629" createdVersion="5" refreshedVersion="5" minRefreshableVersion="3" recordCount="214">
  <cacheSource type="worksheet">
    <worksheetSource name="Table1" r:id="rId2"/>
  </cacheSource>
  <cacheFields count="31">
    <cacheField name="//" numFmtId="0">
      <sharedItems containsMixedTypes="1" containsNumber="1" containsInteger="1" minValue="3" maxValue="51" count="26">
        <n v="3"/>
        <s v=""/>
        <n v="5"/>
        <n v="12"/>
        <n v="15"/>
        <n v="19"/>
        <n v="21"/>
        <n v="23"/>
        <n v="31"/>
        <n v="35"/>
        <n v="37"/>
        <n v="46"/>
        <n v="49"/>
        <n v="51"/>
        <n v="36" u="1"/>
        <n v="38" u="1"/>
        <n v="40" u="1"/>
        <n v="42" u="1"/>
        <n v="44" u="1"/>
        <n v="48" u="1"/>
        <n v="50" u="1"/>
        <n v="39" u="1"/>
        <n v="41" u="1"/>
        <n v="43" u="1"/>
        <n v="45" u="1"/>
        <n v="47" u="1"/>
      </sharedItems>
    </cacheField>
    <cacheField name="h_No. Invoice :" numFmtId="0">
      <sharedItems containsMixedTypes="1" containsNumber="1" containsInteger="1" minValue="23040001" maxValue="23040013"/>
    </cacheField>
    <cacheField name="Tgl Invoice :" numFmtId="164">
      <sharedItems containsNonDate="0" containsDate="1" containsString="0" containsBlank="1" minDate="2023-04-05T00:00:00" maxDate="2023-04-16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28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String="0" containsBlank="1" containsNumber="1" minValue="0.03" maxValue="0.05"/>
    </cacheField>
    <cacheField name="Amount" numFmtId="43">
      <sharedItems containsMixedTypes="1" containsNumber="1" containsInteger="1" minValue="37000" maxValue="145441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51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37000" maxValue="17136000"/>
    </cacheField>
    <cacheField name="h_disc 1" numFmtId="43">
      <sharedItems containsMixedTypes="1" containsNumber="1" minValue="0" maxValue="2142000"/>
    </cacheField>
    <cacheField name="h_disc 2" numFmtId="43">
      <sharedItems containsMixedTypes="1" containsNumber="1" containsInteger="1" minValue="0" maxValue="449820"/>
    </cacheField>
    <cacheField name="h_diskon" numFmtId="43">
      <sharedItems containsMixedTypes="1" containsNumber="1" minValue="0" maxValue="2591820"/>
    </cacheField>
    <cacheField name="h_hargasetelahdiskon" numFmtId="43">
      <sharedItems containsMixedTypes="1" containsNumber="1" containsInteger="1" minValue="37000" maxValue="14544180"/>
    </cacheField>
    <cacheField name="Total Invoice" numFmtId="43">
      <sharedItems containsMixedTypes="1" containsNumber="1" containsInteger="1" minValue="190920" maxValue="19674550"/>
    </cacheField>
    <cacheField name="KETERANGAN" numFmtId="43">
      <sharedItems containsNonDate="0" containsString="0" containsBlank="1"/>
    </cacheField>
    <cacheField name="H_A1" numFmtId="43">
      <sharedItems count="36">
        <s v="ISI CUTTER 18 MM KENKO L-150 (BESAR)LSN64800"/>
        <s v=""/>
        <s v="BALLPEN JOYKO BP-338 VOCUS HITAMLSN12600"/>
        <s v="ISI STAPLER (STAPLES) KENKO 1210 PREMIUM (23/10)BOX4200"/>
        <s v="CORRECTION FLUID KENKO KE-01LSN54300"/>
        <s v="LEM STICK KENKO 8 GR (KECIL) isi 30 pcBOX66000"/>
        <s v="HIGHLIGHTER / STABILO KENKO HL-100 PINKPCS3050"/>
        <s v="HIGHLIGHTER / STABILO KENKO HL-100 HIJAUPCS3050"/>
        <s v="GEL PEN JOYKO GP-265 Q-GELLSN28200"/>
        <s v="STIP / PENGHAPUS JOYKO 526-B40P PUTIHBOX28300"/>
        <s v="CRAYON / OIL PASTEL JOYKO OP-24S PP CASE SEA WORLDPCS29600"/>
        <s v="CORRECTION TAPE JOYKO CT-522PCS4800"/>
        <s v="CALCULATOR JOYKO CC-800CHPCS79000"/>
        <s v="PENSIL KENKO 2B-6191 HIJAU CAP HITAMGRS110400"/>
        <s v="CRAYON / OIL PASTEL JOYKO OP-12S PP CASE SEA WORLDPCS11900"/>
        <s v="CORRECTION TAPE JOYKO CT-507LSN55200"/>
        <s v="CORRECTION TAPE JOYKO CT-508LSN54000"/>
        <s v="PENSIL WARNA JOYKO CP-24PB (PANJANG)PCS21200"/>
        <s v="PENSIL WARNA JOYKO CP-S12 MINI (PENDEK)PCS6700"/>
        <s v="PENSIL WARNA JOYKO CP-12PB (PANJANG)PCS10600"/>
        <s v="STAPLER JOYKO HD-50PCS18700"/>
        <s v="STIP / PENGHAPUS JOYKO 526-B20 PUTIHBOX34100"/>
        <s v="PENCIL CASE 22 x 7.5 MAGNET C-1758LS150000"/>
        <s v="PENSIL WARNA KAYAGI KY-CP1224 TWINLS149000"/>
        <s v="HIGHLIGHTER / STABILLO TIZO TF-616 (isi 24 pc)BOX57000"/>
        <s v="HIGHLIGHTER / STABILLO TIZO TF-610 (isi 54 pc)BOX122000"/>
        <s v="GEL PEN TIZO TG30801-ELLS18500"/>
        <s v="GEL PEN TIZO TG31590-ELLS18500"/>
        <s v="GEL PEN TIZO TG31762-ELLS18500"/>
        <s v="COLOR BRUSH PEN KENKO DBP-12 DUAL TIP  (12 WARNA)SET25000"/>
        <s v="TAPE DISPENSER POLAR BEAR MN-305 @12pcBOX105000"/>
        <s v="CORRECTION TAPE KENKO CT-606 (6M x 5MM)LSN58800"/>
        <s v="PUNCH KENKO NO. 40LSN282000"/>
        <s v="TAPE DISPENSER KENKO TD-321 (1&quot; &amp; 3&quot; CORE)PCS18500"/>
        <s v="HIGHLIGHTER / STABILLO JOYKO HL MIX (kuning, hijau)PCS3700"/>
        <s v="STIP / PENGHAPUS JOYKO 526-B40P PUTIHBOX341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">
  <r>
    <x v="0"/>
    <n v="23040001"/>
    <d v="2023-04-05T00:00:00"/>
    <s v="KO"/>
    <s v="1417"/>
    <s v="ANUGERAH"/>
    <s v="AM 23040001"/>
    <s v="KO 1417"/>
    <s v="CV PELITA JAYA (ANUGERAH SEJAHTERA) PURWOKERTO"/>
    <n v="120"/>
    <s v="LSN"/>
    <n v="2"/>
    <s v="ISIKENBESAR"/>
    <s v="ISI CUTTER 18 MM KENKO L-150 (BESAR)"/>
    <s v="ISI CUTTER 18 MM KENKO L-150 (BESAR)"/>
    <n v="64800"/>
    <n v="0.13500000000000001"/>
    <m/>
    <n v="6726240"/>
    <s v="NOVI / CONDRO"/>
    <m/>
    <n v="3"/>
    <n v="1"/>
    <n v="7776000"/>
    <n v="1049760"/>
    <n v="0"/>
    <n v="1049760"/>
    <n v="6726240"/>
    <n v="672624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40002"/>
    <d v="2023-04-08T00:00:00"/>
    <s v="KO"/>
    <s v="1435"/>
    <s v="ANUGERAH"/>
    <s v="AM 23040002"/>
    <s v="KO 1435"/>
    <s v="CV PELITA JAYA (ANUGERAH SEJAHTERA) PURWOKERTO"/>
    <n v="144"/>
    <s v="LSN"/>
    <n v="1"/>
    <s v="PENJKBP338"/>
    <s v="BALLPEN JOYKO BP-338 VOCUS HITAM"/>
    <s v="BALLPEN JOYKO BP-338 VOCUS HITAM"/>
    <n v="12600"/>
    <n v="0.13500000000000001"/>
    <m/>
    <n v="1569456"/>
    <s v="NOVI / CONDRO"/>
    <m/>
    <n v="5"/>
    <n v="6"/>
    <n v="1814400"/>
    <n v="244944.00000000003"/>
    <n v="0"/>
    <n v="244944.00000000003"/>
    <n v="1569456"/>
    <n v="19209228"/>
    <m/>
    <x v="2"/>
  </r>
  <r>
    <x v="1"/>
    <s v=""/>
    <m/>
    <m/>
    <m/>
    <m/>
    <s v=""/>
    <s v=" "/>
    <s v=""/>
    <n v="800"/>
    <s v="BOX"/>
    <n v="4"/>
    <s v="ISIKEN1210"/>
    <s v="ISI STAPLER (STAPLES) KENKO 1210 PREMIUM (23/10)"/>
    <s v="ISI STAPLER (STAPLES) KENKO 1210 PREMIUM (23/10)"/>
    <n v="4200"/>
    <n v="0.13500000000000001"/>
    <m/>
    <n v="2906400"/>
    <m/>
    <m/>
    <n v="5"/>
    <n v="6"/>
    <n v="3360000"/>
    <n v="453600.00000000006"/>
    <n v="0"/>
    <n v="453600.00000000006"/>
    <n v="2906400"/>
    <s v=""/>
    <m/>
    <x v="3"/>
  </r>
  <r>
    <x v="1"/>
    <s v=""/>
    <m/>
    <m/>
    <m/>
    <m/>
    <s v=""/>
    <s v=" "/>
    <s v=""/>
    <n v="216"/>
    <s v="LSN"/>
    <n v="3"/>
    <s v="TIPKENKE01"/>
    <s v="CORRECTION FLUID KENKO KE-01"/>
    <s v="CORRECTION FLUID KENKO KE-01"/>
    <n v="54300"/>
    <n v="0.13500000000000001"/>
    <m/>
    <n v="10145412"/>
    <m/>
    <m/>
    <n v="5"/>
    <n v="6"/>
    <n v="11728800"/>
    <n v="1583388"/>
    <n v="0"/>
    <n v="1583388"/>
    <n v="10145412"/>
    <s v=""/>
    <m/>
    <x v="4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5"/>
    <n v="6"/>
    <n v="2376000"/>
    <n v="320760"/>
    <n v="0"/>
    <n v="320760"/>
    <n v="2055240"/>
    <s v=""/>
    <m/>
    <x v="5"/>
  </r>
  <r>
    <x v="1"/>
    <s v=""/>
    <m/>
    <m/>
    <m/>
    <m/>
    <s v=""/>
    <s v=" "/>
    <s v=""/>
    <n v="480"/>
    <s v="PCS"/>
    <n v="1"/>
    <m/>
    <s v=""/>
    <s v="HIGHLIGHTER / STABILO KENKO HL-100 PINK"/>
    <n v="3050"/>
    <n v="0.13500000000000001"/>
    <m/>
    <n v="1266360"/>
    <m/>
    <m/>
    <n v="5"/>
    <n v="6"/>
    <n v="1464000"/>
    <n v="197640"/>
    <n v="0"/>
    <n v="197640"/>
    <n v="1266360"/>
    <s v=""/>
    <m/>
    <x v="6"/>
  </r>
  <r>
    <x v="1"/>
    <s v=""/>
    <m/>
    <m/>
    <m/>
    <m/>
    <s v=""/>
    <s v=" "/>
    <s v=""/>
    <n v="480"/>
    <s v="PCS"/>
    <n v="1"/>
    <m/>
    <s v=""/>
    <s v="HIGHLIGHTER / STABILO KENKO HL-100 HIJAU"/>
    <n v="3050"/>
    <n v="0.13500000000000001"/>
    <m/>
    <n v="1266360"/>
    <m/>
    <m/>
    <n v="5"/>
    <n v="6"/>
    <n v="1464000"/>
    <n v="197640"/>
    <n v="0"/>
    <n v="197640"/>
    <n v="126636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40003"/>
    <d v="2023-04-08T00:00:00"/>
    <s v="KO"/>
    <s v="1458"/>
    <s v="ANUGERAH"/>
    <s v="AM 23040003"/>
    <s v="KO 1458"/>
    <s v="CV PELITA JAYA (ANUGERAH SEJAHTERA) PURWOKERTO"/>
    <n v="144"/>
    <s v="LSN"/>
    <n v="1"/>
    <s v="PENJKGP265"/>
    <s v="GEL PEN JOYKO GP-265 Q-GEL"/>
    <s v="GEL PEN JOYKO GP-265 Q-GEL"/>
    <n v="28200"/>
    <n v="0.13500000000000001"/>
    <m/>
    <n v="3512592"/>
    <s v="NOVI / CONDRO"/>
    <m/>
    <n v="12"/>
    <n v="2"/>
    <n v="4060800"/>
    <n v="548208"/>
    <n v="0"/>
    <n v="548208"/>
    <n v="3512592"/>
    <n v="4736567"/>
    <m/>
    <x v="8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12"/>
    <n v="2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40004"/>
    <d v="2023-04-08T00:00:00"/>
    <s v="G"/>
    <s v="1459"/>
    <s v="REJOAGUNG"/>
    <s v="AM 23040004"/>
    <s v="G 1459"/>
    <s v="LILY JULIAWATI (REJO AGUNG) JOMBANG"/>
    <n v="240"/>
    <s v="PCS"/>
    <n v="5"/>
    <s v="OPJK24W"/>
    <s v="CRAYON / OIL PASTEL JOYKO OP-24S PP CASE SEA WORLD"/>
    <s v="CRAYON / OIL PASTEL JOYKO OP-24S PP CASE SEA WORLD"/>
    <n v="29600"/>
    <n v="0.125"/>
    <n v="0.03"/>
    <n v="6029520"/>
    <s v="NOVI / CONDRO"/>
    <m/>
    <n v="15"/>
    <n v="3"/>
    <n v="7104000"/>
    <n v="888000"/>
    <n v="186480"/>
    <n v="1074480"/>
    <n v="6029520"/>
    <n v="12993645"/>
    <m/>
    <x v="10"/>
  </r>
  <r>
    <x v="1"/>
    <s v=""/>
    <m/>
    <m/>
    <m/>
    <m/>
    <s v=""/>
    <s v=" "/>
    <s v=""/>
    <n v="720"/>
    <s v="PCS"/>
    <n v="1"/>
    <s v="TIPJKCT522"/>
    <s v="CORRECTION TAPE JOYKO CT-522"/>
    <s v="CORRECTION TAPE JOYKO CT-522"/>
    <n v="4800"/>
    <n v="0.125"/>
    <m/>
    <n v="3024000"/>
    <m/>
    <m/>
    <n v="15"/>
    <n v="3"/>
    <n v="3456000"/>
    <n v="432000"/>
    <n v="0"/>
    <n v="432000"/>
    <n v="3024000"/>
    <s v=""/>
    <m/>
    <x v="11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n v="0.05"/>
    <n v="3940125"/>
    <m/>
    <m/>
    <n v="15"/>
    <n v="3"/>
    <n v="4740000"/>
    <n v="592500"/>
    <n v="207375"/>
    <n v="799875"/>
    <n v="3940125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40005"/>
    <d v="2023-04-11T00:00:00"/>
    <s v="KO 1467"/>
    <m/>
    <s v="ANUGERAH"/>
    <s v="AM 23040005"/>
    <s v="KO 1467 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NOVI / CONDRO"/>
    <m/>
    <n v="19"/>
    <n v="1"/>
    <n v="4416000"/>
    <n v="596160"/>
    <n v="0"/>
    <n v="596160"/>
    <n v="3819840"/>
    <n v="3819840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40006"/>
    <d v="2023-04-12T00:00:00"/>
    <s v="G"/>
    <s v="1474"/>
    <s v="REJOAGUNG"/>
    <s v="AM 23040006"/>
    <s v="G 1474"/>
    <s v="LILY JULIAWATI (REJO AGUNG) JOMBANG"/>
    <n v="1440"/>
    <s v="PCS"/>
    <n v="10"/>
    <s v="OPJK12W"/>
    <s v="CRAYON / OIL PASTEL JOYKO OP-12S PP CASE SEA WORLD"/>
    <s v="CRAYON / OIL PASTEL JOYKO OP-12S PP CASE SEA WORLD"/>
    <n v="11900"/>
    <n v="0.125"/>
    <n v="0.03"/>
    <n v="14544180"/>
    <s v="NOVI / CONDRO"/>
    <m/>
    <n v="21"/>
    <n v="1"/>
    <n v="17136000"/>
    <n v="2142000"/>
    <n v="449820"/>
    <n v="2591820"/>
    <n v="14544180"/>
    <n v="1454418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40007"/>
    <d v="2023-04-12T00:00:00"/>
    <s v="KO"/>
    <s v="1027"/>
    <s v="lancar"/>
    <s v="AM 23040007"/>
    <s v="KO 1027"/>
    <s v="SOEYANTO LOPULUSI ( LANCAR ) MALANG"/>
    <n v="60"/>
    <s v="LSN"/>
    <n v="1"/>
    <s v="TIPJKCT507"/>
    <s v="CORRECTION TAPE JOYKO CT-507"/>
    <s v="CORRECTION TAPE JOYKO CT-507"/>
    <n v="55200"/>
    <n v="0.125"/>
    <m/>
    <n v="2898000"/>
    <s v="NOVI / CONDRO"/>
    <m/>
    <n v="23"/>
    <n v="7"/>
    <n v="3312000"/>
    <n v="414000"/>
    <n v="0"/>
    <n v="414000"/>
    <n v="2898000"/>
    <n v="19674550"/>
    <m/>
    <x v="15"/>
  </r>
  <r>
    <x v="1"/>
    <s v=""/>
    <m/>
    <m/>
    <m/>
    <m/>
    <s v=""/>
    <s v=" "/>
    <s v=""/>
    <n v="60"/>
    <s v="LSN"/>
    <n v="1"/>
    <s v="TIPJKCT508"/>
    <s v="CORRECTION TAPE JOYKO CT-508"/>
    <s v="CORRECTION TAPE JOYKO CT-508"/>
    <n v="54000"/>
    <n v="0.125"/>
    <m/>
    <n v="2835000"/>
    <m/>
    <m/>
    <n v="23"/>
    <n v="7"/>
    <n v="3240000"/>
    <n v="405000"/>
    <n v="0"/>
    <n v="405000"/>
    <n v="2835000"/>
    <s v=""/>
    <m/>
    <x v="16"/>
  </r>
  <r>
    <x v="1"/>
    <s v=""/>
    <m/>
    <m/>
    <m/>
    <m/>
    <s v=""/>
    <s v=" "/>
    <s v=""/>
    <n v="72"/>
    <s v="PCS"/>
    <n v="1"/>
    <s v="PWJK24WPANJANG"/>
    <s v="PENSIL WARNA JOYKO CP-24PB (PANJANG)"/>
    <s v="PENSIL WARNA JOYKO CP-24PB (PANJANG)"/>
    <n v="21200"/>
    <n v="0.125"/>
    <m/>
    <n v="1335600"/>
    <m/>
    <m/>
    <n v="23"/>
    <n v="7"/>
    <n v="1526400"/>
    <n v="190800"/>
    <n v="0"/>
    <n v="190800"/>
    <n v="1335600"/>
    <s v=""/>
    <m/>
    <x v="17"/>
  </r>
  <r>
    <x v="1"/>
    <s v=""/>
    <m/>
    <m/>
    <m/>
    <m/>
    <s v=""/>
    <s v=" "/>
    <s v=""/>
    <n v="288"/>
    <s v="PCS"/>
    <n v="1"/>
    <s v="PWJK12WPENDEK"/>
    <s v="PENSIL WARNA JOYKO CP-S12 MINI (PENDEK)"/>
    <s v="PENSIL WARNA JOYKO CP-S12 MINI (PENDEK)"/>
    <n v="6700"/>
    <n v="0.125"/>
    <m/>
    <n v="1688400"/>
    <m/>
    <m/>
    <n v="23"/>
    <n v="7"/>
    <n v="1929600"/>
    <n v="241200"/>
    <n v="0"/>
    <n v="241200"/>
    <n v="1688400"/>
    <s v=""/>
    <m/>
    <x v="18"/>
  </r>
  <r>
    <x v="1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23"/>
    <n v="7"/>
    <n v="4579200"/>
    <n v="572400"/>
    <n v="0"/>
    <n v="572400"/>
    <n v="4006800"/>
    <s v=""/>
    <m/>
    <x v="19"/>
  </r>
  <r>
    <x v="1"/>
    <s v=""/>
    <m/>
    <m/>
    <m/>
    <m/>
    <s v=""/>
    <s v=" "/>
    <s v=""/>
    <n v="240"/>
    <s v="PCS"/>
    <n v="2"/>
    <s v="STAJKHD50"/>
    <s v="STAPLER JOYKO HD-50"/>
    <s v="STAPLER JOYKO HD-50"/>
    <n v="18700"/>
    <n v="0.125"/>
    <m/>
    <n v="3927000"/>
    <m/>
    <m/>
    <n v="23"/>
    <n v="7"/>
    <n v="4488000"/>
    <n v="561000"/>
    <n v="0"/>
    <n v="561000"/>
    <n v="3927000"/>
    <s v=""/>
    <m/>
    <x v="20"/>
  </r>
  <r>
    <x v="1"/>
    <s v=""/>
    <m/>
    <m/>
    <m/>
    <m/>
    <s v=""/>
    <s v=" "/>
    <s v=""/>
    <n v="100"/>
    <s v="BOX"/>
    <n v="2"/>
    <s v="AAAAAAAA"/>
    <e v="#N/A"/>
    <s v="STIP / PENGHAPUS JOYKO 526-B20 PUTIH"/>
    <n v="34100"/>
    <n v="0.125"/>
    <m/>
    <n v="2983750"/>
    <m/>
    <m/>
    <n v="23"/>
    <n v="7"/>
    <n v="3410000"/>
    <n v="426250"/>
    <n v="0"/>
    <n v="426250"/>
    <n v="298375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40008"/>
    <d v="2023-04-12T00:00:00"/>
    <s v="KO"/>
    <s v="1482"/>
    <s v="ANUGERAH"/>
    <s v="AM 23040008"/>
    <s v="KO 1482"/>
    <s v="CV PELITA JAYA (ANUGERAH SEJAHTERA) PURWOKERTO"/>
    <n v="50"/>
    <s v="BOX"/>
    <n v="1"/>
    <s v="STIJK20PUTIH"/>
    <s v="STIP / PENGHAPUS JOYKO 526-B20 PUTIH"/>
    <s v="STIP / PENGHAPUS JOYKO 526-B20 PUTIH"/>
    <n v="34100"/>
    <n v="0.13500000000000001"/>
    <m/>
    <n v="1474825"/>
    <s v="NOVI / CONDRO"/>
    <m/>
    <n v="31"/>
    <n v="3"/>
    <n v="1705000"/>
    <n v="230175.00000000003"/>
    <n v="0"/>
    <n v="230175.00000000003"/>
    <n v="1474825"/>
    <n v="4268256"/>
    <m/>
    <x v="21"/>
  </r>
  <r>
    <x v="1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31"/>
    <n v="3"/>
    <n v="1814400"/>
    <n v="244944.00000000003"/>
    <n v="0"/>
    <n v="244944.00000000003"/>
    <n v="1569456"/>
    <s v=""/>
    <m/>
    <x v="2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31"/>
    <n v="3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40009"/>
    <d v="2023-04-14T00:00:00"/>
    <s v="KO"/>
    <s v="4010"/>
    <s v="CENTRAAL"/>
    <s v="AM 23040009"/>
    <s v="KO 4010"/>
    <s v="CV TRINITY CENTRAAL PURWOKERTO"/>
    <n v="12"/>
    <s v="LS"/>
    <n v="1"/>
    <m/>
    <s v=""/>
    <s v="PENCIL CASE 22 x 7.5 MAGNET C-1758"/>
    <n v="150000"/>
    <m/>
    <m/>
    <n v="1800000"/>
    <s v="NOVI / YO"/>
    <m/>
    <n v="35"/>
    <n v="1"/>
    <n v="1800000"/>
    <n v="0"/>
    <n v="0"/>
    <n v="0"/>
    <n v="1800000"/>
    <n v="1800000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40010"/>
    <d v="2023-04-14T00:00:00"/>
    <s v="G"/>
    <s v="2944"/>
    <s v="SINARBHAKTI"/>
    <s v="AM 23040010"/>
    <s v="G 2944"/>
    <s v="SINAR BHAKTI YOGYAKARTA"/>
    <n v="2"/>
    <s v="LS"/>
    <m/>
    <m/>
    <s v=""/>
    <s v="PENSIL WARNA KAYAGI KY-CP1224 TWIN"/>
    <n v="149000"/>
    <m/>
    <m/>
    <n v="298000"/>
    <s v="RISMA / YO"/>
    <m/>
    <n v="37"/>
    <n v="8"/>
    <n v="298000"/>
    <n v="0"/>
    <n v="0"/>
    <n v="0"/>
    <n v="298000"/>
    <n v="1524500"/>
    <m/>
    <x v="23"/>
  </r>
  <r>
    <x v="1"/>
    <s v=""/>
    <m/>
    <m/>
    <m/>
    <m/>
    <s v=""/>
    <s v=" "/>
    <s v=""/>
    <n v="2"/>
    <s v="BOX"/>
    <m/>
    <m/>
    <s v=""/>
    <s v="HIGHLIGHTER / STABILLO TIZO TF-616 (isi 24 pc)"/>
    <n v="57000"/>
    <m/>
    <m/>
    <n v="114000"/>
    <m/>
    <m/>
    <n v="37"/>
    <n v="8"/>
    <n v="114000"/>
    <n v="0"/>
    <n v="0"/>
    <n v="0"/>
    <n v="114000"/>
    <s v=""/>
    <m/>
    <x v="24"/>
  </r>
  <r>
    <x v="1"/>
    <s v=""/>
    <m/>
    <m/>
    <m/>
    <m/>
    <s v=""/>
    <s v=" "/>
    <s v=""/>
    <n v="2"/>
    <s v="BOX"/>
    <m/>
    <m/>
    <s v=""/>
    <s v="HIGHLIGHTER / STABILLO TIZO TF-610 (isi 54 pc)"/>
    <n v="122000"/>
    <m/>
    <m/>
    <n v="244000"/>
    <m/>
    <m/>
    <n v="37"/>
    <n v="8"/>
    <n v="244000"/>
    <n v="0"/>
    <n v="0"/>
    <n v="0"/>
    <n v="244000"/>
    <s v=""/>
    <m/>
    <x v="25"/>
  </r>
  <r>
    <x v="1"/>
    <s v=""/>
    <m/>
    <m/>
    <m/>
    <m/>
    <s v=""/>
    <s v=" "/>
    <s v=""/>
    <n v="7"/>
    <s v="LS"/>
    <m/>
    <m/>
    <s v=""/>
    <s v="GEL PEN TIZO TG30801-EL"/>
    <n v="18500"/>
    <m/>
    <m/>
    <n v="129500"/>
    <m/>
    <m/>
    <n v="37"/>
    <n v="8"/>
    <n v="129500"/>
    <n v="0"/>
    <n v="0"/>
    <n v="0"/>
    <n v="129500"/>
    <s v=""/>
    <m/>
    <x v="26"/>
  </r>
  <r>
    <x v="1"/>
    <s v=""/>
    <m/>
    <m/>
    <m/>
    <m/>
    <s v=""/>
    <s v=" "/>
    <s v=""/>
    <n v="12"/>
    <s v="LS"/>
    <m/>
    <m/>
    <s v=""/>
    <s v="GEL PEN TIZO TG31590-EL"/>
    <n v="18500"/>
    <m/>
    <m/>
    <n v="222000"/>
    <m/>
    <m/>
    <n v="37"/>
    <n v="8"/>
    <n v="222000"/>
    <n v="0"/>
    <n v="0"/>
    <n v="0"/>
    <n v="222000"/>
    <s v=""/>
    <m/>
    <x v="27"/>
  </r>
  <r>
    <x v="1"/>
    <s v=""/>
    <m/>
    <m/>
    <m/>
    <m/>
    <s v=""/>
    <s v=" "/>
    <s v=""/>
    <n v="2"/>
    <s v="LS"/>
    <m/>
    <m/>
    <s v=""/>
    <s v="GEL PEN TIZO TG31762-EL"/>
    <n v="18500"/>
    <m/>
    <m/>
    <n v="37000"/>
    <m/>
    <m/>
    <n v="37"/>
    <n v="8"/>
    <n v="37000"/>
    <n v="0"/>
    <n v="0"/>
    <n v="0"/>
    <n v="37000"/>
    <s v=""/>
    <m/>
    <x v="28"/>
  </r>
  <r>
    <x v="1"/>
    <s v=""/>
    <m/>
    <m/>
    <m/>
    <m/>
    <s v=""/>
    <s v=" "/>
    <s v=""/>
    <n v="12"/>
    <s v="SET"/>
    <m/>
    <m/>
    <s v=""/>
    <s v="COLOR BRUSH PEN KENKO DBP-12 DUAL TIP  (12 WARNA)"/>
    <n v="25000"/>
    <n v="0.1"/>
    <m/>
    <n v="270000"/>
    <m/>
    <m/>
    <n v="37"/>
    <n v="8"/>
    <n v="300000"/>
    <n v="30000"/>
    <n v="0"/>
    <n v="30000"/>
    <n v="270000"/>
    <s v=""/>
    <m/>
    <x v="29"/>
  </r>
  <r>
    <x v="1"/>
    <s v=""/>
    <m/>
    <m/>
    <m/>
    <m/>
    <s v=""/>
    <s v=" "/>
    <s v=""/>
    <n v="2"/>
    <s v="BOX"/>
    <m/>
    <m/>
    <s v=""/>
    <s v="TAPE DISPENSER POLAR BEAR MN-305 @12pc"/>
    <n v="105000"/>
    <m/>
    <m/>
    <n v="210000"/>
    <m/>
    <m/>
    <n v="37"/>
    <n v="8"/>
    <n v="210000"/>
    <n v="0"/>
    <n v="0"/>
    <n v="0"/>
    <n v="210000"/>
    <s v="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40011"/>
    <d v="2023-04-15T00:00:00"/>
    <s v="KO"/>
    <s v="2945"/>
    <s v="dwijaya"/>
    <s v="AM 23040011"/>
    <s v="KO 2945"/>
    <s v="CV DWI JAYA YOGYAKARTA"/>
    <n v="5"/>
    <s v="LSN"/>
    <m/>
    <s v="TIPKENCT606"/>
    <s v="CORRECTION TAPE KENKO CT-606 (6M x 5MM)"/>
    <s v="CORRECTION TAPE KENKO CT-606 (6M x 5MM)"/>
    <n v="58800"/>
    <n v="0.1"/>
    <m/>
    <n v="264600"/>
    <s v="NOVI / CONDRO"/>
    <m/>
    <n v="46"/>
    <n v="2"/>
    <n v="294000"/>
    <n v="29400"/>
    <n v="0"/>
    <n v="29400"/>
    <n v="264600"/>
    <n v="1026000"/>
    <m/>
    <x v="31"/>
  </r>
  <r>
    <x v="1"/>
    <s v=""/>
    <m/>
    <m/>
    <m/>
    <m/>
    <s v=""/>
    <s v=" "/>
    <s v=""/>
    <n v="3"/>
    <s v="LSN"/>
    <m/>
    <s v="PUNKEN40"/>
    <s v="PUNCH KENKO NO. 40"/>
    <s v="PUNCH KENKO NO. 40"/>
    <n v="282000"/>
    <n v="0.1"/>
    <m/>
    <n v="761400"/>
    <m/>
    <m/>
    <n v="46"/>
    <n v="2"/>
    <n v="846000"/>
    <n v="84600"/>
    <n v="0"/>
    <n v="84600"/>
    <n v="761400"/>
    <s v=""/>
    <m/>
    <x v="3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40012"/>
    <d v="2023-04-10T00:00:00"/>
    <s v="KO"/>
    <s v="1463"/>
    <s v="BENDAN"/>
    <s v="AM 23040012"/>
    <s v="KO 1463"/>
    <s v="HARNOYO (BENDAN) PEKALONGAN"/>
    <n v="24"/>
    <s v="PCS"/>
    <n v="1"/>
    <s v="ISOKENTD321"/>
    <s v="TAPE DISPENSER KENKO TD-321 (1&quot; &amp; 3&quot; CORE)"/>
    <s v="TAPE DISPENSER KENKO TD-321 (1&quot; &amp; 3&quot; CORE)"/>
    <n v="18500"/>
    <n v="0.14000000000000001"/>
    <m/>
    <n v="381840"/>
    <s v="RISMA / CONDRO"/>
    <m/>
    <n v="49"/>
    <n v="1"/>
    <n v="444000"/>
    <n v="62160.000000000007"/>
    <n v="0"/>
    <n v="62160.000000000007"/>
    <n v="381840"/>
    <n v="381840"/>
    <m/>
    <x v="3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40013"/>
    <d v="2023-04-10T00:00:00"/>
    <s v="KO"/>
    <s v="1464"/>
    <s v="BENDAN"/>
    <s v="AM 23040013"/>
    <s v="KO 1464"/>
    <s v="HARNOYO (BENDAN) PEKALONGAN"/>
    <n v="60"/>
    <s v="PCS"/>
    <m/>
    <s v="STAJKHL100"/>
    <e v="#N/A"/>
    <s v="HIGHLIGHTER / STABILLO JOYKO HL MIX (kuning, hijau)"/>
    <n v="3700"/>
    <n v="0.14000000000000001"/>
    <m/>
    <n v="190920"/>
    <s v="RISMA / CONDRO"/>
    <m/>
    <n v="51"/>
    <n v="1"/>
    <n v="222000"/>
    <n v="31080.000000000004"/>
    <n v="0"/>
    <n v="31080.000000000004"/>
    <n v="190920"/>
    <n v="190920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7" firstHeaderRow="1" firstDataRow="1" firstDataCol="1"/>
  <pivotFields count="31">
    <pivotField axis="axisRow" showAll="0" sortType="ascending">
      <items count="27">
        <item x="0"/>
        <item x="2"/>
        <item x="3"/>
        <item x="4"/>
        <item x="5"/>
        <item x="6"/>
        <item x="7"/>
        <item x="8"/>
        <item x="9"/>
        <item m="1" x="14"/>
        <item x="10"/>
        <item m="1" x="15"/>
        <item m="1" x="21"/>
        <item m="1" x="16"/>
        <item m="1" x="22"/>
        <item m="1" x="17"/>
        <item m="1" x="23"/>
        <item m="1" x="18"/>
        <item m="1" x="24"/>
        <item x="11"/>
        <item m="1" x="25"/>
        <item m="1" x="19"/>
        <item x="12"/>
        <item m="1" x="20"/>
        <item x="1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9"/>
    </i>
    <i>
      <x v="22"/>
    </i>
    <i>
      <x v="24"/>
    </i>
    <i>
      <x v="25"/>
    </i>
    <i t="grand">
      <x/>
    </i>
  </rowItems>
  <colItems count="1">
    <i/>
  </colItems>
  <formats count="1">
    <format dxfId="44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3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36">
        <item x="1"/>
        <item x="2"/>
        <item x="12"/>
        <item x="29"/>
        <item x="4"/>
        <item x="15"/>
        <item x="16"/>
        <item x="11"/>
        <item x="31"/>
        <item x="14"/>
        <item x="10"/>
        <item x="8"/>
        <item x="26"/>
        <item x="27"/>
        <item x="28"/>
        <item x="34"/>
        <item x="25"/>
        <item x="24"/>
        <item x="7"/>
        <item x="6"/>
        <item x="0"/>
        <item x="3"/>
        <item x="5"/>
        <item x="22"/>
        <item x="13"/>
        <item x="19"/>
        <item x="17"/>
        <item x="18"/>
        <item x="23"/>
        <item x="32"/>
        <item x="20"/>
        <item x="21"/>
        <item x="9"/>
        <item m="1" x="35"/>
        <item x="33"/>
        <item x="30"/>
      </items>
    </pivotField>
  </pivotFields>
  <rowFields count="1">
    <field x="3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7" totalsRowCount="1" headerRowDxfId="108" dataDxfId="107">
  <autoFilter ref="A2:AE216"/>
  <tableColumns count="31">
    <tableColumn id="16" name="//" dataDxfId="106" totalsRowDxfId="105">
      <calculatedColumnFormula>IF(Table1[[#This Row],[No. Invoice :]]="","",ROW())</calculatedColumnFormula>
    </tableColumn>
    <tableColumn id="18" name="h_No. Invoice :" dataDxfId="104" totalsRowDxfId="103">
      <calculatedColumnFormula>IF(Table1[h_Kode Sales :_1]="","",B$1+COUNT(B$2:B2))</calculatedColumnFormula>
    </tableColumn>
    <tableColumn id="2" name="Tgl Invoice :" dataDxfId="102" totalsRowDxfId="101"/>
    <tableColumn id="17" name="h_Kode Sales :_1" dataDxfId="100" totalsRowDxfId="99"/>
    <tableColumn id="19" name="h_Kode Sales :_2" dataDxfId="98" totalsRowDxfId="97"/>
    <tableColumn id="20" name="h_toko" dataDxfId="96" totalsRowDxfId="95"/>
    <tableColumn id="1" name="No. Invoice :" dataDxfId="94" totalsRowDxfId="93">
      <calculatedColumnFormula>IF(Table1[[#This Row],[h_No. Invoice :]]="","",CONCATENATE("AM"," ",Table1[[#This Row],[h_No. Invoice :]]))</calculatedColumnFormula>
    </tableColumn>
    <tableColumn id="3" name="Kode Sales :" dataDxfId="92" totalsRowDxfId="91">
      <calculatedColumnFormula>CONCATENATE(UPPER(Table1[[#This Row],[h_Kode Sales :_1]])," ",Table1[[#This Row],[h_Kode Sales :_2]])</calculatedColumnFormula>
    </tableColumn>
    <tableColumn id="4" name="Toko" dataDxfId="90" totalsRowDxfId="89">
      <calculatedColumnFormula>IF(Table1[[#This Row],[h_toko]]="","",INDEX(Table2[e],IF(Table1[[#This Row],[h_toko]]="","",MATCH(Table1[[#This Row],[h_toko]],Table2[a],0)),))</calculatedColumnFormula>
    </tableColumn>
    <tableColumn id="5" name="Qty" dataDxfId="88" totalsRowDxfId="87"/>
    <tableColumn id="6" name="Unit" dataDxfId="86" totalsRowDxfId="85"/>
    <tableColumn id="7" name="C" dataDxfId="84" totalsRowDxfId="83"/>
    <tableColumn id="8" name="h_Item Description" dataDxfId="82" totalsRowDxfId="81"/>
    <tableColumn id="10" name="Column1" dataDxfId="80" totalsRowDxfId="79">
      <calculatedColumnFormula>IF(Table1[[#This Row],[h_Item Description]]="","",INDEX([1]!db[NB PAJAK],MATCH(Table1[[#This Row],[h_Item Description]],[1]!db[kode],0)))</calculatedColumnFormula>
    </tableColumn>
    <tableColumn id="9" name="Item Description" dataDxfId="78" totalsRowDxfId="77"/>
    <tableColumn id="11" name="Unit Price" dataDxfId="76" totalsRowDxfId="75"/>
    <tableColumn id="12" name="Disc 1" dataDxfId="74" totalsRowDxfId="73"/>
    <tableColumn id="13" name="Disc 2" dataDxfId="72" totalsRowDxfId="71"/>
    <tableColumn id="23" name="Amount" dataDxfId="70" totalsRowDxfId="69">
      <calculatedColumnFormula>Table1[[#This Row],[h_hargasetelahdiskon]]</calculatedColumnFormula>
    </tableColumn>
    <tableColumn id="14" name="pembuat nota :" dataDxfId="68" totalsRowDxfId="67"/>
    <tableColumn id="15" name="edited :" dataDxfId="66" totalsRowDxfId="65"/>
    <tableColumn id="21" name="h_id" dataDxfId="64" totalsRowDxfId="63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2" totalsRowDxfId="61">
      <calculatedColumnFormula>IF(Table1[[#This Row],[h_id]]="","",COUNTIF(Table1[h_id],Table1[[#This Row],[h_id]]))</calculatedColumnFormula>
    </tableColumn>
    <tableColumn id="24" name="h_hargasebelumdiskon" dataDxfId="60" totalsRowDxfId="59">
      <calculatedColumnFormula>IF(Table1[Item Description]="","",Table1[[#This Row],[Qty]]*Table1[[#This Row],[Unit Price]])</calculatedColumnFormula>
    </tableColumn>
    <tableColumn id="31" name="h_disc 1" dataDxfId="58" totalsRowDxfId="5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6" totalsRowDxfId="5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4" totalsRowDxfId="53">
      <calculatedColumnFormula>IF(Table1[Item Description]="","",Table1[[#This Row],[h_disc 1]]+Table1[[#This Row],[h_disc 2]])</calculatedColumnFormula>
    </tableColumn>
    <tableColumn id="26" name="h_hargasetelahdiskon" dataDxfId="52" totalsRowDxfId="51">
      <calculatedColumnFormula>IF(Table1[Item Description]="","",Table1[[#This Row],[h_hargasebelumdiskon]]-Table1[[#This Row],[h_diskon]])</calculatedColumnFormula>
    </tableColumn>
    <tableColumn id="27" name="Total Invoice" dataDxfId="50" totalsRowDxfId="49">
      <calculatedColumnFormula>IF(Table1[//]="","",SUMIF(Table1[h_id],Table1[h_id],Table1[h_hargasetelahdiskon]))</calculatedColumnFormula>
    </tableColumn>
    <tableColumn id="28" name="KETERANGAN" dataDxfId="48" totalsRowDxfId="47"/>
    <tableColumn id="29" name="H_A1" dataDxfId="46" totalsRowDxfId="45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O56" totalsRowCount="1" headerRowDxfId="43">
  <autoFilter ref="C2:O55"/>
  <tableColumns count="13">
    <tableColumn id="1" name="//" totalsRowLabel="Total" dataDxfId="42">
      <calculatedColumnFormula>IF(ROW()-2&lt;=jNota,A3,"")</calculatedColumnFormula>
    </tableColumn>
    <tableColumn id="2" name="No. Invoice :" dataDxfId="41">
      <calculatedColumnFormula>IF(pajak[[#This Row],[//]]="","",INDEX(Table1[No. Invoice :],pajak[//]-offset))</calculatedColumnFormula>
    </tableColumn>
    <tableColumn id="3" name="Tgl Invoice :" dataDxfId="40">
      <calculatedColumnFormula>IF(pajak[[#This Row],[//]]="","",INDEX(Table1[Tgl Invoice :],pajak[//]-offset))</calculatedColumnFormula>
    </tableColumn>
    <tableColumn id="4" name="Kode Sales :" dataDxfId="39">
      <calculatedColumnFormula>IF(pajak[[#This Row],[//]]="","",INDEX(Table1[Kode Sales :],pajak[//]-offset))</calculatedColumnFormula>
    </tableColumn>
    <tableColumn id="5" name="Toko" dataDxfId="38">
      <calculatedColumnFormula>IF(pajak[[#This Row],[//]]="","",INDEX(Table1[Toko],pajak[//]-offset))</calculatedColumnFormula>
    </tableColumn>
    <tableColumn id="6" name="Total" totalsRowFunction="sum" dataDxfId="37" totalsRowDxfId="6">
      <calculatedColumnFormula>IF(pajak[[#This Row],[//]]="","",SUMIF(Table1[h_id],pajak[[#This Row],[//]],Table1[h_hargasebelumdiskon]))</calculatedColumnFormula>
    </tableColumn>
    <tableColumn id="7" name="Diskon" totalsRowFunction="sum" dataDxfId="36" totalsRowDxfId="5">
      <calculatedColumnFormula>IF(pajak[[#This Row],[//]]="","",SUMIF(Table1[h_id],pajak[[#This Row],[//]],Table1[h_diskon]))</calculatedColumnFormula>
    </tableColumn>
    <tableColumn id="8" name="Sub Total" totalsRowFunction="sum" dataDxfId="35" totalsRowDxfId="4">
      <calculatedColumnFormula>IF(pajak[[#This Row],[//]]="","",SUMIF(Table1[h_id],pajak[[#This Row],[//]],Table1[h_hargasetelahdiskon]))</calculatedColumnFormula>
    </tableColumn>
    <tableColumn id="11" name="DPP" dataDxfId="7" totalsRowDxfId="3">
      <calculatedColumnFormula>pajak[[#This Row],[Sub Total]]/1.11</calculatedColumnFormula>
    </tableColumn>
    <tableColumn id="9" name="PPN 11%" totalsRowFunction="sum" dataDxfId="0" totalsRowDxfId="2">
      <calculatedColumnFormula>IF(pajak[//]="","",pajak[[#This Row],[DPP]]*11%)</calculatedColumnFormula>
    </tableColumn>
    <tableColumn id="10" name="Total Invoice" totalsRowFunction="sum" dataDxfId="34" totalsRowDxfId="1">
      <calculatedColumnFormula>pajak[[#This Row],[Sub Total]]</calculatedColumnFormula>
    </tableColumn>
    <tableColumn id="14" name="pembuat nota" dataDxfId="33">
      <calculatedColumnFormula>IF(pajak[[#This Row],[//]]="","",INDEX(Table1[pembuat nota :],pajak[//]-offset))</calculatedColumnFormula>
    </tableColumn>
    <tableColumn id="15" name="edited" dataDxfId="32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2:V55" totalsRowShown="0" headerRowDxfId="31">
  <autoFilter ref="Q2:V55"/>
  <tableColumns count="6">
    <tableColumn id="1" name="cek_ppn" dataDxfId="30">
      <calculatedColumnFormula>IF(pajak[[#This Row],[Kode Sales :]]="","",MATCH(pajak[[#This Row],[Kode Sales :]],[2]Invoice!$D:$D,0))</calculatedColumnFormula>
    </tableColumn>
    <tableColumn id="7" name="NO INVOICE" dataDxfId="29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28">
      <calculatedColumnFormula>IF((INDEX([2]Invoice!$D:$D,Table4[[#This Row],[cek_ppn]]-2))=pajak[[#This Row],[Tgl Invoice :]],1)</calculatedColumnFormula>
    </tableColumn>
    <tableColumn id="5" name="KODE SALES" dataDxfId="27">
      <calculatedColumnFormula>IF((INDEX([2]Invoice!$D:$D,Table4[[#This Row],[cek_ppn]]))=pajak[[#This Row],[Kode Sales :]],1)</calculatedColumnFormula>
    </tableColumn>
    <tableColumn id="4" name="TOTAL INVOICE" dataDxfId="26">
      <calculatedColumnFormula>IF((INDEX([2]Invoice!$K:$K,Table4[[#This Row],[cek_ppn]]+28))=pajak[[#This Row],[Total Invoice]],1)</calculatedColumnFormula>
    </tableColumn>
    <tableColumn id="3" name="PEMBUAT NOTA" dataDxfId="25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24">
      <calculatedColumnFormula>MATCH(A2,Table1[H_A1],0)</calculatedColumnFormula>
    </tableColumn>
    <tableColumn id="7" name="//DB" dataDxfId="23">
      <calculatedColumnFormula>MATCH(Table5[[#This Row],[NAMA]],[1]!db[NB PAJAK],0)</calculatedColumnFormula>
    </tableColumn>
    <tableColumn id="2" name="NAMA" dataDxfId="22">
      <calculatedColumnFormula>INDEX(Table1[Item Description],Table5[[#This Row],[//NOTA]])</calculatedColumnFormula>
    </tableColumn>
    <tableColumn id="3" name="QTY" dataDxfId="21">
      <calculatedColumnFormula>SUMIF(Table1[H_A1],Sheet5!A2,Table1[Qty])</calculatedColumnFormula>
    </tableColumn>
    <tableColumn id="4" name="UNIT" dataDxfId="20">
      <calculatedColumnFormula>INDEX(Table1[Unit],Table5[[#This Row],[//NOTA]])</calculatedColumnFormula>
    </tableColumn>
    <tableColumn id="5" name="C" dataDxfId="19">
      <calculatedColumnFormula>SUMIF(Table1[H_A1],Sheet5!A2,Table1[C])</calculatedColumnFormula>
    </tableColumn>
    <tableColumn id="6" name="Unit Price" dataDxfId="18">
      <calculatedColumnFormula>INDEX(Table1[Unit Price],Table5[[#This Row],[//NOTA]])</calculatedColumnFormula>
    </tableColumn>
    <tableColumn id="8" name="a1" dataDxfId="17">
      <calculatedColumnFormula>IF(Table5[[#This Row],[a2]]="","",Table5[[#This Row],[QTY]]*12)</calculatedColumnFormula>
    </tableColumn>
    <tableColumn id="9" name="a2" dataDxfId="16">
      <calculatedColumnFormula>IF(Table5[[#This Row],[UNIT]]="grs","LSN",IF(Table5[[#This Row],[UNIT]]="LSN","PCS",""))</calculatedColumnFormula>
    </tableColumn>
    <tableColumn id="10" name="b1" dataDxfId="15">
      <calculatedColumnFormula>IF(Table5[[#This Row],[a2]]="LSN",Table5[[#This Row],[a1]]*12,"")</calculatedColumnFormula>
    </tableColumn>
    <tableColumn id="11" name="b2" dataDxfId="14">
      <calculatedColumnFormula>IF(Table5[[#This Row],[b1]]="","","PCS")</calculatedColumnFormula>
    </tableColumn>
    <tableColumn id="12" name="c1" dataDxfId="13"/>
    <tableColumn id="13" name="c2" dataDxfId="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11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7"/>
  <sheetViews>
    <sheetView tabSelected="1" topLeftCell="M1" zoomScale="85" zoomScaleNormal="85" workbookViewId="0">
      <selection activeCell="N27" sqref="N27"/>
    </sheetView>
  </sheetViews>
  <sheetFormatPr defaultRowHeight="15" x14ac:dyDescent="0.25"/>
  <cols>
    <col min="1" max="1" width="5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23040001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23040001</v>
      </c>
      <c r="C3" s="98">
        <v>45021</v>
      </c>
      <c r="D3" s="92" t="s">
        <v>129</v>
      </c>
      <c r="E3" s="97" t="s">
        <v>130</v>
      </c>
      <c r="F3" s="92" t="s">
        <v>88</v>
      </c>
      <c r="G3" s="95" t="str">
        <f>IF(Table1[[#This Row],[h_No. Invoice :]]="","",CONCATENATE("AM"," ",Table1[[#This Row],[h_No. Invoice :]]))</f>
        <v>AM 23040001</v>
      </c>
      <c r="H3" s="96" t="str">
        <f>CONCATENATE(UPPER(Table1[[#This Row],[h_Kode Sales :_1]])," ",Table1[[#This Row],[h_Kode Sales :_2]])</f>
        <v>KO 1417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120</v>
      </c>
      <c r="K3" s="92" t="s">
        <v>131</v>
      </c>
      <c r="L3" s="92">
        <v>2</v>
      </c>
      <c r="M3" s="92" t="s">
        <v>132</v>
      </c>
      <c r="N3" s="196" t="str">
        <f>IF(Table1[[#This Row],[h_Item Description]]="","",INDEX([1]!db[NB PAJAK],MATCH(Table1[[#This Row],[h_Item Description]],[1]!db[kode],0)))</f>
        <v>ISI CUTTER 18 MM KENKO L-150 (BESAR)</v>
      </c>
      <c r="O3" s="92" t="s">
        <v>134</v>
      </c>
      <c r="P3" s="93">
        <v>64800</v>
      </c>
      <c r="Q3" s="94">
        <v>0.13500000000000001</v>
      </c>
      <c r="S3" s="199">
        <f>Table1[[#This Row],[h_hargasetelahdiskon]]</f>
        <v>6726240</v>
      </c>
      <c r="T3" s="93" t="s">
        <v>133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7776000</v>
      </c>
      <c r="Y3" s="93">
        <f>IF(Table1[[#This Row],[h_hargasebelumdiskon]]="","",IF(Table1[[#This Row],[Disc 1]]="",0,Table1[[#This Row],[h_hargasebelumdiskon]]*Table1[[#This Row],[Disc 1]]))</f>
        <v>1049760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1049760</v>
      </c>
      <c r="AB3" s="93">
        <f>IF(Table1[Item Description]="","",Table1[[#This Row],[h_hargasebelumdiskon]]-Table1[[#This Row],[h_diskon]])</f>
        <v>6726240</v>
      </c>
      <c r="AC3" s="93">
        <f ca="1">IF(Table1[//]="","",SUMIF(Table1[h_id],Table1[h_id],Table1[h_hargasetelahdiskon]))</f>
        <v>6726240</v>
      </c>
      <c r="AD3" s="93"/>
      <c r="AE3" s="93" t="str">
        <f>Table1[[#This Row],[Item Description]]&amp;Table1[[#This Row],[Unit]]&amp;Table1[[#This Row],[Unit Price]]</f>
        <v>ISI CUTTER 18 MM KENKO L-150 (BESAR)LSN64800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23040002</v>
      </c>
      <c r="C5" s="98">
        <v>45024</v>
      </c>
      <c r="D5" s="92" t="s">
        <v>129</v>
      </c>
      <c r="E5" s="97" t="s">
        <v>137</v>
      </c>
      <c r="F5" s="92" t="s">
        <v>88</v>
      </c>
      <c r="G5" s="95" t="str">
        <f>IF(Table1[[#This Row],[h_No. Invoice :]]="","",CONCATENATE("AM"," ",Table1[[#This Row],[h_No. Invoice :]]))</f>
        <v>AM 23040002</v>
      </c>
      <c r="H5" s="96" t="str">
        <f>CONCATENATE(UPPER(Table1[[#This Row],[h_Kode Sales :_1]])," ",Table1[[#This Row],[h_Kode Sales :_2]])</f>
        <v>KO 1435</v>
      </c>
      <c r="I5" s="95" t="str">
        <f>IF(Table1[[#This Row],[h_toko]]="","",INDEX(Table2[e],IF(Table1[[#This Row],[h_toko]]="","",MATCH(Table1[[#This Row],[h_toko]],Table2[a],0)),))</f>
        <v>CV PELITA JAYA (ANUGERAH SEJAHTERA) PURWOKERTO</v>
      </c>
      <c r="J5" s="92">
        <v>144</v>
      </c>
      <c r="K5" s="92" t="s">
        <v>131</v>
      </c>
      <c r="L5" s="92">
        <v>1</v>
      </c>
      <c r="M5" s="92" t="s">
        <v>138</v>
      </c>
      <c r="N5" s="196" t="str">
        <f>IF(Table1[[#This Row],[h_Item Description]]="","",INDEX([1]!db[NB PAJAK],MATCH(Table1[[#This Row],[h_Item Description]],[1]!db[kode],0)))</f>
        <v>BALLPEN JOYKO BP-338 VOCUS HITAM</v>
      </c>
      <c r="O5" s="92" t="s">
        <v>146</v>
      </c>
      <c r="P5" s="93">
        <v>12600</v>
      </c>
      <c r="Q5" s="94">
        <v>0.13500000000000001</v>
      </c>
      <c r="S5" s="199">
        <f>Table1[[#This Row],[h_hargasetelahdiskon]]</f>
        <v>1569456</v>
      </c>
      <c r="T5" s="93" t="s">
        <v>133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6</v>
      </c>
      <c r="X5" s="93">
        <f>IF(Table1[Item Description]="","",Table1[[#This Row],[Qty]]*Table1[[#This Row],[Unit Price]])</f>
        <v>1814400</v>
      </c>
      <c r="Y5" s="93">
        <f>IF(Table1[[#This Row],[h_hargasebelumdiskon]]="","",IF(Table1[[#This Row],[Disc 1]]="",0,Table1[[#This Row],[h_hargasebelumdiskon]]*Table1[[#This Row],[Disc 1]]))</f>
        <v>244944.00000000003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244944.00000000003</v>
      </c>
      <c r="AB5" s="93">
        <f>IF(Table1[Item Description]="","",Table1[[#This Row],[h_hargasebelumdiskon]]-Table1[[#This Row],[h_diskon]])</f>
        <v>1569456</v>
      </c>
      <c r="AC5" s="93">
        <f ca="1">IF(Table1[//]="","",SUMIF(Table1[h_id],Table1[h_id],Table1[h_hargasetelahdiskon]))</f>
        <v>19209228</v>
      </c>
      <c r="AD5" s="93"/>
      <c r="AE5" s="93" t="str">
        <f>Table1[[#This Row],[Item Description]]&amp;Table1[[#This Row],[Unit]]&amp;Table1[[#This Row],[Unit Price]]</f>
        <v>BALLPEN JOYKO BP-338 VOCUS HITAMLSN12600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800</v>
      </c>
      <c r="K6" s="92" t="s">
        <v>139</v>
      </c>
      <c r="L6" s="92">
        <v>4</v>
      </c>
      <c r="M6" s="92" t="s">
        <v>140</v>
      </c>
      <c r="N6" s="196" t="str">
        <f>IF(Table1[[#This Row],[h_Item Description]]="","",INDEX([1]!db[NB PAJAK],MATCH(Table1[[#This Row],[h_Item Description]],[1]!db[kode],0)))</f>
        <v>ISI STAPLER (STAPLES) KENKO 1210 PREMIUM (23/10)</v>
      </c>
      <c r="O6" s="92" t="s">
        <v>147</v>
      </c>
      <c r="P6" s="93">
        <v>4200</v>
      </c>
      <c r="Q6" s="94">
        <v>0.13500000000000001</v>
      </c>
      <c r="S6" s="199">
        <f>Table1[[#This Row],[h_hargasetelahdiskon]]</f>
        <v>2906400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6</v>
      </c>
      <c r="X6" s="93">
        <f>IF(Table1[Item Description]="","",Table1[[#This Row],[Qty]]*Table1[[#This Row],[Unit Price]])</f>
        <v>3360000</v>
      </c>
      <c r="Y6" s="93">
        <f>IF(Table1[[#This Row],[h_hargasebelumdiskon]]="","",IF(Table1[[#This Row],[Disc 1]]="",0,Table1[[#This Row],[h_hargasebelumdiskon]]*Table1[[#This Row],[Disc 1]]))</f>
        <v>453600.00000000006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453600.00000000006</v>
      </c>
      <c r="AB6" s="93">
        <f>IF(Table1[Item Description]="","",Table1[[#This Row],[h_hargasebelumdiskon]]-Table1[[#This Row],[h_diskon]])</f>
        <v>2906400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ISI STAPLER (STAPLES) KENKO 1210 PREMIUM (23/10)BOX4200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216</v>
      </c>
      <c r="K7" s="92" t="s">
        <v>131</v>
      </c>
      <c r="L7" s="92">
        <v>3</v>
      </c>
      <c r="M7" s="92" t="s">
        <v>141</v>
      </c>
      <c r="N7" s="196" t="str">
        <f>IF(Table1[[#This Row],[h_Item Description]]="","",INDEX([1]!db[NB PAJAK],MATCH(Table1[[#This Row],[h_Item Description]],[1]!db[kode],0)))</f>
        <v>CORRECTION FLUID KENKO KE-01</v>
      </c>
      <c r="O7" s="92" t="s">
        <v>148</v>
      </c>
      <c r="P7" s="93">
        <v>54300</v>
      </c>
      <c r="Q7" s="94">
        <v>0.13500000000000001</v>
      </c>
      <c r="S7" s="199">
        <f>Table1[[#This Row],[h_hargasetelahdiskon]]</f>
        <v>10145412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6</v>
      </c>
      <c r="X7" s="93">
        <f>IF(Table1[Item Description]="","",Table1[[#This Row],[Qty]]*Table1[[#This Row],[Unit Price]])</f>
        <v>11728800</v>
      </c>
      <c r="Y7" s="93">
        <f>IF(Table1[[#This Row],[h_hargasebelumdiskon]]="","",IF(Table1[[#This Row],[Disc 1]]="",0,Table1[[#This Row],[h_hargasebelumdiskon]]*Table1[[#This Row],[Disc 1]]))</f>
        <v>1583388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1583388</v>
      </c>
      <c r="AB7" s="93">
        <f>IF(Table1[Item Description]="","",Table1[[#This Row],[h_hargasebelumdiskon]]-Table1[[#This Row],[h_diskon]])</f>
        <v>10145412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CORRECTION FLUID KENKO KE-01LSN54300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36</v>
      </c>
      <c r="K8" s="92" t="s">
        <v>139</v>
      </c>
      <c r="L8" s="92">
        <v>1</v>
      </c>
      <c r="M8" s="92" t="s">
        <v>142</v>
      </c>
      <c r="N8" s="196" t="str">
        <f>IF(Table1[[#This Row],[h_Item Description]]="","",INDEX([1]!db[NB PAJAK],MATCH(Table1[[#This Row],[h_Item Description]],[1]!db[kode],0)))</f>
        <v>LEM STICK KENKO 8 GR (KECIL) isi 30 pc</v>
      </c>
      <c r="O8" s="92" t="s">
        <v>149</v>
      </c>
      <c r="P8" s="93">
        <v>66000</v>
      </c>
      <c r="Q8" s="94">
        <v>0.13500000000000001</v>
      </c>
      <c r="S8" s="199">
        <f>Table1[[#This Row],[h_hargasetelahdiskon]]</f>
        <v>2055240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6</v>
      </c>
      <c r="X8" s="93">
        <f>IF(Table1[Item Description]="","",Table1[[#This Row],[Qty]]*Table1[[#This Row],[Unit Price]])</f>
        <v>2376000</v>
      </c>
      <c r="Y8" s="93">
        <f>IF(Table1[[#This Row],[h_hargasebelumdiskon]]="","",IF(Table1[[#This Row],[Disc 1]]="",0,Table1[[#This Row],[h_hargasebelumdiskon]]*Table1[[#This Row],[Disc 1]]))</f>
        <v>320760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320760</v>
      </c>
      <c r="AB8" s="93">
        <f>IF(Table1[Item Description]="","",Table1[[#This Row],[h_hargasebelumdiskon]]-Table1[[#This Row],[h_diskon]])</f>
        <v>2055240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LEM STICK KENKO 8 GR (KECIL) isi 30 pcBOX66000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480</v>
      </c>
      <c r="K9" s="92" t="s">
        <v>143</v>
      </c>
      <c r="L9" s="92">
        <v>1</v>
      </c>
      <c r="N9" s="196" t="str">
        <f>IF(Table1[[#This Row],[h_Item Description]]="","",INDEX([1]!db[NB PAJAK],MATCH(Table1[[#This Row],[h_Item Description]],[1]!db[kode],0)))</f>
        <v/>
      </c>
      <c r="O9" s="92" t="s">
        <v>144</v>
      </c>
      <c r="P9" s="93">
        <v>3050</v>
      </c>
      <c r="Q9" s="94">
        <v>0.13500000000000001</v>
      </c>
      <c r="S9" s="199">
        <f>Table1[[#This Row],[h_hargasetelahdiskon]]</f>
        <v>1266360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6</v>
      </c>
      <c r="X9" s="93">
        <f>IF(Table1[Item Description]="","",Table1[[#This Row],[Qty]]*Table1[[#This Row],[Unit Price]])</f>
        <v>1464000</v>
      </c>
      <c r="Y9" s="93">
        <f>IF(Table1[[#This Row],[h_hargasebelumdiskon]]="","",IF(Table1[[#This Row],[Disc 1]]="",0,Table1[[#This Row],[h_hargasebelumdiskon]]*Table1[[#This Row],[Disc 1]]))</f>
        <v>197640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197640</v>
      </c>
      <c r="AB9" s="93">
        <f>IF(Table1[Item Description]="","",Table1[[#This Row],[h_hargasebelumdiskon]]-Table1[[#This Row],[h_diskon]])</f>
        <v>1266360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HIGHLIGHTER / STABILO KENKO HL-100 PINKPCS3050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480</v>
      </c>
      <c r="K10" s="92" t="s">
        <v>143</v>
      </c>
      <c r="L10" s="92">
        <v>1</v>
      </c>
      <c r="N10" s="196" t="str">
        <f>IF(Table1[[#This Row],[h_Item Description]]="","",INDEX([1]!db[NB PAJAK],MATCH(Table1[[#This Row],[h_Item Description]],[1]!db[kode],0)))</f>
        <v/>
      </c>
      <c r="O10" s="92" t="s">
        <v>145</v>
      </c>
      <c r="P10" s="93">
        <v>3050</v>
      </c>
      <c r="Q10" s="94">
        <v>0.13500000000000001</v>
      </c>
      <c r="S10" s="199">
        <f>Table1[[#This Row],[h_hargasetelahdiskon]]</f>
        <v>1266360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6</v>
      </c>
      <c r="X10" s="93">
        <f>IF(Table1[Item Description]="","",Table1[[#This Row],[Qty]]*Table1[[#This Row],[Unit Price]])</f>
        <v>1464000</v>
      </c>
      <c r="Y10" s="93">
        <f>IF(Table1[[#This Row],[h_hargasebelumdiskon]]="","",IF(Table1[[#This Row],[Disc 1]]="",0,Table1[[#This Row],[h_hargasebelumdiskon]]*Table1[[#This Row],[Disc 1]]))</f>
        <v>197640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197640</v>
      </c>
      <c r="AB10" s="93">
        <f>IF(Table1[Item Description]="","",Table1[[#This Row],[h_hargasebelumdiskon]]-Table1[[#This Row],[h_diskon]])</f>
        <v>1266360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HIGHLIGHTER / STABILO KENKO HL-100 HIJAUPCS3050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IF(Table1[[#This Row],[h_hargasebelumdiskon]]="","",IF(Table1[[#This Row],[Disc 1]]="",0,Table1[[#This Row],[h_hargasebelumdiskon]]*Table1[[#This Row],[Disc 1]]))</f>
        <v/>
      </c>
      <c r="Z11" s="93" t="str">
        <f>IF(Table1[[#This Row],[h_hargasebelumdiskon]]="","",IF(Table1[[#This Row],[Disc 2]]="",0,(Table1[[#This Row],[h_hargasebelumdiskon]]-Table1[[#This Row],[h_disc 1]])*Table1[[#This Row],[Disc 2]]))</f>
        <v/>
      </c>
      <c r="AA11" s="93" t="str">
        <f>IF(Table1[Item Description]="","",Table1[[#This Row],[h_disc 1]]+Table1[[#This Row],[h_disc 2]])</f>
        <v/>
      </c>
      <c r="AB11" s="93" t="str">
        <f>IF(Table1[Item Description]="","",Table1[[#This Row],[h_hargasebelumdiskon]]-Table1[[#This Row],[h_diskon]])</f>
        <v/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/>
      </c>
    </row>
    <row r="12" spans="1:31" x14ac:dyDescent="0.25">
      <c r="A12" s="95">
        <f>IF(Table1[[#This Row],[No. Invoice :]]="","",ROW())</f>
        <v>12</v>
      </c>
      <c r="B12" s="196">
        <f>IF(Table1[h_Kode Sales :_1]="","",B$1+COUNT(B$2:B11))</f>
        <v>23040003</v>
      </c>
      <c r="C12" s="98">
        <v>45024</v>
      </c>
      <c r="D12" s="92" t="s">
        <v>129</v>
      </c>
      <c r="E12" s="97" t="s">
        <v>156</v>
      </c>
      <c r="F12" s="92" t="s">
        <v>88</v>
      </c>
      <c r="G12" s="95" t="str">
        <f>IF(Table1[[#This Row],[h_No. Invoice :]]="","",CONCATENATE("AM"," ",Table1[[#This Row],[h_No. Invoice :]]))</f>
        <v>AM 23040003</v>
      </c>
      <c r="H12" s="96" t="str">
        <f>CONCATENATE(UPPER(Table1[[#This Row],[h_Kode Sales :_1]])," ",Table1[[#This Row],[h_Kode Sales :_2]])</f>
        <v>KO 1458</v>
      </c>
      <c r="I12" s="95" t="str">
        <f>IF(Table1[[#This Row],[h_toko]]="","",INDEX(Table2[e],IF(Table1[[#This Row],[h_toko]]="","",MATCH(Table1[[#This Row],[h_toko]],Table2[a],0)),))</f>
        <v>CV PELITA JAYA (ANUGERAH SEJAHTERA) PURWOKERTO</v>
      </c>
      <c r="J12" s="92">
        <v>144</v>
      </c>
      <c r="K12" s="92" t="s">
        <v>131</v>
      </c>
      <c r="L12" s="92">
        <v>1</v>
      </c>
      <c r="M12" s="92" t="s">
        <v>157</v>
      </c>
      <c r="N12" s="196" t="str">
        <f>IF(Table1[[#This Row],[h_Item Description]]="","",INDEX([1]!db[NB PAJAK],MATCH(Table1[[#This Row],[h_Item Description]],[1]!db[kode],0)))</f>
        <v>GEL PEN JOYKO GP-265 Q-GEL</v>
      </c>
      <c r="O12" s="92" t="s">
        <v>159</v>
      </c>
      <c r="P12" s="93">
        <v>28200</v>
      </c>
      <c r="Q12" s="94">
        <v>0.13500000000000001</v>
      </c>
      <c r="S12" s="199">
        <f>Table1[[#This Row],[h_hargasetelahdiskon]]</f>
        <v>3512592</v>
      </c>
      <c r="T12" s="93" t="s">
        <v>133</v>
      </c>
      <c r="V12" s="95">
        <f ca="1">IF(Table1[[#This Row],[Item Description]]="","",IF(Table1[[#This Row],[//]]="",INDIRECT(ADDRESS(ROW()-1,COLUMN())),Table1[[#This Row],[//]]))</f>
        <v>12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4060800</v>
      </c>
      <c r="Y12" s="93">
        <f>IF(Table1[[#This Row],[h_hargasebelumdiskon]]="","",IF(Table1[[#This Row],[Disc 1]]="",0,Table1[[#This Row],[h_hargasebelumdiskon]]*Table1[[#This Row],[Disc 1]]))</f>
        <v>548208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548208</v>
      </c>
      <c r="AB12" s="93">
        <f>IF(Table1[Item Description]="","",Table1[[#This Row],[h_hargasebelumdiskon]]-Table1[[#This Row],[h_diskon]])</f>
        <v>3512592</v>
      </c>
      <c r="AC12" s="93">
        <f ca="1">IF(Table1[//]="","",SUMIF(Table1[h_id],Table1[h_id],Table1[h_hargasetelahdiskon]))</f>
        <v>4736567</v>
      </c>
      <c r="AD12" s="93"/>
      <c r="AE12" s="93" t="str">
        <f>Table1[[#This Row],[Item Description]]&amp;Table1[[#This Row],[Unit]]&amp;Table1[[#This Row],[Unit Price]]</f>
        <v>GEL PEN JOYKO GP-265 Q-GELLSN28200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50</v>
      </c>
      <c r="K13" s="92" t="s">
        <v>139</v>
      </c>
      <c r="L13" s="92">
        <v>1</v>
      </c>
      <c r="M13" s="92" t="s">
        <v>158</v>
      </c>
      <c r="N13" s="196" t="str">
        <f>IF(Table1[[#This Row],[h_Item Description]]="","",INDEX([1]!db[NB PAJAK],MATCH(Table1[[#This Row],[h_Item Description]],[1]!db[kode],0)))</f>
        <v>STIP / PENGHAPUS JOYKO 526-B40P PUTIH</v>
      </c>
      <c r="O13" s="92" t="s">
        <v>160</v>
      </c>
      <c r="P13" s="93">
        <v>28300</v>
      </c>
      <c r="Q13" s="94">
        <v>0.13500000000000001</v>
      </c>
      <c r="S13" s="199">
        <f>Table1[[#This Row],[h_hargasetelahdiskon]]</f>
        <v>1223975</v>
      </c>
      <c r="V13" s="95">
        <f ca="1">IF(Table1[[#This Row],[Item Description]]="","",IF(Table1[[#This Row],[//]]="",INDIRECT(ADDRESS(ROW()-1,COLUMN())),Table1[[#This Row],[//]]))</f>
        <v>12</v>
      </c>
      <c r="W13" s="95">
        <f ca="1">IF(Table1[[#This Row],[h_id]]="","",COUNTIF(Table1[h_id],Table1[[#This Row],[h_id]]))</f>
        <v>2</v>
      </c>
      <c r="X13" s="93">
        <f>IF(Table1[Item Description]="","",Table1[[#This Row],[Qty]]*Table1[[#This Row],[Unit Price]])</f>
        <v>1415000</v>
      </c>
      <c r="Y13" s="93">
        <f>IF(Table1[[#This Row],[h_hargasebelumdiskon]]="","",IF(Table1[[#This Row],[Disc 1]]="",0,Table1[[#This Row],[h_hargasebelumdiskon]]*Table1[[#This Row],[Disc 1]]))</f>
        <v>191025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191025</v>
      </c>
      <c r="AB13" s="93">
        <f>IF(Table1[Item Description]="","",Table1[[#This Row],[h_hargasebelumdiskon]]-Table1[[#This Row],[h_diskon]])</f>
        <v>1223975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STIP / PENGHAPUS JOYKO 526-B40P PUTIHBOX28300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23040004</v>
      </c>
      <c r="C15" s="98">
        <v>45024</v>
      </c>
      <c r="D15" s="92" t="s">
        <v>136</v>
      </c>
      <c r="E15" s="97" t="s">
        <v>162</v>
      </c>
      <c r="F15" s="92" t="s">
        <v>97</v>
      </c>
      <c r="G15" s="95" t="str">
        <f>IF(Table1[[#This Row],[h_No. Invoice :]]="","",CONCATENATE("AM"," ",Table1[[#This Row],[h_No. Invoice :]]))</f>
        <v>AM 23040004</v>
      </c>
      <c r="H15" s="96" t="str">
        <f>CONCATENATE(UPPER(Table1[[#This Row],[h_Kode Sales :_1]])," ",Table1[[#This Row],[h_Kode Sales :_2]])</f>
        <v>G 1459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240</v>
      </c>
      <c r="K15" s="92" t="s">
        <v>143</v>
      </c>
      <c r="L15" s="92">
        <v>5</v>
      </c>
      <c r="M15" s="92" t="s">
        <v>164</v>
      </c>
      <c r="N15" s="196" t="str">
        <f>IF(Table1[[#This Row],[h_Item Description]]="","",INDEX([1]!db[NB PAJAK],MATCH(Table1[[#This Row],[h_Item Description]],[1]!db[kode],0)))</f>
        <v>CRAYON / OIL PASTEL JOYKO OP-24S PP CASE SEA WORLD</v>
      </c>
      <c r="O15" s="92" t="s">
        <v>166</v>
      </c>
      <c r="P15" s="93">
        <v>29600</v>
      </c>
      <c r="Q15" s="94">
        <v>0.125</v>
      </c>
      <c r="R15" s="94">
        <v>0.03</v>
      </c>
      <c r="S15" s="199">
        <f>Table1[[#This Row],[h_hargasetelahdiskon]]</f>
        <v>6029520</v>
      </c>
      <c r="T15" s="93" t="s">
        <v>133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3</v>
      </c>
      <c r="X15" s="93">
        <f>IF(Table1[Item Description]="","",Table1[[#This Row],[Qty]]*Table1[[#This Row],[Unit Price]])</f>
        <v>7104000</v>
      </c>
      <c r="Y15" s="93">
        <f>IF(Table1[[#This Row],[h_hargasebelumdiskon]]="","",IF(Table1[[#This Row],[Disc 1]]="",0,Table1[[#This Row],[h_hargasebelumdiskon]]*Table1[[#This Row],[Disc 1]]))</f>
        <v>888000</v>
      </c>
      <c r="Z15" s="93">
        <f>IF(Table1[[#This Row],[h_hargasebelumdiskon]]="","",IF(Table1[[#This Row],[Disc 2]]="",0,(Table1[[#This Row],[h_hargasebelumdiskon]]-Table1[[#This Row],[h_disc 1]])*Table1[[#This Row],[Disc 2]]))</f>
        <v>186480</v>
      </c>
      <c r="AA15" s="93">
        <f>IF(Table1[Item Description]="","",Table1[[#This Row],[h_disc 1]]+Table1[[#This Row],[h_disc 2]])</f>
        <v>1074480</v>
      </c>
      <c r="AB15" s="93">
        <f>IF(Table1[Item Description]="","",Table1[[#This Row],[h_hargasebelumdiskon]]-Table1[[#This Row],[h_diskon]])</f>
        <v>6029520</v>
      </c>
      <c r="AC15" s="93">
        <f ca="1">IF(Table1[//]="","",SUMIF(Table1[h_id],Table1[h_id],Table1[h_hargasetelahdiskon]))</f>
        <v>12993645</v>
      </c>
      <c r="AD15" s="93"/>
      <c r="AE15" s="93" t="str">
        <f>Table1[[#This Row],[Item Description]]&amp;Table1[[#This Row],[Unit]]&amp;Table1[[#This Row],[Unit Price]]</f>
        <v>CRAYON / OIL PASTEL JOYKO OP-24S PP CASE SEA WORLDPCS29600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720</v>
      </c>
      <c r="K16" s="92" t="s">
        <v>143</v>
      </c>
      <c r="L16" s="92">
        <v>1</v>
      </c>
      <c r="M16" s="92" t="s">
        <v>163</v>
      </c>
      <c r="N16" s="196" t="str">
        <f>IF(Table1[[#This Row],[h_Item Description]]="","",INDEX([1]!db[NB PAJAK],MATCH(Table1[[#This Row],[h_Item Description]],[1]!db[kode],0)))</f>
        <v>CORRECTION TAPE JOYKO CT-522</v>
      </c>
      <c r="O16" s="92" t="s">
        <v>167</v>
      </c>
      <c r="P16" s="93">
        <v>4800</v>
      </c>
      <c r="Q16" s="94">
        <v>0.125</v>
      </c>
      <c r="S16" s="199">
        <f>Table1[[#This Row],[h_hargasetelahdiskon]]</f>
        <v>3024000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3</v>
      </c>
      <c r="X16" s="93">
        <f>IF(Table1[Item Description]="","",Table1[[#This Row],[Qty]]*Table1[[#This Row],[Unit Price]])</f>
        <v>3456000</v>
      </c>
      <c r="Y16" s="93">
        <f>IF(Table1[[#This Row],[h_hargasebelumdiskon]]="","",IF(Table1[[#This Row],[Disc 1]]="",0,Table1[[#This Row],[h_hargasebelumdiskon]]*Table1[[#This Row],[Disc 1]]))</f>
        <v>432000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432000</v>
      </c>
      <c r="AB16" s="93">
        <f>IF(Table1[Item Description]="","",Table1[[#This Row],[h_hargasebelumdiskon]]-Table1[[#This Row],[h_diskon]])</f>
        <v>3024000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CORRECTION TAPE JOYKO CT-522PCS4800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60</v>
      </c>
      <c r="K17" s="92" t="s">
        <v>143</v>
      </c>
      <c r="L17" s="92">
        <v>1</v>
      </c>
      <c r="M17" s="92" t="s">
        <v>165</v>
      </c>
      <c r="N17" s="196" t="str">
        <f>IF(Table1[[#This Row],[h_Item Description]]="","",INDEX([1]!db[NB PAJAK],MATCH(Table1[[#This Row],[h_Item Description]],[1]!db[kode],0)))</f>
        <v>CALCULATOR JOYKO CC-800CH</v>
      </c>
      <c r="O17" s="92" t="s">
        <v>168</v>
      </c>
      <c r="P17" s="93">
        <v>79000</v>
      </c>
      <c r="Q17" s="94">
        <v>0.125</v>
      </c>
      <c r="R17" s="94">
        <v>0.05</v>
      </c>
      <c r="S17" s="199">
        <f>Table1[[#This Row],[h_hargasetelahdiskon]]</f>
        <v>3940125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3</v>
      </c>
      <c r="X17" s="93">
        <f>IF(Table1[Item Description]="","",Table1[[#This Row],[Qty]]*Table1[[#This Row],[Unit Price]])</f>
        <v>4740000</v>
      </c>
      <c r="Y17" s="93">
        <f>IF(Table1[[#This Row],[h_hargasebelumdiskon]]="","",IF(Table1[[#This Row],[Disc 1]]="",0,Table1[[#This Row],[h_hargasebelumdiskon]]*Table1[[#This Row],[Disc 1]]))</f>
        <v>592500</v>
      </c>
      <c r="Z17" s="93">
        <f>IF(Table1[[#This Row],[h_hargasebelumdiskon]]="","",IF(Table1[[#This Row],[Disc 2]]="",0,(Table1[[#This Row],[h_hargasebelumdiskon]]-Table1[[#This Row],[h_disc 1]])*Table1[[#This Row],[Disc 2]]))</f>
        <v>207375</v>
      </c>
      <c r="AA17" s="93">
        <f>IF(Table1[Item Description]="","",Table1[[#This Row],[h_disc 1]]+Table1[[#This Row],[h_disc 2]])</f>
        <v>799875</v>
      </c>
      <c r="AB17" s="93">
        <f>IF(Table1[Item Description]="","",Table1[[#This Row],[h_hargasebelumdiskon]]-Table1[[#This Row],[h_diskon]])</f>
        <v>3940125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CALCULATOR JOYKO CC-800CHPCS79000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23040005</v>
      </c>
      <c r="C19" s="98">
        <v>45027</v>
      </c>
      <c r="D19" s="92" t="s">
        <v>173</v>
      </c>
      <c r="E19" s="198"/>
      <c r="F19" s="92" t="s">
        <v>88</v>
      </c>
      <c r="G19" s="95" t="str">
        <f>IF(Table1[[#This Row],[h_No. Invoice :]]="","",CONCATENATE("AM"," ",Table1[[#This Row],[h_No. Invoice :]]))</f>
        <v>AM 23040005</v>
      </c>
      <c r="H19" s="96" t="str">
        <f>CONCATENATE(UPPER(Table1[[#This Row],[h_Kode Sales :_1]])," ",Table1[[#This Row],[h_Kode Sales :_2]])</f>
        <v xml:space="preserve">KO 1467 </v>
      </c>
      <c r="I19" s="95" t="str">
        <f>IF(Table1[[#This Row],[h_toko]]="","",INDEX(Table2[e],IF(Table1[[#This Row],[h_toko]]="","",MATCH(Table1[[#This Row],[h_toko]],Table2[a],0)),))</f>
        <v>CV PELITA JAYA (ANUGERAH SEJAHTERA) PURWOKERTO</v>
      </c>
      <c r="J19" s="92">
        <v>40</v>
      </c>
      <c r="K19" s="92" t="s">
        <v>174</v>
      </c>
      <c r="L19" s="92">
        <v>2</v>
      </c>
      <c r="M19" s="92" t="s">
        <v>175</v>
      </c>
      <c r="N19" s="196" t="str">
        <f>IF(Table1[[#This Row],[h_Item Description]]="","",INDEX([1]!db[NB PAJAK],MATCH(Table1[[#This Row],[h_Item Description]],[1]!db[kode],0)))</f>
        <v>PENSIL KENKO 2B-6191 HIJAU CAP HITAM</v>
      </c>
      <c r="O19" s="92" t="s">
        <v>176</v>
      </c>
      <c r="P19" s="93">
        <v>110400</v>
      </c>
      <c r="Q19" s="94">
        <v>0.13500000000000001</v>
      </c>
      <c r="S19" s="199">
        <f>Table1[[#This Row],[h_hargasetelahdiskon]]</f>
        <v>3819840</v>
      </c>
      <c r="T19" s="93" t="s">
        <v>133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1</v>
      </c>
      <c r="X19" s="93">
        <f>IF(Table1[Item Description]="","",Table1[[#This Row],[Qty]]*Table1[[#This Row],[Unit Price]])</f>
        <v>4416000</v>
      </c>
      <c r="Y19" s="93">
        <f>IF(Table1[[#This Row],[h_hargasebelumdiskon]]="","",IF(Table1[[#This Row],[Disc 1]]="",0,Table1[[#This Row],[h_hargasebelumdiskon]]*Table1[[#This Row],[Disc 1]]))</f>
        <v>596160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596160</v>
      </c>
      <c r="AB19" s="93">
        <f>IF(Table1[Item Description]="","",Table1[[#This Row],[h_hargasebelumdiskon]]-Table1[[#This Row],[h_diskon]])</f>
        <v>3819840</v>
      </c>
      <c r="AC19" s="93">
        <f ca="1">IF(Table1[//]="","",SUMIF(Table1[h_id],Table1[h_id],Table1[h_hargasetelahdiskon]))</f>
        <v>3819840</v>
      </c>
      <c r="AD19" s="93"/>
      <c r="AE19" s="93" t="str">
        <f>Table1[[#This Row],[Item Description]]&amp;Table1[[#This Row],[Unit]]&amp;Table1[[#This Row],[Unit Price]]</f>
        <v>PENSIL KENKO 2B-6191 HIJAU CAP HITAMGRS110400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>
        <f>IF(Table1[[#This Row],[No. Invoice :]]="","",ROW())</f>
        <v>21</v>
      </c>
      <c r="B21" s="196">
        <f>IF(Table1[h_Kode Sales :_1]="","",B$1+COUNT(B$2:B20))</f>
        <v>23040006</v>
      </c>
      <c r="C21" s="98">
        <v>45028</v>
      </c>
      <c r="D21" s="92" t="s">
        <v>136</v>
      </c>
      <c r="E21" s="97" t="s">
        <v>178</v>
      </c>
      <c r="F21" s="92" t="s">
        <v>97</v>
      </c>
      <c r="G21" s="95" t="str">
        <f>IF(Table1[[#This Row],[h_No. Invoice :]]="","",CONCATENATE("AM"," ",Table1[[#This Row],[h_No. Invoice :]]))</f>
        <v>AM 23040006</v>
      </c>
      <c r="H21" s="96" t="str">
        <f>CONCATENATE(UPPER(Table1[[#This Row],[h_Kode Sales :_1]])," ",Table1[[#This Row],[h_Kode Sales :_2]])</f>
        <v>G 1474</v>
      </c>
      <c r="I21" s="95" t="str">
        <f>IF(Table1[[#This Row],[h_toko]]="","",INDEX(Table2[e],IF(Table1[[#This Row],[h_toko]]="","",MATCH(Table1[[#This Row],[h_toko]],Table2[a],0)),))</f>
        <v>LILY JULIAWATI (REJO AGUNG) JOMBANG</v>
      </c>
      <c r="J21" s="92">
        <v>1440</v>
      </c>
      <c r="K21" s="92" t="s">
        <v>143</v>
      </c>
      <c r="L21" s="92">
        <v>10</v>
      </c>
      <c r="M21" s="92" t="s">
        <v>179</v>
      </c>
      <c r="N21" s="196" t="str">
        <f>IF(Table1[[#This Row],[h_Item Description]]="","",INDEX([1]!db[NB PAJAK],MATCH(Table1[[#This Row],[h_Item Description]],[1]!db[kode],0)))</f>
        <v>CRAYON / OIL PASTEL JOYKO OP-12S PP CASE SEA WORLD</v>
      </c>
      <c r="O21" s="92" t="s">
        <v>180</v>
      </c>
      <c r="P21" s="93">
        <v>11900</v>
      </c>
      <c r="Q21" s="94">
        <v>0.125</v>
      </c>
      <c r="R21" s="94">
        <v>0.03</v>
      </c>
      <c r="S21" s="199">
        <f>Table1[[#This Row],[h_hargasetelahdiskon]]</f>
        <v>14544180</v>
      </c>
      <c r="T21" s="93" t="s">
        <v>133</v>
      </c>
      <c r="V21" s="95">
        <f ca="1">IF(Table1[[#This Row],[Item Description]]="","",IF(Table1[[#This Row],[//]]="",INDIRECT(ADDRESS(ROW()-1,COLUMN())),Table1[[#This Row],[//]]))</f>
        <v>21</v>
      </c>
      <c r="W21" s="95">
        <f ca="1">IF(Table1[[#This Row],[h_id]]="","",COUNTIF(Table1[h_id],Table1[[#This Row],[h_id]]))</f>
        <v>1</v>
      </c>
      <c r="X21" s="93">
        <f>IF(Table1[Item Description]="","",Table1[[#This Row],[Qty]]*Table1[[#This Row],[Unit Price]])</f>
        <v>17136000</v>
      </c>
      <c r="Y21" s="93">
        <f>IF(Table1[[#This Row],[h_hargasebelumdiskon]]="","",IF(Table1[[#This Row],[Disc 1]]="",0,Table1[[#This Row],[h_hargasebelumdiskon]]*Table1[[#This Row],[Disc 1]]))</f>
        <v>2142000</v>
      </c>
      <c r="Z21" s="93">
        <f>IF(Table1[[#This Row],[h_hargasebelumdiskon]]="","",IF(Table1[[#This Row],[Disc 2]]="",0,(Table1[[#This Row],[h_hargasebelumdiskon]]-Table1[[#This Row],[h_disc 1]])*Table1[[#This Row],[Disc 2]]))</f>
        <v>449820</v>
      </c>
      <c r="AA21" s="93">
        <f>IF(Table1[Item Description]="","",Table1[[#This Row],[h_disc 1]]+Table1[[#This Row],[h_disc 2]])</f>
        <v>2591820</v>
      </c>
      <c r="AB21" s="93">
        <f>IF(Table1[Item Description]="","",Table1[[#This Row],[h_hargasebelumdiskon]]-Table1[[#This Row],[h_diskon]])</f>
        <v>14544180</v>
      </c>
      <c r="AC21" s="93">
        <f ca="1">IF(Table1[//]="","",SUMIF(Table1[h_id],Table1[h_id],Table1[h_hargasetelahdiskon]))</f>
        <v>14544180</v>
      </c>
      <c r="AD21" s="93"/>
      <c r="AE21" s="93" t="str">
        <f>Table1[[#This Row],[Item Description]]&amp;Table1[[#This Row],[Unit]]&amp;Table1[[#This Row],[Unit Price]]</f>
        <v>CRAYON / OIL PASTEL JOYKO OP-12S PP CASE SEA WORLDPCS11900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23040007</v>
      </c>
      <c r="C23" s="98">
        <v>45028</v>
      </c>
      <c r="D23" s="92" t="s">
        <v>182</v>
      </c>
      <c r="E23" s="97" t="s">
        <v>183</v>
      </c>
      <c r="F23" s="92" t="s">
        <v>184</v>
      </c>
      <c r="G23" s="95" t="str">
        <f>IF(Table1[[#This Row],[h_No. Invoice :]]="","",CONCATENATE("AM"," ",Table1[[#This Row],[h_No. Invoice :]]))</f>
        <v>AM 23040007</v>
      </c>
      <c r="H23" s="96" t="str">
        <f>CONCATENATE(UPPER(Table1[[#This Row],[h_Kode Sales :_1]])," ",Table1[[#This Row],[h_Kode Sales :_2]])</f>
        <v>KO 1027</v>
      </c>
      <c r="I23" s="95" t="str">
        <f>IF(Table1[[#This Row],[h_toko]]="","",INDEX(Table2[e],IF(Table1[[#This Row],[h_toko]]="","",MATCH(Table1[[#This Row],[h_toko]],Table2[a],0)),))</f>
        <v>SOEYANTO LOPULUSI ( LANCAR ) MALANG</v>
      </c>
      <c r="J23" s="92">
        <v>60</v>
      </c>
      <c r="K23" s="92" t="s">
        <v>131</v>
      </c>
      <c r="L23" s="92">
        <v>1</v>
      </c>
      <c r="M23" s="92" t="s">
        <v>185</v>
      </c>
      <c r="N23" s="196" t="str">
        <f>IF(Table1[[#This Row],[h_Item Description]]="","",INDEX([1]!db[NB PAJAK],MATCH(Table1[[#This Row],[h_Item Description]],[1]!db[kode],0)))</f>
        <v>CORRECTION TAPE JOYKO CT-507</v>
      </c>
      <c r="O23" s="92" t="s">
        <v>192</v>
      </c>
      <c r="P23" s="93">
        <v>55200</v>
      </c>
      <c r="Q23" s="94">
        <v>0.125</v>
      </c>
      <c r="S23" s="199">
        <f>Table1[[#This Row],[h_hargasetelahdiskon]]</f>
        <v>2898000</v>
      </c>
      <c r="T23" s="93" t="s">
        <v>133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7</v>
      </c>
      <c r="X23" s="93">
        <f>IF(Table1[Item Description]="","",Table1[[#This Row],[Qty]]*Table1[[#This Row],[Unit Price]])</f>
        <v>3312000</v>
      </c>
      <c r="Y23" s="93">
        <f>IF(Table1[[#This Row],[h_hargasebelumdiskon]]="","",IF(Table1[[#This Row],[Disc 1]]="",0,Table1[[#This Row],[h_hargasebelumdiskon]]*Table1[[#This Row],[Disc 1]]))</f>
        <v>414000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414000</v>
      </c>
      <c r="AB23" s="93">
        <f>IF(Table1[Item Description]="","",Table1[[#This Row],[h_hargasebelumdiskon]]-Table1[[#This Row],[h_diskon]])</f>
        <v>2898000</v>
      </c>
      <c r="AC23" s="93">
        <f ca="1">IF(Table1[//]="","",SUMIF(Table1[h_id],Table1[h_id],Table1[h_hargasetelahdiskon]))</f>
        <v>19674550</v>
      </c>
      <c r="AD23" s="93"/>
      <c r="AE23" s="93" t="str">
        <f>Table1[[#This Row],[Item Description]]&amp;Table1[[#This Row],[Unit]]&amp;Table1[[#This Row],[Unit Price]]</f>
        <v>CORRECTION TAPE JOYKO CT-507LSN55200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60</v>
      </c>
      <c r="K24" s="92" t="s">
        <v>131</v>
      </c>
      <c r="L24" s="92">
        <v>1</v>
      </c>
      <c r="M24" s="92" t="s">
        <v>191</v>
      </c>
      <c r="N24" s="196" t="str">
        <f>IF(Table1[[#This Row],[h_Item Description]]="","",INDEX([1]!db[NB PAJAK],MATCH(Table1[[#This Row],[h_Item Description]],[1]!db[kode],0)))</f>
        <v>CORRECTION TAPE JOYKO CT-508</v>
      </c>
      <c r="O24" s="92" t="s">
        <v>193</v>
      </c>
      <c r="P24" s="93">
        <v>54000</v>
      </c>
      <c r="Q24" s="94">
        <v>0.125</v>
      </c>
      <c r="S24" s="199">
        <f>Table1[[#This Row],[h_hargasetelahdiskon]]</f>
        <v>2835000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7</v>
      </c>
      <c r="X24" s="93">
        <f>IF(Table1[Item Description]="","",Table1[[#This Row],[Qty]]*Table1[[#This Row],[Unit Price]])</f>
        <v>3240000</v>
      </c>
      <c r="Y24" s="93">
        <f>IF(Table1[[#This Row],[h_hargasebelumdiskon]]="","",IF(Table1[[#This Row],[Disc 1]]="",0,Table1[[#This Row],[h_hargasebelumdiskon]]*Table1[[#This Row],[Disc 1]]))</f>
        <v>405000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405000</v>
      </c>
      <c r="AB24" s="93">
        <f>IF(Table1[Item Description]="","",Table1[[#This Row],[h_hargasebelumdiskon]]-Table1[[#This Row],[h_diskon]])</f>
        <v>2835000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CORRECTION TAPE JOYKO CT-508LSN54000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72</v>
      </c>
      <c r="K25" s="92" t="s">
        <v>143</v>
      </c>
      <c r="L25" s="92">
        <v>1</v>
      </c>
      <c r="M25" s="92" t="s">
        <v>186</v>
      </c>
      <c r="N25" s="196" t="str">
        <f>IF(Table1[[#This Row],[h_Item Description]]="","",INDEX([1]!db[NB PAJAK],MATCH(Table1[[#This Row],[h_Item Description]],[1]!db[kode],0)))</f>
        <v>PENSIL WARNA JOYKO CP-24PB (PANJANG)</v>
      </c>
      <c r="O25" s="92" t="s">
        <v>194</v>
      </c>
      <c r="P25" s="93">
        <v>21200</v>
      </c>
      <c r="Q25" s="94">
        <v>0.125</v>
      </c>
      <c r="S25" s="199">
        <f>Table1[[#This Row],[h_hargasetelahdiskon]]</f>
        <v>1335600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7</v>
      </c>
      <c r="X25" s="93">
        <f>IF(Table1[Item Description]="","",Table1[[#This Row],[Qty]]*Table1[[#This Row],[Unit Price]])</f>
        <v>1526400</v>
      </c>
      <c r="Y25" s="93">
        <f>IF(Table1[[#This Row],[h_hargasebelumdiskon]]="","",IF(Table1[[#This Row],[Disc 1]]="",0,Table1[[#This Row],[h_hargasebelumdiskon]]*Table1[[#This Row],[Disc 1]]))</f>
        <v>190800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190800</v>
      </c>
      <c r="AB25" s="93">
        <f>IF(Table1[Item Description]="","",Table1[[#This Row],[h_hargasebelumdiskon]]-Table1[[#This Row],[h_diskon]])</f>
        <v>1335600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PENSIL WARNA JOYKO CP-24PB (PANJANG)PCS21200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288</v>
      </c>
      <c r="K26" s="92" t="s">
        <v>143</v>
      </c>
      <c r="L26" s="92">
        <v>1</v>
      </c>
      <c r="M26" s="92" t="s">
        <v>187</v>
      </c>
      <c r="N26" s="196" t="str">
        <f>IF(Table1[[#This Row],[h_Item Description]]="","",INDEX([1]!db[NB PAJAK],MATCH(Table1[[#This Row],[h_Item Description]],[1]!db[kode],0)))</f>
        <v>PENSIL WARNA JOYKO CP-S12 MINI (PENDEK)</v>
      </c>
      <c r="O26" s="92" t="s">
        <v>195</v>
      </c>
      <c r="P26" s="93">
        <v>6700</v>
      </c>
      <c r="Q26" s="94">
        <v>0.125</v>
      </c>
      <c r="S26" s="199">
        <f>Table1[[#This Row],[h_hargasetelahdiskon]]</f>
        <v>1688400</v>
      </c>
      <c r="V26" s="95">
        <f ca="1">IF(Table1[[#This Row],[Item Description]]="","",IF(Table1[[#This Row],[//]]="",INDIRECT(ADDRESS(ROW()-1,COLUMN())),Table1[[#This Row],[//]]))</f>
        <v>23</v>
      </c>
      <c r="W26" s="95">
        <f ca="1">IF(Table1[[#This Row],[h_id]]="","",COUNTIF(Table1[h_id],Table1[[#This Row],[h_id]]))</f>
        <v>7</v>
      </c>
      <c r="X26" s="93">
        <f>IF(Table1[Item Description]="","",Table1[[#This Row],[Qty]]*Table1[[#This Row],[Unit Price]])</f>
        <v>1929600</v>
      </c>
      <c r="Y26" s="93">
        <f>IF(Table1[[#This Row],[h_hargasebelumdiskon]]="","",IF(Table1[[#This Row],[Disc 1]]="",0,Table1[[#This Row],[h_hargasebelumdiskon]]*Table1[[#This Row],[Disc 1]]))</f>
        <v>241200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241200</v>
      </c>
      <c r="AB26" s="93">
        <f>IF(Table1[Item Description]="","",Table1[[#This Row],[h_hargasebelumdiskon]]-Table1[[#This Row],[h_diskon]])</f>
        <v>1688400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PENSIL WARNA JOYKO CP-S12 MINI (PENDEK)PCS6700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432</v>
      </c>
      <c r="K27" s="92" t="s">
        <v>143</v>
      </c>
      <c r="L27" s="92">
        <v>3</v>
      </c>
      <c r="M27" s="92" t="s">
        <v>188</v>
      </c>
      <c r="N27" s="196" t="str">
        <f>IF(Table1[[#This Row],[h_Item Description]]="","",INDEX([1]!db[NB PAJAK],MATCH(Table1[[#This Row],[h_Item Description]],[1]!db[kode],0)))</f>
        <v>PENSIL WARNA JOYKO CP-12PB (PANJANG)</v>
      </c>
      <c r="O27" s="92" t="s">
        <v>196</v>
      </c>
      <c r="P27" s="93">
        <v>10600</v>
      </c>
      <c r="Q27" s="94">
        <v>0.125</v>
      </c>
      <c r="S27" s="199">
        <f>Table1[[#This Row],[h_hargasetelahdiskon]]</f>
        <v>4006800</v>
      </c>
      <c r="V27" s="95">
        <f ca="1">IF(Table1[[#This Row],[Item Description]]="","",IF(Table1[[#This Row],[//]]="",INDIRECT(ADDRESS(ROW()-1,COLUMN())),Table1[[#This Row],[//]]))</f>
        <v>23</v>
      </c>
      <c r="W27" s="95">
        <f ca="1">IF(Table1[[#This Row],[h_id]]="","",COUNTIF(Table1[h_id],Table1[[#This Row],[h_id]]))</f>
        <v>7</v>
      </c>
      <c r="X27" s="93">
        <f>IF(Table1[Item Description]="","",Table1[[#This Row],[Qty]]*Table1[[#This Row],[Unit Price]])</f>
        <v>4579200</v>
      </c>
      <c r="Y27" s="93">
        <f>IF(Table1[[#This Row],[h_hargasebelumdiskon]]="","",IF(Table1[[#This Row],[Disc 1]]="",0,Table1[[#This Row],[h_hargasebelumdiskon]]*Table1[[#This Row],[Disc 1]]))</f>
        <v>572400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572400</v>
      </c>
      <c r="AB27" s="93">
        <f>IF(Table1[Item Description]="","",Table1[[#This Row],[h_hargasebelumdiskon]]-Table1[[#This Row],[h_diskon]])</f>
        <v>4006800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PENSIL WARNA JOYKO CP-12PB (PANJANG)PCS10600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240</v>
      </c>
      <c r="K28" s="92" t="s">
        <v>143</v>
      </c>
      <c r="L28" s="92">
        <v>2</v>
      </c>
      <c r="M28" s="92" t="s">
        <v>189</v>
      </c>
      <c r="N28" s="196" t="str">
        <f>IF(Table1[[#This Row],[h_Item Description]]="","",INDEX([1]!db[NB PAJAK],MATCH(Table1[[#This Row],[h_Item Description]],[1]!db[kode],0)))</f>
        <v>STAPLER JOYKO HD-50</v>
      </c>
      <c r="O28" s="92" t="s">
        <v>197</v>
      </c>
      <c r="P28" s="93">
        <v>18700</v>
      </c>
      <c r="Q28" s="94">
        <v>0.125</v>
      </c>
      <c r="S28" s="199">
        <f>Table1[[#This Row],[h_hargasetelahdiskon]]</f>
        <v>3927000</v>
      </c>
      <c r="V28" s="95">
        <f ca="1">IF(Table1[[#This Row],[Item Description]]="","",IF(Table1[[#This Row],[//]]="",INDIRECT(ADDRESS(ROW()-1,COLUMN())),Table1[[#This Row],[//]]))</f>
        <v>23</v>
      </c>
      <c r="W28" s="95">
        <f ca="1">IF(Table1[[#This Row],[h_id]]="","",COUNTIF(Table1[h_id],Table1[[#This Row],[h_id]]))</f>
        <v>7</v>
      </c>
      <c r="X28" s="93">
        <f>IF(Table1[Item Description]="","",Table1[[#This Row],[Qty]]*Table1[[#This Row],[Unit Price]])</f>
        <v>4488000</v>
      </c>
      <c r="Y28" s="93">
        <f>IF(Table1[[#This Row],[h_hargasebelumdiskon]]="","",IF(Table1[[#This Row],[Disc 1]]="",0,Table1[[#This Row],[h_hargasebelumdiskon]]*Table1[[#This Row],[Disc 1]]))</f>
        <v>561000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561000</v>
      </c>
      <c r="AB28" s="93">
        <f>IF(Table1[Item Description]="","",Table1[[#This Row],[h_hargasebelumdiskon]]-Table1[[#This Row],[h_diskon]])</f>
        <v>3927000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STAPLER JOYKO HD-50PCS18700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100</v>
      </c>
      <c r="K29" s="92" t="s">
        <v>139</v>
      </c>
      <c r="L29" s="92">
        <v>2</v>
      </c>
      <c r="M29" s="92" t="s">
        <v>231</v>
      </c>
      <c r="N29" s="196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34100</v>
      </c>
      <c r="Q29" s="94">
        <v>0.125</v>
      </c>
      <c r="S29" s="199">
        <f>Table1[[#This Row],[h_hargasetelahdiskon]]</f>
        <v>2983750</v>
      </c>
      <c r="V29" s="95">
        <f ca="1">IF(Table1[[#This Row],[Item Description]]="","",IF(Table1[[#This Row],[//]]="",INDIRECT(ADDRESS(ROW()-1,COLUMN())),Table1[[#This Row],[//]]))</f>
        <v>23</v>
      </c>
      <c r="W29" s="95">
        <f ca="1">IF(Table1[[#This Row],[h_id]]="","",COUNTIF(Table1[h_id],Table1[[#This Row],[h_id]]))</f>
        <v>7</v>
      </c>
      <c r="X29" s="93">
        <f>IF(Table1[Item Description]="","",Table1[[#This Row],[Qty]]*Table1[[#This Row],[Unit Price]])</f>
        <v>3410000</v>
      </c>
      <c r="Y29" s="93">
        <f>IF(Table1[[#This Row],[h_hargasebelumdiskon]]="","",IF(Table1[[#This Row],[Disc 1]]="",0,Table1[[#This Row],[h_hargasebelumdiskon]]*Table1[[#This Row],[Disc 1]]))</f>
        <v>426250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426250</v>
      </c>
      <c r="AB29" s="93">
        <f>IF(Table1[Item Description]="","",Table1[[#This Row],[h_hargasebelumdiskon]]-Table1[[#This Row],[h_diskon]])</f>
        <v>2983750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STIP / PENGHAPUS JOYKO 526-B20 PUTIHBOX34100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>
        <f>IF(Table1[[#This Row],[No. Invoice :]]="","",ROW())</f>
        <v>31</v>
      </c>
      <c r="B31" s="196">
        <f>IF(Table1[h_Kode Sales :_1]="","",B$1+COUNT(B$2:B30))</f>
        <v>23040008</v>
      </c>
      <c r="C31" s="98">
        <v>45028</v>
      </c>
      <c r="D31" s="92" t="s">
        <v>129</v>
      </c>
      <c r="E31" s="97" t="s">
        <v>206</v>
      </c>
      <c r="F31" s="92" t="s">
        <v>88</v>
      </c>
      <c r="G31" s="95" t="str">
        <f>IF(Table1[[#This Row],[h_No. Invoice :]]="","",CONCATENATE("AM"," ",Table1[[#This Row],[h_No. Invoice :]]))</f>
        <v>AM 23040008</v>
      </c>
      <c r="H31" s="96" t="str">
        <f>CONCATENATE(UPPER(Table1[[#This Row],[h_Kode Sales :_1]])," ",Table1[[#This Row],[h_Kode Sales :_2]])</f>
        <v>KO 1482</v>
      </c>
      <c r="I31" s="95" t="str">
        <f>IF(Table1[[#This Row],[h_toko]]="","",INDEX(Table2[e],IF(Table1[[#This Row],[h_toko]]="","",MATCH(Table1[[#This Row],[h_toko]],Table2[a],0)),))</f>
        <v>CV PELITA JAYA (ANUGERAH SEJAHTERA) PURWOKERTO</v>
      </c>
      <c r="J31" s="92">
        <v>50</v>
      </c>
      <c r="K31" s="92" t="s">
        <v>139</v>
      </c>
      <c r="L31" s="92">
        <v>1</v>
      </c>
      <c r="M31" s="92" t="s">
        <v>190</v>
      </c>
      <c r="N31" s="196" t="str">
        <f>IF(Table1[[#This Row],[h_Item Description]]="","",INDEX([1]!db[NB PAJAK],MATCH(Table1[[#This Row],[h_Item Description]],[1]!db[kode],0)))</f>
        <v>STIP / PENGHAPUS JOYKO 526-B20 PUTIH</v>
      </c>
      <c r="O31" s="92" t="s">
        <v>198</v>
      </c>
      <c r="P31" s="93">
        <v>34100</v>
      </c>
      <c r="Q31" s="94">
        <v>0.13500000000000001</v>
      </c>
      <c r="S31" s="199">
        <f>Table1[[#This Row],[h_hargasetelahdiskon]]</f>
        <v>1474825</v>
      </c>
      <c r="T31" s="93" t="s">
        <v>133</v>
      </c>
      <c r="V31" s="95">
        <f ca="1">IF(Table1[[#This Row],[Item Description]]="","",IF(Table1[[#This Row],[//]]="",INDIRECT(ADDRESS(ROW()-1,COLUMN())),Table1[[#This Row],[//]]))</f>
        <v>31</v>
      </c>
      <c r="W31" s="95">
        <f ca="1">IF(Table1[[#This Row],[h_id]]="","",COUNTIF(Table1[h_id],Table1[[#This Row],[h_id]]))</f>
        <v>3</v>
      </c>
      <c r="X31" s="93">
        <f>IF(Table1[Item Description]="","",Table1[[#This Row],[Qty]]*Table1[[#This Row],[Unit Price]])</f>
        <v>1705000</v>
      </c>
      <c r="Y31" s="93">
        <f>IF(Table1[[#This Row],[h_hargasebelumdiskon]]="","",IF(Table1[[#This Row],[Disc 1]]="",0,Table1[[#This Row],[h_hargasebelumdiskon]]*Table1[[#This Row],[Disc 1]]))</f>
        <v>230175.00000000003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230175.00000000003</v>
      </c>
      <c r="AB31" s="93">
        <f>IF(Table1[Item Description]="","",Table1[[#This Row],[h_hargasebelumdiskon]]-Table1[[#This Row],[h_diskon]])</f>
        <v>1474825</v>
      </c>
      <c r="AC31" s="93">
        <f ca="1">IF(Table1[//]="","",SUMIF(Table1[h_id],Table1[h_id],Table1[h_hargasetelahdiskon]))</f>
        <v>4268256</v>
      </c>
      <c r="AD31" s="93"/>
      <c r="AE31" s="93" t="str">
        <f>Table1[[#This Row],[Item Description]]&amp;Table1[[#This Row],[Unit]]&amp;Table1[[#This Row],[Unit Price]]</f>
        <v>STIP / PENGHAPUS JOYKO 526-B20 PUTIHBOX34100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144</v>
      </c>
      <c r="K32" s="92" t="s">
        <v>131</v>
      </c>
      <c r="L32" s="92">
        <v>1</v>
      </c>
      <c r="M32" s="92" t="s">
        <v>138</v>
      </c>
      <c r="N32" s="196" t="str">
        <f>IF(Table1[[#This Row],[h_Item Description]]="","",INDEX([1]!db[NB PAJAK],MATCH(Table1[[#This Row],[h_Item Description]],[1]!db[kode],0)))</f>
        <v>BALLPEN JOYKO BP-338 VOCUS HITAM</v>
      </c>
      <c r="O32" s="92" t="s">
        <v>146</v>
      </c>
      <c r="P32" s="93">
        <v>12600</v>
      </c>
      <c r="Q32" s="94">
        <v>0.13500000000000001</v>
      </c>
      <c r="S32" s="199">
        <f>Table1[[#This Row],[h_hargasetelahdiskon]]</f>
        <v>1569456</v>
      </c>
      <c r="V32" s="95">
        <f ca="1">IF(Table1[[#This Row],[Item Description]]="","",IF(Table1[[#This Row],[//]]="",INDIRECT(ADDRESS(ROW()-1,COLUMN())),Table1[[#This Row],[//]]))</f>
        <v>31</v>
      </c>
      <c r="W32" s="95">
        <f ca="1">IF(Table1[[#This Row],[h_id]]="","",COUNTIF(Table1[h_id],Table1[[#This Row],[h_id]]))</f>
        <v>3</v>
      </c>
      <c r="X32" s="93">
        <f>IF(Table1[Item Description]="","",Table1[[#This Row],[Qty]]*Table1[[#This Row],[Unit Price]])</f>
        <v>1814400</v>
      </c>
      <c r="Y32" s="93">
        <f>IF(Table1[[#This Row],[h_hargasebelumdiskon]]="","",IF(Table1[[#This Row],[Disc 1]]="",0,Table1[[#This Row],[h_hargasebelumdiskon]]*Table1[[#This Row],[Disc 1]]))</f>
        <v>244944.00000000003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244944.00000000003</v>
      </c>
      <c r="AB32" s="93">
        <f>IF(Table1[Item Description]="","",Table1[[#This Row],[h_hargasebelumdiskon]]-Table1[[#This Row],[h_diskon]])</f>
        <v>1569456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BALLPEN JOYKO BP-338 VOCUS HITAMLSN12600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50</v>
      </c>
      <c r="K33" s="92" t="s">
        <v>139</v>
      </c>
      <c r="L33" s="92">
        <v>1</v>
      </c>
      <c r="M33" s="92" t="s">
        <v>158</v>
      </c>
      <c r="N33" s="196" t="str">
        <f>IF(Table1[[#This Row],[h_Item Description]]="","",INDEX([1]!db[NB PAJAK],MATCH(Table1[[#This Row],[h_Item Description]],[1]!db[kode],0)))</f>
        <v>STIP / PENGHAPUS JOYKO 526-B40P PUTIH</v>
      </c>
      <c r="O33" s="92" t="s">
        <v>160</v>
      </c>
      <c r="P33" s="93">
        <v>28300</v>
      </c>
      <c r="Q33" s="94">
        <v>0.13500000000000001</v>
      </c>
      <c r="S33" s="199">
        <f>Table1[[#This Row],[h_hargasetelahdiskon]]</f>
        <v>1223975</v>
      </c>
      <c r="V33" s="95">
        <f ca="1">IF(Table1[[#This Row],[Item Description]]="","",IF(Table1[[#This Row],[//]]="",INDIRECT(ADDRESS(ROW()-1,COLUMN())),Table1[[#This Row],[//]]))</f>
        <v>31</v>
      </c>
      <c r="W33" s="95">
        <f ca="1">IF(Table1[[#This Row],[h_id]]="","",COUNTIF(Table1[h_id],Table1[[#This Row],[h_id]]))</f>
        <v>3</v>
      </c>
      <c r="X33" s="93">
        <f>IF(Table1[Item Description]="","",Table1[[#This Row],[Qty]]*Table1[[#This Row],[Unit Price]])</f>
        <v>1415000</v>
      </c>
      <c r="Y33" s="93">
        <f>IF(Table1[[#This Row],[h_hargasebelumdiskon]]="","",IF(Table1[[#This Row],[Disc 1]]="",0,Table1[[#This Row],[h_hargasebelumdiskon]]*Table1[[#This Row],[Disc 1]]))</f>
        <v>191025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191025</v>
      </c>
      <c r="AB33" s="93">
        <f>IF(Table1[Item Description]="","",Table1[[#This Row],[h_hargasebelumdiskon]]-Table1[[#This Row],[h_diskon]])</f>
        <v>1223975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STIP / PENGHAPUS JOYKO 526-B40P PUTIHBOX28300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IF(Table1[[#This Row],[h_hargasebelumdiskon]]="","",IF(Table1[[#This Row],[Disc 1]]="",0,Table1[[#This Row],[h_hargasebelumdiskon]]*Table1[[#This Row],[Disc 1]]))</f>
        <v/>
      </c>
      <c r="Z34" s="93" t="str">
        <f>IF(Table1[[#This Row],[h_hargasebelumdiskon]]="","",IF(Table1[[#This Row],[Disc 2]]="",0,(Table1[[#This Row],[h_hargasebelumdiskon]]-Table1[[#This Row],[h_disc 1]])*Table1[[#This Row],[Disc 2]]))</f>
        <v/>
      </c>
      <c r="AA34" s="93" t="str">
        <f>IF(Table1[Item Description]="","",Table1[[#This Row],[h_disc 1]]+Table1[[#This Row],[h_disc 2]])</f>
        <v/>
      </c>
      <c r="AB34" s="93" t="str">
        <f>IF(Table1[Item Description]="","",Table1[[#This Row],[h_hargasebelumdiskon]]-Table1[[#This Row],[h_diskon]])</f>
        <v/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/>
      </c>
    </row>
    <row r="35" spans="1:31" x14ac:dyDescent="0.25">
      <c r="A35" s="95">
        <f>IF(Table1[[#This Row],[No. Invoice :]]="","",ROW())</f>
        <v>35</v>
      </c>
      <c r="B35" s="196">
        <f>IF(Table1[h_Kode Sales :_1]="","",B$1+COUNT(B$2:B34))</f>
        <v>23040009</v>
      </c>
      <c r="C35" s="98">
        <v>45030</v>
      </c>
      <c r="D35" s="92" t="s">
        <v>129</v>
      </c>
      <c r="E35" s="97" t="s">
        <v>227</v>
      </c>
      <c r="F35" s="92" t="s">
        <v>42</v>
      </c>
      <c r="G35" s="95" t="str">
        <f>IF(Table1[[#This Row],[h_No. Invoice :]]="","",CONCATENATE("AM"," ",Table1[[#This Row],[h_No. Invoice :]]))</f>
        <v>AM 23040009</v>
      </c>
      <c r="H35" s="96" t="str">
        <f>CONCATENATE(UPPER(Table1[[#This Row],[h_Kode Sales :_1]])," ",Table1[[#This Row],[h_Kode Sales :_2]])</f>
        <v>KO 4010</v>
      </c>
      <c r="I35" s="95" t="str">
        <f>IF(Table1[[#This Row],[h_toko]]="","",INDEX(Table2[e],IF(Table1[[#This Row],[h_toko]]="","",MATCH(Table1[[#This Row],[h_toko]],Table2[a],0)),))</f>
        <v>CV TRINITY CENTRAAL PURWOKERTO</v>
      </c>
      <c r="J35" s="92">
        <v>12</v>
      </c>
      <c r="K35" s="92" t="s">
        <v>207</v>
      </c>
      <c r="L35" s="92">
        <v>1</v>
      </c>
      <c r="M35" s="304"/>
      <c r="N35" s="196" t="str">
        <f>IF(Table1[[#This Row],[h_Item Description]]="","",INDEX([1]!db[NB PAJAK],MATCH(Table1[[#This Row],[h_Item Description]],[1]!db[kode],0)))</f>
        <v/>
      </c>
      <c r="O35" s="92" t="s">
        <v>228</v>
      </c>
      <c r="P35" s="93">
        <v>150000</v>
      </c>
      <c r="Q35" s="94"/>
      <c r="S35" s="199">
        <f>Table1[[#This Row],[h_hargasetelahdiskon]]</f>
        <v>1800000</v>
      </c>
      <c r="T35" s="93" t="s">
        <v>229</v>
      </c>
      <c r="V35" s="95">
        <f ca="1">IF(Table1[[#This Row],[Item Description]]="","",IF(Table1[[#This Row],[//]]="",INDIRECT(ADDRESS(ROW()-1,COLUMN())),Table1[[#This Row],[//]]))</f>
        <v>35</v>
      </c>
      <c r="W35" s="95">
        <f ca="1">IF(Table1[[#This Row],[h_id]]="","",COUNTIF(Table1[h_id],Table1[[#This Row],[h_id]]))</f>
        <v>1</v>
      </c>
      <c r="X35" s="93">
        <f>IF(Table1[Item Description]="","",Table1[[#This Row],[Qty]]*Table1[[#This Row],[Unit Price]])</f>
        <v>1800000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1800000</v>
      </c>
      <c r="AC35" s="93">
        <f ca="1">IF(Table1[//]="","",SUMIF(Table1[h_id],Table1[h_id],Table1[h_hargasetelahdiskon]))</f>
        <v>1800000</v>
      </c>
      <c r="AD35" s="93"/>
      <c r="AE35" s="93" t="str">
        <f>Table1[[#This Row],[Item Description]]&amp;Table1[[#This Row],[Unit]]&amp;Table1[[#This Row],[Unit Price]]</f>
        <v>PENCIL CASE 22 x 7.5 MAGNET C-1758LS150000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IF(Table1[[#This Row],[h_hargasebelumdiskon]]="","",IF(Table1[[#This Row],[Disc 1]]="",0,Table1[[#This Row],[h_hargasebelumdiskon]]*Table1[[#This Row],[Disc 1]]))</f>
        <v/>
      </c>
      <c r="Z36" s="93" t="str">
        <f>IF(Table1[[#This Row],[h_hargasebelumdiskon]]="","",IF(Table1[[#This Row],[Disc 2]]="",0,(Table1[[#This Row],[h_hargasebelumdiskon]]-Table1[[#This Row],[h_disc 1]])*Table1[[#This Row],[Disc 2]]))</f>
        <v/>
      </c>
      <c r="AA36" s="93" t="str">
        <f>IF(Table1[Item Description]="","",Table1[[#This Row],[h_disc 1]]+Table1[[#This Row],[h_disc 2]])</f>
        <v/>
      </c>
      <c r="AB36" s="93" t="str">
        <f>IF(Table1[Item Description]="","",Table1[[#This Row],[h_hargasebelumdiskon]]-Table1[[#This Row],[h_diskon]])</f>
        <v/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/>
      </c>
    </row>
    <row r="37" spans="1:31" x14ac:dyDescent="0.25">
      <c r="A37" s="95">
        <f>IF(Table1[[#This Row],[No. Invoice :]]="","",ROW())</f>
        <v>37</v>
      </c>
      <c r="B37" s="196">
        <f>IF(Table1[h_Kode Sales :_1]="","",B$1+COUNT(B$2:B36))</f>
        <v>23040010</v>
      </c>
      <c r="C37" s="98">
        <v>45030</v>
      </c>
      <c r="D37" s="92" t="s">
        <v>136</v>
      </c>
      <c r="E37" s="97" t="s">
        <v>217</v>
      </c>
      <c r="F37" s="92" t="s">
        <v>63</v>
      </c>
      <c r="G37" s="95" t="str">
        <f>IF(Table1[[#This Row],[h_No. Invoice :]]="","",CONCATENATE("AM"," ",Table1[[#This Row],[h_No. Invoice :]]))</f>
        <v>AM 23040010</v>
      </c>
      <c r="H37" s="96" t="str">
        <f>CONCATENATE(UPPER(Table1[[#This Row],[h_Kode Sales :_1]])," ",Table1[[#This Row],[h_Kode Sales :_2]])</f>
        <v>G 2944</v>
      </c>
      <c r="I37" s="95" t="str">
        <f>IF(Table1[[#This Row],[h_toko]]="","",INDEX(Table2[e],IF(Table1[[#This Row],[h_toko]]="","",MATCH(Table1[[#This Row],[h_toko]],Table2[a],0)),))</f>
        <v>SINAR BHAKTI YOGYAKARTA</v>
      </c>
      <c r="J37" s="92">
        <v>2</v>
      </c>
      <c r="K37" s="92" t="s">
        <v>207</v>
      </c>
      <c r="N37" s="196" t="str">
        <f>IF(Table1[[#This Row],[h_Item Description]]="","",INDEX([1]!db[NB PAJAK],MATCH(Table1[[#This Row],[h_Item Description]],[1]!db[kode],0)))</f>
        <v/>
      </c>
      <c r="O37" s="92" t="s">
        <v>208</v>
      </c>
      <c r="P37" s="93">
        <v>149000</v>
      </c>
      <c r="Q37" s="94"/>
      <c r="S37" s="199">
        <f>Table1[[#This Row],[h_hargasetelahdiskon]]</f>
        <v>298000</v>
      </c>
      <c r="T37" s="93" t="s">
        <v>226</v>
      </c>
      <c r="V37" s="95">
        <f ca="1">IF(Table1[[#This Row],[Item Description]]="","",IF(Table1[[#This Row],[//]]="",INDIRECT(ADDRESS(ROW()-1,COLUMN())),Table1[[#This Row],[//]]))</f>
        <v>37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298000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298000</v>
      </c>
      <c r="AC37" s="93">
        <f ca="1">IF(Table1[//]="","",SUMIF(Table1[h_id],Table1[h_id],Table1[h_hargasetelahdiskon]))</f>
        <v>1524500</v>
      </c>
      <c r="AD37" s="93"/>
      <c r="AE37" s="93" t="str">
        <f>Table1[[#This Row],[Item Description]]&amp;Table1[[#This Row],[Unit]]&amp;Table1[[#This Row],[Unit Price]]</f>
        <v>PENSIL WARNA KAYAGI KY-CP1224 TWINLS149000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139</v>
      </c>
      <c r="N38" s="196" t="str">
        <f>IF(Table1[[#This Row],[h_Item Description]]="","",INDEX([1]!db[NB PAJAK],MATCH(Table1[[#This Row],[h_Item Description]],[1]!db[kode],0)))</f>
        <v/>
      </c>
      <c r="O38" s="92" t="s">
        <v>209</v>
      </c>
      <c r="P38" s="93">
        <v>57000</v>
      </c>
      <c r="Q38" s="94"/>
      <c r="S38" s="199">
        <f>Table1[[#This Row],[h_hargasetelahdiskon]]</f>
        <v>114000</v>
      </c>
      <c r="V38" s="95">
        <f ca="1">IF(Table1[[#This Row],[Item Description]]="","",IF(Table1[[#This Row],[//]]="",INDIRECT(ADDRESS(ROW()-1,COLUMN())),Table1[[#This Row],[//]]))</f>
        <v>37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114000</v>
      </c>
      <c r="Y38" s="93">
        <f>IF(Table1[[#This Row],[h_hargasebelumdiskon]]="","",IF(Table1[[#This Row],[Disc 1]]="",0,Table1[[#This Row],[h_hargasebelumdiskon]]*Table1[[#This Row],[Disc 1]]))</f>
        <v>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0</v>
      </c>
      <c r="AB38" s="93">
        <f>IF(Table1[Item Description]="","",Table1[[#This Row],[h_hargasebelumdiskon]]-Table1[[#This Row],[h_diskon]])</f>
        <v>114000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HIGHLIGHTER / STABILLO TIZO TF-616 (isi 24 pc)BOX57000</v>
      </c>
    </row>
    <row r="39" spans="1:31" x14ac:dyDescent="0.25">
      <c r="A39" s="95" t="str">
        <f>IF(Table1[[#This Row],[No. Invoice :]]="","",ROW())</f>
        <v/>
      </c>
      <c r="B39" s="2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2</v>
      </c>
      <c r="K39" s="92" t="s">
        <v>139</v>
      </c>
      <c r="M39" s="296"/>
      <c r="N39" s="196" t="str">
        <f>IF(Table1[[#This Row],[h_Item Description]]="","",INDEX([1]!db[NB PAJAK],MATCH(Table1[[#This Row],[h_Item Description]],[1]!db[kode],0)))</f>
        <v/>
      </c>
      <c r="O39" s="92" t="s">
        <v>210</v>
      </c>
      <c r="P39" s="93">
        <v>122000</v>
      </c>
      <c r="Q39" s="94"/>
      <c r="S39" s="298">
        <f>Table1[[#This Row],[h_hargasetelahdiskon]]</f>
        <v>244000</v>
      </c>
      <c r="V39" s="95">
        <f ca="1">IF(Table1[[#This Row],[Item Description]]="","",IF(Table1[[#This Row],[//]]="",INDIRECT(ADDRESS(ROW()-1,COLUMN())),Table1[[#This Row],[//]]))</f>
        <v>37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244000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244000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pc)BOX122000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:_1]="","",B$1+COUNT(B$2:B38))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7</v>
      </c>
      <c r="K40" s="92" t="s">
        <v>207</v>
      </c>
      <c r="N40" s="196" t="str">
        <f>IF(Table1[[#This Row],[h_Item Description]]="","",INDEX([1]!db[NB PAJAK],MATCH(Table1[[#This Row],[h_Item Description]],[1]!db[kode],0)))</f>
        <v/>
      </c>
      <c r="O40" s="92" t="s">
        <v>211</v>
      </c>
      <c r="P40" s="93">
        <v>18500</v>
      </c>
      <c r="Q40" s="94"/>
      <c r="S40" s="199">
        <f>Table1[[#This Row],[h_hargasetelahdiskon]]</f>
        <v>129500</v>
      </c>
      <c r="V40" s="95">
        <f ca="1">IF(Table1[[#This Row],[Item Description]]="","",IF(Table1[[#This Row],[//]]="",INDIRECT(ADDRESS(ROW()-1,COLUMN())),Table1[[#This Row],[//]]))</f>
        <v>37</v>
      </c>
      <c r="W40" s="95">
        <f ca="1">IF(Table1[[#This Row],[h_id]]="","",COUNTIF(Table1[h_id],Table1[[#This Row],[h_id]]))</f>
        <v>8</v>
      </c>
      <c r="X40" s="93">
        <f>IF(Table1[Item Description]="","",Table1[[#This Row],[Qty]]*Table1[[#This Row],[Unit Price]])</f>
        <v>129500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129500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GEL PEN TIZO TG30801-ELLS18500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12</v>
      </c>
      <c r="K41" s="92" t="s">
        <v>207</v>
      </c>
      <c r="N41" s="196" t="str">
        <f>IF(Table1[[#This Row],[h_Item Description]]="","",INDEX([1]!db[NB PAJAK],MATCH(Table1[[#This Row],[h_Item Description]],[1]!db[kode],0)))</f>
        <v/>
      </c>
      <c r="O41" s="92" t="s">
        <v>212</v>
      </c>
      <c r="P41" s="93">
        <v>18500</v>
      </c>
      <c r="Q41" s="94"/>
      <c r="S41" s="199">
        <f>Table1[[#This Row],[h_hargasetelahdiskon]]</f>
        <v>222000</v>
      </c>
      <c r="V41" s="95">
        <f ca="1">IF(Table1[[#This Row],[Item Description]]="","",IF(Table1[[#This Row],[//]]="",INDIRECT(ADDRESS(ROW()-1,COLUMN())),Table1[[#This Row],[//]]))</f>
        <v>37</v>
      </c>
      <c r="W41" s="95">
        <f ca="1">IF(Table1[[#This Row],[h_id]]="","",COUNTIF(Table1[h_id],Table1[[#This Row],[h_id]]))</f>
        <v>8</v>
      </c>
      <c r="X41" s="93">
        <f>IF(Table1[Item Description]="","",Table1[[#This Row],[Qty]]*Table1[[#This Row],[Unit Price]])</f>
        <v>222000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222000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GEL PEN TIZO TG31590-ELLS18500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2</v>
      </c>
      <c r="K42" s="92" t="s">
        <v>207</v>
      </c>
      <c r="N42" s="196" t="str">
        <f>IF(Table1[[#This Row],[h_Item Description]]="","",INDEX([1]!db[NB PAJAK],MATCH(Table1[[#This Row],[h_Item Description]],[1]!db[kode],0)))</f>
        <v/>
      </c>
      <c r="O42" s="92" t="s">
        <v>213</v>
      </c>
      <c r="P42" s="93">
        <v>18500</v>
      </c>
      <c r="Q42" s="94"/>
      <c r="S42" s="199">
        <f>Table1[[#This Row],[h_hargasetelahdiskon]]</f>
        <v>37000</v>
      </c>
      <c r="V42" s="95">
        <f ca="1">IF(Table1[[#This Row],[Item Description]]="","",IF(Table1[[#This Row],[//]]="",INDIRECT(ADDRESS(ROW()-1,COLUMN())),Table1[[#This Row],[//]]))</f>
        <v>37</v>
      </c>
      <c r="W42" s="95">
        <f ca="1">IF(Table1[[#This Row],[h_id]]="","",COUNTIF(Table1[h_id],Table1[[#This Row],[h_id]]))</f>
        <v>8</v>
      </c>
      <c r="X42" s="93">
        <f>IF(Table1[Item Description]="","",Table1[[#This Row],[Qty]]*Table1[[#This Row],[Unit Price]])</f>
        <v>37000</v>
      </c>
      <c r="Y42" s="93">
        <f>IF(Table1[[#This Row],[h_hargasebelumdiskon]]="","",IF(Table1[[#This Row],[Disc 1]]="",0,Table1[[#This Row],[h_hargasebelumdiskon]]*Table1[[#This Row],[Disc 1]]))</f>
        <v>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0</v>
      </c>
      <c r="AB42" s="93">
        <f>IF(Table1[Item Description]="","",Table1[[#This Row],[h_hargasebelumdiskon]]-Table1[[#This Row],[h_diskon]])</f>
        <v>37000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GEL PEN TIZO TG31762-ELLS18500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12</v>
      </c>
      <c r="K43" s="92" t="s">
        <v>214</v>
      </c>
      <c r="N43" s="196" t="str">
        <f>IF(Table1[[#This Row],[h_Item Description]]="","",INDEX([1]!db[NB PAJAK],MATCH(Table1[[#This Row],[h_Item Description]],[1]!db[kode],0)))</f>
        <v/>
      </c>
      <c r="O43" s="92" t="s">
        <v>215</v>
      </c>
      <c r="P43" s="93">
        <v>25000</v>
      </c>
      <c r="Q43" s="94">
        <v>0.1</v>
      </c>
      <c r="S43" s="199">
        <f>Table1[[#This Row],[h_hargasetelahdiskon]]</f>
        <v>270000</v>
      </c>
      <c r="V43" s="95">
        <f ca="1">IF(Table1[[#This Row],[Item Description]]="","",IF(Table1[[#This Row],[//]]="",INDIRECT(ADDRESS(ROW()-1,COLUMN())),Table1[[#This Row],[//]]))</f>
        <v>37</v>
      </c>
      <c r="W43" s="95">
        <f ca="1">IF(Table1[[#This Row],[h_id]]="","",COUNTIF(Table1[h_id],Table1[[#This Row],[h_id]]))</f>
        <v>8</v>
      </c>
      <c r="X43" s="93">
        <f>IF(Table1[Item Description]="","",Table1[[#This Row],[Qty]]*Table1[[#This Row],[Unit Price]])</f>
        <v>300000</v>
      </c>
      <c r="Y43" s="93">
        <f>IF(Table1[[#This Row],[h_hargasebelumdiskon]]="","",IF(Table1[[#This Row],[Disc 1]]="",0,Table1[[#This Row],[h_hargasebelumdiskon]]*Table1[[#This Row],[Disc 1]]))</f>
        <v>30000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30000</v>
      </c>
      <c r="AB43" s="93">
        <f>IF(Table1[Item Description]="","",Table1[[#This Row],[h_hargasebelumdiskon]]-Table1[[#This Row],[h_diskon]])</f>
        <v>270000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COLOR BRUSH PEN KENKO DBP-12 DUAL TIP  (12 WARNA)SET25000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</v>
      </c>
      <c r="K44" s="92" t="s">
        <v>139</v>
      </c>
      <c r="N44" s="196" t="str">
        <f>IF(Table1[[#This Row],[h_Item Description]]="","",INDEX([1]!db[NB PAJAK],MATCH(Table1[[#This Row],[h_Item Description]],[1]!db[kode],0)))</f>
        <v/>
      </c>
      <c r="O44" s="92" t="s">
        <v>216</v>
      </c>
      <c r="P44" s="93">
        <v>105000</v>
      </c>
      <c r="Q44" s="94"/>
      <c r="S44" s="199">
        <f>Table1[[#This Row],[h_hargasetelahdiskon]]</f>
        <v>210000</v>
      </c>
      <c r="V44" s="95">
        <f ca="1">IF(Table1[[#This Row],[Item Description]]="","",IF(Table1[[#This Row],[//]]="",INDIRECT(ADDRESS(ROW()-1,COLUMN())),Table1[[#This Row],[//]]))</f>
        <v>37</v>
      </c>
      <c r="W44" s="95">
        <f ca="1">IF(Table1[[#This Row],[h_id]]="","",COUNTIF(Table1[h_id],Table1[[#This Row],[h_id]]))</f>
        <v>8</v>
      </c>
      <c r="X44" s="93">
        <f>IF(Table1[Item Description]="","",Table1[[#This Row],[Qty]]*Table1[[#This Row],[Unit Price]])</f>
        <v>210000</v>
      </c>
      <c r="Y44" s="93">
        <f>IF(Table1[[#This Row],[h_hargasebelumdiskon]]="","",IF(Table1[[#This Row],[Disc 1]]="",0,Table1[[#This Row],[h_hargasebelumdiskon]]*Table1[[#This Row],[Disc 1]]))</f>
        <v>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0</v>
      </c>
      <c r="AB44" s="93">
        <f>IF(Table1[Item Description]="","",Table1[[#This Row],[h_hargasebelumdiskon]]-Table1[[#This Row],[h_diskon]])</f>
        <v>210000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TAPE DISPENSER POLAR BEAR MN-305 @12pcBOX105000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IF(Table1[[#This Row],[h_hargasebelumdiskon]]="","",IF(Table1[[#This Row],[Disc 1]]="",0,Table1[[#This Row],[h_hargasebelumdiskon]]*Table1[[#This Row],[Disc 1]]))</f>
        <v/>
      </c>
      <c r="Z45" s="93" t="str">
        <f>IF(Table1[[#This Row],[h_hargasebelumdiskon]]="","",IF(Table1[[#This Row],[Disc 2]]="",0,(Table1[[#This Row],[h_hargasebelumdiskon]]-Table1[[#This Row],[h_disc 1]])*Table1[[#This Row],[Disc 2]]))</f>
        <v/>
      </c>
      <c r="AA45" s="93" t="str">
        <f>IF(Table1[Item Description]="","",Table1[[#This Row],[h_disc 1]]+Table1[[#This Row],[h_disc 2]])</f>
        <v/>
      </c>
      <c r="AB45" s="93" t="str">
        <f>IF(Table1[Item Description]="","",Table1[[#This Row],[h_hargasebelumdiskon]]-Table1[[#This Row],[h_diskon]])</f>
        <v/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/>
      </c>
    </row>
    <row r="46" spans="1:31" x14ac:dyDescent="0.25">
      <c r="A46" s="95">
        <f>IF(Table1[[#This Row],[No. Invoice :]]="","",ROW())</f>
        <v>46</v>
      </c>
      <c r="B46" s="196">
        <f>IF(Table1[h_Kode Sales :_1]="","",B$1+COUNT(B$2:B45))</f>
        <v>23040011</v>
      </c>
      <c r="C46" s="98">
        <v>45031</v>
      </c>
      <c r="D46" s="92" t="s">
        <v>182</v>
      </c>
      <c r="E46" s="97" t="s">
        <v>232</v>
      </c>
      <c r="F46" s="92" t="s">
        <v>233</v>
      </c>
      <c r="G46" s="95" t="str">
        <f>IF(Table1[[#This Row],[h_No. Invoice :]]="","",CONCATENATE("AM"," ",Table1[[#This Row],[h_No. Invoice :]]))</f>
        <v>AM 23040011</v>
      </c>
      <c r="H46" s="96" t="str">
        <f>CONCATENATE(UPPER(Table1[[#This Row],[h_Kode Sales :_1]])," ",Table1[[#This Row],[h_Kode Sales :_2]])</f>
        <v>KO 2945</v>
      </c>
      <c r="I46" s="95" t="str">
        <f>IF(Table1[[#This Row],[h_toko]]="","",INDEX(Table2[e],IF(Table1[[#This Row],[h_toko]]="","",MATCH(Table1[[#This Row],[h_toko]],Table2[a],0)),))</f>
        <v>CV DWI JAYA YOGYAKARTA</v>
      </c>
      <c r="J46" s="92">
        <v>5</v>
      </c>
      <c r="K46" s="92" t="s">
        <v>131</v>
      </c>
      <c r="M46" s="92" t="s">
        <v>234</v>
      </c>
      <c r="N46" s="196" t="str">
        <f>IF(Table1[[#This Row],[h_Item Description]]="","",INDEX([1]!db[NB PAJAK],MATCH(Table1[[#This Row],[h_Item Description]],[1]!db[kode],0)))</f>
        <v>CORRECTION TAPE KENKO CT-606 (6M x 5MM)</v>
      </c>
      <c r="O46" s="92" t="s">
        <v>235</v>
      </c>
      <c r="P46" s="93">
        <v>58800</v>
      </c>
      <c r="Q46" s="94">
        <v>0.1</v>
      </c>
      <c r="S46" s="199">
        <f>Table1[[#This Row],[h_hargasetelahdiskon]]</f>
        <v>264600</v>
      </c>
      <c r="T46" s="93" t="s">
        <v>133</v>
      </c>
      <c r="V46" s="95">
        <f ca="1">IF(Table1[[#This Row],[Item Description]]="","",IF(Table1[[#This Row],[//]]="",INDIRECT(ADDRESS(ROW()-1,COLUMN())),Table1[[#This Row],[//]]))</f>
        <v>46</v>
      </c>
      <c r="W46" s="95">
        <f ca="1">IF(Table1[[#This Row],[h_id]]="","",COUNTIF(Table1[h_id],Table1[[#This Row],[h_id]]))</f>
        <v>2</v>
      </c>
      <c r="X46" s="93">
        <f>IF(Table1[Item Description]="","",Table1[[#This Row],[Qty]]*Table1[[#This Row],[Unit Price]])</f>
        <v>294000</v>
      </c>
      <c r="Y46" s="93">
        <f>IF(Table1[[#This Row],[h_hargasebelumdiskon]]="","",IF(Table1[[#This Row],[Disc 1]]="",0,Table1[[#This Row],[h_hargasebelumdiskon]]*Table1[[#This Row],[Disc 1]]))</f>
        <v>29400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29400</v>
      </c>
      <c r="AB46" s="93">
        <f>IF(Table1[Item Description]="","",Table1[[#This Row],[h_hargasebelumdiskon]]-Table1[[#This Row],[h_diskon]])</f>
        <v>264600</v>
      </c>
      <c r="AC46" s="93">
        <f ca="1">IF(Table1[//]="","",SUMIF(Table1[h_id],Table1[h_id],Table1[h_hargasetelahdiskon]))</f>
        <v>1026000</v>
      </c>
      <c r="AD46" s="93"/>
      <c r="AE46" s="93" t="str">
        <f>Table1[[#This Row],[Item Description]]&amp;Table1[[#This Row],[Unit]]&amp;Table1[[#This Row],[Unit Price]]</f>
        <v>CORRECTION TAPE KENKO CT-606 (6M x 5MM)LSN58800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3</v>
      </c>
      <c r="K47" s="92" t="s">
        <v>131</v>
      </c>
      <c r="M47" s="92" t="s">
        <v>236</v>
      </c>
      <c r="N47" s="196" t="str">
        <f>IF(Table1[[#This Row],[h_Item Description]]="","",INDEX([1]!db[NB PAJAK],MATCH(Table1[[#This Row],[h_Item Description]],[1]!db[kode],0)))</f>
        <v>PUNCH KENKO NO. 40</v>
      </c>
      <c r="O47" s="92" t="s">
        <v>237</v>
      </c>
      <c r="P47" s="93">
        <v>282000</v>
      </c>
      <c r="Q47" s="94">
        <v>0.1</v>
      </c>
      <c r="S47" s="199">
        <f>Table1[[#This Row],[h_hargasetelahdiskon]]</f>
        <v>761400</v>
      </c>
      <c r="V47" s="95">
        <f ca="1">IF(Table1[[#This Row],[Item Description]]="","",IF(Table1[[#This Row],[//]]="",INDIRECT(ADDRESS(ROW()-1,COLUMN())),Table1[[#This Row],[//]]))</f>
        <v>46</v>
      </c>
      <c r="W47" s="95">
        <f ca="1">IF(Table1[[#This Row],[h_id]]="","",COUNTIF(Table1[h_id],Table1[[#This Row],[h_id]]))</f>
        <v>2</v>
      </c>
      <c r="X47" s="93">
        <f>IF(Table1[Item Description]="","",Table1[[#This Row],[Qty]]*Table1[[#This Row],[Unit Price]])</f>
        <v>846000</v>
      </c>
      <c r="Y47" s="93">
        <f>IF(Table1[[#This Row],[h_hargasebelumdiskon]]="","",IF(Table1[[#This Row],[Disc 1]]="",0,Table1[[#This Row],[h_hargasebelumdiskon]]*Table1[[#This Row],[Disc 1]]))</f>
        <v>84600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84600</v>
      </c>
      <c r="AB47" s="93">
        <f>IF(Table1[Item Description]="","",Table1[[#This Row],[h_hargasebelumdiskon]]-Table1[[#This Row],[h_diskon]])</f>
        <v>761400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PUNCH KENKO NO. 40LSN282000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>
        <f>IF(Table1[[#This Row],[No. Invoice :]]="","",ROW())</f>
        <v>49</v>
      </c>
      <c r="B49" s="196">
        <f>IF(Table1[h_Kode Sales :_1]="","",B$1+COUNT(B$2:B48))</f>
        <v>23040012</v>
      </c>
      <c r="C49" s="98">
        <v>45026</v>
      </c>
      <c r="D49" s="92" t="s">
        <v>129</v>
      </c>
      <c r="E49" s="97" t="s">
        <v>240</v>
      </c>
      <c r="F49" s="92" t="s">
        <v>73</v>
      </c>
      <c r="G49" s="95" t="str">
        <f>IF(Table1[[#This Row],[h_No. Invoice :]]="","",CONCATENATE("AM"," ",Table1[[#This Row],[h_No. Invoice :]]))</f>
        <v>AM 23040012</v>
      </c>
      <c r="H49" s="96" t="str">
        <f>CONCATENATE(UPPER(Table1[[#This Row],[h_Kode Sales :_1]])," ",Table1[[#This Row],[h_Kode Sales :_2]])</f>
        <v>KO 1463</v>
      </c>
      <c r="I49" s="95" t="str">
        <f>IF(Table1[[#This Row],[h_toko]]="","",INDEX(Table2[e],IF(Table1[[#This Row],[h_toko]]="","",MATCH(Table1[[#This Row],[h_toko]],Table2[a],0)),))</f>
        <v>HARNOYO (BENDAN) PEKALONGAN</v>
      </c>
      <c r="J49" s="92">
        <v>24</v>
      </c>
      <c r="K49" s="92" t="s">
        <v>143</v>
      </c>
      <c r="L49" s="92">
        <v>1</v>
      </c>
      <c r="M49" s="92" t="s">
        <v>241</v>
      </c>
      <c r="N49" s="196" t="e">
        <f>IF(Table1[[#This Row],[h_Item Description]]="","",INDEX([1]!db[NB PAJAK],MATCH(Table1[[#This Row],[h_Item Description]],[1]!db[kode],0)))</f>
        <v>#N/A</v>
      </c>
      <c r="O49" s="92" t="s">
        <v>242</v>
      </c>
      <c r="P49" s="93">
        <v>18500</v>
      </c>
      <c r="Q49" s="94">
        <v>0.14000000000000001</v>
      </c>
      <c r="S49" s="199">
        <f>Table1[[#This Row],[h_hargasetelahdiskon]]</f>
        <v>381840</v>
      </c>
      <c r="T49" s="93" t="s">
        <v>243</v>
      </c>
      <c r="V49" s="95">
        <f ca="1">IF(Table1[[#This Row],[Item Description]]="","",IF(Table1[[#This Row],[//]]="",INDIRECT(ADDRESS(ROW()-1,COLUMN())),Table1[[#This Row],[//]]))</f>
        <v>49</v>
      </c>
      <c r="W49" s="95">
        <f ca="1">IF(Table1[[#This Row],[h_id]]="","",COUNTIF(Table1[h_id],Table1[[#This Row],[h_id]]))</f>
        <v>1</v>
      </c>
      <c r="X49" s="93">
        <f>IF(Table1[Item Description]="","",Table1[[#This Row],[Qty]]*Table1[[#This Row],[Unit Price]])</f>
        <v>444000</v>
      </c>
      <c r="Y49" s="93">
        <f>IF(Table1[[#This Row],[h_hargasebelumdiskon]]="","",IF(Table1[[#This Row],[Disc 1]]="",0,Table1[[#This Row],[h_hargasebelumdiskon]]*Table1[[#This Row],[Disc 1]]))</f>
        <v>62160.000000000007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62160.000000000007</v>
      </c>
      <c r="AB49" s="93">
        <f>IF(Table1[Item Description]="","",Table1[[#This Row],[h_hargasebelumdiskon]]-Table1[[#This Row],[h_diskon]])</f>
        <v>381840</v>
      </c>
      <c r="AC49" s="93">
        <f ca="1">IF(Table1[//]="","",SUMIF(Table1[h_id],Table1[h_id],Table1[h_hargasetelahdiskon]))</f>
        <v>381840</v>
      </c>
      <c r="AD49" s="93"/>
      <c r="AE49" s="93" t="str">
        <f>Table1[[#This Row],[Item Description]]&amp;Table1[[#This Row],[Unit]]&amp;Table1[[#This Row],[Unit Price]]</f>
        <v>TAPE DISPENSER KENKO TD-321 (1" &amp; 3" CORE)PCS18500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23040013</v>
      </c>
      <c r="C51" s="98">
        <v>45026</v>
      </c>
      <c r="D51" s="92" t="s">
        <v>129</v>
      </c>
      <c r="E51" s="97" t="s">
        <v>245</v>
      </c>
      <c r="F51" s="92" t="s">
        <v>73</v>
      </c>
      <c r="G51" s="95" t="str">
        <f>IF(Table1[[#This Row],[h_No. Invoice :]]="","",CONCATENATE("AM"," ",Table1[[#This Row],[h_No. Invoice :]]))</f>
        <v>AM 23040013</v>
      </c>
      <c r="H51" s="96" t="str">
        <f>CONCATENATE(UPPER(Table1[[#This Row],[h_Kode Sales :_1]])," ",Table1[[#This Row],[h_Kode Sales :_2]])</f>
        <v>KO 1464</v>
      </c>
      <c r="I51" s="95" t="str">
        <f>IF(Table1[[#This Row],[h_toko]]="","",INDEX(Table2[e],IF(Table1[[#This Row],[h_toko]]="","",MATCH(Table1[[#This Row],[h_toko]],Table2[a],0)),))</f>
        <v>HARNOYO (BENDAN) PEKALONGAN</v>
      </c>
      <c r="J51" s="92">
        <v>60</v>
      </c>
      <c r="K51" s="92" t="s">
        <v>143</v>
      </c>
      <c r="M51" s="92" t="s">
        <v>246</v>
      </c>
      <c r="N51" s="196" t="e">
        <f>IF(Table1[[#This Row],[h_Item Description]]="","",INDEX([1]!db[NB PAJAK],MATCH(Table1[[#This Row],[h_Item Description]],[1]!db[kode],0)))</f>
        <v>#N/A</v>
      </c>
      <c r="O51" s="92" t="s">
        <v>247</v>
      </c>
      <c r="P51" s="93">
        <v>3700</v>
      </c>
      <c r="Q51" s="94">
        <v>0.14000000000000001</v>
      </c>
      <c r="S51" s="199">
        <f>Table1[[#This Row],[h_hargasetelahdiskon]]</f>
        <v>190920</v>
      </c>
      <c r="T51" s="93" t="s">
        <v>243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222000</v>
      </c>
      <c r="Y51" s="93">
        <f>IF(Table1[[#This Row],[h_hargasebelumdiskon]]="","",IF(Table1[[#This Row],[Disc 1]]="",0,Table1[[#This Row],[h_hargasebelumdiskon]]*Table1[[#This Row],[Disc 1]]))</f>
        <v>31080.000000000004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31080.000000000004</v>
      </c>
      <c r="AB51" s="93">
        <f>IF(Table1[Item Description]="","",Table1[[#This Row],[h_hargasebelumdiskon]]-Table1[[#This Row],[h_diskon]])</f>
        <v>190920</v>
      </c>
      <c r="AC51" s="93">
        <f ca="1">IF(Table1[//]="","",SUMIF(Table1[h_id],Table1[h_id],Table1[h_hargasetelahdiskon]))</f>
        <v>190920</v>
      </c>
      <c r="AD51" s="93"/>
      <c r="AE51" s="93" t="str">
        <f>Table1[[#This Row],[Item Description]]&amp;Table1[[#This Row],[Unit]]&amp;Table1[[#This Row],[Unit Price]]</f>
        <v>HIGHLIGHTER / STABILLO JOYKO HL MIX (kuning, hijau)PCS3700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IF(Table1[[#This Row],[h_hargasebelumdiskon]]="","",IF(Table1[[#This Row],[Disc 1]]="",0,Table1[[#This Row],[h_hargasebelumdiskon]]*Table1[[#This Row],[Disc 1]]))</f>
        <v/>
      </c>
      <c r="Z53" s="93" t="str">
        <f>IF(Table1[[#This Row],[h_hargasebelumdiskon]]="","",IF(Table1[[#This Row],[Disc 2]]="",0,(Table1[[#This Row],[h_hargasebelumdiskon]]-Table1[[#This Row],[h_disc 1]])*Table1[[#This Row],[Disc 2]]))</f>
        <v/>
      </c>
      <c r="AA53" s="93" t="str">
        <f>IF(Table1[Item Description]="","",Table1[[#This Row],[h_disc 1]]+Table1[[#This Row],[h_disc 2]])</f>
        <v/>
      </c>
      <c r="AB53" s="93" t="str">
        <f>IF(Table1[Item Description]="","",Table1[[#This Row],[h_hargasebelumdiskon]]-Table1[[#This Row],[h_diskon]])</f>
        <v/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/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IF(Table1[[#This Row],[h_hargasebelumdiskon]]="","",IF(Table1[[#This Row],[Disc 1]]="",0,Table1[[#This Row],[h_hargasebelumdiskon]]*Table1[[#This Row],[Disc 1]]))</f>
        <v/>
      </c>
      <c r="Z55" s="93" t="str">
        <f>IF(Table1[[#This Row],[h_hargasebelumdiskon]]="","",IF(Table1[[#This Row],[Disc 2]]="",0,(Table1[[#This Row],[h_hargasebelumdiskon]]-Table1[[#This Row],[h_disc 1]])*Table1[[#This Row],[Disc 2]]))</f>
        <v/>
      </c>
      <c r="AA55" s="93" t="str">
        <f>IF(Table1[Item Description]="","",Table1[[#This Row],[h_disc 1]]+Table1[[#This Row],[h_disc 2]])</f>
        <v/>
      </c>
      <c r="AB55" s="93" t="str">
        <f>IF(Table1[Item Description]="","",Table1[[#This Row],[h_hargasebelumdiskon]]-Table1[[#This Row],[h_diskon]])</f>
        <v/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/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IF(Table1[[#This Row],[h_hargasebelumdiskon]]="","",IF(Table1[[#This Row],[Disc 1]]="",0,Table1[[#This Row],[h_hargasebelumdiskon]]*Table1[[#This Row],[Disc 1]]))</f>
        <v/>
      </c>
      <c r="Z57" s="93" t="str">
        <f>IF(Table1[[#This Row],[h_hargasebelumdiskon]]="","",IF(Table1[[#This Row],[Disc 2]]="",0,(Table1[[#This Row],[h_hargasebelumdiskon]]-Table1[[#This Row],[h_disc 1]])*Table1[[#This Row],[Disc 2]]))</f>
        <v/>
      </c>
      <c r="AA57" s="93" t="str">
        <f>IF(Table1[Item Description]="","",Table1[[#This Row],[h_disc 1]]+Table1[[#This Row],[h_disc 2]])</f>
        <v/>
      </c>
      <c r="AB57" s="93" t="str">
        <f>IF(Table1[Item Description]="","",Table1[[#This Row],[h_hargasebelumdiskon]]-Table1[[#This Row],[h_diskon]])</f>
        <v/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/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IF(Table1[[#This Row],[h_hargasebelumdiskon]]="","",IF(Table1[[#This Row],[Disc 1]]="",0,Table1[[#This Row],[h_hargasebelumdiskon]]*Table1[[#This Row],[Disc 1]]))</f>
        <v/>
      </c>
      <c r="Z59" s="93" t="str">
        <f>IF(Table1[[#This Row],[h_hargasebelumdiskon]]="","",IF(Table1[[#This Row],[Disc 2]]="",0,(Table1[[#This Row],[h_hargasebelumdiskon]]-Table1[[#This Row],[h_disc 1]])*Table1[[#This Row],[Disc 2]]))</f>
        <v/>
      </c>
      <c r="AA59" s="93" t="str">
        <f>IF(Table1[Item Description]="","",Table1[[#This Row],[h_disc 1]]+Table1[[#This Row],[h_disc 2]])</f>
        <v/>
      </c>
      <c r="AB59" s="93" t="str">
        <f>IF(Table1[Item Description]="","",Table1[[#This Row],[h_hargasebelumdiskon]]-Table1[[#This Row],[h_diskon]])</f>
        <v/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/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IF(Table1[[#This Row],[h_hargasebelumdiskon]]="","",IF(Table1[[#This Row],[Disc 1]]="",0,Table1[[#This Row],[h_hargasebelumdiskon]]*Table1[[#This Row],[Disc 1]]))</f>
        <v/>
      </c>
      <c r="Z61" s="93" t="str">
        <f>IF(Table1[[#This Row],[h_hargasebelumdiskon]]="","",IF(Table1[[#This Row],[Disc 2]]="",0,(Table1[[#This Row],[h_hargasebelumdiskon]]-Table1[[#This Row],[h_disc 1]])*Table1[[#This Row],[Disc 2]]))</f>
        <v/>
      </c>
      <c r="AA61" s="93" t="str">
        <f>IF(Table1[Item Description]="","",Table1[[#This Row],[h_disc 1]]+Table1[[#This Row],[h_disc 2]])</f>
        <v/>
      </c>
      <c r="AB61" s="93" t="str">
        <f>IF(Table1[Item Description]="","",Table1[[#This Row],[h_hargasebelumdiskon]]-Table1[[#This Row],[h_diskon]])</f>
        <v/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/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M62" s="197"/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M65" s="197"/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IF(Table1[[#This Row],[h_hargasebelumdiskon]]="","",IF(Table1[[#This Row],[Disc 1]]="",0,Table1[[#This Row],[h_hargasebelumdiskon]]*Table1[[#This Row],[Disc 1]]))</f>
        <v/>
      </c>
      <c r="Z66" s="93" t="str">
        <f>IF(Table1[[#This Row],[h_hargasebelumdiskon]]="","",IF(Table1[[#This Row],[Disc 2]]="",0,(Table1[[#This Row],[h_hargasebelumdiskon]]-Table1[[#This Row],[h_disc 1]])*Table1[[#This Row],[Disc 2]]))</f>
        <v/>
      </c>
      <c r="AA66" s="93" t="str">
        <f>IF(Table1[Item Description]="","",Table1[[#This Row],[h_disc 1]]+Table1[[#This Row],[h_disc 2]])</f>
        <v/>
      </c>
      <c r="AB66" s="93" t="str">
        <f>IF(Table1[Item Description]="","",Table1[[#This Row],[h_hargasebelumdiskon]]-Table1[[#This Row],[h_diskon]])</f>
        <v/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/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95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95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95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95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95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/>
      <c r="B217" s="95"/>
      <c r="G217" s="95"/>
      <c r="H217" s="96"/>
      <c r="I217" s="95"/>
      <c r="N217" s="95"/>
      <c r="P217" s="93"/>
      <c r="Q217" s="94"/>
      <c r="S217" s="93"/>
      <c r="V217" s="95"/>
      <c r="W217" s="95"/>
      <c r="X217" s="93"/>
      <c r="Y217" s="93"/>
      <c r="Z217" s="93"/>
      <c r="AD217" s="93"/>
      <c r="AE217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56"/>
  <sheetViews>
    <sheetView zoomScaleNormal="100" workbookViewId="0">
      <selection activeCell="D14" sqref="D14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4.710937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5" width="6" style="86" customWidth="1"/>
    <col min="16" max="16" width="4.42578125" style="86" customWidth="1"/>
    <col min="17" max="17" width="13.5703125" customWidth="1"/>
    <col min="18" max="22" width="8.42578125" style="193" customWidth="1"/>
    <col min="24" max="24" width="14.5703125" customWidth="1"/>
    <col min="25" max="25" width="15.28515625" bestFit="1" customWidth="1"/>
  </cols>
  <sheetData>
    <row r="1" spans="1:25" x14ac:dyDescent="0.25">
      <c r="C1" t="s">
        <v>56</v>
      </c>
      <c r="D1">
        <f>COUNT(Table1[//])</f>
        <v>13</v>
      </c>
    </row>
    <row r="2" spans="1:25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249</v>
      </c>
      <c r="L2" s="302" t="s">
        <v>52</v>
      </c>
      <c r="M2" s="302" t="s">
        <v>53</v>
      </c>
      <c r="N2" s="303" t="s">
        <v>58</v>
      </c>
      <c r="O2" s="303" t="s">
        <v>59</v>
      </c>
      <c r="P2" s="303"/>
      <c r="Q2" s="88" t="s">
        <v>86</v>
      </c>
      <c r="R2" s="88" t="s">
        <v>120</v>
      </c>
      <c r="S2" s="88" t="s">
        <v>121</v>
      </c>
      <c r="T2" s="88" t="s">
        <v>122</v>
      </c>
      <c r="U2" s="88" t="s">
        <v>123</v>
      </c>
      <c r="V2" s="88" t="s">
        <v>124</v>
      </c>
      <c r="X2" s="88" t="s">
        <v>26</v>
      </c>
      <c r="Y2" s="302">
        <f ca="1">SUM(pajak[Total Invoice])</f>
        <v>90895766</v>
      </c>
    </row>
    <row r="3" spans="1:25" x14ac:dyDescent="0.25">
      <c r="A3" s="88">
        <v>3</v>
      </c>
      <c r="C3">
        <f t="shared" ref="C3:C34" si="0">IF(ROW()-2&lt;=jNota,A3,"")</f>
        <v>3</v>
      </c>
      <c r="D3" s="363" t="str">
        <f>IF(pajak[[#This Row],[//]]="","",INDEX(Table1[No. Invoice :],pajak[//]-offset))</f>
        <v>AM 23040001</v>
      </c>
      <c r="E3" s="90">
        <f>IF(pajak[[#This Row],[//]]="","",INDEX(Table1[Tgl Invoice :],pajak[//]-offset))</f>
        <v>45021</v>
      </c>
      <c r="F3" t="str">
        <f>IF(pajak[[#This Row],[//]]="","",INDEX(Table1[Kode Sales :],pajak[//]-offset))</f>
        <v>KO 1417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7776000</v>
      </c>
      <c r="I3" s="89">
        <f ca="1">IF(pajak[[#This Row],[//]]="","",SUMIF(Table1[h_id],pajak[[#This Row],[//]],Table1[h_diskon]))</f>
        <v>1049760</v>
      </c>
      <c r="J3" s="89">
        <f ca="1">IF(pajak[[#This Row],[//]]="","",SUMIF(Table1[h_id],pajak[[#This Row],[//]],Table1[h_hargasetelahdiskon]))</f>
        <v>6726240</v>
      </c>
      <c r="K3" s="89">
        <f ca="1">pajak[[#This Row],[Sub Total]]/1.11</f>
        <v>6059675.6756756753</v>
      </c>
      <c r="L3" s="89">
        <f ca="1">IF(pajak[//]="","",pajak[[#This Row],[DPP]]*11%)</f>
        <v>666564.32432432426</v>
      </c>
      <c r="M3" s="89">
        <f ca="1">pajak[[#This Row],[Sub Total]]</f>
        <v>6726240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Q3">
        <f>IF(pajak[[#This Row],[Kode Sales :]]="","",MATCH(pajak[[#This Row],[Kode Sales :]],[2]Invoice!$D:$D,0))</f>
        <v>6</v>
      </c>
      <c r="R3" s="193">
        <f>IF((INDEX([2]Invoice!$D:$D,Table4[[#This Row],[cek_ppn]]-4)&amp;" "&amp;INDEX([2]Invoice!$E:$E,Table4[[#This Row],[cek_ppn]]-4))=pajak[[#This Row],[No. Invoice :]],1)</f>
        <v>1</v>
      </c>
      <c r="S3" s="193">
        <f>IF((INDEX([2]Invoice!$D:$D,Table4[[#This Row],[cek_ppn]]-2))=pajak[[#This Row],[Tgl Invoice :]],1)</f>
        <v>1</v>
      </c>
      <c r="T3" s="193">
        <f>IF((INDEX([2]Invoice!$D:$D,Table4[[#This Row],[cek_ppn]]))=pajak[[#This Row],[Kode Sales :]],1)</f>
        <v>1</v>
      </c>
      <c r="U3" s="193">
        <f ca="1">IF((INDEX([2]Invoice!$K:$K,Table4[[#This Row],[cek_ppn]]+28))=pajak[[#This Row],[Total Invoice]],1)</f>
        <v>1</v>
      </c>
      <c r="V3" s="194">
        <f>IF((INDEX([2]Invoice!$J:$J,Table4[[#This Row],[cek_ppn]]+30))=pajak[[#This Row],[pembuat nota]],1)</f>
        <v>1</v>
      </c>
      <c r="X3" t="s">
        <v>25</v>
      </c>
      <c r="Y3" s="89">
        <f ca="1">SUM(pajak[PPN 11%])</f>
        <v>9007688.5225225203</v>
      </c>
    </row>
    <row r="4" spans="1:25" x14ac:dyDescent="0.25">
      <c r="A4" s="88">
        <v>5</v>
      </c>
      <c r="C4">
        <f t="shared" si="0"/>
        <v>5</v>
      </c>
      <c r="D4" s="363" t="str">
        <f>IF(pajak[[#This Row],[//]]="","",INDEX(Table1[No. Invoice :],pajak[//]-offset))</f>
        <v>AM 23040002</v>
      </c>
      <c r="E4" s="90">
        <f>IF(pajak[[#This Row],[//]]="","",INDEX(Table1[Tgl Invoice :],pajak[//]-offset))</f>
        <v>45024</v>
      </c>
      <c r="F4" t="str">
        <f>IF(pajak[[#This Row],[//]]="","",INDEX(Table1[Kode Sales :],pajak[//]-offset))</f>
        <v>KO 1435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22207200</v>
      </c>
      <c r="I4" s="89">
        <f ca="1">IF(pajak[[#This Row],[//]]="","",SUMIF(Table1[h_id],pajak[[#This Row],[//]],Table1[h_diskon]))</f>
        <v>2997972</v>
      </c>
      <c r="J4" s="89">
        <f ca="1">IF(pajak[[#This Row],[//]]="","",SUMIF(Table1[h_id],pajak[[#This Row],[//]],Table1[h_hargasetelahdiskon]))</f>
        <v>19209228</v>
      </c>
      <c r="K4" s="89">
        <f ca="1">pajak[[#This Row],[Sub Total]]/1.11</f>
        <v>17305610.810810808</v>
      </c>
      <c r="L4" s="89">
        <f ca="1">IF(pajak[//]="","",pajak[[#This Row],[DPP]]*11%)</f>
        <v>1903617.1891891889</v>
      </c>
      <c r="M4" s="89">
        <f ca="1">pajak[[#This Row],[Sub Total]]</f>
        <v>19209228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Q4">
        <f>IF(pajak[[#This Row],[Kode Sales :]]="","",MATCH(pajak[[#This Row],[Kode Sales :]],[2]Invoice!$D:$D,0))</f>
        <v>120</v>
      </c>
      <c r="R4" s="193">
        <f>IF((INDEX([2]Invoice!$D:$D,Table4[[#This Row],[cek_ppn]]-4)&amp;" "&amp;INDEX([2]Invoice!$E:$E,Table4[[#This Row],[cek_ppn]]-4))=pajak[[#This Row],[No. Invoice :]],1)</f>
        <v>1</v>
      </c>
      <c r="S4" s="193">
        <f>IF((INDEX([2]Invoice!$D:$D,Table4[[#This Row],[cek_ppn]]-2))=pajak[[#This Row],[Tgl Invoice :]],1)</f>
        <v>1</v>
      </c>
      <c r="T4" s="193">
        <f>IF((INDEX([2]Invoice!$D:$D,Table4[[#This Row],[cek_ppn]]))=pajak[[#This Row],[Kode Sales :]],1)</f>
        <v>1</v>
      </c>
      <c r="U4" s="193">
        <f ca="1">IF((INDEX([2]Invoice!$K:$K,Table4[[#This Row],[cek_ppn]]+28))=pajak[[#This Row],[Total Invoice]],1)</f>
        <v>1</v>
      </c>
      <c r="V4" s="194">
        <f>IF((INDEX([2]Invoice!$J:$J,Table4[[#This Row],[cek_ppn]]+30))=pajak[[#This Row],[pembuat nota]],1)</f>
        <v>1</v>
      </c>
      <c r="Y4" s="89">
        <f ca="1">(Y2/1.11)*11%</f>
        <v>9007688.5225225221</v>
      </c>
    </row>
    <row r="5" spans="1:25" x14ac:dyDescent="0.25">
      <c r="A5" s="88">
        <v>12</v>
      </c>
      <c r="C5">
        <f t="shared" si="0"/>
        <v>12</v>
      </c>
      <c r="D5" s="363" t="str">
        <f>IF(pajak[[#This Row],[//]]="","",INDEX(Table1[No. Invoice :],pajak[//]-offset))</f>
        <v>AM 23040003</v>
      </c>
      <c r="E5" s="90">
        <f>IF(pajak[[#This Row],[//]]="","",INDEX(Table1[Tgl Invoice :],pajak[//]-offset))</f>
        <v>45024</v>
      </c>
      <c r="F5" t="str">
        <f>IF(pajak[[#This Row],[//]]="","",INDEX(Table1[Kode Sales :],pajak[//]-offset))</f>
        <v>KO 1458</v>
      </c>
      <c r="G5" t="str">
        <f>IF(pajak[[#This Row],[//]]="","",INDEX(Table1[Toko],pajak[//]-offset))</f>
        <v>CV PELITA JAYA (ANUGERAH SEJAHTERA) PURWOKERTO</v>
      </c>
      <c r="H5" s="89">
        <f ca="1">IF(pajak[[#This Row],[//]]="","",SUMIF(Table1[h_id],pajak[[#This Row],[//]],Table1[h_hargasebelumdiskon]))</f>
        <v>5475800</v>
      </c>
      <c r="I5" s="89">
        <f ca="1">IF(pajak[[#This Row],[//]]="","",SUMIF(Table1[h_id],pajak[[#This Row],[//]],Table1[h_diskon]))</f>
        <v>739233</v>
      </c>
      <c r="J5" s="89">
        <f ca="1">IF(pajak[[#This Row],[//]]="","",SUMIF(Table1[h_id],pajak[[#This Row],[//]],Table1[h_hargasetelahdiskon]))</f>
        <v>4736567</v>
      </c>
      <c r="K5" s="89">
        <f ca="1">pajak[[#This Row],[Sub Total]]/1.11</f>
        <v>4267177.4774774769</v>
      </c>
      <c r="L5" s="89">
        <f ca="1">IF(pajak[//]="","",pajak[[#This Row],[DPP]]*11%)</f>
        <v>469389.52252252249</v>
      </c>
      <c r="M5" s="89">
        <f ca="1">pajak[[#This Row],[Sub Total]]</f>
        <v>4736567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Q5">
        <f>IF(pajak[[#This Row],[Kode Sales :]]="","",MATCH(pajak[[#This Row],[Kode Sales :]],[2]Invoice!$D:$D,0))</f>
        <v>234</v>
      </c>
      <c r="R5" s="193">
        <f>IF((INDEX([2]Invoice!$D:$D,Table4[[#This Row],[cek_ppn]]-4)&amp;" "&amp;INDEX([2]Invoice!$E:$E,Table4[[#This Row],[cek_ppn]]-4))=pajak[[#This Row],[No. Invoice :]],1)</f>
        <v>1</v>
      </c>
      <c r="S5" s="193">
        <f>IF((INDEX([2]Invoice!$D:$D,Table4[[#This Row],[cek_ppn]]-2))=pajak[[#This Row],[Tgl Invoice :]],1)</f>
        <v>1</v>
      </c>
      <c r="T5" s="193">
        <f>IF((INDEX([2]Invoice!$D:$D,Table4[[#This Row],[cek_ppn]]))=pajak[[#This Row],[Kode Sales :]],1)</f>
        <v>1</v>
      </c>
      <c r="U5" s="193">
        <f ca="1">IF((INDEX([2]Invoice!$K:$K,Table4[[#This Row],[cek_ppn]]+28))=pajak[[#This Row],[Total Invoice]],1)</f>
        <v>1</v>
      </c>
      <c r="V5" s="194">
        <f>IF((INDEX([2]Invoice!$J:$J,Table4[[#This Row],[cek_ppn]]+30))=pajak[[#This Row],[pembuat nota]],1)</f>
        <v>1</v>
      </c>
    </row>
    <row r="6" spans="1:25" x14ac:dyDescent="0.25">
      <c r="A6" s="88">
        <v>15</v>
      </c>
      <c r="C6">
        <f t="shared" si="0"/>
        <v>15</v>
      </c>
      <c r="D6" s="363" t="str">
        <f>IF(pajak[[#This Row],[//]]="","",INDEX(Table1[No. Invoice :],pajak[//]-offset))</f>
        <v>AM 23040004</v>
      </c>
      <c r="E6" s="90">
        <f>IF(pajak[[#This Row],[//]]="","",INDEX(Table1[Tgl Invoice :],pajak[//]-offset))</f>
        <v>45024</v>
      </c>
      <c r="F6" t="str">
        <f>IF(pajak[[#This Row],[//]]="","",INDEX(Table1[Kode Sales :],pajak[//]-offset))</f>
        <v>G 1459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15300000</v>
      </c>
      <c r="I6" s="89">
        <f ca="1">IF(pajak[[#This Row],[//]]="","",SUMIF(Table1[h_id],pajak[[#This Row],[//]],Table1[h_diskon]))</f>
        <v>2306355</v>
      </c>
      <c r="J6" s="89">
        <f ca="1">IF(pajak[[#This Row],[//]]="","",SUMIF(Table1[h_id],pajak[[#This Row],[//]],Table1[h_hargasetelahdiskon]))</f>
        <v>12993645</v>
      </c>
      <c r="K6" s="89">
        <f ca="1">pajak[[#This Row],[Sub Total]]/1.11</f>
        <v>11705986.486486485</v>
      </c>
      <c r="L6" s="89">
        <f ca="1">IF(pajak[//]="","",pajak[[#This Row],[DPP]]*11%)</f>
        <v>1287658.5135135134</v>
      </c>
      <c r="M6" s="89">
        <f ca="1">pajak[[#This Row],[Sub Total]]</f>
        <v>12993645</v>
      </c>
      <c r="N6" s="86" t="str">
        <f>IF(pajak[[#This Row],[//]]="","",INDEX(Table1[pembuat nota :],pajak[//]-offset))</f>
        <v>NOVI / CONDRO</v>
      </c>
      <c r="O6" s="86" t="str">
        <f>IF(pajak[[#This Row],[//]]="","",IF(INDEX(Table1[edited :],pajak[//]-offset)="","",INDEX(Table1[edited :],pajak[//]-offset)))</f>
        <v/>
      </c>
      <c r="Q6">
        <f>IF(pajak[[#This Row],[Kode Sales :]]="","",MATCH(pajak[[#This Row],[Kode Sales :]],[2]Invoice!$D:$D,0))</f>
        <v>348</v>
      </c>
      <c r="R6" s="193">
        <f>IF((INDEX([2]Invoice!$D:$D,Table4[[#This Row],[cek_ppn]]-4)&amp;" "&amp;INDEX([2]Invoice!$E:$E,Table4[[#This Row],[cek_ppn]]-4))=pajak[[#This Row],[No. Invoice :]],1)</f>
        <v>1</v>
      </c>
      <c r="S6" s="193">
        <f>IF((INDEX([2]Invoice!$D:$D,Table4[[#This Row],[cek_ppn]]-2))=pajak[[#This Row],[Tgl Invoice :]],1)</f>
        <v>1</v>
      </c>
      <c r="T6" s="193">
        <f>IF((INDEX([2]Invoice!$D:$D,Table4[[#This Row],[cek_ppn]]))=pajak[[#This Row],[Kode Sales :]],1)</f>
        <v>1</v>
      </c>
      <c r="U6" s="193">
        <f ca="1">IF((INDEX([2]Invoice!$K:$K,Table4[[#This Row],[cek_ppn]]+28))=pajak[[#This Row],[Total Invoice]],1)</f>
        <v>1</v>
      </c>
      <c r="V6" s="194">
        <f>IF((INDEX([2]Invoice!$J:$J,Table4[[#This Row],[cek_ppn]]+30))=pajak[[#This Row],[pembuat nota]],1)</f>
        <v>1</v>
      </c>
    </row>
    <row r="7" spans="1:25" x14ac:dyDescent="0.25">
      <c r="A7" s="88">
        <v>19</v>
      </c>
      <c r="C7">
        <f t="shared" si="0"/>
        <v>19</v>
      </c>
      <c r="D7" s="363" t="str">
        <f>IF(pajak[[#This Row],[//]]="","",INDEX(Table1[No. Invoice :],pajak[//]-offset))</f>
        <v>AM 23040005</v>
      </c>
      <c r="E7" s="90">
        <f>IF(pajak[[#This Row],[//]]="","",INDEX(Table1[Tgl Invoice :],pajak[//]-offset))</f>
        <v>45027</v>
      </c>
      <c r="F7" t="str">
        <f>IF(pajak[[#This Row],[//]]="","",INDEX(Table1[Kode Sales :],pajak[//]-offset))</f>
        <v xml:space="preserve">KO 1467 </v>
      </c>
      <c r="G7" t="str">
        <f>IF(pajak[[#This Row],[//]]="","",INDEX(Table1[Toko],pajak[//]-offset))</f>
        <v>CV PELITA JAYA (ANUGERAH SEJAHTERA) PURWOKERTO</v>
      </c>
      <c r="H7" s="89">
        <f ca="1">IF(pajak[[#This Row],[//]]="","",SUMIF(Table1[h_id],pajak[[#This Row],[//]],Table1[h_hargasebelumdiskon]))</f>
        <v>4416000</v>
      </c>
      <c r="I7" s="89">
        <f ca="1">IF(pajak[[#This Row],[//]]="","",SUMIF(Table1[h_id],pajak[[#This Row],[//]],Table1[h_diskon]))</f>
        <v>596160</v>
      </c>
      <c r="J7" s="89">
        <f ca="1">IF(pajak[[#This Row],[//]]="","",SUMIF(Table1[h_id],pajak[[#This Row],[//]],Table1[h_hargasetelahdiskon]))</f>
        <v>3819840</v>
      </c>
      <c r="K7" s="89">
        <f ca="1">pajak[[#This Row],[Sub Total]]/1.11</f>
        <v>3441297.297297297</v>
      </c>
      <c r="L7" s="89">
        <f ca="1">IF(pajak[//]="","",pajak[[#This Row],[DPP]]*11%)</f>
        <v>378542.70270270266</v>
      </c>
      <c r="M7" s="89">
        <f ca="1">pajak[[#This Row],[Sub Total]]</f>
        <v>3819840</v>
      </c>
      <c r="N7" s="86" t="str">
        <f>IF(pajak[[#This Row],[//]]="","",INDEX(Table1[pembuat nota :],pajak[//]-offset))</f>
        <v>NOVI / CONDRO</v>
      </c>
      <c r="O7" s="86" t="str">
        <f>IF(pajak[[#This Row],[//]]="","",IF(INDEX(Table1[edited :],pajak[//]-offset)="","",INDEX(Table1[edited :],pajak[//]-offset)))</f>
        <v/>
      </c>
      <c r="Q7">
        <f>IF(pajak[[#This Row],[Kode Sales :]]="","",MATCH(pajak[[#This Row],[Kode Sales :]],[2]Invoice!$D:$D,0))</f>
        <v>462</v>
      </c>
      <c r="R7" s="193">
        <f>IF((INDEX([2]Invoice!$D:$D,Table4[[#This Row],[cek_ppn]]-4)&amp;" "&amp;INDEX([2]Invoice!$E:$E,Table4[[#This Row],[cek_ppn]]-4))=pajak[[#This Row],[No. Invoice :]],1)</f>
        <v>1</v>
      </c>
      <c r="S7" s="193">
        <f>IF((INDEX([2]Invoice!$D:$D,Table4[[#This Row],[cek_ppn]]-2))=pajak[[#This Row],[Tgl Invoice :]],1)</f>
        <v>1</v>
      </c>
      <c r="T7" s="193">
        <f>IF((INDEX([2]Invoice!$D:$D,Table4[[#This Row],[cek_ppn]]))=pajak[[#This Row],[Kode Sales :]],1)</f>
        <v>1</v>
      </c>
      <c r="U7" s="193">
        <f ca="1">IF((INDEX([2]Invoice!$K:$K,Table4[[#This Row],[cek_ppn]]+28))=pajak[[#This Row],[Total Invoice]],1)</f>
        <v>1</v>
      </c>
      <c r="V7" s="194">
        <f>IF((INDEX([2]Invoice!$J:$J,Table4[[#This Row],[cek_ppn]]+30))=pajak[[#This Row],[pembuat nota]],1)</f>
        <v>1</v>
      </c>
    </row>
    <row r="8" spans="1:25" x14ac:dyDescent="0.25">
      <c r="A8" s="88">
        <v>21</v>
      </c>
      <c r="C8">
        <f t="shared" si="0"/>
        <v>21</v>
      </c>
      <c r="D8" s="363" t="str">
        <f>IF(pajak[[#This Row],[//]]="","",INDEX(Table1[No. Invoice :],pajak[//]-offset))</f>
        <v>AM 23040006</v>
      </c>
      <c r="E8" s="90">
        <f>IF(pajak[[#This Row],[//]]="","",INDEX(Table1[Tgl Invoice :],pajak[//]-offset))</f>
        <v>45028</v>
      </c>
      <c r="F8" t="str">
        <f>IF(pajak[[#This Row],[//]]="","",INDEX(Table1[Kode Sales :],pajak[//]-offset))</f>
        <v>G 1474</v>
      </c>
      <c r="G8" t="str">
        <f>IF(pajak[[#This Row],[//]]="","",INDEX(Table1[Toko],pajak[//]-offset))</f>
        <v>LILY JULIAWATI (REJO AGUNG) JOMBANG</v>
      </c>
      <c r="H8" s="89">
        <f ca="1">IF(pajak[[#This Row],[//]]="","",SUMIF(Table1[h_id],pajak[[#This Row],[//]],Table1[h_hargasebelumdiskon]))</f>
        <v>17136000</v>
      </c>
      <c r="I8" s="89">
        <f ca="1">IF(pajak[[#This Row],[//]]="","",SUMIF(Table1[h_id],pajak[[#This Row],[//]],Table1[h_diskon]))</f>
        <v>2591820</v>
      </c>
      <c r="J8" s="89">
        <f ca="1">IF(pajak[[#This Row],[//]]="","",SUMIF(Table1[h_id],pajak[[#This Row],[//]],Table1[h_hargasetelahdiskon]))</f>
        <v>14544180</v>
      </c>
      <c r="K8" s="89">
        <f ca="1">pajak[[#This Row],[Sub Total]]/1.11</f>
        <v>13102864.864864863</v>
      </c>
      <c r="L8" s="89">
        <f ca="1">IF(pajak[//]="","",pajak[[#This Row],[DPP]]*11%)</f>
        <v>1441315.1351351349</v>
      </c>
      <c r="M8" s="89">
        <f ca="1">pajak[[#This Row],[Sub Total]]</f>
        <v>14544180</v>
      </c>
      <c r="N8" s="86" t="str">
        <f>IF(pajak[[#This Row],[//]]="","",INDEX(Table1[pembuat nota :],pajak[//]-offset))</f>
        <v>NOVI / CONDRO</v>
      </c>
      <c r="O8" s="86" t="str">
        <f>IF(pajak[[#This Row],[//]]="","",IF(INDEX(Table1[edited :],pajak[//]-offset)="","",INDEX(Table1[edited :],pajak[//]-offset)))</f>
        <v/>
      </c>
      <c r="Q8">
        <f>IF(pajak[[#This Row],[Kode Sales :]]="","",MATCH(pajak[[#This Row],[Kode Sales :]],[2]Invoice!$D:$D,0))</f>
        <v>576</v>
      </c>
      <c r="R8" s="193">
        <f>IF((INDEX([2]Invoice!$D:$D,Table4[[#This Row],[cek_ppn]]-4)&amp;" "&amp;INDEX([2]Invoice!$E:$E,Table4[[#This Row],[cek_ppn]]-4))=pajak[[#This Row],[No. Invoice :]],1)</f>
        <v>1</v>
      </c>
      <c r="S8" s="193">
        <f>IF((INDEX([2]Invoice!$D:$D,Table4[[#This Row],[cek_ppn]]-2))=pajak[[#This Row],[Tgl Invoice :]],1)</f>
        <v>1</v>
      </c>
      <c r="T8" s="193">
        <f>IF((INDEX([2]Invoice!$D:$D,Table4[[#This Row],[cek_ppn]]))=pajak[[#This Row],[Kode Sales :]],1)</f>
        <v>1</v>
      </c>
      <c r="U8" s="193">
        <f ca="1">IF((INDEX([2]Invoice!$K:$K,Table4[[#This Row],[cek_ppn]]+28))=pajak[[#This Row],[Total Invoice]],1)</f>
        <v>1</v>
      </c>
      <c r="V8" s="194">
        <f>IF((INDEX([2]Invoice!$J:$J,Table4[[#This Row],[cek_ppn]]+30))=pajak[[#This Row],[pembuat nota]],1)</f>
        <v>1</v>
      </c>
    </row>
    <row r="9" spans="1:25" x14ac:dyDescent="0.25">
      <c r="A9" s="88">
        <v>23</v>
      </c>
      <c r="C9">
        <f t="shared" si="0"/>
        <v>23</v>
      </c>
      <c r="D9" s="363" t="str">
        <f>IF(pajak[[#This Row],[//]]="","",INDEX(Table1[No. Invoice :],pajak[//]-offset))</f>
        <v>AM 23040007</v>
      </c>
      <c r="E9" s="90">
        <f>IF(pajak[[#This Row],[//]]="","",INDEX(Table1[Tgl Invoice :],pajak[//]-offset))</f>
        <v>45028</v>
      </c>
      <c r="F9" t="str">
        <f>IF(pajak[[#This Row],[//]]="","",INDEX(Table1[Kode Sales :],pajak[//]-offset))</f>
        <v>KO 1027</v>
      </c>
      <c r="G9" t="str">
        <f>IF(pajak[[#This Row],[//]]="","",INDEX(Table1[Toko],pajak[//]-offset))</f>
        <v>SOEYANTO LOPULUSI ( LANCAR ) MALANG</v>
      </c>
      <c r="H9" s="89">
        <f ca="1">IF(pajak[[#This Row],[//]]="","",SUMIF(Table1[h_id],pajak[[#This Row],[//]],Table1[h_hargasebelumdiskon]))</f>
        <v>22485200</v>
      </c>
      <c r="I9" s="89">
        <f ca="1">IF(pajak[[#This Row],[//]]="","",SUMIF(Table1[h_id],pajak[[#This Row],[//]],Table1[h_diskon]))</f>
        <v>2810650</v>
      </c>
      <c r="J9" s="89">
        <f ca="1">IF(pajak[[#This Row],[//]]="","",SUMIF(Table1[h_id],pajak[[#This Row],[//]],Table1[h_hargasetelahdiskon]))</f>
        <v>19674550</v>
      </c>
      <c r="K9" s="89">
        <f ca="1">pajak[[#This Row],[Sub Total]]/1.11</f>
        <v>17724819.819819819</v>
      </c>
      <c r="L9" s="89">
        <f ca="1">IF(pajak[//]="","",pajak[[#This Row],[DPP]]*11%)</f>
        <v>1949730.1801801801</v>
      </c>
      <c r="M9" s="89">
        <f ca="1">pajak[[#This Row],[Sub Total]]</f>
        <v>19674550</v>
      </c>
      <c r="N9" s="86" t="str">
        <f>IF(pajak[[#This Row],[//]]="","",INDEX(Table1[pembuat nota :],pajak[//]-offset))</f>
        <v>NOVI / CONDRO</v>
      </c>
      <c r="O9" s="86" t="str">
        <f>IF(pajak[[#This Row],[//]]="","",IF(INDEX(Table1[edited :],pajak[//]-offset)="","",INDEX(Table1[edited :],pajak[//]-offset)))</f>
        <v/>
      </c>
      <c r="Q9">
        <f>IF(pajak[[#This Row],[Kode Sales :]]="","",MATCH(pajak[[#This Row],[Kode Sales :]],[2]Invoice!$D:$D,0))</f>
        <v>690</v>
      </c>
      <c r="R9" s="193">
        <f>IF((INDEX([2]Invoice!$D:$D,Table4[[#This Row],[cek_ppn]]-4)&amp;" "&amp;INDEX([2]Invoice!$E:$E,Table4[[#This Row],[cek_ppn]]-4))=pajak[[#This Row],[No. Invoice :]],1)</f>
        <v>1</v>
      </c>
      <c r="S9" s="193">
        <f>IF((INDEX([2]Invoice!$D:$D,Table4[[#This Row],[cek_ppn]]-2))=pajak[[#This Row],[Tgl Invoice :]],1)</f>
        <v>1</v>
      </c>
      <c r="T9" s="193">
        <f>IF((INDEX([2]Invoice!$D:$D,Table4[[#This Row],[cek_ppn]]))=pajak[[#This Row],[Kode Sales :]],1)</f>
        <v>1</v>
      </c>
      <c r="U9" s="193">
        <f ca="1">IF((INDEX([2]Invoice!$K:$K,Table4[[#This Row],[cek_ppn]]+28))=pajak[[#This Row],[Total Invoice]],1)</f>
        <v>1</v>
      </c>
      <c r="V9" s="194">
        <f>IF((INDEX([2]Invoice!$J:$J,Table4[[#This Row],[cek_ppn]]+30))=pajak[[#This Row],[pembuat nota]],1)</f>
        <v>1</v>
      </c>
    </row>
    <row r="10" spans="1:25" x14ac:dyDescent="0.25">
      <c r="A10" s="88">
        <v>31</v>
      </c>
      <c r="C10">
        <f t="shared" si="0"/>
        <v>31</v>
      </c>
      <c r="D10" s="363" t="str">
        <f>IF(pajak[[#This Row],[//]]="","",INDEX(Table1[No. Invoice :],pajak[//]-offset))</f>
        <v>AM 23040008</v>
      </c>
      <c r="E10" s="90">
        <f>IF(pajak[[#This Row],[//]]="","",INDEX(Table1[Tgl Invoice :],pajak[//]-offset))</f>
        <v>45028</v>
      </c>
      <c r="F10" t="str">
        <f>IF(pajak[[#This Row],[//]]="","",INDEX(Table1[Kode Sales :],pajak[//]-offset))</f>
        <v>KO 1482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4934400</v>
      </c>
      <c r="I10" s="89">
        <f ca="1">IF(pajak[[#This Row],[//]]="","",SUMIF(Table1[h_id],pajak[[#This Row],[//]],Table1[h_diskon]))</f>
        <v>666144</v>
      </c>
      <c r="J10" s="89">
        <f ca="1">IF(pajak[[#This Row],[//]]="","",SUMIF(Table1[h_id],pajak[[#This Row],[//]],Table1[h_hargasetelahdiskon]))</f>
        <v>4268256</v>
      </c>
      <c r="K10" s="89">
        <f ca="1">pajak[[#This Row],[Sub Total]]/1.11</f>
        <v>3845275.6756756753</v>
      </c>
      <c r="L10" s="89">
        <f ca="1">IF(pajak[//]="","",pajak[[#This Row],[DPP]]*11%)</f>
        <v>422980.32432432426</v>
      </c>
      <c r="M10" s="89">
        <f ca="1">pajak[[#This Row],[Sub Total]]</f>
        <v>4268256</v>
      </c>
      <c r="N10" s="86" t="str">
        <f>IF(pajak[[#This Row],[//]]="","",INDEX(Table1[pembuat nota :],pajak[//]-offset))</f>
        <v>NOVI / CONDRO</v>
      </c>
      <c r="O10" s="86" t="str">
        <f>IF(pajak[[#This Row],[//]]="","",IF(INDEX(Table1[edited :],pajak[//]-offset)="","",INDEX(Table1[edited :],pajak[//]-offset)))</f>
        <v/>
      </c>
      <c r="Q10">
        <f>IF(pajak[[#This Row],[Kode Sales :]]="","",MATCH(pajak[[#This Row],[Kode Sales :]],[2]Invoice!$D:$D,0))</f>
        <v>804</v>
      </c>
      <c r="R10" s="193">
        <f>IF((INDEX([2]Invoice!$D:$D,Table4[[#This Row],[cek_ppn]]-4)&amp;" "&amp;INDEX([2]Invoice!$E:$E,Table4[[#This Row],[cek_ppn]]-4))=pajak[[#This Row],[No. Invoice :]],1)</f>
        <v>1</v>
      </c>
      <c r="S10" s="193">
        <f>IF((INDEX([2]Invoice!$D:$D,Table4[[#This Row],[cek_ppn]]-2))=pajak[[#This Row],[Tgl Invoice :]],1)</f>
        <v>1</v>
      </c>
      <c r="T10" s="193">
        <f>IF((INDEX([2]Invoice!$D:$D,Table4[[#This Row],[cek_ppn]]))=pajak[[#This Row],[Kode Sales :]],1)</f>
        <v>1</v>
      </c>
      <c r="U10" s="193">
        <f ca="1">IF((INDEX([2]Invoice!$K:$K,Table4[[#This Row],[cek_ppn]]+28))=pajak[[#This Row],[Total Invoice]],1)</f>
        <v>1</v>
      </c>
      <c r="V10" s="194">
        <f>IF((INDEX([2]Invoice!$J:$J,Table4[[#This Row],[cek_ppn]]+30))=pajak[[#This Row],[pembuat nota]],1)</f>
        <v>1</v>
      </c>
    </row>
    <row r="11" spans="1:25" x14ac:dyDescent="0.25">
      <c r="A11" s="88">
        <v>35</v>
      </c>
      <c r="C11">
        <f t="shared" si="0"/>
        <v>35</v>
      </c>
      <c r="D11" s="363" t="str">
        <f>IF(pajak[[#This Row],[//]]="","",INDEX(Table1[No. Invoice :],pajak[//]-offset))</f>
        <v>AM 23040009</v>
      </c>
      <c r="E11" s="90">
        <f>IF(pajak[[#This Row],[//]]="","",INDEX(Table1[Tgl Invoice :],pajak[//]-offset))</f>
        <v>45030</v>
      </c>
      <c r="F11" t="str">
        <f>IF(pajak[[#This Row],[//]]="","",INDEX(Table1[Kode Sales :],pajak[//]-offset))</f>
        <v>KO 4010</v>
      </c>
      <c r="G11" t="str">
        <f>IF(pajak[[#This Row],[//]]="","",INDEX(Table1[Toko],pajak[//]-offset))</f>
        <v>CV TRINITY CENTRAAL PURWOKERTO</v>
      </c>
      <c r="H11" s="89">
        <f ca="1">IF(pajak[[#This Row],[//]]="","",SUMIF(Table1[h_id],pajak[[#This Row],[//]],Table1[h_hargasebelumdiskon]))</f>
        <v>1800000</v>
      </c>
      <c r="I11" s="89">
        <f ca="1">IF(pajak[[#This Row],[//]]="","",SUMIF(Table1[h_id],pajak[[#This Row],[//]],Table1[h_diskon]))</f>
        <v>0</v>
      </c>
      <c r="J11" s="89">
        <f ca="1">IF(pajak[[#This Row],[//]]="","",SUMIF(Table1[h_id],pajak[[#This Row],[//]],Table1[h_hargasetelahdiskon]))</f>
        <v>1800000</v>
      </c>
      <c r="K11" s="89">
        <f ca="1">pajak[[#This Row],[Sub Total]]/1.11</f>
        <v>1621621.6216216215</v>
      </c>
      <c r="L11" s="89">
        <f ca="1">IF(pajak[//]="","",pajak[[#This Row],[DPP]]*11%)</f>
        <v>178378.37837837837</v>
      </c>
      <c r="M11" s="89">
        <f ca="1">pajak[[#This Row],[Sub Total]]</f>
        <v>1800000</v>
      </c>
      <c r="N11" s="86" t="str">
        <f>IF(pajak[[#This Row],[//]]="","",INDEX(Table1[pembuat nota :],pajak[//]-offset))</f>
        <v>NOVI / YO</v>
      </c>
      <c r="O11" s="86" t="str">
        <f>IF(pajak[[#This Row],[//]]="","",IF(INDEX(Table1[edited :],pajak[//]-offset)="","",INDEX(Table1[edited :],pajak[//]-offset)))</f>
        <v/>
      </c>
      <c r="Q11">
        <f>IF(pajak[[#This Row],[Kode Sales :]]="","",MATCH(pajak[[#This Row],[Kode Sales :]],[2]Invoice!$D:$D,0))</f>
        <v>918</v>
      </c>
      <c r="R11" s="193">
        <f>IF((INDEX([2]Invoice!$D:$D,Table4[[#This Row],[cek_ppn]]-4)&amp;" "&amp;INDEX([2]Invoice!$E:$E,Table4[[#This Row],[cek_ppn]]-4))=pajak[[#This Row],[No. Invoice :]],1)</f>
        <v>1</v>
      </c>
      <c r="S11" s="193">
        <f>IF((INDEX([2]Invoice!$D:$D,Table4[[#This Row],[cek_ppn]]-2))=pajak[[#This Row],[Tgl Invoice :]],1)</f>
        <v>1</v>
      </c>
      <c r="T11" s="193">
        <f>IF((INDEX([2]Invoice!$D:$D,Table4[[#This Row],[cek_ppn]]))=pajak[[#This Row],[Kode Sales :]],1)</f>
        <v>1</v>
      </c>
      <c r="U11" s="193">
        <f ca="1">IF((INDEX([2]Invoice!$K:$K,Table4[[#This Row],[cek_ppn]]+28))=pajak[[#This Row],[Total Invoice]],1)</f>
        <v>1</v>
      </c>
      <c r="V11" s="194">
        <f>IF((INDEX([2]Invoice!$J:$J,Table4[[#This Row],[cek_ppn]]+30))=pajak[[#This Row],[pembuat nota]],1)</f>
        <v>1</v>
      </c>
    </row>
    <row r="12" spans="1:25" x14ac:dyDescent="0.25">
      <c r="A12" s="88">
        <v>37</v>
      </c>
      <c r="C12" s="86">
        <f t="shared" si="0"/>
        <v>37</v>
      </c>
      <c r="D12" s="363" t="str">
        <f>IF(pajak[[#This Row],[//]]="","",INDEX(Table1[No. Invoice :],pajak[//]-offset))</f>
        <v>AM 23040010</v>
      </c>
      <c r="E12" s="90">
        <f>IF(pajak[[#This Row],[//]]="","",INDEX(Table1[Tgl Invoice :],pajak[//]-offset))</f>
        <v>45030</v>
      </c>
      <c r="F12" s="86" t="str">
        <f>IF(pajak[[#This Row],[//]]="","",INDEX(Table1[Kode Sales :],pajak[//]-offset))</f>
        <v>G 2944</v>
      </c>
      <c r="G12" s="86" t="str">
        <f>IF(pajak[[#This Row],[//]]="","",INDEX(Table1[Toko],pajak[//]-offset))</f>
        <v>SINAR BHAKTI YOGYAKARTA</v>
      </c>
      <c r="H12" s="89">
        <f ca="1">IF(pajak[[#This Row],[//]]="","",SUMIF(Table1[h_id],pajak[[#This Row],[//]],Table1[h_hargasebelumdiskon]))</f>
        <v>1554500</v>
      </c>
      <c r="I12" s="89">
        <f ca="1">IF(pajak[[#This Row],[//]]="","",SUMIF(Table1[h_id],pajak[[#This Row],[//]],Table1[h_diskon]))</f>
        <v>30000</v>
      </c>
      <c r="J12" s="89">
        <f ca="1">IF(pajak[[#This Row],[//]]="","",SUMIF(Table1[h_id],pajak[[#This Row],[//]],Table1[h_hargasetelahdiskon]))</f>
        <v>1524500</v>
      </c>
      <c r="K12" s="89">
        <f ca="1">pajak[[#This Row],[Sub Total]]/1.11</f>
        <v>1373423.4234234232</v>
      </c>
      <c r="L12" s="89">
        <f ca="1">IF(pajak[//]="","",pajak[[#This Row],[DPP]]*11%)</f>
        <v>151076.57657657654</v>
      </c>
      <c r="M12" s="89">
        <f ca="1">pajak[[#This Row],[Sub Total]]</f>
        <v>1524500</v>
      </c>
      <c r="N12" s="86" t="str">
        <f>IF(pajak[[#This Row],[//]]="","",INDEX(Table1[pembuat nota :],pajak[//]-offset))</f>
        <v>RISMA / YO</v>
      </c>
      <c r="O12" s="86" t="str">
        <f>IF(pajak[[#This Row],[//]]="","",IF(INDEX(Table1[edited :],pajak[//]-offset)="","",INDEX(Table1[edited :],pajak[//]-offset)))</f>
        <v/>
      </c>
      <c r="Q12">
        <f>IF(pajak[[#This Row],[Kode Sales :]]="","",MATCH(pajak[[#This Row],[Kode Sales :]],[2]Invoice!$D:$D,0))</f>
        <v>1032</v>
      </c>
      <c r="R12" s="193">
        <f>IF((INDEX([2]Invoice!$D:$D,Table4[[#This Row],[cek_ppn]]-4)&amp;" "&amp;INDEX([2]Invoice!$E:$E,Table4[[#This Row],[cek_ppn]]-4))=pajak[[#This Row],[No. Invoice :]],1)</f>
        <v>1</v>
      </c>
      <c r="S12" s="193">
        <f>IF((INDEX([2]Invoice!$D:$D,Table4[[#This Row],[cek_ppn]]-2))=pajak[[#This Row],[Tgl Invoice :]],1)</f>
        <v>1</v>
      </c>
      <c r="T12" s="193">
        <f>IF((INDEX([2]Invoice!$D:$D,Table4[[#This Row],[cek_ppn]]))=pajak[[#This Row],[Kode Sales :]],1)</f>
        <v>1</v>
      </c>
      <c r="U12" s="193">
        <f ca="1">IF((INDEX([2]Invoice!$K:$K,Table4[[#This Row],[cek_ppn]]+28))=pajak[[#This Row],[Total Invoice]],1)</f>
        <v>1</v>
      </c>
      <c r="V12" s="194">
        <f>IF((INDEX([2]Invoice!$J:$J,Table4[[#This Row],[cek_ppn]]+30))=pajak[[#This Row],[pembuat nota]],1)</f>
        <v>1</v>
      </c>
    </row>
    <row r="13" spans="1:25" x14ac:dyDescent="0.25">
      <c r="A13" s="88">
        <v>46</v>
      </c>
      <c r="C13" s="86">
        <f t="shared" si="0"/>
        <v>46</v>
      </c>
      <c r="D13" s="363" t="str">
        <f>IF(pajak[[#This Row],[//]]="","",INDEX(Table1[No. Invoice :],pajak[//]-offset))</f>
        <v>AM 23040011</v>
      </c>
      <c r="E13" s="90">
        <f>IF(pajak[[#This Row],[//]]="","",INDEX(Table1[Tgl Invoice :],pajak[//]-offset))</f>
        <v>45031</v>
      </c>
      <c r="F13" s="86" t="str">
        <f>IF(pajak[[#This Row],[//]]="","",INDEX(Table1[Kode Sales :],pajak[//]-offset))</f>
        <v>KO 2945</v>
      </c>
      <c r="G13" s="86" t="str">
        <f>IF(pajak[[#This Row],[//]]="","",INDEX(Table1[Toko],pajak[//]-offset))</f>
        <v>CV DWI JAYA YOGYAKARTA</v>
      </c>
      <c r="H13" s="89">
        <f ca="1">IF(pajak[[#This Row],[//]]="","",SUMIF(Table1[h_id],pajak[[#This Row],[//]],Table1[h_hargasebelumdiskon]))</f>
        <v>1140000</v>
      </c>
      <c r="I13" s="89">
        <f ca="1">IF(pajak[[#This Row],[//]]="","",SUMIF(Table1[h_id],pajak[[#This Row],[//]],Table1[h_diskon]))</f>
        <v>114000</v>
      </c>
      <c r="J13" s="89">
        <f ca="1">IF(pajak[[#This Row],[//]]="","",SUMIF(Table1[h_id],pajak[[#This Row],[//]],Table1[h_hargasetelahdiskon]))</f>
        <v>1026000</v>
      </c>
      <c r="K13" s="89">
        <f ca="1">pajak[[#This Row],[Sub Total]]/1.11</f>
        <v>924324.32432432426</v>
      </c>
      <c r="L13" s="89">
        <f ca="1">IF(pajak[//]="","",pajak[[#This Row],[DPP]]*11%)</f>
        <v>101675.67567567567</v>
      </c>
      <c r="M13" s="89">
        <f ca="1">pajak[[#This Row],[Sub Total]]</f>
        <v>1026000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Q13">
        <f>IF(pajak[[#This Row],[Kode Sales :]]="","",MATCH(pajak[[#This Row],[Kode Sales :]],[2]Invoice!$D:$D,0))</f>
        <v>1146</v>
      </c>
      <c r="R13" s="193">
        <f>IF((INDEX([2]Invoice!$D:$D,Table4[[#This Row],[cek_ppn]]-4)&amp;" "&amp;INDEX([2]Invoice!$E:$E,Table4[[#This Row],[cek_ppn]]-4))=pajak[[#This Row],[No. Invoice :]],1)</f>
        <v>1</v>
      </c>
      <c r="S13" s="193">
        <f>IF((INDEX([2]Invoice!$D:$D,Table4[[#This Row],[cek_ppn]]-2))=pajak[[#This Row],[Tgl Invoice :]],1)</f>
        <v>1</v>
      </c>
      <c r="T13" s="193">
        <f>IF((INDEX([2]Invoice!$D:$D,Table4[[#This Row],[cek_ppn]]))=pajak[[#This Row],[Kode Sales :]],1)</f>
        <v>1</v>
      </c>
      <c r="U13" s="193">
        <f ca="1">IF((INDEX([2]Invoice!$K:$K,Table4[[#This Row],[cek_ppn]]+28))=pajak[[#This Row],[Total Invoice]],1)</f>
        <v>1</v>
      </c>
      <c r="V13" s="194">
        <f>IF((INDEX([2]Invoice!$J:$J,Table4[[#This Row],[cek_ppn]]+30))=pajak[[#This Row],[pembuat nota]],1)</f>
        <v>1</v>
      </c>
    </row>
    <row r="14" spans="1:25" x14ac:dyDescent="0.25">
      <c r="A14" s="88">
        <v>49</v>
      </c>
      <c r="C14" s="86">
        <f t="shared" si="0"/>
        <v>49</v>
      </c>
      <c r="D14" s="363" t="str">
        <f>IF(pajak[[#This Row],[//]]="","",INDEX(Table1[No. Invoice :],pajak[//]-offset))</f>
        <v>AM 23040012</v>
      </c>
      <c r="E14" s="90">
        <f>IF(pajak[[#This Row],[//]]="","",INDEX(Table1[Tgl Invoice :],pajak[//]-offset))</f>
        <v>45026</v>
      </c>
      <c r="F14" s="86" t="str">
        <f>IF(pajak[[#This Row],[//]]="","",INDEX(Table1[Kode Sales :],pajak[//]-offset))</f>
        <v>KO 1463</v>
      </c>
      <c r="G14" s="86" t="str">
        <f>IF(pajak[[#This Row],[//]]="","",INDEX(Table1[Toko],pajak[//]-offset))</f>
        <v>HARNOYO (BENDAN) PEKALONGAN</v>
      </c>
      <c r="H14" s="89">
        <f ca="1">IF(pajak[[#This Row],[//]]="","",SUMIF(Table1[h_id],pajak[[#This Row],[//]],Table1[h_hargasebelumdiskon]))</f>
        <v>444000</v>
      </c>
      <c r="I14" s="89">
        <f ca="1">IF(pajak[[#This Row],[//]]="","",SUMIF(Table1[h_id],pajak[[#This Row],[//]],Table1[h_diskon]))</f>
        <v>62160.000000000007</v>
      </c>
      <c r="J14" s="89">
        <f ca="1">IF(pajak[[#This Row],[//]]="","",SUMIF(Table1[h_id],pajak[[#This Row],[//]],Table1[h_hargasetelahdiskon]))</f>
        <v>381840</v>
      </c>
      <c r="K14" s="89">
        <f ca="1">pajak[[#This Row],[Sub Total]]/1.11</f>
        <v>343999.99999999994</v>
      </c>
      <c r="L14" s="89">
        <f ca="1">IF(pajak[//]="","",pajak[[#This Row],[DPP]]*11%)</f>
        <v>37839.999999999993</v>
      </c>
      <c r="M14" s="89">
        <f ca="1">pajak[[#This Row],[Sub Total]]</f>
        <v>381840</v>
      </c>
      <c r="N14" s="86" t="str">
        <f>IF(pajak[[#This Row],[//]]="","",INDEX(Table1[pembuat nota :],pajak[//]-offset))</f>
        <v>RISMA / CONDRO</v>
      </c>
      <c r="O14" s="86" t="str">
        <f>IF(pajak[[#This Row],[//]]="","",IF(INDEX(Table1[edited :],pajak[//]-offset)="","",INDEX(Table1[edited :],pajak[//]-offset)))</f>
        <v/>
      </c>
      <c r="Q14">
        <f>IF(pajak[[#This Row],[Kode Sales :]]="","",MATCH(pajak[[#This Row],[Kode Sales :]],[2]Invoice!$D:$D,0))</f>
        <v>1260</v>
      </c>
      <c r="R14" s="193">
        <f>IF((INDEX([2]Invoice!$D:$D,Table4[[#This Row],[cek_ppn]]-4)&amp;" "&amp;INDEX([2]Invoice!$E:$E,Table4[[#This Row],[cek_ppn]]-4))=pajak[[#This Row],[No. Invoice :]],1)</f>
        <v>1</v>
      </c>
      <c r="S14" s="193">
        <f>IF((INDEX([2]Invoice!$D:$D,Table4[[#This Row],[cek_ppn]]-2))=pajak[[#This Row],[Tgl Invoice :]],1)</f>
        <v>1</v>
      </c>
      <c r="T14" s="193">
        <f>IF((INDEX([2]Invoice!$D:$D,Table4[[#This Row],[cek_ppn]]))=pajak[[#This Row],[Kode Sales :]],1)</f>
        <v>1</v>
      </c>
      <c r="U14" s="193">
        <f ca="1">IF((INDEX([2]Invoice!$K:$K,Table4[[#This Row],[cek_ppn]]+28))=pajak[[#This Row],[Total Invoice]],1)</f>
        <v>1</v>
      </c>
      <c r="V14" s="194" t="b">
        <f>IF((INDEX([2]Invoice!$J:$J,Table4[[#This Row],[cek_ppn]]+30))=pajak[[#This Row],[pembuat nota]],1)</f>
        <v>0</v>
      </c>
    </row>
    <row r="15" spans="1:25" x14ac:dyDescent="0.25">
      <c r="A15" s="88">
        <v>51</v>
      </c>
      <c r="C15" s="86">
        <f t="shared" si="0"/>
        <v>51</v>
      </c>
      <c r="D15" s="363" t="str">
        <f>IF(pajak[[#This Row],[//]]="","",INDEX(Table1[No. Invoice :],pajak[//]-offset))</f>
        <v>AM 23040013</v>
      </c>
      <c r="E15" s="90">
        <f>IF(pajak[[#This Row],[//]]="","",INDEX(Table1[Tgl Invoice :],pajak[//]-offset))</f>
        <v>45026</v>
      </c>
      <c r="F15" s="86" t="str">
        <f>IF(pajak[[#This Row],[//]]="","",INDEX(Table1[Kode Sales :],pajak[//]-offset))</f>
        <v>KO 1464</v>
      </c>
      <c r="G15" s="86" t="str">
        <f>IF(pajak[[#This Row],[//]]="","",INDEX(Table1[Toko],pajak[//]-offset))</f>
        <v>HARNOYO (BENDAN) PEKALONGAN</v>
      </c>
      <c r="H15" s="89">
        <f ca="1">IF(pajak[[#This Row],[//]]="","",SUMIF(Table1[h_id],pajak[[#This Row],[//]],Table1[h_hargasebelumdiskon]))</f>
        <v>222000</v>
      </c>
      <c r="I15" s="89">
        <f ca="1">IF(pajak[[#This Row],[//]]="","",SUMIF(Table1[h_id],pajak[[#This Row],[//]],Table1[h_diskon]))</f>
        <v>31080.000000000004</v>
      </c>
      <c r="J15" s="89">
        <f ca="1">IF(pajak[[#This Row],[//]]="","",SUMIF(Table1[h_id],pajak[[#This Row],[//]],Table1[h_hargasetelahdiskon]))</f>
        <v>190920</v>
      </c>
      <c r="K15" s="89">
        <f ca="1">pajak[[#This Row],[Sub Total]]/1.11</f>
        <v>171999.99999999997</v>
      </c>
      <c r="L15" s="89">
        <f ca="1">IF(pajak[//]="","",pajak[[#This Row],[DPP]]*11%)</f>
        <v>18919.999999999996</v>
      </c>
      <c r="M15" s="89">
        <f ca="1">pajak[[#This Row],[Sub Total]]</f>
        <v>190920</v>
      </c>
      <c r="N15" s="86" t="str">
        <f>IF(pajak[[#This Row],[//]]="","",INDEX(Table1[pembuat nota :],pajak[//]-offset))</f>
        <v>RISMA / CONDRO</v>
      </c>
      <c r="O15" s="86" t="str">
        <f>IF(pajak[[#This Row],[//]]="","",IF(INDEX(Table1[edited :],pajak[//]-offset)="","",INDEX(Table1[edited :],pajak[//]-offset)))</f>
        <v/>
      </c>
      <c r="Q15">
        <f>IF(pajak[[#This Row],[Kode Sales :]]="","",MATCH(pajak[[#This Row],[Kode Sales :]],[2]Invoice!$D:$D,0))</f>
        <v>1374</v>
      </c>
      <c r="R15" s="193">
        <f>IF((INDEX([2]Invoice!$D:$D,Table4[[#This Row],[cek_ppn]]-4)&amp;" "&amp;INDEX([2]Invoice!$E:$E,Table4[[#This Row],[cek_ppn]]-4))=pajak[[#This Row],[No. Invoice :]],1)</f>
        <v>1</v>
      </c>
      <c r="S15" s="193">
        <f>IF((INDEX([2]Invoice!$D:$D,Table4[[#This Row],[cek_ppn]]-2))=pajak[[#This Row],[Tgl Invoice :]],1)</f>
        <v>1</v>
      </c>
      <c r="T15" s="193">
        <f>IF((INDEX([2]Invoice!$D:$D,Table4[[#This Row],[cek_ppn]]))=pajak[[#This Row],[Kode Sales :]],1)</f>
        <v>1</v>
      </c>
      <c r="U15" s="193">
        <f ca="1">IF((INDEX([2]Invoice!$K:$K,Table4[[#This Row],[cek_ppn]]+28))=pajak[[#This Row],[Total Invoice]],1)</f>
        <v>1</v>
      </c>
      <c r="V15" s="194">
        <f>IF((INDEX([2]Invoice!$J:$J,Table4[[#This Row],[cek_ppn]]+30))=pajak[[#This Row],[pembuat nota]],1)</f>
        <v>1</v>
      </c>
    </row>
    <row r="16" spans="1:25" x14ac:dyDescent="0.25">
      <c r="A16" s="88"/>
      <c r="C16" s="86" t="str">
        <f t="shared" si="0"/>
        <v/>
      </c>
      <c r="D1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e">
        <f>pajak[[#This Row],[Sub Total]]/1.11</f>
        <v>#VALUE!</v>
      </c>
      <c r="L16" s="89" t="str">
        <f>IF(pajak[//]="","",pajak[[#This Row],[DPP]]*11%)</f>
        <v/>
      </c>
      <c r="M16" s="89" t="str">
        <f>pajak[[#This Row],[Sub Total]]</f>
        <v/>
      </c>
      <c r="N16" s="86" t="str">
        <f>IF(pajak[[#This Row],[//]]="","",INDEX(Table1[pembuat nota :],pajak[//]-offset))</f>
        <v/>
      </c>
      <c r="O16" s="86" t="str">
        <f>IF(pajak[[#This Row],[//]]="","",IF(INDEX(Table1[edited :],pajak[//]-offset)="","",INDEX(Table1[edited :],pajak[//]-offset)))</f>
        <v/>
      </c>
      <c r="Q16" t="str">
        <f>IF(pajak[[#This Row],[Kode Sales :]]="","",MATCH(pajak[[#This Row],[Kode Sales :]],[2]Invoice!$D:$D,0))</f>
        <v/>
      </c>
      <c r="R16" s="193" t="e">
        <f>IF((INDEX([2]Invoice!$D:$D,Table4[[#This Row],[cek_ppn]]-4)&amp;" "&amp;INDEX([2]Invoice!$E:$E,Table4[[#This Row],[cek_ppn]]-4))=pajak[[#This Row],[No. Invoice :]],1)</f>
        <v>#VALUE!</v>
      </c>
      <c r="S16" s="193" t="e">
        <f>IF((INDEX([2]Invoice!$D:$D,Table4[[#This Row],[cek_ppn]]-2))=pajak[[#This Row],[Tgl Invoice :]],1)</f>
        <v>#VALUE!</v>
      </c>
      <c r="T16" s="193" t="e">
        <f>IF((INDEX([2]Invoice!$D:$D,Table4[[#This Row],[cek_ppn]]))=pajak[[#This Row],[Kode Sales :]],1)</f>
        <v>#VALUE!</v>
      </c>
      <c r="U16" s="193" t="e">
        <f>IF((INDEX([2]Invoice!$K:$K,Table4[[#This Row],[cek_ppn]]+28))=pajak[[#This Row],[Total Invoice]],1)</f>
        <v>#VALUE!</v>
      </c>
      <c r="V16" s="194" t="e">
        <f>IF((INDEX([2]Invoice!$J:$J,Table4[[#This Row],[cek_ppn]]+30))=pajak[[#This Row],[pembuat nota]],1)</f>
        <v>#VALUE!</v>
      </c>
    </row>
    <row r="17" spans="1:22" x14ac:dyDescent="0.25">
      <c r="A17" s="88" t="s">
        <v>55</v>
      </c>
      <c r="C17" s="86" t="str">
        <f t="shared" si="0"/>
        <v/>
      </c>
      <c r="D17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e">
        <f>pajak[[#This Row],[Sub Total]]/1.11</f>
        <v>#VALUE!</v>
      </c>
      <c r="L17" s="89" t="str">
        <f>IF(pajak[//]="","",pajak[[#This Row],[DPP]]*11%)</f>
        <v/>
      </c>
      <c r="M17" s="89" t="str">
        <f>pajak[[#This Row],[Sub Total]]</f>
        <v/>
      </c>
      <c r="N17" s="86" t="str">
        <f>IF(pajak[[#This Row],[//]]="","",INDEX(Table1[pembuat nota :],pajak[//]-offset))</f>
        <v/>
      </c>
      <c r="O17" s="86" t="str">
        <f>IF(pajak[[#This Row],[//]]="","",IF(INDEX(Table1[edited :],pajak[//]-offset)="","",INDEX(Table1[edited :],pajak[//]-offset)))</f>
        <v/>
      </c>
      <c r="Q17" t="str">
        <f>IF(pajak[[#This Row],[Kode Sales :]]="","",MATCH(pajak[[#This Row],[Kode Sales :]],[2]Invoice!$D:$D,0))</f>
        <v/>
      </c>
      <c r="R17" s="193" t="e">
        <f>IF((INDEX([2]Invoice!$D:$D,Table4[[#This Row],[cek_ppn]]-4)&amp;" "&amp;INDEX([2]Invoice!$E:$E,Table4[[#This Row],[cek_ppn]]-4))=pajak[[#This Row],[No. Invoice :]],1)</f>
        <v>#VALUE!</v>
      </c>
      <c r="S17" s="193" t="e">
        <f>IF((INDEX([2]Invoice!$D:$D,Table4[[#This Row],[cek_ppn]]-2))=pajak[[#This Row],[Tgl Invoice :]],1)</f>
        <v>#VALUE!</v>
      </c>
      <c r="T17" s="193" t="e">
        <f>IF((INDEX([2]Invoice!$D:$D,Table4[[#This Row],[cek_ppn]]))=pajak[[#This Row],[Kode Sales :]],1)</f>
        <v>#VALUE!</v>
      </c>
      <c r="U17" s="193" t="e">
        <f>IF((INDEX([2]Invoice!$K:$K,Table4[[#This Row],[cek_ppn]]+28))=pajak[[#This Row],[Total Invoice]],1)</f>
        <v>#VALUE!</v>
      </c>
      <c r="V17" s="194" t="e">
        <f>IF((INDEX([2]Invoice!$J:$J,Table4[[#This Row],[cek_ppn]]+30))=pajak[[#This Row],[pembuat nota]],1)</f>
        <v>#VALUE!</v>
      </c>
    </row>
    <row r="18" spans="1:22" x14ac:dyDescent="0.25">
      <c r="C18" s="86" t="str">
        <f t="shared" si="0"/>
        <v/>
      </c>
      <c r="D18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e">
        <f>pajak[[#This Row],[Sub Total]]/1.11</f>
        <v>#VALUE!</v>
      </c>
      <c r="L18" s="89" t="str">
        <f>IF(pajak[//]="","",pajak[[#This Row],[DPP]]*11%)</f>
        <v/>
      </c>
      <c r="M18" s="89" t="str">
        <f>pajak[[#This Row],[Sub Total]]</f>
        <v/>
      </c>
      <c r="N18" s="86" t="str">
        <f>IF(pajak[[#This Row],[//]]="","",INDEX(Table1[pembuat nota :],pajak[//]-offset))</f>
        <v/>
      </c>
      <c r="O18" s="86" t="str">
        <f>IF(pajak[[#This Row],[//]]="","",IF(INDEX(Table1[edited :],pajak[//]-offset)="","",INDEX(Table1[edited :],pajak[//]-offset)))</f>
        <v/>
      </c>
      <c r="Q18" t="str">
        <f>IF(pajak[[#This Row],[Kode Sales :]]="","",MATCH(pajak[[#This Row],[Kode Sales :]],[2]Invoice!$D:$D,0))</f>
        <v/>
      </c>
      <c r="R18" s="193" t="e">
        <f>IF((INDEX([2]Invoice!$D:$D,Table4[[#This Row],[cek_ppn]]-4)&amp;" "&amp;INDEX([2]Invoice!$E:$E,Table4[[#This Row],[cek_ppn]]-4))=pajak[[#This Row],[No. Invoice :]],1)</f>
        <v>#VALUE!</v>
      </c>
      <c r="S18" s="193" t="e">
        <f>IF((INDEX([2]Invoice!$D:$D,Table4[[#This Row],[cek_ppn]]-2))=pajak[[#This Row],[Tgl Invoice :]],1)</f>
        <v>#VALUE!</v>
      </c>
      <c r="T18" s="193" t="e">
        <f>IF((INDEX([2]Invoice!$D:$D,Table4[[#This Row],[cek_ppn]]))=pajak[[#This Row],[Kode Sales :]],1)</f>
        <v>#VALUE!</v>
      </c>
      <c r="U18" s="193" t="e">
        <f>IF((INDEX([2]Invoice!$K:$K,Table4[[#This Row],[cek_ppn]]+28))=pajak[[#This Row],[Total Invoice]],1)</f>
        <v>#VALUE!</v>
      </c>
      <c r="V18" s="194" t="e">
        <f>IF((INDEX([2]Invoice!$J:$J,Table4[[#This Row],[cek_ppn]]+30))=pajak[[#This Row],[pembuat nota]],1)</f>
        <v>#VALUE!</v>
      </c>
    </row>
    <row r="19" spans="1:22" x14ac:dyDescent="0.25">
      <c r="B19" s="299"/>
      <c r="C19" s="86" t="str">
        <f t="shared" si="0"/>
        <v/>
      </c>
      <c r="D19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e">
        <f>pajak[[#This Row],[Sub Total]]/1.11</f>
        <v>#VALUE!</v>
      </c>
      <c r="L19" s="89" t="str">
        <f>IF(pajak[//]="","",pajak[[#This Row],[DPP]]*11%)</f>
        <v/>
      </c>
      <c r="M19" s="89" t="str">
        <f>pajak[[#This Row],[Sub Total]]</f>
        <v/>
      </c>
      <c r="N19" s="86" t="str">
        <f>IF(pajak[[#This Row],[//]]="","",INDEX(Table1[pembuat nota :],pajak[//]-offset))</f>
        <v/>
      </c>
      <c r="O19" s="86" t="str">
        <f>IF(pajak[[#This Row],[//]]="","",IF(INDEX(Table1[edited :],pajak[//]-offset)="","",INDEX(Table1[edited :],pajak[//]-offset)))</f>
        <v/>
      </c>
      <c r="Q19" t="str">
        <f>IF(pajak[[#This Row],[Kode Sales :]]="","",MATCH(pajak[[#This Row],[Kode Sales :]],[2]Invoice!$D:$D,0))</f>
        <v/>
      </c>
      <c r="R19" s="193" t="e">
        <f>IF((INDEX([2]Invoice!$D:$D,Table4[[#This Row],[cek_ppn]]-4)&amp;" "&amp;INDEX([2]Invoice!$E:$E,Table4[[#This Row],[cek_ppn]]-4))=pajak[[#This Row],[No. Invoice :]],1)</f>
        <v>#VALUE!</v>
      </c>
      <c r="S19" s="193" t="e">
        <f>IF((INDEX([2]Invoice!$D:$D,Table4[[#This Row],[cek_ppn]]-2))=pajak[[#This Row],[Tgl Invoice :]],1)</f>
        <v>#VALUE!</v>
      </c>
      <c r="T19" s="193" t="e">
        <f>IF((INDEX([2]Invoice!$D:$D,Table4[[#This Row],[cek_ppn]]))=pajak[[#This Row],[Kode Sales :]],1)</f>
        <v>#VALUE!</v>
      </c>
      <c r="U19" s="193" t="e">
        <f>IF((INDEX([2]Invoice!$K:$K,Table4[[#This Row],[cek_ppn]]+28))=pajak[[#This Row],[Total Invoice]],1)</f>
        <v>#VALUE!</v>
      </c>
      <c r="V19" s="194" t="e">
        <f>IF((INDEX([2]Invoice!$J:$J,Table4[[#This Row],[cek_ppn]]+30))=pajak[[#This Row],[pembuat nota]],1)</f>
        <v>#VALUE!</v>
      </c>
    </row>
    <row r="20" spans="1:22" x14ac:dyDescent="0.25">
      <c r="C20" s="86" t="str">
        <f t="shared" si="0"/>
        <v/>
      </c>
      <c r="D20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e">
        <f>pajak[[#This Row],[Sub Total]]/1.11</f>
        <v>#VALUE!</v>
      </c>
      <c r="L20" s="89" t="str">
        <f>IF(pajak[//]="","",pajak[[#This Row],[DPP]]*11%)</f>
        <v/>
      </c>
      <c r="M20" s="89" t="str">
        <f>pajak[[#This Row],[Sub Total]]</f>
        <v/>
      </c>
      <c r="N20" s="86" t="str">
        <f>IF(pajak[[#This Row],[//]]="","",INDEX(Table1[pembuat nota :],pajak[//]-offset))</f>
        <v/>
      </c>
      <c r="O20" s="86" t="str">
        <f>IF(pajak[[#This Row],[//]]="","",IF(INDEX(Table1[edited :],pajak[//]-offset)="","",INDEX(Table1[edited :],pajak[//]-offset)))</f>
        <v/>
      </c>
      <c r="Q20" t="str">
        <f>IF(pajak[[#This Row],[Kode Sales :]]="","",MATCH(pajak[[#This Row],[Kode Sales :]],[2]Invoice!$D:$D,0))</f>
        <v/>
      </c>
      <c r="R20" s="193" t="e">
        <f>IF((INDEX([2]Invoice!$D:$D,Table4[[#This Row],[cek_ppn]]-4)&amp;" "&amp;INDEX([2]Invoice!$E:$E,Table4[[#This Row],[cek_ppn]]-4))=pajak[[#This Row],[No. Invoice :]],1)</f>
        <v>#VALUE!</v>
      </c>
      <c r="S20" s="193" t="e">
        <f>IF((INDEX([2]Invoice!$D:$D,Table4[[#This Row],[cek_ppn]]-2))=pajak[[#This Row],[Tgl Invoice :]],1)</f>
        <v>#VALUE!</v>
      </c>
      <c r="T20" s="193" t="e">
        <f>IF((INDEX([2]Invoice!$D:$D,Table4[[#This Row],[cek_ppn]]))=pajak[[#This Row],[Kode Sales :]],1)</f>
        <v>#VALUE!</v>
      </c>
      <c r="U20" s="193" t="e">
        <f>IF((INDEX([2]Invoice!$K:$K,Table4[[#This Row],[cek_ppn]]+28))=pajak[[#This Row],[Total Invoice]],1)</f>
        <v>#VALUE!</v>
      </c>
      <c r="V20" s="194" t="e">
        <f>IF((INDEX([2]Invoice!$J:$J,Table4[[#This Row],[cek_ppn]]+30))=pajak[[#This Row],[pembuat nota]],1)</f>
        <v>#VALUE!</v>
      </c>
    </row>
    <row r="21" spans="1:22" x14ac:dyDescent="0.25">
      <c r="C21" s="86" t="str">
        <f t="shared" si="0"/>
        <v/>
      </c>
      <c r="D21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e">
        <f>pajak[[#This Row],[Sub Total]]/1.11</f>
        <v>#VALUE!</v>
      </c>
      <c r="L21" s="89" t="str">
        <f>IF(pajak[//]="","",pajak[[#This Row],[DPP]]*11%)</f>
        <v/>
      </c>
      <c r="M21" s="89" t="str">
        <f>pajak[[#This Row],[Sub Total]]</f>
        <v/>
      </c>
      <c r="N21" s="86" t="str">
        <f>IF(pajak[[#This Row],[//]]="","",INDEX(Table1[pembuat nota :],pajak[//]-offset))</f>
        <v/>
      </c>
      <c r="O21" s="86" t="str">
        <f>IF(pajak[[#This Row],[//]]="","",IF(INDEX(Table1[edited :],pajak[//]-offset)="","",INDEX(Table1[edited :],pajak[//]-offset)))</f>
        <v/>
      </c>
      <c r="Q21" t="str">
        <f>IF(pajak[[#This Row],[Kode Sales :]]="","",MATCH(pajak[[#This Row],[Kode Sales :]],[2]Invoice!$D:$D,0))</f>
        <v/>
      </c>
      <c r="R21" s="193" t="e">
        <f>IF((INDEX([2]Invoice!$D:$D,Table4[[#This Row],[cek_ppn]]-4)&amp;" "&amp;INDEX([2]Invoice!$E:$E,Table4[[#This Row],[cek_ppn]]-4))=pajak[[#This Row],[No. Invoice :]],1)</f>
        <v>#VALUE!</v>
      </c>
      <c r="S21" s="193" t="e">
        <f>IF((INDEX([2]Invoice!$D:$D,Table4[[#This Row],[cek_ppn]]-2))=pajak[[#This Row],[Tgl Invoice :]],1)</f>
        <v>#VALUE!</v>
      </c>
      <c r="T21" s="193" t="e">
        <f>IF((INDEX([2]Invoice!$D:$D,Table4[[#This Row],[cek_ppn]]))=pajak[[#This Row],[Kode Sales :]],1)</f>
        <v>#VALUE!</v>
      </c>
      <c r="U21" s="193" t="e">
        <f>IF((INDEX([2]Invoice!$K:$K,Table4[[#This Row],[cek_ppn]]+28))=pajak[[#This Row],[Total Invoice]],1)</f>
        <v>#VALUE!</v>
      </c>
      <c r="V21" s="194" t="e">
        <f>IF((INDEX([2]Invoice!$J:$J,Table4[[#This Row],[cek_ppn]]+30))=pajak[[#This Row],[pembuat nota]],1)</f>
        <v>#VALUE!</v>
      </c>
    </row>
    <row r="22" spans="1:22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e">
        <f>pajak[[#This Row],[Sub Total]]/1.11</f>
        <v>#VALUE!</v>
      </c>
      <c r="L22" s="89" t="str">
        <f>IF(pajak[//]="","",pajak[[#This Row],[DPP]]*11%)</f>
        <v/>
      </c>
      <c r="M22" s="89" t="str">
        <f>pajak[[#This Row],[Sub Total]]</f>
        <v/>
      </c>
      <c r="N22" s="86" t="str">
        <f>IF(pajak[[#This Row],[//]]="","",INDEX(Table1[pembuat nota :],pajak[//]-offset))</f>
        <v/>
      </c>
      <c r="O22" s="86" t="str">
        <f>IF(pajak[[#This Row],[//]]="","",IF(INDEX(Table1[edited :],pajak[//]-offset)="","",INDEX(Table1[edited :],pajak[//]-offset)))</f>
        <v/>
      </c>
      <c r="Q22" t="str">
        <f>IF(pajak[[#This Row],[Kode Sales :]]="","",MATCH(pajak[[#This Row],[Kode Sales :]],[2]Invoice!$D:$D,0))</f>
        <v/>
      </c>
      <c r="R22" s="193" t="e">
        <f>IF((INDEX([2]Invoice!$D:$D,Table4[[#This Row],[cek_ppn]]-4)&amp;" "&amp;INDEX([2]Invoice!$E:$E,Table4[[#This Row],[cek_ppn]]-4))=pajak[[#This Row],[No. Invoice :]],1)</f>
        <v>#VALUE!</v>
      </c>
      <c r="S22" s="193" t="e">
        <f>IF((INDEX([2]Invoice!$D:$D,Table4[[#This Row],[cek_ppn]]-2))=pajak[[#This Row],[Tgl Invoice :]],1)</f>
        <v>#VALUE!</v>
      </c>
      <c r="T22" s="193" t="e">
        <f>IF((INDEX([2]Invoice!$D:$D,Table4[[#This Row],[cek_ppn]]))=pajak[[#This Row],[Kode Sales :]],1)</f>
        <v>#VALUE!</v>
      </c>
      <c r="U22" s="193" t="e">
        <f>IF((INDEX([2]Invoice!$K:$K,Table4[[#This Row],[cek_ppn]]+28))=pajak[[#This Row],[Total Invoice]],1)</f>
        <v>#VALUE!</v>
      </c>
      <c r="V22" s="194" t="e">
        <f>IF((INDEX([2]Invoice!$J:$J,Table4[[#This Row],[cek_ppn]]+30))=pajak[[#This Row],[pembuat nota]],1)</f>
        <v>#VALUE!</v>
      </c>
    </row>
    <row r="23" spans="1:22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e">
        <f>pajak[[#This Row],[Sub Total]]/1.11</f>
        <v>#VALUE!</v>
      </c>
      <c r="L23" s="89" t="str">
        <f>IF(pajak[//]="","",pajak[[#This Row],[DPP]]*11%)</f>
        <v/>
      </c>
      <c r="M23" s="89" t="str">
        <f>pajak[[#This Row],[Sub Total]]</f>
        <v/>
      </c>
      <c r="N23" s="86" t="str">
        <f>IF(pajak[[#This Row],[//]]="","",INDEX(Table1[pembuat nota :],pajak[//]-offset))</f>
        <v/>
      </c>
      <c r="O23" s="86" t="str">
        <f>IF(pajak[[#This Row],[//]]="","",IF(INDEX(Table1[edited :],pajak[//]-offset)="","",INDEX(Table1[edited :],pajak[//]-offset)))</f>
        <v/>
      </c>
      <c r="Q23" t="str">
        <f>IF(pajak[[#This Row],[Kode Sales :]]="","",MATCH(pajak[[#This Row],[Kode Sales :]],[2]Invoice!$D:$D,0))</f>
        <v/>
      </c>
      <c r="R23" s="193" t="e">
        <f>IF((INDEX([2]Invoice!$D:$D,Table4[[#This Row],[cek_ppn]]-4)&amp;" "&amp;INDEX([2]Invoice!$E:$E,Table4[[#This Row],[cek_ppn]]-4))=pajak[[#This Row],[No. Invoice :]],1)</f>
        <v>#VALUE!</v>
      </c>
      <c r="S23" s="193" t="e">
        <f>IF((INDEX([2]Invoice!$D:$D,Table4[[#This Row],[cek_ppn]]-2))=pajak[[#This Row],[Tgl Invoice :]],1)</f>
        <v>#VALUE!</v>
      </c>
      <c r="T23" s="193" t="e">
        <f>IF((INDEX([2]Invoice!$D:$D,Table4[[#This Row],[cek_ppn]]))=pajak[[#This Row],[Kode Sales :]],1)</f>
        <v>#VALUE!</v>
      </c>
      <c r="U23" s="193" t="e">
        <f>IF((INDEX([2]Invoice!$K:$K,Table4[[#This Row],[cek_ppn]]+28))=pajak[[#This Row],[Total Invoice]],1)</f>
        <v>#VALUE!</v>
      </c>
      <c r="V23" s="194" t="e">
        <f>IF((INDEX([2]Invoice!$J:$J,Table4[[#This Row],[cek_ppn]]+30))=pajak[[#This Row],[pembuat nota]],1)</f>
        <v>#VALUE!</v>
      </c>
    </row>
    <row r="24" spans="1:22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e">
        <f>pajak[[#This Row],[Sub Total]]/1.11</f>
        <v>#VALUE!</v>
      </c>
      <c r="L24" s="89" t="str">
        <f>IF(pajak[//]="","",pajak[[#This Row],[DPP]]*11%)</f>
        <v/>
      </c>
      <c r="M24" s="89" t="str">
        <f>pajak[[#This Row],[Sub Total]]</f>
        <v/>
      </c>
      <c r="N24" s="86" t="str">
        <f>IF(pajak[[#This Row],[//]]="","",INDEX(Table1[pembuat nota :],pajak[//]-offset))</f>
        <v/>
      </c>
      <c r="O24" s="86" t="str">
        <f>IF(pajak[[#This Row],[//]]="","",IF(INDEX(Table1[edited :],pajak[//]-offset)="","",INDEX(Table1[edited :],pajak[//]-offset)))</f>
        <v/>
      </c>
      <c r="Q24" s="86" t="str">
        <f>IF(pajak[[#This Row],[Kode Sales :]]="","",MATCH(pajak[[#This Row],[Kode Sales :]],[2]Invoice!$D:$D,0))</f>
        <v/>
      </c>
      <c r="R24" s="194" t="e">
        <f>IF((INDEX([2]Invoice!$D:$D,Table4[[#This Row],[cek_ppn]]-4)&amp;" "&amp;INDEX([2]Invoice!$E:$E,Table4[[#This Row],[cek_ppn]]-4))=pajak[[#This Row],[No. Invoice :]],1)</f>
        <v>#VALUE!</v>
      </c>
      <c r="S24" s="194" t="e">
        <f>IF((INDEX([2]Invoice!$D:$D,Table4[[#This Row],[cek_ppn]]-2))=pajak[[#This Row],[Tgl Invoice :]],1)</f>
        <v>#VALUE!</v>
      </c>
      <c r="T24" s="194" t="e">
        <f>IF((INDEX([2]Invoice!$D:$D,Table4[[#This Row],[cek_ppn]]))=pajak[[#This Row],[Kode Sales :]],1)</f>
        <v>#VALUE!</v>
      </c>
      <c r="U24" s="194" t="e">
        <f>IF((INDEX([2]Invoice!$K:$K,Table4[[#This Row],[cek_ppn]]+28))=pajak[[#This Row],[Total Invoice]],1)</f>
        <v>#VALUE!</v>
      </c>
      <c r="V24" s="194" t="e">
        <f>IF((INDEX([2]Invoice!$J:$J,Table4[[#This Row],[cek_ppn]]+30))=pajak[[#This Row],[pembuat nota]],1)</f>
        <v>#VALUE!</v>
      </c>
    </row>
    <row r="25" spans="1:22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e">
        <f>pajak[[#This Row],[Sub Total]]/1.11</f>
        <v>#VALUE!</v>
      </c>
      <c r="L25" s="89" t="str">
        <f>IF(pajak[//]="","",pajak[[#This Row],[DPP]]*11%)</f>
        <v/>
      </c>
      <c r="M25" s="89" t="str">
        <f>pajak[[#This Row],[Sub Total]]</f>
        <v/>
      </c>
      <c r="N25" s="86" t="str">
        <f>IF(pajak[[#This Row],[//]]="","",INDEX(Table1[pembuat nota :],pajak[//]-offset))</f>
        <v/>
      </c>
      <c r="O25" s="86" t="str">
        <f>IF(pajak[[#This Row],[//]]="","",IF(INDEX(Table1[edited :],pajak[//]-offset)="","",INDEX(Table1[edited :],pajak[//]-offset)))</f>
        <v/>
      </c>
      <c r="Q25" s="86" t="str">
        <f>IF(pajak[[#This Row],[Kode Sales :]]="","",MATCH(pajak[[#This Row],[Kode Sales :]],[2]Invoice!$D:$D,0))</f>
        <v/>
      </c>
      <c r="R25" s="194" t="e">
        <f>IF((INDEX([2]Invoice!$D:$D,Table4[[#This Row],[cek_ppn]]-4)&amp;" "&amp;INDEX([2]Invoice!$E:$E,Table4[[#This Row],[cek_ppn]]-4))=pajak[[#This Row],[No. Invoice :]],1)</f>
        <v>#VALUE!</v>
      </c>
      <c r="S25" s="194" t="e">
        <f>IF((INDEX([2]Invoice!$D:$D,Table4[[#This Row],[cek_ppn]]-2))=pajak[[#This Row],[Tgl Invoice :]],1)</f>
        <v>#VALUE!</v>
      </c>
      <c r="T25" s="194" t="e">
        <f>IF((INDEX([2]Invoice!$D:$D,Table4[[#This Row],[cek_ppn]]))=pajak[[#This Row],[Kode Sales :]],1)</f>
        <v>#VALUE!</v>
      </c>
      <c r="U25" s="194" t="e">
        <f>IF((INDEX([2]Invoice!$K:$K,Table4[[#This Row],[cek_ppn]]+28))=pajak[[#This Row],[Total Invoice]],1)</f>
        <v>#VALUE!</v>
      </c>
      <c r="V25" s="194" t="e">
        <f>IF((INDEX([2]Invoice!$J:$J,Table4[[#This Row],[cek_ppn]]+30))=pajak[[#This Row],[pembuat nota]],1)</f>
        <v>#VALUE!</v>
      </c>
    </row>
    <row r="26" spans="1:22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e">
        <f>pajak[[#This Row],[Sub Total]]/1.11</f>
        <v>#VALUE!</v>
      </c>
      <c r="L26" s="89" t="str">
        <f>IF(pajak[//]="","",pajak[[#This Row],[DPP]]*11%)</f>
        <v/>
      </c>
      <c r="M26" s="89" t="str">
        <f>pajak[[#This Row],[Sub Total]]</f>
        <v/>
      </c>
      <c r="N26" s="86" t="str">
        <f>IF(pajak[[#This Row],[//]]="","",INDEX(Table1[pembuat nota :],pajak[//]-offset))</f>
        <v/>
      </c>
      <c r="O26" s="86" t="str">
        <f>IF(pajak[[#This Row],[//]]="","",IF(INDEX(Table1[edited :],pajak[//]-offset)="","",INDEX(Table1[edited :],pajak[//]-offset)))</f>
        <v/>
      </c>
      <c r="Q26" s="86" t="str">
        <f>IF(pajak[[#This Row],[Kode Sales :]]="","",MATCH(pajak[[#This Row],[Kode Sales :]],[2]Invoice!$D:$D,0))</f>
        <v/>
      </c>
      <c r="R26" s="194" t="e">
        <f>IF((INDEX([2]Invoice!$D:$D,Table4[[#This Row],[cek_ppn]]-4)&amp;" "&amp;INDEX([2]Invoice!$E:$E,Table4[[#This Row],[cek_ppn]]-4))=pajak[[#This Row],[No. Invoice :]],1)</f>
        <v>#VALUE!</v>
      </c>
      <c r="S26" s="194" t="e">
        <f>IF((INDEX([2]Invoice!$D:$D,Table4[[#This Row],[cek_ppn]]-2))=pajak[[#This Row],[Tgl Invoice :]],1)</f>
        <v>#VALUE!</v>
      </c>
      <c r="T26" s="194" t="e">
        <f>IF((INDEX([2]Invoice!$D:$D,Table4[[#This Row],[cek_ppn]]))=pajak[[#This Row],[Kode Sales :]],1)</f>
        <v>#VALUE!</v>
      </c>
      <c r="U26" s="194" t="e">
        <f>IF((INDEX([2]Invoice!$K:$K,Table4[[#This Row],[cek_ppn]]+28))=pajak[[#This Row],[Total Invoice]],1)</f>
        <v>#VALUE!</v>
      </c>
      <c r="V26" s="194" t="e">
        <f>IF((INDEX([2]Invoice!$J:$J,Table4[[#This Row],[cek_ppn]]+30))=pajak[[#This Row],[pembuat nota]],1)</f>
        <v>#VALUE!</v>
      </c>
    </row>
    <row r="27" spans="1:22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e">
        <f>pajak[[#This Row],[Sub Total]]/1.11</f>
        <v>#VALUE!</v>
      </c>
      <c r="L27" s="89" t="str">
        <f>IF(pajak[//]="","",pajak[[#This Row],[DPP]]*11%)</f>
        <v/>
      </c>
      <c r="M27" s="89" t="str">
        <f>pajak[[#This Row],[Sub Total]]</f>
        <v/>
      </c>
      <c r="N27" s="86" t="str">
        <f>IF(pajak[[#This Row],[//]]="","",INDEX(Table1[pembuat nota :],pajak[//]-offset))</f>
        <v/>
      </c>
      <c r="O27" s="86" t="str">
        <f>IF(pajak[[#This Row],[//]]="","",IF(INDEX(Table1[edited :],pajak[//]-offset)="","",INDEX(Table1[edited :],pajak[//]-offset)))</f>
        <v/>
      </c>
      <c r="Q27" s="86" t="str">
        <f>IF(pajak[[#This Row],[Kode Sales :]]="","",MATCH(pajak[[#This Row],[Kode Sales :]],[2]Invoice!$D:$D,0))</f>
        <v/>
      </c>
      <c r="R27" s="194" t="e">
        <f>IF((INDEX([2]Invoice!$D:$D,Table4[[#This Row],[cek_ppn]]-4)&amp;" "&amp;INDEX([2]Invoice!$E:$E,Table4[[#This Row],[cek_ppn]]-4))=pajak[[#This Row],[No. Invoice :]],1)</f>
        <v>#VALUE!</v>
      </c>
      <c r="S27" s="194" t="e">
        <f>IF((INDEX([2]Invoice!$D:$D,Table4[[#This Row],[cek_ppn]]-2))=pajak[[#This Row],[Tgl Invoice :]],1)</f>
        <v>#VALUE!</v>
      </c>
      <c r="T27" s="194" t="e">
        <f>IF((INDEX([2]Invoice!$D:$D,Table4[[#This Row],[cek_ppn]]))=pajak[[#This Row],[Kode Sales :]],1)</f>
        <v>#VALUE!</v>
      </c>
      <c r="U27" s="194" t="e">
        <f>IF((INDEX([2]Invoice!$K:$K,Table4[[#This Row],[cek_ppn]]+28))=pajak[[#This Row],[Total Invoice]],1)</f>
        <v>#VALUE!</v>
      </c>
      <c r="V27" s="194" t="e">
        <f>IF((INDEX([2]Invoice!$J:$J,Table4[[#This Row],[cek_ppn]]+30))=pajak[[#This Row],[pembuat nota]],1)</f>
        <v>#VALUE!</v>
      </c>
    </row>
    <row r="28" spans="1:22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e">
        <f>pajak[[#This Row],[Sub Total]]/1.11</f>
        <v>#VALUE!</v>
      </c>
      <c r="L28" s="89" t="str">
        <f>IF(pajak[//]="","",pajak[[#This Row],[DPP]]*11%)</f>
        <v/>
      </c>
      <c r="M28" s="89" t="str">
        <f>pajak[[#This Row],[Sub Total]]</f>
        <v/>
      </c>
      <c r="N28" s="86" t="str">
        <f>IF(pajak[[#This Row],[//]]="","",INDEX(Table1[pembuat nota :],pajak[//]-offset))</f>
        <v/>
      </c>
      <c r="O28" s="86" t="str">
        <f>IF(pajak[[#This Row],[//]]="","",IF(INDEX(Table1[edited :],pajak[//]-offset)="","",INDEX(Table1[edited :],pajak[//]-offset)))</f>
        <v/>
      </c>
      <c r="P28"/>
      <c r="Q28" s="86" t="str">
        <f>IF(pajak[[#This Row],[Kode Sales :]]="","",MATCH(pajak[[#This Row],[Kode Sales :]],[2]Invoice!$D:$D,0))</f>
        <v/>
      </c>
      <c r="R28" s="194" t="e">
        <f>IF((INDEX([2]Invoice!$D:$D,Table4[[#This Row],[cek_ppn]]-4)&amp;" "&amp;INDEX([2]Invoice!$E:$E,Table4[[#This Row],[cek_ppn]]-4))=pajak[[#This Row],[No. Invoice :]],1)</f>
        <v>#VALUE!</v>
      </c>
      <c r="S28" s="194" t="e">
        <f>IF((INDEX([2]Invoice!$D:$D,Table4[[#This Row],[cek_ppn]]-2))=pajak[[#This Row],[Tgl Invoice :]],1)</f>
        <v>#VALUE!</v>
      </c>
      <c r="T28" s="194" t="e">
        <f>IF((INDEX([2]Invoice!$D:$D,Table4[[#This Row],[cek_ppn]]))=pajak[[#This Row],[Kode Sales :]],1)</f>
        <v>#VALUE!</v>
      </c>
      <c r="U28" s="194" t="e">
        <f>IF((INDEX([2]Invoice!$K:$K,Table4[[#This Row],[cek_ppn]]+28))=pajak[[#This Row],[Total Invoice]],1)</f>
        <v>#VALUE!</v>
      </c>
      <c r="V28" s="194" t="e">
        <f>IF((INDEX([2]Invoice!$J:$J,Table4[[#This Row],[cek_ppn]]+30))=pajak[[#This Row],[pembuat nota]],1)</f>
        <v>#VALUE!</v>
      </c>
    </row>
    <row r="29" spans="1:22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e">
        <f>pajak[[#This Row],[Sub Total]]/1.11</f>
        <v>#VALUE!</v>
      </c>
      <c r="L29" s="89" t="str">
        <f>IF(pajak[//]="","",pajak[[#This Row],[DPP]]*11%)</f>
        <v/>
      </c>
      <c r="M29" s="89" t="str">
        <f>pajak[[#This Row],[Sub Total]]</f>
        <v/>
      </c>
      <c r="N29" s="86" t="str">
        <f>IF(pajak[[#This Row],[//]]="","",INDEX(Table1[pembuat nota :],pajak[//]-offset))</f>
        <v/>
      </c>
      <c r="O29" s="86" t="str">
        <f>IF(pajak[[#This Row],[//]]="","",IF(INDEX(Table1[edited :],pajak[//]-offset)="","",INDEX(Table1[edited :],pajak[//]-offset)))</f>
        <v/>
      </c>
      <c r="Q29" s="86" t="str">
        <f>IF(pajak[[#This Row],[Kode Sales :]]="","",MATCH(pajak[[#This Row],[Kode Sales :]],[2]Invoice!$D:$D,0))</f>
        <v/>
      </c>
      <c r="R29" s="194" t="e">
        <f>IF((INDEX([2]Invoice!$D:$D,Table4[[#This Row],[cek_ppn]]-4)&amp;" "&amp;INDEX([2]Invoice!$E:$E,Table4[[#This Row],[cek_ppn]]-4))=pajak[[#This Row],[No. Invoice :]],1)</f>
        <v>#VALUE!</v>
      </c>
      <c r="S29" s="194" t="e">
        <f>IF((INDEX([2]Invoice!$D:$D,Table4[[#This Row],[cek_ppn]]-2))=pajak[[#This Row],[Tgl Invoice :]],1)</f>
        <v>#VALUE!</v>
      </c>
      <c r="T29" s="194" t="e">
        <f>IF((INDEX([2]Invoice!$D:$D,Table4[[#This Row],[cek_ppn]]))=pajak[[#This Row],[Kode Sales :]],1)</f>
        <v>#VALUE!</v>
      </c>
      <c r="U29" s="194" t="e">
        <f>IF((INDEX([2]Invoice!$K:$K,Table4[[#This Row],[cek_ppn]]+28))=pajak[[#This Row],[Total Invoice]],1)</f>
        <v>#VALUE!</v>
      </c>
      <c r="V29" s="194" t="e">
        <f>IF((INDEX([2]Invoice!$J:$J,Table4[[#This Row],[cek_ppn]]+30))=pajak[[#This Row],[pembuat nota]],1)</f>
        <v>#VALUE!</v>
      </c>
    </row>
    <row r="30" spans="1:22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e">
        <f>pajak[[#This Row],[Sub Total]]/1.11</f>
        <v>#VALUE!</v>
      </c>
      <c r="L30" s="89" t="str">
        <f>IF(pajak[//]="","",pajak[[#This Row],[DPP]]*11%)</f>
        <v/>
      </c>
      <c r="M30" s="89" t="str">
        <f>pajak[[#This Row],[Sub Total]]</f>
        <v/>
      </c>
      <c r="N30" s="86" t="str">
        <f>IF(pajak[[#This Row],[//]]="","",INDEX(Table1[pembuat nota :],pajak[//]-offset))</f>
        <v/>
      </c>
      <c r="O30" s="86" t="str">
        <f>IF(pajak[[#This Row],[//]]="","",IF(INDEX(Table1[edited :],pajak[//]-offset)="","",INDEX(Table1[edited :],pajak[//]-offset)))</f>
        <v/>
      </c>
      <c r="Q30" s="86" t="str">
        <f>IF(pajak[[#This Row],[Kode Sales :]]="","",MATCH(pajak[[#This Row],[Kode Sales :]],[2]Invoice!$D:$D,0))</f>
        <v/>
      </c>
      <c r="R30" s="194" t="e">
        <f>IF((INDEX([2]Invoice!$D:$D,Table4[[#This Row],[cek_ppn]]-4)&amp;" "&amp;INDEX([2]Invoice!$E:$E,Table4[[#This Row],[cek_ppn]]-4))=pajak[[#This Row],[No. Invoice :]],1)</f>
        <v>#VALUE!</v>
      </c>
      <c r="S30" s="194" t="e">
        <f>IF((INDEX([2]Invoice!$D:$D,Table4[[#This Row],[cek_ppn]]-2))=pajak[[#This Row],[Tgl Invoice :]],1)</f>
        <v>#VALUE!</v>
      </c>
      <c r="T30" s="194" t="e">
        <f>IF((INDEX([2]Invoice!$D:$D,Table4[[#This Row],[cek_ppn]]))=pajak[[#This Row],[Kode Sales :]],1)</f>
        <v>#VALUE!</v>
      </c>
      <c r="U30" s="194" t="e">
        <f>IF((INDEX([2]Invoice!$K:$K,Table4[[#This Row],[cek_ppn]]+28))=pajak[[#This Row],[Total Invoice]],1)</f>
        <v>#VALUE!</v>
      </c>
      <c r="V30" s="194" t="e">
        <f>IF((INDEX([2]Invoice!$J:$J,Table4[[#This Row],[cek_ppn]]+30))=pajak[[#This Row],[pembuat nota]],1)</f>
        <v>#VALUE!</v>
      </c>
    </row>
    <row r="31" spans="1:22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e">
        <f>pajak[[#This Row],[Sub Total]]/1.11</f>
        <v>#VALUE!</v>
      </c>
      <c r="L31" s="89" t="str">
        <f>IF(pajak[//]="","",pajak[[#This Row],[DPP]]*11%)</f>
        <v/>
      </c>
      <c r="M31" s="89" t="str">
        <f>pajak[[#This Row],[Sub Total]]</f>
        <v/>
      </c>
      <c r="N31" s="86" t="str">
        <f>IF(pajak[[#This Row],[//]]="","",INDEX(Table1[pembuat nota :],pajak[//]-offset))</f>
        <v/>
      </c>
      <c r="O31" s="86" t="str">
        <f>IF(pajak[[#This Row],[//]]="","",IF(INDEX(Table1[edited :],pajak[//]-offset)="","",INDEX(Table1[edited :],pajak[//]-offset)))</f>
        <v/>
      </c>
      <c r="Q31" s="86" t="str">
        <f>IF(pajak[[#This Row],[Kode Sales :]]="","",MATCH(pajak[[#This Row],[Kode Sales :]],[2]Invoice!$D:$D,0))</f>
        <v/>
      </c>
      <c r="R31" s="194" t="e">
        <f>IF((INDEX([2]Invoice!$D:$D,Table4[[#This Row],[cek_ppn]]-4)&amp;" "&amp;INDEX([2]Invoice!$E:$E,Table4[[#This Row],[cek_ppn]]-4))=pajak[[#This Row],[No. Invoice :]],1)</f>
        <v>#VALUE!</v>
      </c>
      <c r="S31" s="194" t="e">
        <f>IF((INDEX([2]Invoice!$D:$D,Table4[[#This Row],[cek_ppn]]-2))=pajak[[#This Row],[Tgl Invoice :]],1)</f>
        <v>#VALUE!</v>
      </c>
      <c r="T31" s="194" t="e">
        <f>IF((INDEX([2]Invoice!$D:$D,Table4[[#This Row],[cek_ppn]]))=pajak[[#This Row],[Kode Sales :]],1)</f>
        <v>#VALUE!</v>
      </c>
      <c r="U31" s="194" t="e">
        <f>IF((INDEX([2]Invoice!$K:$K,Table4[[#This Row],[cek_ppn]]+28))=pajak[[#This Row],[Total Invoice]],1)</f>
        <v>#VALUE!</v>
      </c>
      <c r="V31" s="194" t="e">
        <f>IF((INDEX([2]Invoice!$J:$J,Table4[[#This Row],[cek_ppn]]+30))=pajak[[#This Row],[pembuat nota]],1)</f>
        <v>#VALUE!</v>
      </c>
    </row>
    <row r="32" spans="1:22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e">
        <f>pajak[[#This Row],[Sub Total]]/1.11</f>
        <v>#VALUE!</v>
      </c>
      <c r="L32" s="89" t="str">
        <f>IF(pajak[//]="","",pajak[[#This Row],[DPP]]*11%)</f>
        <v/>
      </c>
      <c r="M32" s="89" t="str">
        <f>pajak[[#This Row],[Sub Total]]</f>
        <v/>
      </c>
      <c r="N32" s="86" t="str">
        <f>IF(pajak[[#This Row],[//]]="","",INDEX(Table1[pembuat nota :],pajak[//]-offset))</f>
        <v/>
      </c>
      <c r="O32" s="86" t="str">
        <f>IF(pajak[[#This Row],[//]]="","",IF(INDEX(Table1[edited :],pajak[//]-offset)="","",INDEX(Table1[edited :],pajak[//]-offset)))</f>
        <v/>
      </c>
      <c r="Q32" s="86" t="str">
        <f>IF(pajak[[#This Row],[Kode Sales :]]="","",MATCH(pajak[[#This Row],[Kode Sales :]],[2]Invoice!$D:$D,0))</f>
        <v/>
      </c>
      <c r="R32" s="194" t="e">
        <f>IF((INDEX([2]Invoice!$D:$D,Table4[[#This Row],[cek_ppn]]-4)&amp;" "&amp;INDEX([2]Invoice!$E:$E,Table4[[#This Row],[cek_ppn]]-4))=pajak[[#This Row],[No. Invoice :]],1)</f>
        <v>#VALUE!</v>
      </c>
      <c r="S32" s="194" t="e">
        <f>IF((INDEX([2]Invoice!$D:$D,Table4[[#This Row],[cek_ppn]]-2))=pajak[[#This Row],[Tgl Invoice :]],1)</f>
        <v>#VALUE!</v>
      </c>
      <c r="T32" s="194" t="e">
        <f>IF((INDEX([2]Invoice!$D:$D,Table4[[#This Row],[cek_ppn]]))=pajak[[#This Row],[Kode Sales :]],1)</f>
        <v>#VALUE!</v>
      </c>
      <c r="U32" s="194" t="e">
        <f>IF((INDEX([2]Invoice!$K:$K,Table4[[#This Row],[cek_ppn]]+28))=pajak[[#This Row],[Total Invoice]],1)</f>
        <v>#VALUE!</v>
      </c>
      <c r="V32" s="194" t="e">
        <f>IF((INDEX([2]Invoice!$J:$J,Table4[[#This Row],[cek_ppn]]+30))=pajak[[#This Row],[pembuat nota]],1)</f>
        <v>#VALUE!</v>
      </c>
    </row>
    <row r="33" spans="3:22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e">
        <f>pajak[[#This Row],[Sub Total]]/1.11</f>
        <v>#VALUE!</v>
      </c>
      <c r="L33" s="89" t="str">
        <f>IF(pajak[//]="","",pajak[[#This Row],[DPP]]*11%)</f>
        <v/>
      </c>
      <c r="M33" s="89" t="str">
        <f>pajak[[#This Row],[Sub Total]]</f>
        <v/>
      </c>
      <c r="N33" s="86" t="str">
        <f>IF(pajak[[#This Row],[//]]="","",INDEX(Table1[pembuat nota :],pajak[//]-offset))</f>
        <v/>
      </c>
      <c r="O33" s="86" t="str">
        <f>IF(pajak[[#This Row],[//]]="","",IF(INDEX(Table1[edited :],pajak[//]-offset)="","",INDEX(Table1[edited :],pajak[//]-offset)))</f>
        <v/>
      </c>
      <c r="Q33" s="86" t="str">
        <f>IF(pajak[[#This Row],[Kode Sales :]]="","",MATCH(pajak[[#This Row],[Kode Sales :]],[2]Invoice!$D:$D,0))</f>
        <v/>
      </c>
      <c r="R33" s="194" t="e">
        <f>IF((INDEX([2]Invoice!$D:$D,Table4[[#This Row],[cek_ppn]]-4)&amp;" "&amp;INDEX([2]Invoice!$E:$E,Table4[[#This Row],[cek_ppn]]-4))=pajak[[#This Row],[No. Invoice :]],1)</f>
        <v>#VALUE!</v>
      </c>
      <c r="S33" s="194" t="e">
        <f>IF((INDEX([2]Invoice!$D:$D,Table4[[#This Row],[cek_ppn]]-2))=pajak[[#This Row],[Tgl Invoice :]],1)</f>
        <v>#VALUE!</v>
      </c>
      <c r="T33" s="194" t="e">
        <f>IF((INDEX([2]Invoice!$D:$D,Table4[[#This Row],[cek_ppn]]))=pajak[[#This Row],[Kode Sales :]],1)</f>
        <v>#VALUE!</v>
      </c>
      <c r="U33" s="194" t="e">
        <f>IF((INDEX([2]Invoice!$K:$K,Table4[[#This Row],[cek_ppn]]+28))=pajak[[#This Row],[Total Invoice]],1)</f>
        <v>#VALUE!</v>
      </c>
      <c r="V33" s="194" t="e">
        <f>IF((INDEX([2]Invoice!$J:$J,Table4[[#This Row],[cek_ppn]]+30))=pajak[[#This Row],[pembuat nota]],1)</f>
        <v>#VALUE!</v>
      </c>
    </row>
    <row r="34" spans="3:22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e">
        <f>pajak[[#This Row],[Sub Total]]/1.11</f>
        <v>#VALUE!</v>
      </c>
      <c r="L34" s="89" t="str">
        <f>IF(pajak[//]="","",pajak[[#This Row],[DPP]]*11%)</f>
        <v/>
      </c>
      <c r="M34" s="89" t="str">
        <f>pajak[[#This Row],[Sub Total]]</f>
        <v/>
      </c>
      <c r="N34" s="86" t="str">
        <f>IF(pajak[[#This Row],[//]]="","",INDEX(Table1[pembuat nota :],pajak[//]-offset))</f>
        <v/>
      </c>
      <c r="O34" s="86" t="str">
        <f>IF(pajak[[#This Row],[//]]="","",IF(INDEX(Table1[edited :],pajak[//]-offset)="","",INDEX(Table1[edited :],pajak[//]-offset)))</f>
        <v/>
      </c>
      <c r="Q34" s="86" t="str">
        <f>IF(pajak[[#This Row],[Kode Sales :]]="","",MATCH(pajak[[#This Row],[Kode Sales :]],[2]Invoice!$D:$D,0))</f>
        <v/>
      </c>
      <c r="R34" s="194" t="e">
        <f>IF((INDEX([2]Invoice!$D:$D,Table4[[#This Row],[cek_ppn]]-4)&amp;" "&amp;INDEX([2]Invoice!$E:$E,Table4[[#This Row],[cek_ppn]]-4))=pajak[[#This Row],[No. Invoice :]],1)</f>
        <v>#VALUE!</v>
      </c>
      <c r="S34" s="194" t="e">
        <f>IF((INDEX([2]Invoice!$D:$D,Table4[[#This Row],[cek_ppn]]-2))=pajak[[#This Row],[Tgl Invoice :]],1)</f>
        <v>#VALUE!</v>
      </c>
      <c r="T34" s="194" t="e">
        <f>IF((INDEX([2]Invoice!$D:$D,Table4[[#This Row],[cek_ppn]]))=pajak[[#This Row],[Kode Sales :]],1)</f>
        <v>#VALUE!</v>
      </c>
      <c r="U34" s="194" t="e">
        <f>IF((INDEX([2]Invoice!$K:$K,Table4[[#This Row],[cek_ppn]]+28))=pajak[[#This Row],[Total Invoice]],1)</f>
        <v>#VALUE!</v>
      </c>
      <c r="V34" s="194" t="e">
        <f>IF((INDEX([2]Invoice!$J:$J,Table4[[#This Row],[cek_ppn]]+30))=pajak[[#This Row],[pembuat nota]],1)</f>
        <v>#VALUE!</v>
      </c>
    </row>
    <row r="35" spans="3:22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e">
        <f>pajak[[#This Row],[Sub Total]]/1.11</f>
        <v>#VALUE!</v>
      </c>
      <c r="L35" s="89" t="str">
        <f>IF(pajak[//]="","",pajak[[#This Row],[DPP]]*11%)</f>
        <v/>
      </c>
      <c r="M35" s="89" t="str">
        <f>pajak[[#This Row],[Sub Total]]</f>
        <v/>
      </c>
      <c r="N35" s="86" t="str">
        <f>IF(pajak[[#This Row],[//]]="","",INDEX(Table1[pembuat nota :],pajak[//]-offset))</f>
        <v/>
      </c>
      <c r="O35" s="86" t="str">
        <f>IF(pajak[[#This Row],[//]]="","",IF(INDEX(Table1[edited :],pajak[//]-offset)="","",INDEX(Table1[edited :],pajak[//]-offset)))</f>
        <v/>
      </c>
      <c r="Q35" s="86" t="str">
        <f>IF(pajak[[#This Row],[Kode Sales :]]="","",MATCH(pajak[[#This Row],[Kode Sales :]],[2]Invoice!$D:$D,0))</f>
        <v/>
      </c>
      <c r="R35" s="194" t="e">
        <f>IF((INDEX([2]Invoice!$D:$D,Table4[[#This Row],[cek_ppn]]-4)&amp;" "&amp;INDEX([2]Invoice!$E:$E,Table4[[#This Row],[cek_ppn]]-4))=pajak[[#This Row],[No. Invoice :]],1)</f>
        <v>#VALUE!</v>
      </c>
      <c r="S35" s="194" t="e">
        <f>IF((INDEX([2]Invoice!$D:$D,Table4[[#This Row],[cek_ppn]]-2))=pajak[[#This Row],[Tgl Invoice :]],1)</f>
        <v>#VALUE!</v>
      </c>
      <c r="T35" s="194" t="e">
        <f>IF((INDEX([2]Invoice!$D:$D,Table4[[#This Row],[cek_ppn]]))=pajak[[#This Row],[Kode Sales :]],1)</f>
        <v>#VALUE!</v>
      </c>
      <c r="U35" s="194" t="e">
        <f>IF((INDEX([2]Invoice!$K:$K,Table4[[#This Row],[cek_ppn]]+28))=pajak[[#This Row],[Total Invoice]],1)</f>
        <v>#VALUE!</v>
      </c>
      <c r="V35" s="194" t="e">
        <f>IF((INDEX([2]Invoice!$J:$J,Table4[[#This Row],[cek_ppn]]+30))=pajak[[#This Row],[pembuat nota]],1)</f>
        <v>#VALUE!</v>
      </c>
    </row>
    <row r="36" spans="3:22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e">
        <f>pajak[[#This Row],[Sub Total]]/1.11</f>
        <v>#VALUE!</v>
      </c>
      <c r="L36" s="89" t="str">
        <f>IF(pajak[//]="","",pajak[[#This Row],[DPP]]*11%)</f>
        <v/>
      </c>
      <c r="M36" s="89" t="str">
        <f>pajak[[#This Row],[Sub Total]]</f>
        <v/>
      </c>
      <c r="N36" s="86" t="str">
        <f>IF(pajak[[#This Row],[//]]="","",INDEX(Table1[pembuat nota :],pajak[//]-offset))</f>
        <v/>
      </c>
      <c r="O36" s="86" t="str">
        <f>IF(pajak[[#This Row],[//]]="","",IF(INDEX(Table1[edited :],pajak[//]-offset)="","",INDEX(Table1[edited :],pajak[//]-offset)))</f>
        <v/>
      </c>
      <c r="Q36" s="86" t="str">
        <f>IF(pajak[[#This Row],[Kode Sales :]]="","",MATCH(pajak[[#This Row],[Kode Sales :]],[2]Invoice!$D:$D,0))</f>
        <v/>
      </c>
      <c r="R36" s="194" t="e">
        <f>IF((INDEX([2]Invoice!$D:$D,Table4[[#This Row],[cek_ppn]]-4)&amp;" "&amp;INDEX([2]Invoice!$E:$E,Table4[[#This Row],[cek_ppn]]-4))=pajak[[#This Row],[No. Invoice :]],1)</f>
        <v>#VALUE!</v>
      </c>
      <c r="S36" s="194" t="e">
        <f>IF((INDEX([2]Invoice!$D:$D,Table4[[#This Row],[cek_ppn]]-2))=pajak[[#This Row],[Tgl Invoice :]],1)</f>
        <v>#VALUE!</v>
      </c>
      <c r="T36" s="194" t="e">
        <f>IF((INDEX([2]Invoice!$D:$D,Table4[[#This Row],[cek_ppn]]))=pajak[[#This Row],[Kode Sales :]],1)</f>
        <v>#VALUE!</v>
      </c>
      <c r="U36" s="194" t="e">
        <f>IF((INDEX([2]Invoice!$K:$K,Table4[[#This Row],[cek_ppn]]+28))=pajak[[#This Row],[Total Invoice]],1)</f>
        <v>#VALUE!</v>
      </c>
      <c r="V36" s="194" t="e">
        <f>IF((INDEX([2]Invoice!$J:$J,Table4[[#This Row],[cek_ppn]]+30))=pajak[[#This Row],[pembuat nota]],1)</f>
        <v>#VALUE!</v>
      </c>
    </row>
    <row r="37" spans="3:22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e">
        <f>pajak[[#This Row],[Sub Total]]/1.11</f>
        <v>#VALUE!</v>
      </c>
      <c r="L37" s="89" t="str">
        <f>IF(pajak[//]="","",pajak[[#This Row],[DPP]]*11%)</f>
        <v/>
      </c>
      <c r="M37" s="89" t="str">
        <f>pajak[[#This Row],[Sub Total]]</f>
        <v/>
      </c>
      <c r="N37" s="86" t="str">
        <f>IF(pajak[[#This Row],[//]]="","",INDEX(Table1[pembuat nota :],pajak[//]-offset))</f>
        <v/>
      </c>
      <c r="O37" s="86" t="str">
        <f>IF(pajak[[#This Row],[//]]="","",IF(INDEX(Table1[edited :],pajak[//]-offset)="","",INDEX(Table1[edited :],pajak[//]-offset)))</f>
        <v/>
      </c>
      <c r="Q37" s="86" t="str">
        <f>IF(pajak[[#This Row],[Kode Sales :]]="","",MATCH(pajak[[#This Row],[Kode Sales :]],[2]Invoice!$D:$D,0))</f>
        <v/>
      </c>
      <c r="R37" s="194" t="e">
        <f>IF((INDEX([2]Invoice!$D:$D,Table4[[#This Row],[cek_ppn]]-4)&amp;" "&amp;INDEX([2]Invoice!$E:$E,Table4[[#This Row],[cek_ppn]]-4))=pajak[[#This Row],[No. Invoice :]],1)</f>
        <v>#VALUE!</v>
      </c>
      <c r="S37" s="194" t="e">
        <f>IF((INDEX([2]Invoice!$D:$D,Table4[[#This Row],[cek_ppn]]-2))=pajak[[#This Row],[Tgl Invoice :]],1)</f>
        <v>#VALUE!</v>
      </c>
      <c r="T37" s="194" t="e">
        <f>IF((INDEX([2]Invoice!$D:$D,Table4[[#This Row],[cek_ppn]]))=pajak[[#This Row],[Kode Sales :]],1)</f>
        <v>#VALUE!</v>
      </c>
      <c r="U37" s="194" t="e">
        <f>IF((INDEX([2]Invoice!$K:$K,Table4[[#This Row],[cek_ppn]]+28))=pajak[[#This Row],[Total Invoice]],1)</f>
        <v>#VALUE!</v>
      </c>
      <c r="V37" s="194" t="e">
        <f>IF((INDEX([2]Invoice!$J:$J,Table4[[#This Row],[cek_ppn]]+30))=pajak[[#This Row],[pembuat nota]],1)</f>
        <v>#VALUE!</v>
      </c>
    </row>
    <row r="38" spans="3:22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e">
        <f>pajak[[#This Row],[Sub Total]]/1.11</f>
        <v>#VALUE!</v>
      </c>
      <c r="L38" s="89" t="str">
        <f>IF(pajak[//]="","",pajak[[#This Row],[DPP]]*11%)</f>
        <v/>
      </c>
      <c r="M38" s="89" t="str">
        <f>pajak[[#This Row],[Sub Total]]</f>
        <v/>
      </c>
      <c r="N38" s="86" t="str">
        <f>IF(pajak[[#This Row],[//]]="","",INDEX(Table1[pembuat nota :],pajak[//]-offset))</f>
        <v/>
      </c>
      <c r="O38" s="86" t="str">
        <f>IF(pajak[[#This Row],[//]]="","",IF(INDEX(Table1[edited :],pajak[//]-offset)="","",INDEX(Table1[edited :],pajak[//]-offset)))</f>
        <v/>
      </c>
      <c r="Q38" s="86" t="str">
        <f>IF(pajak[[#This Row],[Kode Sales :]]="","",MATCH(pajak[[#This Row],[Kode Sales :]],[2]Invoice!$D:$D,0))</f>
        <v/>
      </c>
      <c r="R38" s="194" t="e">
        <f>IF((INDEX([2]Invoice!$D:$D,Table4[[#This Row],[cek_ppn]]-4)&amp;" "&amp;INDEX([2]Invoice!$E:$E,Table4[[#This Row],[cek_ppn]]-4))=pajak[[#This Row],[No. Invoice :]],1)</f>
        <v>#VALUE!</v>
      </c>
      <c r="S38" s="194" t="e">
        <f>IF((INDEX([2]Invoice!$D:$D,Table4[[#This Row],[cek_ppn]]-2))=pajak[[#This Row],[Tgl Invoice :]],1)</f>
        <v>#VALUE!</v>
      </c>
      <c r="T38" s="194" t="e">
        <f>IF((INDEX([2]Invoice!$D:$D,Table4[[#This Row],[cek_ppn]]))=pajak[[#This Row],[Kode Sales :]],1)</f>
        <v>#VALUE!</v>
      </c>
      <c r="U38" s="194" t="e">
        <f>IF((INDEX([2]Invoice!$K:$K,Table4[[#This Row],[cek_ppn]]+28))=pajak[[#This Row],[Total Invoice]],1)</f>
        <v>#VALUE!</v>
      </c>
      <c r="V38" s="194" t="e">
        <f>IF((INDEX([2]Invoice!$J:$J,Table4[[#This Row],[cek_ppn]]+30))=pajak[[#This Row],[pembuat nota]],1)</f>
        <v>#VALUE!</v>
      </c>
    </row>
    <row r="39" spans="3:22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e">
        <f>pajak[[#This Row],[Sub Total]]/1.11</f>
        <v>#VALUE!</v>
      </c>
      <c r="L39" s="89" t="str">
        <f>IF(pajak[//]="","",pajak[[#This Row],[DPP]]*11%)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Q39" s="86" t="str">
        <f>IF(pajak[[#This Row],[Kode Sales :]]="","",MATCH(pajak[[#This Row],[Kode Sales :]],[2]Invoice!$D:$D,0))</f>
        <v/>
      </c>
      <c r="R39" s="194" t="e">
        <f>IF((INDEX([2]Invoice!$D:$D,Table4[[#This Row],[cek_ppn]]-4)&amp;" "&amp;INDEX([2]Invoice!$E:$E,Table4[[#This Row],[cek_ppn]]-4))=pajak[[#This Row],[No. Invoice :]],1)</f>
        <v>#VALUE!</v>
      </c>
      <c r="S39" s="194" t="e">
        <f>IF((INDEX([2]Invoice!$D:$D,Table4[[#This Row],[cek_ppn]]-2))=pajak[[#This Row],[Tgl Invoice :]],1)</f>
        <v>#VALUE!</v>
      </c>
      <c r="T39" s="194" t="e">
        <f>IF((INDEX([2]Invoice!$D:$D,Table4[[#This Row],[cek_ppn]]))=pajak[[#This Row],[Kode Sales :]],1)</f>
        <v>#VALUE!</v>
      </c>
      <c r="U39" s="194" t="e">
        <f>IF((INDEX([2]Invoice!$K:$K,Table4[[#This Row],[cek_ppn]]+28))=pajak[[#This Row],[Total Invoice]],1)</f>
        <v>#VALUE!</v>
      </c>
      <c r="V39" s="194" t="e">
        <f>IF((INDEX([2]Invoice!$J:$J,Table4[[#This Row],[cek_ppn]]+30))=pajak[[#This Row],[pembuat nota]],1)</f>
        <v>#VALUE!</v>
      </c>
    </row>
    <row r="40" spans="3:22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e">
        <f>pajak[[#This Row],[Sub Total]]/1.11</f>
        <v>#VALUE!</v>
      </c>
      <c r="L40" s="89" t="str">
        <f>IF(pajak[//]="","",pajak[[#This Row],[DPP]]*11%)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Q40" s="86" t="str">
        <f>IF(pajak[[#This Row],[Kode Sales :]]="","",MATCH(pajak[[#This Row],[Kode Sales :]],[2]Invoice!$D:$D,0))</f>
        <v/>
      </c>
      <c r="R40" s="194" t="e">
        <f>IF((INDEX([2]Invoice!$D:$D,Table4[[#This Row],[cek_ppn]]-4)&amp;" "&amp;INDEX([2]Invoice!$E:$E,Table4[[#This Row],[cek_ppn]]-4))=pajak[[#This Row],[No. Invoice :]],1)</f>
        <v>#VALUE!</v>
      </c>
      <c r="S40" s="194" t="e">
        <f>IF((INDEX([2]Invoice!$D:$D,Table4[[#This Row],[cek_ppn]]-2))=pajak[[#This Row],[Tgl Invoice :]],1)</f>
        <v>#VALUE!</v>
      </c>
      <c r="T40" s="194" t="e">
        <f>IF((INDEX([2]Invoice!$D:$D,Table4[[#This Row],[cek_ppn]]))=pajak[[#This Row],[Kode Sales :]],1)</f>
        <v>#VALUE!</v>
      </c>
      <c r="U40" s="194" t="e">
        <f>IF((INDEX([2]Invoice!$K:$K,Table4[[#This Row],[cek_ppn]]+28))=pajak[[#This Row],[Total Invoice]],1)</f>
        <v>#VALUE!</v>
      </c>
      <c r="V40" s="194" t="e">
        <f>IF((INDEX([2]Invoice!$J:$J,Table4[[#This Row],[cek_ppn]]+30))=pajak[[#This Row],[pembuat nota]],1)</f>
        <v>#VALUE!</v>
      </c>
    </row>
    <row r="41" spans="3:22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e">
        <f>pajak[[#This Row],[Sub Total]]/1.11</f>
        <v>#VALUE!</v>
      </c>
      <c r="L41" s="89" t="str">
        <f>IF(pajak[//]="","",pajak[[#This Row],[DPP]]*11%)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Q41" s="86" t="str">
        <f>IF(pajak[[#This Row],[Kode Sales :]]="","",MATCH(pajak[[#This Row],[Kode Sales :]],[2]Invoice!$D:$D,0))</f>
        <v/>
      </c>
      <c r="R41" s="194" t="e">
        <f>IF((INDEX([2]Invoice!$D:$D,Table4[[#This Row],[cek_ppn]]-4)&amp;" "&amp;INDEX([2]Invoice!$E:$E,Table4[[#This Row],[cek_ppn]]-4))=pajak[[#This Row],[No. Invoice :]],1)</f>
        <v>#VALUE!</v>
      </c>
      <c r="S41" s="194" t="e">
        <f>IF((INDEX([2]Invoice!$D:$D,Table4[[#This Row],[cek_ppn]]-2))=pajak[[#This Row],[Tgl Invoice :]],1)</f>
        <v>#VALUE!</v>
      </c>
      <c r="T41" s="194" t="e">
        <f>IF((INDEX([2]Invoice!$D:$D,Table4[[#This Row],[cek_ppn]]))=pajak[[#This Row],[Kode Sales :]],1)</f>
        <v>#VALUE!</v>
      </c>
      <c r="U41" s="194" t="e">
        <f>IF((INDEX([2]Invoice!$K:$K,Table4[[#This Row],[cek_ppn]]+28))=pajak[[#This Row],[Total Invoice]],1)</f>
        <v>#VALUE!</v>
      </c>
      <c r="V41" s="194" t="e">
        <f>IF((INDEX([2]Invoice!$J:$J,Table4[[#This Row],[cek_ppn]]+30))=pajak[[#This Row],[pembuat nota]],1)</f>
        <v>#VALUE!</v>
      </c>
    </row>
    <row r="42" spans="3:22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e">
        <f>pajak[[#This Row],[Sub Total]]/1.11</f>
        <v>#VALUE!</v>
      </c>
      <c r="L42" s="89" t="str">
        <f>IF(pajak[//]="","",pajak[[#This Row],[DPP]]*11%)</f>
        <v/>
      </c>
      <c r="M42" s="89" t="str">
        <f>pajak[[#This Row],[Sub Total]]</f>
        <v/>
      </c>
      <c r="N42" s="86" t="str">
        <f>IF(pajak[[#This Row],[//]]="","",INDEX(Table1[pembuat nota :],pajak[//]-offset))</f>
        <v/>
      </c>
      <c r="O42" s="86" t="str">
        <f>IF(pajak[[#This Row],[//]]="","",IF(INDEX(Table1[edited :],pajak[//]-offset)="","",INDEX(Table1[edited :],pajak[//]-offset)))</f>
        <v/>
      </c>
      <c r="Q42" s="86" t="str">
        <f>IF(pajak[[#This Row],[Kode Sales :]]="","",MATCH(pajak[[#This Row],[Kode Sales :]],[2]Invoice!$D:$D,0))</f>
        <v/>
      </c>
      <c r="R42" s="194" t="e">
        <f>IF((INDEX([2]Invoice!$D:$D,Table4[[#This Row],[cek_ppn]]-4)&amp;" "&amp;INDEX([2]Invoice!$E:$E,Table4[[#This Row],[cek_ppn]]-4))=pajak[[#This Row],[No. Invoice :]],1)</f>
        <v>#VALUE!</v>
      </c>
      <c r="S42" s="194" t="e">
        <f>IF((INDEX([2]Invoice!$D:$D,Table4[[#This Row],[cek_ppn]]-2))=pajak[[#This Row],[Tgl Invoice :]],1)</f>
        <v>#VALUE!</v>
      </c>
      <c r="T42" s="194" t="e">
        <f>IF((INDEX([2]Invoice!$D:$D,Table4[[#This Row],[cek_ppn]]))=pajak[[#This Row],[Kode Sales :]],1)</f>
        <v>#VALUE!</v>
      </c>
      <c r="U42" s="194" t="e">
        <f>IF((INDEX([2]Invoice!$K:$K,Table4[[#This Row],[cek_ppn]]+28))=pajak[[#This Row],[Total Invoice]],1)</f>
        <v>#VALUE!</v>
      </c>
      <c r="V42" s="194" t="e">
        <f>IF((INDEX([2]Invoice!$J:$J,Table4[[#This Row],[cek_ppn]]+30))=pajak[[#This Row],[pembuat nota]],1)</f>
        <v>#VALUE!</v>
      </c>
    </row>
    <row r="43" spans="3:22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e">
        <f>pajak[[#This Row],[Sub Total]]/1.11</f>
        <v>#VALUE!</v>
      </c>
      <c r="L43" s="89" t="str">
        <f>IF(pajak[//]="","",pajak[[#This Row],[DPP]]*11%)</f>
        <v/>
      </c>
      <c r="M43" s="89" t="str">
        <f>pajak[[#This Row],[Sub Total]]</f>
        <v/>
      </c>
      <c r="N43" s="86" t="str">
        <f>IF(pajak[[#This Row],[//]]="","",INDEX(Table1[pembuat nota :],pajak[//]-offset))</f>
        <v/>
      </c>
      <c r="O43" s="86" t="str">
        <f>IF(pajak[[#This Row],[//]]="","",IF(INDEX(Table1[edited :],pajak[//]-offset)="","",INDEX(Table1[edited :],pajak[//]-offset)))</f>
        <v/>
      </c>
      <c r="Q43" s="86" t="str">
        <f>IF(pajak[[#This Row],[Kode Sales :]]="","",MATCH(pajak[[#This Row],[Kode Sales :]],[2]Invoice!$D:$D,0))</f>
        <v/>
      </c>
      <c r="R43" s="194" t="e">
        <f>IF((INDEX([2]Invoice!$D:$D,Table4[[#This Row],[cek_ppn]]-4)&amp;" "&amp;INDEX([2]Invoice!$E:$E,Table4[[#This Row],[cek_ppn]]-4))=pajak[[#This Row],[No. Invoice :]],1)</f>
        <v>#VALUE!</v>
      </c>
      <c r="S43" s="194" t="e">
        <f>IF((INDEX([2]Invoice!$D:$D,Table4[[#This Row],[cek_ppn]]-2))=pajak[[#This Row],[Tgl Invoice :]],1)</f>
        <v>#VALUE!</v>
      </c>
      <c r="T43" s="194" t="e">
        <f>IF((INDEX([2]Invoice!$D:$D,Table4[[#This Row],[cek_ppn]]))=pajak[[#This Row],[Kode Sales :]],1)</f>
        <v>#VALUE!</v>
      </c>
      <c r="U43" s="194" t="e">
        <f>IF((INDEX([2]Invoice!$K:$K,Table4[[#This Row],[cek_ppn]]+28))=pajak[[#This Row],[Total Invoice]],1)</f>
        <v>#VALUE!</v>
      </c>
      <c r="V43" s="194" t="e">
        <f>IF((INDEX([2]Invoice!$J:$J,Table4[[#This Row],[cek_ppn]]+30))=pajak[[#This Row],[pembuat nota]],1)</f>
        <v>#VALUE!</v>
      </c>
    </row>
    <row r="44" spans="3:22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e">
        <f>pajak[[#This Row],[Sub Total]]/1.11</f>
        <v>#VALUE!</v>
      </c>
      <c r="L44" s="89" t="str">
        <f>IF(pajak[//]="","",pajak[[#This Row],[DPP]]*11%)</f>
        <v/>
      </c>
      <c r="M44" s="89" t="str">
        <f>pajak[[#This Row],[Sub Total]]</f>
        <v/>
      </c>
      <c r="N44" s="86" t="str">
        <f>IF(pajak[[#This Row],[//]]="","",INDEX(Table1[pembuat nota :],pajak[//]-offset))</f>
        <v/>
      </c>
      <c r="O44" s="86" t="str">
        <f>IF(pajak[[#This Row],[//]]="","",IF(INDEX(Table1[edited :],pajak[//]-offset)="","",INDEX(Table1[edited :],pajak[//]-offset)))</f>
        <v/>
      </c>
      <c r="Q44" s="86" t="str">
        <f>IF(pajak[[#This Row],[Kode Sales :]]="","",MATCH(pajak[[#This Row],[Kode Sales :]],[2]Invoice!$D:$D,0))</f>
        <v/>
      </c>
      <c r="R44" s="194" t="e">
        <f>IF((INDEX([2]Invoice!$D:$D,Table4[[#This Row],[cek_ppn]]-4)&amp;" "&amp;INDEX([2]Invoice!$E:$E,Table4[[#This Row],[cek_ppn]]-4))=pajak[[#This Row],[No. Invoice :]],1)</f>
        <v>#VALUE!</v>
      </c>
      <c r="S44" s="194" t="e">
        <f>IF((INDEX([2]Invoice!$D:$D,Table4[[#This Row],[cek_ppn]]-2))=pajak[[#This Row],[Tgl Invoice :]],1)</f>
        <v>#VALUE!</v>
      </c>
      <c r="T44" s="194" t="e">
        <f>IF((INDEX([2]Invoice!$D:$D,Table4[[#This Row],[cek_ppn]]))=pajak[[#This Row],[Kode Sales :]],1)</f>
        <v>#VALUE!</v>
      </c>
      <c r="U44" s="194" t="e">
        <f>IF((INDEX([2]Invoice!$K:$K,Table4[[#This Row],[cek_ppn]]+28))=pajak[[#This Row],[Total Invoice]],1)</f>
        <v>#VALUE!</v>
      </c>
      <c r="V44" s="194" t="e">
        <f>IF((INDEX([2]Invoice!$J:$J,Table4[[#This Row],[cek_ppn]]+30))=pajak[[#This Row],[pembuat nota]],1)</f>
        <v>#VALUE!</v>
      </c>
    </row>
    <row r="45" spans="3:22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e">
        <f>pajak[[#This Row],[Sub Total]]/1.11</f>
        <v>#VALUE!</v>
      </c>
      <c r="L45" s="89" t="str">
        <f>IF(pajak[//]="","",pajak[[#This Row],[DPP]]*11%)</f>
        <v/>
      </c>
      <c r="M45" s="89" t="str">
        <f>pajak[[#This Row],[Sub Total]]</f>
        <v/>
      </c>
      <c r="N45" s="86" t="str">
        <f>IF(pajak[[#This Row],[//]]="","",INDEX(Table1[pembuat nota :],pajak[//]-offset))</f>
        <v/>
      </c>
      <c r="O45" s="86" t="str">
        <f>IF(pajak[[#This Row],[//]]="","",IF(INDEX(Table1[edited :],pajak[//]-offset)="","",INDEX(Table1[edited :],pajak[//]-offset)))</f>
        <v/>
      </c>
      <c r="Q45" s="86" t="str">
        <f>IF(pajak[[#This Row],[Kode Sales :]]="","",MATCH(pajak[[#This Row],[Kode Sales :]],[2]Invoice!$D:$D,0))</f>
        <v/>
      </c>
      <c r="R45" s="194" t="e">
        <f>IF((INDEX([2]Invoice!$D:$D,Table4[[#This Row],[cek_ppn]]-4)&amp;" "&amp;INDEX([2]Invoice!$E:$E,Table4[[#This Row],[cek_ppn]]-4))=pajak[[#This Row],[No. Invoice :]],1)</f>
        <v>#VALUE!</v>
      </c>
      <c r="S45" s="194" t="e">
        <f>IF((INDEX([2]Invoice!$D:$D,Table4[[#This Row],[cek_ppn]]-2))=pajak[[#This Row],[Tgl Invoice :]],1)</f>
        <v>#VALUE!</v>
      </c>
      <c r="T45" s="194" t="e">
        <f>IF((INDEX([2]Invoice!$D:$D,Table4[[#This Row],[cek_ppn]]))=pajak[[#This Row],[Kode Sales :]],1)</f>
        <v>#VALUE!</v>
      </c>
      <c r="U45" s="194" t="e">
        <f>IF((INDEX([2]Invoice!$K:$K,Table4[[#This Row],[cek_ppn]]+28))=pajak[[#This Row],[Total Invoice]],1)</f>
        <v>#VALUE!</v>
      </c>
      <c r="V45" s="194" t="e">
        <f>IF((INDEX([2]Invoice!$J:$J,Table4[[#This Row],[cek_ppn]]+30))=pajak[[#This Row],[pembuat nota]],1)</f>
        <v>#VALUE!</v>
      </c>
    </row>
    <row r="46" spans="3:22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e">
        <f>pajak[[#This Row],[Sub Total]]/1.11</f>
        <v>#VALUE!</v>
      </c>
      <c r="L46" s="89" t="str">
        <f>IF(pajak[//]="","",pajak[[#This Row],[DPP]]*11%)</f>
        <v/>
      </c>
      <c r="M46" s="89" t="str">
        <f>pajak[[#This Row],[Sub Total]]</f>
        <v/>
      </c>
      <c r="N46" s="86" t="str">
        <f>IF(pajak[[#This Row],[//]]="","",INDEX(Table1[pembuat nota :],pajak[//]-offset))</f>
        <v/>
      </c>
      <c r="O46" s="86" t="str">
        <f>IF(pajak[[#This Row],[//]]="","",IF(INDEX(Table1[edited :],pajak[//]-offset)="","",INDEX(Table1[edited :],pajak[//]-offset)))</f>
        <v/>
      </c>
      <c r="Q46" s="86" t="str">
        <f>IF(pajak[[#This Row],[Kode Sales :]]="","",MATCH(pajak[[#This Row],[Kode Sales :]],[2]Invoice!$D:$D,0))</f>
        <v/>
      </c>
      <c r="R46" s="194" t="e">
        <f>IF((INDEX([2]Invoice!$D:$D,Table4[[#This Row],[cek_ppn]]-4)&amp;" "&amp;INDEX([2]Invoice!$E:$E,Table4[[#This Row],[cek_ppn]]-4))=pajak[[#This Row],[No. Invoice :]],1)</f>
        <v>#VALUE!</v>
      </c>
      <c r="S46" s="194" t="e">
        <f>IF((INDEX([2]Invoice!$D:$D,Table4[[#This Row],[cek_ppn]]-2))=pajak[[#This Row],[Tgl Invoice :]],1)</f>
        <v>#VALUE!</v>
      </c>
      <c r="T46" s="194" t="e">
        <f>IF((INDEX([2]Invoice!$D:$D,Table4[[#This Row],[cek_ppn]]))=pajak[[#This Row],[Kode Sales :]],1)</f>
        <v>#VALUE!</v>
      </c>
      <c r="U46" s="194" t="e">
        <f>IF((INDEX([2]Invoice!$K:$K,Table4[[#This Row],[cek_ppn]]+28))=pajak[[#This Row],[Total Invoice]],1)</f>
        <v>#VALUE!</v>
      </c>
      <c r="V46" s="194" t="e">
        <f>IF((INDEX([2]Invoice!$J:$J,Table4[[#This Row],[cek_ppn]]+30))=pajak[[#This Row],[pembuat nota]],1)</f>
        <v>#VALUE!</v>
      </c>
    </row>
    <row r="47" spans="3:22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e">
        <f>pajak[[#This Row],[Sub Total]]/1.11</f>
        <v>#VALUE!</v>
      </c>
      <c r="L47" s="89" t="str">
        <f>IF(pajak[//]="","",pajak[[#This Row],[DPP]]*11%)</f>
        <v/>
      </c>
      <c r="M47" s="89" t="str">
        <f>pajak[[#This Row],[Sub Total]]</f>
        <v/>
      </c>
      <c r="N47" s="86" t="str">
        <f>IF(pajak[[#This Row],[//]]="","",INDEX(Table1[pembuat nota :],pajak[//]-offset))</f>
        <v/>
      </c>
      <c r="O47" s="86" t="str">
        <f>IF(pajak[[#This Row],[//]]="","",IF(INDEX(Table1[edited :],pajak[//]-offset)="","",INDEX(Table1[edited :],pajak[//]-offset)))</f>
        <v/>
      </c>
      <c r="Q47" s="86" t="str">
        <f>IF(pajak[[#This Row],[Kode Sales :]]="","",MATCH(pajak[[#This Row],[Kode Sales :]],[2]Invoice!$D:$D,0))</f>
        <v/>
      </c>
      <c r="R47" s="194" t="e">
        <f>IF((INDEX([2]Invoice!$D:$D,Table4[[#This Row],[cek_ppn]]-4)&amp;" "&amp;INDEX([2]Invoice!$E:$E,Table4[[#This Row],[cek_ppn]]-4))=pajak[[#This Row],[No. Invoice :]],1)</f>
        <v>#VALUE!</v>
      </c>
      <c r="S47" s="194" t="e">
        <f>IF((INDEX([2]Invoice!$D:$D,Table4[[#This Row],[cek_ppn]]-2))=pajak[[#This Row],[Tgl Invoice :]],1)</f>
        <v>#VALUE!</v>
      </c>
      <c r="T47" s="194" t="e">
        <f>IF((INDEX([2]Invoice!$D:$D,Table4[[#This Row],[cek_ppn]]))=pajak[[#This Row],[Kode Sales :]],1)</f>
        <v>#VALUE!</v>
      </c>
      <c r="U47" s="194" t="e">
        <f>IF((INDEX([2]Invoice!$K:$K,Table4[[#This Row],[cek_ppn]]+28))=pajak[[#This Row],[Total Invoice]],1)</f>
        <v>#VALUE!</v>
      </c>
      <c r="V47" s="194" t="e">
        <f>IF((INDEX([2]Invoice!$J:$J,Table4[[#This Row],[cek_ppn]]+30))=pajak[[#This Row],[pembuat nota]],1)</f>
        <v>#VALUE!</v>
      </c>
    </row>
    <row r="48" spans="3:22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e">
        <f>pajak[[#This Row],[Sub Total]]/1.11</f>
        <v>#VALUE!</v>
      </c>
      <c r="L48" s="89" t="str">
        <f>IF(pajak[//]="","",pajak[[#This Row],[DPP]]*11%)</f>
        <v/>
      </c>
      <c r="M48" s="89" t="str">
        <f>pajak[[#This Row],[Sub Total]]</f>
        <v/>
      </c>
      <c r="N48" s="86" t="str">
        <f>IF(pajak[[#This Row],[//]]="","",INDEX(Table1[pembuat nota :],pajak[//]-offset))</f>
        <v/>
      </c>
      <c r="O48" s="86" t="str">
        <f>IF(pajak[[#This Row],[//]]="","",IF(INDEX(Table1[edited :],pajak[//]-offset)="","",INDEX(Table1[edited :],pajak[//]-offset)))</f>
        <v/>
      </c>
      <c r="Q48" s="86" t="str">
        <f>IF(pajak[[#This Row],[Kode Sales :]]="","",MATCH(pajak[[#This Row],[Kode Sales :]],[2]Invoice!$D:$D,0))</f>
        <v/>
      </c>
      <c r="R48" s="194" t="e">
        <f>IF((INDEX([2]Invoice!$D:$D,Table4[[#This Row],[cek_ppn]]-4)&amp;" "&amp;INDEX([2]Invoice!$E:$E,Table4[[#This Row],[cek_ppn]]-4))=pajak[[#This Row],[No. Invoice :]],1)</f>
        <v>#VALUE!</v>
      </c>
      <c r="S48" s="194" t="e">
        <f>IF((INDEX([2]Invoice!$D:$D,Table4[[#This Row],[cek_ppn]]-2))=pajak[[#This Row],[Tgl Invoice :]],1)</f>
        <v>#VALUE!</v>
      </c>
      <c r="T48" s="194" t="e">
        <f>IF((INDEX([2]Invoice!$D:$D,Table4[[#This Row],[cek_ppn]]))=pajak[[#This Row],[Kode Sales :]],1)</f>
        <v>#VALUE!</v>
      </c>
      <c r="U48" s="194" t="e">
        <f>IF((INDEX([2]Invoice!$K:$K,Table4[[#This Row],[cek_ppn]]+28))=pajak[[#This Row],[Total Invoice]],1)</f>
        <v>#VALUE!</v>
      </c>
      <c r="V48" s="194" t="e">
        <f>IF((INDEX([2]Invoice!$J:$J,Table4[[#This Row],[cek_ppn]]+30))=pajak[[#This Row],[pembuat nota]],1)</f>
        <v>#VALUE!</v>
      </c>
    </row>
    <row r="49" spans="3:22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e">
        <f>pajak[[#This Row],[Sub Total]]/1.11</f>
        <v>#VALUE!</v>
      </c>
      <c r="L49" s="89" t="str">
        <f>IF(pajak[//]="","",pajak[[#This Row],[DPP]]*11%)</f>
        <v/>
      </c>
      <c r="M49" s="89" t="str">
        <f>pajak[[#This Row],[Sub Total]]</f>
        <v/>
      </c>
      <c r="N49" s="86" t="str">
        <f>IF(pajak[[#This Row],[//]]="","",INDEX(Table1[pembuat nota :],pajak[//]-offset))</f>
        <v/>
      </c>
      <c r="O49" s="86" t="str">
        <f>IF(pajak[[#This Row],[//]]="","",IF(INDEX(Table1[edited :],pajak[//]-offset)="","",INDEX(Table1[edited :],pajak[//]-offset)))</f>
        <v/>
      </c>
      <c r="Q49" s="86" t="str">
        <f>IF(pajak[[#This Row],[Kode Sales :]]="","",MATCH(pajak[[#This Row],[Kode Sales :]],[2]Invoice!$D:$D,0))</f>
        <v/>
      </c>
      <c r="R49" s="194" t="e">
        <f>IF((INDEX([2]Invoice!$D:$D,Table4[[#This Row],[cek_ppn]]-4)&amp;" "&amp;INDEX([2]Invoice!$E:$E,Table4[[#This Row],[cek_ppn]]-4))=pajak[[#This Row],[No. Invoice :]],1)</f>
        <v>#VALUE!</v>
      </c>
      <c r="S49" s="194" t="e">
        <f>IF((INDEX([2]Invoice!$D:$D,Table4[[#This Row],[cek_ppn]]-2))=pajak[[#This Row],[Tgl Invoice :]],1)</f>
        <v>#VALUE!</v>
      </c>
      <c r="T49" s="194" t="e">
        <f>IF((INDEX([2]Invoice!$D:$D,Table4[[#This Row],[cek_ppn]]))=pajak[[#This Row],[Kode Sales :]],1)</f>
        <v>#VALUE!</v>
      </c>
      <c r="U49" s="194" t="e">
        <f>IF((INDEX([2]Invoice!$K:$K,Table4[[#This Row],[cek_ppn]]+28))=pajak[[#This Row],[Total Invoice]],1)</f>
        <v>#VALUE!</v>
      </c>
      <c r="V49" s="194" t="e">
        <f>IF((INDEX([2]Invoice!$J:$J,Table4[[#This Row],[cek_ppn]]+30))=pajak[[#This Row],[pembuat nota]],1)</f>
        <v>#VALUE!</v>
      </c>
    </row>
    <row r="50" spans="3:22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e">
        <f>pajak[[#This Row],[Sub Total]]/1.11</f>
        <v>#VALUE!</v>
      </c>
      <c r="L50" s="89" t="str">
        <f>IF(pajak[//]="","",pajak[[#This Row],[DPP]]*11%)</f>
        <v/>
      </c>
      <c r="M50" s="89" t="str">
        <f>pajak[[#This Row],[Sub Total]]</f>
        <v/>
      </c>
      <c r="N50" s="86" t="str">
        <f>IF(pajak[[#This Row],[//]]="","",INDEX(Table1[pembuat nota :],pajak[//]-offset))</f>
        <v/>
      </c>
      <c r="O50" s="86" t="str">
        <f>IF(pajak[[#This Row],[//]]="","",IF(INDEX(Table1[edited :],pajak[//]-offset)="","",INDEX(Table1[edited :],pajak[//]-offset)))</f>
        <v/>
      </c>
      <c r="Q50" s="86" t="str">
        <f>IF(pajak[[#This Row],[Kode Sales :]]="","",MATCH(pajak[[#This Row],[Kode Sales :]],[2]Invoice!$D:$D,0))</f>
        <v/>
      </c>
      <c r="R50" s="194" t="e">
        <f>IF((INDEX([2]Invoice!$D:$D,Table4[[#This Row],[cek_ppn]]-4)&amp;" "&amp;INDEX([2]Invoice!$E:$E,Table4[[#This Row],[cek_ppn]]-4))=pajak[[#This Row],[No. Invoice :]],1)</f>
        <v>#VALUE!</v>
      </c>
      <c r="S50" s="194" t="e">
        <f>IF((INDEX([2]Invoice!$D:$D,Table4[[#This Row],[cek_ppn]]-2))=pajak[[#This Row],[Tgl Invoice :]],1)</f>
        <v>#VALUE!</v>
      </c>
      <c r="T50" s="194" t="e">
        <f>IF((INDEX([2]Invoice!$D:$D,Table4[[#This Row],[cek_ppn]]))=pajak[[#This Row],[Kode Sales :]],1)</f>
        <v>#VALUE!</v>
      </c>
      <c r="U50" s="194" t="e">
        <f>IF((INDEX([2]Invoice!$K:$K,Table4[[#This Row],[cek_ppn]]+28))=pajak[[#This Row],[Total Invoice]],1)</f>
        <v>#VALUE!</v>
      </c>
      <c r="V50" s="194" t="e">
        <f>IF((INDEX([2]Invoice!$J:$J,Table4[[#This Row],[cek_ppn]]+30))=pajak[[#This Row],[pembuat nota]],1)</f>
        <v>#VALUE!</v>
      </c>
    </row>
    <row r="51" spans="3:22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e">
        <f>pajak[[#This Row],[Sub Total]]/1.11</f>
        <v>#VALUE!</v>
      </c>
      <c r="L51" s="89" t="str">
        <f>IF(pajak[//]="","",pajak[[#This Row],[DPP]]*11%)</f>
        <v/>
      </c>
      <c r="M51" s="89" t="str">
        <f>pajak[[#This Row],[Sub Total]]</f>
        <v/>
      </c>
      <c r="N51" s="86" t="str">
        <f>IF(pajak[[#This Row],[//]]="","",INDEX(Table1[pembuat nota :],pajak[//]-offset))</f>
        <v/>
      </c>
      <c r="O51" s="86" t="str">
        <f>IF(pajak[[#This Row],[//]]="","",IF(INDEX(Table1[edited :],pajak[//]-offset)="","",INDEX(Table1[edited :],pajak[//]-offset)))</f>
        <v/>
      </c>
      <c r="Q51" s="86" t="str">
        <f>IF(pajak[[#This Row],[Kode Sales :]]="","",MATCH(pajak[[#This Row],[Kode Sales :]],[2]Invoice!$D:$D,0))</f>
        <v/>
      </c>
      <c r="R51" s="194" t="e">
        <f>IF((INDEX([2]Invoice!$D:$D,Table4[[#This Row],[cek_ppn]]-4)&amp;" "&amp;INDEX([2]Invoice!$E:$E,Table4[[#This Row],[cek_ppn]]-4))=pajak[[#This Row],[No. Invoice :]],1)</f>
        <v>#VALUE!</v>
      </c>
      <c r="S51" s="194" t="e">
        <f>IF((INDEX([2]Invoice!$D:$D,Table4[[#This Row],[cek_ppn]]-2))=pajak[[#This Row],[Tgl Invoice :]],1)</f>
        <v>#VALUE!</v>
      </c>
      <c r="T51" s="194" t="e">
        <f>IF((INDEX([2]Invoice!$D:$D,Table4[[#This Row],[cek_ppn]]))=pajak[[#This Row],[Kode Sales :]],1)</f>
        <v>#VALUE!</v>
      </c>
      <c r="U51" s="194" t="e">
        <f>IF((INDEX([2]Invoice!$K:$K,Table4[[#This Row],[cek_ppn]]+28))=pajak[[#This Row],[Total Invoice]],1)</f>
        <v>#VALUE!</v>
      </c>
      <c r="V51" s="194" t="e">
        <f>IF((INDEX([2]Invoice!$J:$J,Table4[[#This Row],[cek_ppn]]+30))=pajak[[#This Row],[pembuat nota]],1)</f>
        <v>#VALUE!</v>
      </c>
    </row>
    <row r="52" spans="3:22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e">
        <f>pajak[[#This Row],[Sub Total]]/1.11</f>
        <v>#VALUE!</v>
      </c>
      <c r="L52" s="89" t="str">
        <f>IF(pajak[//]="","",pajak[[#This Row],[DPP]]*11%)</f>
        <v/>
      </c>
      <c r="M52" s="89" t="str">
        <f>pajak[[#This Row],[Sub Total]]</f>
        <v/>
      </c>
      <c r="N52" s="86" t="str">
        <f>IF(pajak[[#This Row],[//]]="","",INDEX(Table1[pembuat nota :],pajak[//]-offset))</f>
        <v/>
      </c>
      <c r="O52" s="86" t="str">
        <f>IF(pajak[[#This Row],[//]]="","",IF(INDEX(Table1[edited :],pajak[//]-offset)="","",INDEX(Table1[edited :],pajak[//]-offset)))</f>
        <v/>
      </c>
      <c r="Q52" s="86" t="str">
        <f>IF(pajak[[#This Row],[Kode Sales :]]="","",MATCH(pajak[[#This Row],[Kode Sales :]],[2]Invoice!$D:$D,0))</f>
        <v/>
      </c>
      <c r="R52" s="194" t="e">
        <f>IF((INDEX([2]Invoice!$D:$D,Table4[[#This Row],[cek_ppn]]-4)&amp;" "&amp;INDEX([2]Invoice!$E:$E,Table4[[#This Row],[cek_ppn]]-4))=pajak[[#This Row],[No. Invoice :]],1)</f>
        <v>#VALUE!</v>
      </c>
      <c r="S52" s="194" t="e">
        <f>IF((INDEX([2]Invoice!$D:$D,Table4[[#This Row],[cek_ppn]]-2))=pajak[[#This Row],[Tgl Invoice :]],1)</f>
        <v>#VALUE!</v>
      </c>
      <c r="T52" s="194" t="e">
        <f>IF((INDEX([2]Invoice!$D:$D,Table4[[#This Row],[cek_ppn]]))=pajak[[#This Row],[Kode Sales :]],1)</f>
        <v>#VALUE!</v>
      </c>
      <c r="U52" s="194" t="e">
        <f>IF((INDEX([2]Invoice!$K:$K,Table4[[#This Row],[cek_ppn]]+28))=pajak[[#This Row],[Total Invoice]],1)</f>
        <v>#VALUE!</v>
      </c>
      <c r="V52" s="194" t="e">
        <f>IF((INDEX([2]Invoice!$J:$J,Table4[[#This Row],[cek_ppn]]+30))=pajak[[#This Row],[pembuat nota]],1)</f>
        <v>#VALUE!</v>
      </c>
    </row>
    <row r="53" spans="3:22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e">
        <f>pajak[[#This Row],[Sub Total]]/1.11</f>
        <v>#VALUE!</v>
      </c>
      <c r="L53" s="89" t="str">
        <f>IF(pajak[//]="","",pajak[[#This Row],[DPP]]*11%)</f>
        <v/>
      </c>
      <c r="M53" s="89" t="str">
        <f>pajak[[#This Row],[Sub Total]]</f>
        <v/>
      </c>
      <c r="N53" s="86" t="str">
        <f>IF(pajak[[#This Row],[//]]="","",INDEX(Table1[pembuat nota :],pajak[//]-offset))</f>
        <v/>
      </c>
      <c r="O53" s="86" t="str">
        <f>IF(pajak[[#This Row],[//]]="","",IF(INDEX(Table1[edited :],pajak[//]-offset)="","",INDEX(Table1[edited :],pajak[//]-offset)))</f>
        <v/>
      </c>
      <c r="Q53" s="86" t="str">
        <f>IF(pajak[[#This Row],[Kode Sales :]]="","",MATCH(pajak[[#This Row],[Kode Sales :]],[2]Invoice!$D:$D,0))</f>
        <v/>
      </c>
      <c r="R53" s="194" t="e">
        <f>IF((INDEX([2]Invoice!$D:$D,Table4[[#This Row],[cek_ppn]]-4)&amp;" "&amp;INDEX([2]Invoice!$E:$E,Table4[[#This Row],[cek_ppn]]-4))=pajak[[#This Row],[No. Invoice :]],1)</f>
        <v>#VALUE!</v>
      </c>
      <c r="S53" s="194" t="e">
        <f>IF((INDEX([2]Invoice!$D:$D,Table4[[#This Row],[cek_ppn]]-2))=pajak[[#This Row],[Tgl Invoice :]],1)</f>
        <v>#VALUE!</v>
      </c>
      <c r="T53" s="194" t="e">
        <f>IF((INDEX([2]Invoice!$D:$D,Table4[[#This Row],[cek_ppn]]))=pajak[[#This Row],[Kode Sales :]],1)</f>
        <v>#VALUE!</v>
      </c>
      <c r="U53" s="194" t="e">
        <f>IF((INDEX([2]Invoice!$K:$K,Table4[[#This Row],[cek_ppn]]+28))=pajak[[#This Row],[Total Invoice]],1)</f>
        <v>#VALUE!</v>
      </c>
      <c r="V53" s="194" t="e">
        <f>IF((INDEX([2]Invoice!$J:$J,Table4[[#This Row],[cek_ppn]]+30))=pajak[[#This Row],[pembuat nota]],1)</f>
        <v>#VALUE!</v>
      </c>
    </row>
    <row r="54" spans="3:22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e">
        <f>pajak[[#This Row],[Sub Total]]/1.11</f>
        <v>#VALUE!</v>
      </c>
      <c r="L54" s="89" t="str">
        <f>IF(pajak[//]="","",pajak[[#This Row],[DPP]]*11%)</f>
        <v/>
      </c>
      <c r="M54" s="89" t="str">
        <f>pajak[[#This Row],[Sub Total]]</f>
        <v/>
      </c>
      <c r="N54" s="86" t="str">
        <f>IF(pajak[[#This Row],[//]]="","",INDEX(Table1[pembuat nota :],pajak[//]-offset))</f>
        <v/>
      </c>
      <c r="O54" s="86" t="str">
        <f>IF(pajak[[#This Row],[//]]="","",IF(INDEX(Table1[edited :],pajak[//]-offset)="","",INDEX(Table1[edited :],pajak[//]-offset)))</f>
        <v/>
      </c>
      <c r="Q54" s="86" t="str">
        <f>IF(pajak[[#This Row],[Kode Sales :]]="","",MATCH(pajak[[#This Row],[Kode Sales :]],[2]Invoice!$D:$D,0))</f>
        <v/>
      </c>
      <c r="R54" s="194" t="e">
        <f>IF((INDEX([2]Invoice!$D:$D,Table4[[#This Row],[cek_ppn]]-4)&amp;" "&amp;INDEX([2]Invoice!$E:$E,Table4[[#This Row],[cek_ppn]]-4))=pajak[[#This Row],[No. Invoice :]],1)</f>
        <v>#VALUE!</v>
      </c>
      <c r="S54" s="194" t="e">
        <f>IF((INDEX([2]Invoice!$D:$D,Table4[[#This Row],[cek_ppn]]-2))=pajak[[#This Row],[Tgl Invoice :]],1)</f>
        <v>#VALUE!</v>
      </c>
      <c r="T54" s="194" t="e">
        <f>IF((INDEX([2]Invoice!$D:$D,Table4[[#This Row],[cek_ppn]]))=pajak[[#This Row],[Kode Sales :]],1)</f>
        <v>#VALUE!</v>
      </c>
      <c r="U54" s="194" t="e">
        <f>IF((INDEX([2]Invoice!$K:$K,Table4[[#This Row],[cek_ppn]]+28))=pajak[[#This Row],[Total Invoice]],1)</f>
        <v>#VALUE!</v>
      </c>
      <c r="V54" s="194" t="e">
        <f>IF((INDEX([2]Invoice!$J:$J,Table4[[#This Row],[cek_ppn]]+30))=pajak[[#This Row],[pembuat nota]],1)</f>
        <v>#VALUE!</v>
      </c>
    </row>
    <row r="55" spans="3:22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e">
        <f>pajak[[#This Row],[Sub Total]]/1.11</f>
        <v>#VALUE!</v>
      </c>
      <c r="L55" s="89" t="str">
        <f>IF(pajak[//]="","",pajak[[#This Row],[DPP]]*11%)</f>
        <v/>
      </c>
      <c r="M55" s="89" t="str">
        <f>pajak[[#This Row],[Sub Total]]</f>
        <v/>
      </c>
      <c r="N55" s="86" t="str">
        <f>IF(pajak[[#This Row],[//]]="","",INDEX(Table1[pembuat nota :],pajak[//]-offset))</f>
        <v/>
      </c>
      <c r="O55" s="86" t="str">
        <f>IF(pajak[[#This Row],[//]]="","",IF(INDEX(Table1[edited :],pajak[//]-offset)="","",INDEX(Table1[edited :],pajak[//]-offset)))</f>
        <v/>
      </c>
      <c r="Q55" s="86" t="str">
        <f>IF(pajak[[#This Row],[Kode Sales :]]="","",MATCH(pajak[[#This Row],[Kode Sales :]],[2]Invoice!$D:$D,0))</f>
        <v/>
      </c>
      <c r="R55" s="194" t="e">
        <f>IF((INDEX([2]Invoice!$D:$D,Table4[[#This Row],[cek_ppn]]-4)&amp;" "&amp;INDEX([2]Invoice!$E:$E,Table4[[#This Row],[cek_ppn]]-4))=pajak[[#This Row],[No. Invoice :]],1)</f>
        <v>#VALUE!</v>
      </c>
      <c r="S55" s="194" t="e">
        <f>IF((INDEX([2]Invoice!$D:$D,Table4[[#This Row],[cek_ppn]]-2))=pajak[[#This Row],[Tgl Invoice :]],1)</f>
        <v>#VALUE!</v>
      </c>
      <c r="T55" s="194" t="e">
        <f>IF((INDEX([2]Invoice!$D:$D,Table4[[#This Row],[cek_ppn]]))=pajak[[#This Row],[Kode Sales :]],1)</f>
        <v>#VALUE!</v>
      </c>
      <c r="U55" s="194" t="e">
        <f>IF((INDEX([2]Invoice!$K:$K,Table4[[#This Row],[cek_ppn]]+28))=pajak[[#This Row],[Total Invoice]],1)</f>
        <v>#VALUE!</v>
      </c>
      <c r="V55" s="194" t="e">
        <f>IF((INDEX([2]Invoice!$J:$J,Table4[[#This Row],[cek_ppn]]+30))=pajak[[#This Row],[pembuat nota]],1)</f>
        <v>#VALUE!</v>
      </c>
    </row>
    <row r="56" spans="3:22" x14ac:dyDescent="0.25">
      <c r="C56" t="s">
        <v>51</v>
      </c>
      <c r="E56"/>
      <c r="H56" s="89">
        <f ca="1">SUBTOTAL(109,pajak[Total])</f>
        <v>104891100</v>
      </c>
      <c r="I56" s="89">
        <f ca="1">SUBTOTAL(109,pajak[Diskon])</f>
        <v>13995334</v>
      </c>
      <c r="J56" s="89">
        <f ca="1">SUBTOTAL(109,pajak[Sub Total])</f>
        <v>90895766</v>
      </c>
      <c r="L56" s="89">
        <f ca="1">SUBTOTAL(109,pajak[PPN 11%])</f>
        <v>9007688.5225225203</v>
      </c>
      <c r="M56" s="89">
        <f ca="1">SUBTOTAL(109,pajak[Total Invoice])</f>
        <v>90895766</v>
      </c>
      <c r="N56"/>
      <c r="O56"/>
    </row>
  </sheetData>
  <conditionalFormatting sqref="F57:F1048576 F1:F55">
    <cfRule type="duplicateValues" dxfId="10" priority="9"/>
  </conditionalFormatting>
  <conditionalFormatting sqref="R1:V1048576">
    <cfRule type="containsText" dxfId="9" priority="1" operator="containsText" text="FALSE">
      <formula>NOT(ISERROR(SEARCH("FALSE",R1)))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7" zoomScaleNormal="85" workbookViewId="0">
      <selection activeCell="H18" sqref="H18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>IF(K1="",MAX(Table1[//]),INDEX(Table1[//],MATCH(K1,Table1[//],0)))</f>
        <v>19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ANUGERAH</v>
      </c>
      <c r="F1" t="s">
        <v>46</v>
      </c>
      <c r="G1">
        <f ca="1">INDEX(Table1[h_jumlahbarang],newestIdRow-offset)</f>
        <v>1</v>
      </c>
      <c r="I1" s="352" t="s">
        <v>77</v>
      </c>
      <c r="J1" s="352"/>
      <c r="K1">
        <v>19</v>
      </c>
    </row>
    <row r="2" spans="1:12" s="4" customFormat="1" ht="7.5" customHeight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23040005</v>
      </c>
      <c r="G3" s="11" t="s">
        <v>16</v>
      </c>
      <c r="H3" s="359" t="str">
        <f>INDEX(Table2[b],MATCH(kToko,Table2[a],0))</f>
        <v>CV PELITA JAYA</v>
      </c>
      <c r="I3" s="359"/>
      <c r="J3" s="359"/>
      <c r="K3" s="360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30" t="s">
        <v>18</v>
      </c>
      <c r="G4" s="17"/>
      <c r="H4" s="361"/>
      <c r="I4" s="361"/>
      <c r="J4" s="361"/>
      <c r="K4" s="362"/>
      <c r="L4" s="12"/>
    </row>
    <row r="5" spans="1:12" s="10" customFormat="1" ht="16.5" customHeight="1" x14ac:dyDescent="0.3">
      <c r="A5" s="7"/>
      <c r="B5" s="1" t="s">
        <v>2</v>
      </c>
      <c r="C5" s="8"/>
      <c r="D5" s="331">
        <f>INDEX(Table1[Tgl Invoice :],newestIdRow-offset)</f>
        <v>45027</v>
      </c>
      <c r="E5" s="332"/>
      <c r="F5" s="330"/>
      <c r="G5" s="18"/>
      <c r="H5" s="333" t="str">
        <f>IF(INDEX(Table2[c],MATCH(kToko,Table2[a],0))="","",INDEX(Table2[c],MATCH(kToko,Table2[a],0)))</f>
        <v>(ANUGERAH SEJAHTERA)</v>
      </c>
      <c r="I5" s="333"/>
      <c r="J5" s="333"/>
      <c r="K5" s="334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30"/>
      <c r="G6" s="18"/>
      <c r="H6" s="335" t="str">
        <f>INDEX(Table2[d],MATCH(kToko,Table2[a],0))</f>
        <v>PURWOKERTO</v>
      </c>
      <c r="I6" s="335"/>
      <c r="J6" s="335"/>
      <c r="K6" s="336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 xml:space="preserve">KO 1467 </v>
      </c>
      <c r="E7" s="9"/>
      <c r="F7" s="21"/>
      <c r="G7" s="22"/>
      <c r="H7" s="337"/>
      <c r="I7" s="337"/>
      <c r="J7" s="337"/>
      <c r="K7" s="338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40</v>
      </c>
      <c r="C11" s="46" t="str">
        <f ca="1">IF(A11&gt;jumlahBarang,"",INDEX(Table1[Unit],newestIdRow-offset+A11-1))</f>
        <v>GRS</v>
      </c>
      <c r="D11" s="47">
        <f ca="1">IF(A11&gt;jumlahBarang,"",IF(INDEX(Table1[C],newestIdRow-offset+A11-1)="","",INDEX(Table1[C],newestIdRow-offset+A11-1)))</f>
        <v>2</v>
      </c>
      <c r="E11" s="48" t="str">
        <f ca="1">IF(A11&gt;jumlahBarang,"",INDEX(Table1[Item Description],newestIdRow-offset+A11-1))</f>
        <v>PENSIL KENKO 2B-6191 HIJAU CAP HITAM</v>
      </c>
      <c r="F11" s="49"/>
      <c r="G11" s="50"/>
      <c r="H11" s="51">
        <f ca="1">IF(A11&gt;jumlahBarang,"",INDEX(Table1[Unit Price],newestIdRow-offset+A11-1))</f>
        <v>110400</v>
      </c>
      <c r="I11" s="52">
        <f ca="1">IF(A11&gt;jumlahBarang,"",IF(INDEX(Table1[Disc 1],newestIdRow-offset+A11-1)="","",INDEX(Table1[Disc 1],newestIdRow-offset+A11-1)))</f>
        <v>0.13500000000000001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3819840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58"/>
      <c r="K28" s="358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55">
        <f ca="1">INDEX(pajak[Sub Total],MATCH(newestIdRow,pajak[//],0))</f>
        <v>3819840</v>
      </c>
      <c r="K29" s="356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57"/>
      <c r="K30" s="357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58"/>
      <c r="K32" s="358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55">
        <f ca="1">INDEX(pajak[PPN 11%],MATCH(newestIdRow,pajak[//],0))</f>
        <v>378542.70270270266</v>
      </c>
      <c r="K33" s="356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58"/>
      <c r="K34" s="358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3819840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53" t="str">
        <f>INDEX(pajak[pembuat nota],MATCH(newestIdRow,pajak[//],0))</f>
        <v>NOVI / CONDRO</v>
      </c>
      <c r="K37" s="354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53" t="str">
        <f>INDEX(pajak[edited],MATCH(newestIdRow,pajak[//],0))</f>
        <v/>
      </c>
      <c r="K38" s="354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23040005</v>
      </c>
      <c r="F41" s="210"/>
      <c r="G41" s="211" t="s">
        <v>16</v>
      </c>
      <c r="H41" s="339" t="str">
        <f>H3</f>
        <v>CV PELITA JAYA</v>
      </c>
      <c r="I41" s="339"/>
      <c r="J41" s="339"/>
      <c r="K41" s="340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3" t="s">
        <v>18</v>
      </c>
      <c r="G42" s="217"/>
      <c r="H42" s="341"/>
      <c r="I42" s="341"/>
      <c r="J42" s="341"/>
      <c r="K42" s="342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4">
        <f>D5</f>
        <v>45027</v>
      </c>
      <c r="E43" s="345"/>
      <c r="F43" s="343"/>
      <c r="G43" s="218"/>
      <c r="H43" s="346" t="str">
        <f>H5</f>
        <v>(ANUGERAH SEJAHTERA)</v>
      </c>
      <c r="I43" s="346"/>
      <c r="J43" s="346"/>
      <c r="K43" s="347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3"/>
      <c r="G44" s="218"/>
      <c r="H44" s="348" t="str">
        <f>H6</f>
        <v>PURWOKERTO</v>
      </c>
      <c r="I44" s="348"/>
      <c r="J44" s="348"/>
      <c r="K44" s="349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 xml:space="preserve">KO 1467 </v>
      </c>
      <c r="E45" s="209"/>
      <c r="F45" s="222"/>
      <c r="G45" s="223"/>
      <c r="H45" s="350"/>
      <c r="I45" s="350"/>
      <c r="J45" s="350"/>
      <c r="K45" s="351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40</v>
      </c>
      <c r="C49" s="249" t="str">
        <f t="shared" ca="1" si="0"/>
        <v>GRS</v>
      </c>
      <c r="D49" s="250">
        <f t="shared" ca="1" si="0"/>
        <v>2</v>
      </c>
      <c r="E49" s="251" t="str">
        <f t="shared" ca="1" si="0"/>
        <v>PENSIL KENKO 2B-6191 HIJAU CAP HITAM</v>
      </c>
      <c r="F49" s="252"/>
      <c r="G49" s="253"/>
      <c r="H49" s="254">
        <f t="shared" ref="H49:K64" ca="1" si="1">H11</f>
        <v>110400</v>
      </c>
      <c r="I49" s="255">
        <f t="shared" ca="1" si="1"/>
        <v>0.13500000000000001</v>
      </c>
      <c r="J49" s="255" t="str">
        <f t="shared" ca="1" si="1"/>
        <v/>
      </c>
      <c r="K49" s="256">
        <f t="shared" ca="1" si="1"/>
        <v>3819840</v>
      </c>
      <c r="L49" s="238"/>
    </row>
    <row r="50" spans="1:12" s="10" customFormat="1" ht="14.1" customHeight="1" x14ac:dyDescent="0.25">
      <c r="A50" s="247">
        <v>2</v>
      </c>
      <c r="B50" s="248" t="str">
        <f t="shared" ca="1" si="0"/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ca="1" si="1"/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19"/>
      <c r="K66" s="319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27">
        <f ca="1">J29</f>
        <v>3819840</v>
      </c>
      <c r="K67" s="328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29"/>
      <c r="K68" s="329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19"/>
      <c r="K70" s="319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27">
        <f ca="1">J33</f>
        <v>378542.70270270266</v>
      </c>
      <c r="K71" s="328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19"/>
      <c r="K72" s="319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3819840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20" t="str">
        <f>J37</f>
        <v>NOVI / CONDRO</v>
      </c>
      <c r="K75" s="321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20">
        <v>0</v>
      </c>
      <c r="K76" s="321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23040005</v>
      </c>
      <c r="F79" s="110"/>
      <c r="G79" s="111" t="s">
        <v>16</v>
      </c>
      <c r="H79" s="322" t="str">
        <f>H41</f>
        <v>CV PELITA JAYA</v>
      </c>
      <c r="I79" s="322"/>
      <c r="J79" s="322"/>
      <c r="K79" s="323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26" t="s">
        <v>18</v>
      </c>
      <c r="G80" s="117"/>
      <c r="H80" s="324"/>
      <c r="I80" s="324"/>
      <c r="J80" s="324"/>
      <c r="K80" s="325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11">
        <f>D43</f>
        <v>45027</v>
      </c>
      <c r="E81" s="312"/>
      <c r="F81" s="326"/>
      <c r="G81" s="118"/>
      <c r="H81" s="313" t="str">
        <f>H43</f>
        <v>(ANUGERAH SEJAHTERA)</v>
      </c>
      <c r="I81" s="313"/>
      <c r="J81" s="313"/>
      <c r="K81" s="314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26"/>
      <c r="G82" s="118"/>
      <c r="H82" s="315" t="str">
        <f>H44</f>
        <v>PURWOKERTO</v>
      </c>
      <c r="I82" s="315"/>
      <c r="J82" s="315"/>
      <c r="K82" s="316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 xml:space="preserve">KO 1467 </v>
      </c>
      <c r="E83" s="109"/>
      <c r="F83" s="122"/>
      <c r="G83" s="123"/>
      <c r="H83" s="317"/>
      <c r="I83" s="317"/>
      <c r="J83" s="317"/>
      <c r="K83" s="318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40</v>
      </c>
      <c r="C87" s="149" t="str">
        <f t="shared" ca="1" si="2"/>
        <v>GRS</v>
      </c>
      <c r="D87" s="150">
        <f t="shared" ca="1" si="2"/>
        <v>2</v>
      </c>
      <c r="E87" s="151" t="str">
        <f t="shared" ca="1" si="2"/>
        <v>PENSIL KENKO 2B-6191 HIJAU CAP HITAM</v>
      </c>
      <c r="F87" s="152"/>
      <c r="G87" s="153"/>
      <c r="H87" s="154">
        <f t="shared" ref="H87:K102" ca="1" si="3">H49</f>
        <v>110400</v>
      </c>
      <c r="I87" s="155">
        <f t="shared" ca="1" si="3"/>
        <v>0.13500000000000001</v>
      </c>
      <c r="J87" s="155" t="str">
        <f t="shared" ca="1" si="3"/>
        <v/>
      </c>
      <c r="K87" s="156">
        <f t="shared" ca="1" si="3"/>
        <v>3819840</v>
      </c>
      <c r="L87" s="138"/>
    </row>
    <row r="88" spans="1:12" s="10" customFormat="1" ht="14.1" customHeight="1" x14ac:dyDescent="0.25">
      <c r="A88" s="147">
        <v>2</v>
      </c>
      <c r="B88" s="148" t="str">
        <f t="shared" ca="1" si="2"/>
        <v/>
      </c>
      <c r="C88" s="149" t="str">
        <f t="shared" ca="1" si="2"/>
        <v/>
      </c>
      <c r="D88" s="150" t="str">
        <f t="shared" ca="1" si="2"/>
        <v/>
      </c>
      <c r="E88" s="151" t="str">
        <f t="shared" ca="1" si="2"/>
        <v/>
      </c>
      <c r="F88" s="152"/>
      <c r="G88" s="153"/>
      <c r="H88" s="154" t="str">
        <f t="shared" ca="1" si="3"/>
        <v/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08"/>
      <c r="K104" s="308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09">
        <f ca="1">J67</f>
        <v>3819840</v>
      </c>
      <c r="K105" s="310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07"/>
      <c r="K106" s="307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08"/>
      <c r="K108" s="308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09">
        <f ca="1">J71</f>
        <v>378542.70270270266</v>
      </c>
      <c r="K109" s="310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08"/>
      <c r="K110" s="308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3819840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05" t="str">
        <f>J75</f>
        <v>NOVI / CONDRO</v>
      </c>
      <c r="K113" s="306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05">
        <v>0</v>
      </c>
      <c r="K114" s="306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E3" sqref="E3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150</v>
      </c>
      <c r="B3" s="88"/>
      <c r="C3" s="193">
        <f>MATCH(A3,Table1[H_A1],0)</f>
        <v>3</v>
      </c>
      <c r="D3" s="193">
        <f>MATCH(Table5[[#This Row],[NAMA]],[1]!db[NB PAJAK],0)</f>
        <v>22</v>
      </c>
      <c r="E3" t="str">
        <f>INDEX(Table1[Item Description],Table5[[#This Row],[//NOTA]])</f>
        <v>BALLPEN JOYKO BP-338 VOCUS HITAM</v>
      </c>
      <c r="F3">
        <f>SUMIF(Table1[H_A1],Sheet5!A3,Table1[Qty])</f>
        <v>288</v>
      </c>
      <c r="G3" t="str">
        <f>INDEX(Table1[Unit],Table5[[#This Row],[//NOTA]])</f>
        <v>LSN</v>
      </c>
      <c r="H3" s="195">
        <f>SUMIF(Table1[H_A1],Sheet5!A3,Table1[C])</f>
        <v>2</v>
      </c>
      <c r="I3" s="195">
        <f>INDEX(Table1[Unit Price],Table5[[#This Row],[//NOTA]])</f>
        <v>12600</v>
      </c>
      <c r="J3" s="86">
        <f>IF(Table5[[#This Row],[a2]]="","",Table5[[#This Row],[QTY]]*12)</f>
        <v>3456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169</v>
      </c>
      <c r="B4" s="88"/>
      <c r="C4" s="194">
        <f>MATCH(A4,Table1[H_A1],0)</f>
        <v>15</v>
      </c>
      <c r="D4" s="194">
        <f>MATCH(Table5[[#This Row],[NAMA]],[1]!db[NB PAJAK],0)</f>
        <v>170</v>
      </c>
      <c r="E4" t="str">
        <f>INDEX(Table1[Item Description],Table5[[#This Row],[//NOTA]])</f>
        <v>CALCULATOR JOYKO CC-800CH</v>
      </c>
      <c r="F4">
        <f>SUMIF(Table1[H_A1],Sheet5!A4,Table1[Qty])</f>
        <v>60</v>
      </c>
      <c r="G4" t="str">
        <f>INDEX(Table1[Unit],Table5[[#This Row],[//NOTA]])</f>
        <v>PCS</v>
      </c>
      <c r="H4" s="195">
        <f>SUMIF(Table1[H_A1],Sheet5!A4,Table1[C])</f>
        <v>1</v>
      </c>
      <c r="I4" s="195">
        <f>INDEX(Table1[Unit Price],Table5[[#This Row],[//NOTA]])</f>
        <v>79000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218</v>
      </c>
      <c r="B5" s="88"/>
      <c r="C5" s="194">
        <f>MATCH(A5,Table1[H_A1],0)</f>
        <v>41</v>
      </c>
      <c r="D5" s="194">
        <f>MATCH(Table5[[#This Row],[NAMA]],[1]!db[NB PAJAK],0)</f>
        <v>191</v>
      </c>
      <c r="E5" t="str">
        <f>INDEX(Table1[Item Description],Table5[[#This Row],[//NOTA]])</f>
        <v>COLOR BRUSH PEN KENKO DBP-12 DUAL TIP  (12 WARNA)</v>
      </c>
      <c r="F5">
        <f>SUMIF(Table1[H_A1],Sheet5!A5,Table1[Qty])</f>
        <v>12</v>
      </c>
      <c r="G5" t="str">
        <f>INDEX(Table1[Unit],Table5[[#This Row],[//NOTA]])</f>
        <v>SET</v>
      </c>
      <c r="H5" s="195">
        <f>SUMIF(Table1[H_A1],Sheet5!A5,Table1[C])</f>
        <v>0</v>
      </c>
      <c r="I5" s="195">
        <f>INDEX(Table1[Unit Price],Table5[[#This Row],[//NOTA]])</f>
        <v>25000</v>
      </c>
      <c r="J5" s="86" t="str">
        <f>IF(Table5[[#This Row],[a2]]="","",Table5[[#This Row],[QTY]]*12)</f>
        <v/>
      </c>
      <c r="K5" s="86" t="str">
        <f>IF(Table5[[#This Row],[UNIT]]="grs","LSN",IF(Table5[[#This Row],[UNIT]]="LSN","PCS",""))</f>
        <v/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151</v>
      </c>
      <c r="B6" s="88"/>
      <c r="C6" s="194">
        <f>MATCH(A6,Table1[H_A1],0)</f>
        <v>5</v>
      </c>
      <c r="D6" s="194">
        <f>MATCH(Table5[[#This Row],[NAMA]],[1]!db[NB PAJAK],0)</f>
        <v>211</v>
      </c>
      <c r="E6" t="str">
        <f>INDEX(Table1[Item Description],Table5[[#This Row],[//NOTA]])</f>
        <v>CORRECTION FLUID KENKO KE-01</v>
      </c>
      <c r="F6">
        <f>SUMIF(Table1[H_A1],Sheet5!A6,Table1[Qty])</f>
        <v>216</v>
      </c>
      <c r="G6" t="str">
        <f>INDEX(Table1[Unit],Table5[[#This Row],[//NOTA]])</f>
        <v>LSN</v>
      </c>
      <c r="H6" s="195">
        <f>SUMIF(Table1[H_A1],Sheet5!A6,Table1[C])</f>
        <v>3</v>
      </c>
      <c r="I6" s="195">
        <f>INDEX(Table1[Unit Price],Table5[[#This Row],[//NOTA]])</f>
        <v>54300</v>
      </c>
      <c r="J6" s="86">
        <f>IF(Table5[[#This Row],[a2]]="","",Table5[[#This Row],[QTY]]*12)</f>
        <v>2592</v>
      </c>
      <c r="K6" s="86" t="str">
        <f>IF(Table5[[#This Row],[UNIT]]="grs","LSN",IF(Table5[[#This Row],[UNIT]]="LSN","PCS",""))</f>
        <v>PCS</v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199</v>
      </c>
      <c r="B7" s="88"/>
      <c r="C7" s="194">
        <f>MATCH(A7,Table1[H_A1],0)</f>
        <v>21</v>
      </c>
      <c r="D7" s="194">
        <f>MATCH(Table5[[#This Row],[NAMA]],[1]!db[NB PAJAK],0)</f>
        <v>219</v>
      </c>
      <c r="E7" t="str">
        <f>INDEX(Table1[Item Description],Table5[[#This Row],[//NOTA]])</f>
        <v>CORRECTION TAPE JOYKO CT-507</v>
      </c>
      <c r="F7">
        <f>SUMIF(Table1[H_A1],Sheet5!A7,Table1[Qty])</f>
        <v>60</v>
      </c>
      <c r="G7" t="str">
        <f>INDEX(Table1[Unit],Table5[[#This Row],[//NOTA]])</f>
        <v>LSN</v>
      </c>
      <c r="H7" s="195">
        <f>SUMIF(Table1[H_A1],Sheet5!A7,Table1[C])</f>
        <v>1</v>
      </c>
      <c r="I7" s="195">
        <f>INDEX(Table1[Unit Price],Table5[[#This Row],[//NOTA]])</f>
        <v>55200</v>
      </c>
      <c r="J7" s="86">
        <f>IF(Table5[[#This Row],[a2]]="","",Table5[[#This Row],[QTY]]*12)</f>
        <v>720</v>
      </c>
      <c r="K7" s="86" t="str">
        <f>IF(Table5[[#This Row],[UNIT]]="grs","LSN",IF(Table5[[#This Row],[UNIT]]="LSN","PCS",""))</f>
        <v>PCS</v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200</v>
      </c>
      <c r="B8" s="88"/>
      <c r="C8" s="194">
        <f>MATCH(A8,Table1[H_A1],0)</f>
        <v>22</v>
      </c>
      <c r="D8" s="194">
        <f>MATCH(Table5[[#This Row],[NAMA]],[1]!db[NB PAJAK],0)</f>
        <v>220</v>
      </c>
      <c r="E8" t="str">
        <f>INDEX(Table1[Item Description],Table5[[#This Row],[//NOTA]])</f>
        <v>CORRECTION TAPE JOYKO CT-508</v>
      </c>
      <c r="F8">
        <f>SUMIF(Table1[H_A1],Sheet5!A8,Table1[Qty])</f>
        <v>60</v>
      </c>
      <c r="G8" t="str">
        <f>INDEX(Table1[Unit],Table5[[#This Row],[//NOTA]])</f>
        <v>LSN</v>
      </c>
      <c r="H8" s="195">
        <f>SUMIF(Table1[H_A1],Sheet5!A8,Table1[C])</f>
        <v>1</v>
      </c>
      <c r="I8" s="195">
        <f>INDEX(Table1[Unit Price],Table5[[#This Row],[//NOTA]])</f>
        <v>54000</v>
      </c>
      <c r="J8" s="86">
        <f>IF(Table5[[#This Row],[a2]]="","",Table5[[#This Row],[QTY]]*12)</f>
        <v>720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170</v>
      </c>
      <c r="B9" s="88"/>
      <c r="C9" s="194">
        <f>MATCH(A9,Table1[H_A1],0)</f>
        <v>14</v>
      </c>
      <c r="D9" s="194">
        <f>MATCH(Table5[[#This Row],[NAMA]],[1]!db[NB PAJAK],0)</f>
        <v>224</v>
      </c>
      <c r="E9" t="str">
        <f>INDEX(Table1[Item Description],Table5[[#This Row],[//NOTA]])</f>
        <v>CORRECTION TAPE JOYKO CT-522</v>
      </c>
      <c r="F9">
        <f>SUMIF(Table1[H_A1],Sheet5!A9,Table1[Qty])</f>
        <v>720</v>
      </c>
      <c r="G9" t="str">
        <f>INDEX(Table1[Unit],Table5[[#This Row],[//NOTA]])</f>
        <v>PCS</v>
      </c>
      <c r="H9" s="195">
        <f>SUMIF(Table1[H_A1],Sheet5!A9,Table1[C])</f>
        <v>1</v>
      </c>
      <c r="I9" s="195">
        <f>INDEX(Table1[Unit Price],Table5[[#This Row],[//NOTA]])</f>
        <v>4800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238</v>
      </c>
      <c r="B10" s="88"/>
      <c r="C10" s="194">
        <f>MATCH(A10,Table1[H_A1],0)</f>
        <v>44</v>
      </c>
      <c r="D10" s="194">
        <f>MATCH(Table5[[#This Row],[NAMA]],[1]!db[NB PAJAK],0)</f>
        <v>246</v>
      </c>
      <c r="E10" t="str">
        <f>INDEX(Table1[Item Description],Table5[[#This Row],[//NOTA]])</f>
        <v>CORRECTION TAPE KENKO CT-606 (6M x 5MM)</v>
      </c>
      <c r="F10">
        <f>SUMIF(Table1[H_A1],Sheet5!A10,Table1[Qty])</f>
        <v>5</v>
      </c>
      <c r="G10" t="str">
        <f>INDEX(Table1[Unit],Table5[[#This Row],[//NOTA]])</f>
        <v>LSN</v>
      </c>
      <c r="H10" s="195">
        <f>SUMIF(Table1[H_A1],Sheet5!A10,Table1[C])</f>
        <v>0</v>
      </c>
      <c r="I10" s="195">
        <f>INDEX(Table1[Unit Price],Table5[[#This Row],[//NOTA]])</f>
        <v>58800</v>
      </c>
      <c r="J10" s="86">
        <f>IF(Table5[[#This Row],[a2]]="","",Table5[[#This Row],[QTY]]*12)</f>
        <v>60</v>
      </c>
      <c r="K10" s="86" t="str">
        <f>IF(Table5[[#This Row],[UNIT]]="grs","LSN",IF(Table5[[#This Row],[UNIT]]="LSN","PCS",""))</f>
        <v>PCS</v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181</v>
      </c>
      <c r="B11" s="88"/>
      <c r="C11" s="194">
        <f>MATCH(A11,Table1[H_A1],0)</f>
        <v>19</v>
      </c>
      <c r="D11" s="194">
        <f>MATCH(Table5[[#This Row],[NAMA]],[1]!db[NB PAJAK],0)</f>
        <v>266</v>
      </c>
      <c r="E11" t="str">
        <f>INDEX(Table1[Item Description],Table5[[#This Row],[//NOTA]])</f>
        <v>CRAYON / OIL PASTEL JOYKO OP-12S PP CASE SEA WORLD</v>
      </c>
      <c r="F11">
        <f>SUMIF(Table1[H_A1],Sheet5!A11,Table1[Qty])</f>
        <v>1440</v>
      </c>
      <c r="G11" t="str">
        <f>INDEX(Table1[Unit],Table5[[#This Row],[//NOTA]])</f>
        <v>PCS</v>
      </c>
      <c r="H11" s="195">
        <f>SUMIF(Table1[H_A1],Sheet5!A11,Table1[C])</f>
        <v>10</v>
      </c>
      <c r="I11" s="195">
        <f>INDEX(Table1[Unit Price],Table5[[#This Row],[//NOTA]])</f>
        <v>11900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171</v>
      </c>
      <c r="B12" s="88"/>
      <c r="C12" s="194">
        <f>MATCH(A12,Table1[H_A1],0)</f>
        <v>13</v>
      </c>
      <c r="D12" s="194">
        <f>MATCH(Table5[[#This Row],[NAMA]],[1]!db[NB PAJAK],0)</f>
        <v>268</v>
      </c>
      <c r="E12" t="str">
        <f>INDEX(Table1[Item Description],Table5[[#This Row],[//NOTA]])</f>
        <v>CRAYON / OIL PASTEL JOYKO OP-24S PP CASE SEA WORLD</v>
      </c>
      <c r="F12">
        <f>SUMIF(Table1[H_A1],Sheet5!A12,Table1[Qty])</f>
        <v>240</v>
      </c>
      <c r="G12" t="str">
        <f>INDEX(Table1[Unit],Table5[[#This Row],[//NOTA]])</f>
        <v>PCS</v>
      </c>
      <c r="H12" s="195">
        <f>SUMIF(Table1[H_A1],Sheet5!A12,Table1[C])</f>
        <v>5</v>
      </c>
      <c r="I12" s="195">
        <f>INDEX(Table1[Unit Price],Table5[[#This Row],[//NOTA]])</f>
        <v>29600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161</v>
      </c>
      <c r="B13" s="88"/>
      <c r="C13" s="194">
        <f>MATCH(A13,Table1[H_A1],0)</f>
        <v>10</v>
      </c>
      <c r="D13" s="194">
        <f>MATCH(Table5[[#This Row],[NAMA]],[1]!db[NB PAJAK],0)</f>
        <v>328</v>
      </c>
      <c r="E13" t="str">
        <f>INDEX(Table1[Item Description],Table5[[#This Row],[//NOTA]])</f>
        <v>GEL PEN JOYKO GP-265 Q-GEL</v>
      </c>
      <c r="F13">
        <f>SUMIF(Table1[H_A1],Sheet5!A13,Table1[Qty])</f>
        <v>144</v>
      </c>
      <c r="G13" t="str">
        <f>INDEX(Table1[Unit],Table5[[#This Row],[//NOTA]])</f>
        <v>LSN</v>
      </c>
      <c r="H13" s="195">
        <f>SUMIF(Table1[H_A1],Sheet5!A13,Table1[C])</f>
        <v>1</v>
      </c>
      <c r="I13" s="195">
        <f>INDEX(Table1[Unit Price],Table5[[#This Row],[//NOTA]])</f>
        <v>28200</v>
      </c>
      <c r="J13" s="86">
        <f>IF(Table5[[#This Row],[a2]]="","",Table5[[#This Row],[QTY]]*12)</f>
        <v>1728</v>
      </c>
      <c r="K13" s="86" t="str">
        <f>IF(Table5[[#This Row],[UNIT]]="grs","LSN",IF(Table5[[#This Row],[UNIT]]="LSN","PCS",""))</f>
        <v>PCS</v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219</v>
      </c>
      <c r="B14" s="88"/>
      <c r="C14" s="194">
        <f>MATCH(A14,Table1[H_A1],0)</f>
        <v>38</v>
      </c>
      <c r="D14" s="194" t="e">
        <f>MATCH(Table5[[#This Row],[NAMA]],[1]!db[NB PAJAK],0)</f>
        <v>#N/A</v>
      </c>
      <c r="E14" t="str">
        <f>INDEX(Table1[Item Description],Table5[[#This Row],[//NOTA]])</f>
        <v>GEL PEN TIZO TG30801-EL</v>
      </c>
      <c r="F14">
        <f>SUMIF(Table1[H_A1],Sheet5!A14,Table1[Qty])</f>
        <v>7</v>
      </c>
      <c r="G14" t="str">
        <f>INDEX(Table1[Unit],Table5[[#This Row],[//NOTA]])</f>
        <v>LS</v>
      </c>
      <c r="H14" s="195">
        <f>SUMIF(Table1[H_A1],Sheet5!A14,Table1[C])</f>
        <v>0</v>
      </c>
      <c r="I14" s="195">
        <f>INDEX(Table1[Unit Price],Table5[[#This Row],[//NOTA]])</f>
        <v>18500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220</v>
      </c>
      <c r="B15" s="88"/>
      <c r="C15" s="194">
        <f>MATCH(A15,Table1[H_A1],0)</f>
        <v>39</v>
      </c>
      <c r="D15" s="194" t="e">
        <f>MATCH(Table5[[#This Row],[NAMA]],[1]!db[NB PAJAK],0)</f>
        <v>#N/A</v>
      </c>
      <c r="E15" t="str">
        <f>INDEX(Table1[Item Description],Table5[[#This Row],[//NOTA]])</f>
        <v>GEL PEN TIZO TG31590-EL</v>
      </c>
      <c r="F15">
        <f>SUMIF(Table1[H_A1],Sheet5!A15,Table1[Qty])</f>
        <v>12</v>
      </c>
      <c r="G15" t="str">
        <f>INDEX(Table1[Unit],Table5[[#This Row],[//NOTA]])</f>
        <v>LS</v>
      </c>
      <c r="H15" s="195">
        <f>SUMIF(Table1[H_A1],Sheet5!A15,Table1[C])</f>
        <v>0</v>
      </c>
      <c r="I15" s="195">
        <f>INDEX(Table1[Unit Price],Table5[[#This Row],[//NOTA]])</f>
        <v>18500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221</v>
      </c>
      <c r="B16" s="88"/>
      <c r="C16" s="194">
        <f>MATCH(A16,Table1[H_A1],0)</f>
        <v>40</v>
      </c>
      <c r="D16" s="194" t="e">
        <f>MATCH(Table5[[#This Row],[NAMA]],[1]!db[NB PAJAK],0)</f>
        <v>#N/A</v>
      </c>
      <c r="E16" t="str">
        <f>INDEX(Table1[Item Description],Table5[[#This Row],[//NOTA]])</f>
        <v>GEL PEN TIZO TG31762-EL</v>
      </c>
      <c r="F16">
        <f>SUMIF(Table1[H_A1],Sheet5!A16,Table1[Qty])</f>
        <v>2</v>
      </c>
      <c r="G16" t="str">
        <f>INDEX(Table1[Unit],Table5[[#This Row],[//NOTA]])</f>
        <v>LS</v>
      </c>
      <c r="H16" s="195">
        <f>SUMIF(Table1[H_A1],Sheet5!A16,Table1[C])</f>
        <v>0</v>
      </c>
      <c r="I16" s="195">
        <f>INDEX(Table1[Unit Price],Table5[[#This Row],[//NOTA]])</f>
        <v>18500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248</v>
      </c>
      <c r="B17" s="88"/>
      <c r="C17" s="194">
        <f>MATCH(A17,Table1[H_A1],0)</f>
        <v>49</v>
      </c>
      <c r="D17" s="194" t="e">
        <f>MATCH(Table5[[#This Row],[NAMA]],[1]!db[NB PAJAK],0)</f>
        <v>#N/A</v>
      </c>
      <c r="E17" t="str">
        <f>INDEX(Table1[Item Description],Table5[[#This Row],[//NOTA]])</f>
        <v>HIGHLIGHTER / STABILLO JOYKO HL MIX (kuning, hijau)</v>
      </c>
      <c r="F17">
        <f>SUMIF(Table1[H_A1],Sheet5!A17,Table1[Qty])</f>
        <v>60</v>
      </c>
      <c r="G17" t="str">
        <f>INDEX(Table1[Unit],Table5[[#This Row],[//NOTA]])</f>
        <v>PCS</v>
      </c>
      <c r="H17" s="195">
        <f>SUMIF(Table1[H_A1],Sheet5!A17,Table1[C])</f>
        <v>0</v>
      </c>
      <c r="I17" s="195">
        <f>INDEX(Table1[Unit Price],Table5[[#This Row],[//NOTA]])</f>
        <v>3700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222</v>
      </c>
      <c r="B18" s="88"/>
      <c r="C18" s="194">
        <f>MATCH(A18,Table1[H_A1],0)</f>
        <v>37</v>
      </c>
      <c r="D18" s="194">
        <f>MATCH(Table5[[#This Row],[NAMA]],[1]!db[NB PAJAK],0)</f>
        <v>455</v>
      </c>
      <c r="E18" t="str">
        <f>INDEX(Table1[Item Description],Table5[[#This Row],[//NOTA]])</f>
        <v>HIGHLIGHTER / STABILLO TIZO TF-610 (isi 54 pc)</v>
      </c>
      <c r="F18">
        <f>SUMIF(Table1[H_A1],Sheet5!A18,Table1[Qty])</f>
        <v>2</v>
      </c>
      <c r="G18" t="str">
        <f>INDEX(Table1[Unit],Table5[[#This Row],[//NOTA]])</f>
        <v>BOX</v>
      </c>
      <c r="H18" s="195">
        <f>SUMIF(Table1[H_A1],Sheet5!A18,Table1[C])</f>
        <v>0</v>
      </c>
      <c r="I18" s="195">
        <f>INDEX(Table1[Unit Price],Table5[[#This Row],[//NOTA]])</f>
        <v>122000</v>
      </c>
      <c r="J18" s="86" t="str">
        <f>IF(Table5[[#This Row],[a2]]="","",Table5[[#This Row],[QTY]]*12)</f>
        <v/>
      </c>
      <c r="K18" s="86" t="str">
        <f>IF(Table5[[#This Row],[UNIT]]="grs","LSN",IF(Table5[[#This Row],[UNIT]]="LSN","PCS",""))</f>
        <v/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223</v>
      </c>
      <c r="B19" s="88"/>
      <c r="C19" s="194">
        <f>MATCH(A19,Table1[H_A1],0)</f>
        <v>36</v>
      </c>
      <c r="D19" s="194">
        <f>MATCH(Table5[[#This Row],[NAMA]],[1]!db[NB PAJAK],0)</f>
        <v>456</v>
      </c>
      <c r="E19" t="str">
        <f>INDEX(Table1[Item Description],Table5[[#This Row],[//NOTA]])</f>
        <v>HIGHLIGHTER / STABILLO TIZO TF-616 (isi 24 pc)</v>
      </c>
      <c r="F19">
        <f>SUMIF(Table1[H_A1],Sheet5!A19,Table1[Qty])</f>
        <v>2</v>
      </c>
      <c r="G19" t="str">
        <f>INDEX(Table1[Unit],Table5[[#This Row],[//NOTA]])</f>
        <v>BOX</v>
      </c>
      <c r="H19" s="195">
        <f>SUMIF(Table1[H_A1],Sheet5!A19,Table1[C])</f>
        <v>0</v>
      </c>
      <c r="I19" s="195">
        <f>INDEX(Table1[Unit Price],Table5[[#This Row],[//NOTA]])</f>
        <v>57000</v>
      </c>
      <c r="J19" s="86" t="str">
        <f>IF(Table5[[#This Row],[a2]]="","",Table5[[#This Row],[QTY]]*12)</f>
        <v/>
      </c>
      <c r="K19" s="86" t="str">
        <f>IF(Table5[[#This Row],[UNIT]]="grs","LSN",IF(Table5[[#This Row],[UNIT]]="LSN","PCS",""))</f>
        <v/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152</v>
      </c>
      <c r="B20" s="88"/>
      <c r="C20" s="194">
        <f>MATCH(A20,Table1[H_A1],0)</f>
        <v>8</v>
      </c>
      <c r="D20" s="194">
        <f>MATCH(Table5[[#This Row],[NAMA]],[1]!db[NB PAJAK],0)</f>
        <v>460</v>
      </c>
      <c r="E20" t="str">
        <f>INDEX(Table1[Item Description],Table5[[#This Row],[//NOTA]])</f>
        <v>HIGHLIGHTER / STABILO KENKO HL-100 HIJAU</v>
      </c>
      <c r="F20">
        <f>SUMIF(Table1[H_A1],Sheet5!A20,Table1[Qty])</f>
        <v>480</v>
      </c>
      <c r="G20" t="str">
        <f>INDEX(Table1[Unit],Table5[[#This Row],[//NOTA]])</f>
        <v>PCS</v>
      </c>
      <c r="H20" s="195">
        <f>SUMIF(Table1[H_A1],Sheet5!A20,Table1[C])</f>
        <v>1</v>
      </c>
      <c r="I20" s="195">
        <f>INDEX(Table1[Unit Price],Table5[[#This Row],[//NOTA]])</f>
        <v>3050</v>
      </c>
      <c r="J20" s="86" t="str">
        <f>IF(Table5[[#This Row],[a2]]="","",Table5[[#This Row],[QTY]]*12)</f>
        <v/>
      </c>
      <c r="K20" s="86" t="str">
        <f>IF(Table5[[#This Row],[UNIT]]="grs","LSN",IF(Table5[[#This Row],[UNIT]]="LSN","PCS",""))</f>
        <v/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153</v>
      </c>
      <c r="B21" s="88"/>
      <c r="C21" s="194">
        <f>MATCH(A21,Table1[H_A1],0)</f>
        <v>7</v>
      </c>
      <c r="D21" s="194">
        <f>MATCH(Table5[[#This Row],[NAMA]],[1]!db[NB PAJAK],0)</f>
        <v>463</v>
      </c>
      <c r="E21" t="str">
        <f>INDEX(Table1[Item Description],Table5[[#This Row],[//NOTA]])</f>
        <v>HIGHLIGHTER / STABILO KENKO HL-100 PINK</v>
      </c>
      <c r="F21">
        <f>SUMIF(Table1[H_A1],Sheet5!A21,Table1[Qty])</f>
        <v>480</v>
      </c>
      <c r="G21" t="str">
        <f>INDEX(Table1[Unit],Table5[[#This Row],[//NOTA]])</f>
        <v>PCS</v>
      </c>
      <c r="H21" s="195">
        <f>SUMIF(Table1[H_A1],Sheet5!A21,Table1[C])</f>
        <v>1</v>
      </c>
      <c r="I21" s="195">
        <f>INDEX(Table1[Unit Price],Table5[[#This Row],[//NOTA]])</f>
        <v>3050</v>
      </c>
      <c r="J21" s="86" t="str">
        <f>IF(Table5[[#This Row],[a2]]="","",Table5[[#This Row],[QTY]]*12)</f>
        <v/>
      </c>
      <c r="K21" s="86" t="str">
        <f>IF(Table5[[#This Row],[UNIT]]="grs","LSN",IF(Table5[[#This Row],[UNIT]]="LSN","PCS",""))</f>
        <v/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135</v>
      </c>
      <c r="B22" s="88"/>
      <c r="C22" s="194">
        <f>MATCH(A22,Table1[H_A1],0)</f>
        <v>1</v>
      </c>
      <c r="D22" s="194">
        <f>MATCH(Table5[[#This Row],[NAMA]],[1]!db[NB PAJAK],0)</f>
        <v>477</v>
      </c>
      <c r="E22" t="str">
        <f>INDEX(Table1[Item Description],Table5[[#This Row],[//NOTA]])</f>
        <v>ISI CUTTER 18 MM KENKO L-150 (BESAR)</v>
      </c>
      <c r="F22">
        <f>SUMIF(Table1[H_A1],Sheet5!A22,Table1[Qty])</f>
        <v>120</v>
      </c>
      <c r="G22" t="str">
        <f>INDEX(Table1[Unit],Table5[[#This Row],[//NOTA]])</f>
        <v>LSN</v>
      </c>
      <c r="H22" s="195">
        <f>SUMIF(Table1[H_A1],Sheet5!A22,Table1[C])</f>
        <v>2</v>
      </c>
      <c r="I22" s="195">
        <f>INDEX(Table1[Unit Price],Table5[[#This Row],[//NOTA]])</f>
        <v>64800</v>
      </c>
      <c r="J22" s="86">
        <f>IF(Table5[[#This Row],[a2]]="","",Table5[[#This Row],[QTY]]*12)</f>
        <v>1440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154</v>
      </c>
      <c r="B23" s="88"/>
      <c r="C23" s="194">
        <f>MATCH(A23,Table1[H_A1],0)</f>
        <v>4</v>
      </c>
      <c r="D23" s="194">
        <f>MATCH(Table5[[#This Row],[NAMA]],[1]!db[NB PAJAK],0)</f>
        <v>489</v>
      </c>
      <c r="E23" t="str">
        <f>INDEX(Table1[Item Description],Table5[[#This Row],[//NOTA]])</f>
        <v>ISI STAPLER (STAPLES) KENKO 1210 PREMIUM (23/10)</v>
      </c>
      <c r="F23">
        <f>SUMIF(Table1[H_A1],Sheet5!A23,Table1[Qty])</f>
        <v>800</v>
      </c>
      <c r="G23" t="str">
        <f>INDEX(Table1[Unit],Table5[[#This Row],[//NOTA]])</f>
        <v>BOX</v>
      </c>
      <c r="H23" s="195">
        <f>SUMIF(Table1[H_A1],Sheet5!A23,Table1[C])</f>
        <v>4</v>
      </c>
      <c r="I23" s="195">
        <f>INDEX(Table1[Unit Price],Table5[[#This Row],[//NOTA]])</f>
        <v>4200</v>
      </c>
      <c r="J23" s="86" t="str">
        <f>IF(Table5[[#This Row],[a2]]="","",Table5[[#This Row],[QTY]]*12)</f>
        <v/>
      </c>
      <c r="K23" s="86" t="str">
        <f>IF(Table5[[#This Row],[UNIT]]="grs","LSN",IF(Table5[[#This Row],[UNIT]]="LSN","PCS",""))</f>
        <v/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155</v>
      </c>
      <c r="B24" s="88"/>
      <c r="C24" s="194">
        <f>MATCH(A24,Table1[H_A1],0)</f>
        <v>6</v>
      </c>
      <c r="D24" s="194">
        <f>MATCH(Table5[[#This Row],[NAMA]],[1]!db[NB PAJAK],0)</f>
        <v>555</v>
      </c>
      <c r="E24" t="str">
        <f>INDEX(Table1[Item Description],Table5[[#This Row],[//NOTA]])</f>
        <v>LEM STICK KENKO 8 GR (KECIL) isi 30 pc</v>
      </c>
      <c r="F24">
        <f>SUMIF(Table1[H_A1],Sheet5!A24,Table1[Qty])</f>
        <v>36</v>
      </c>
      <c r="G24" t="str">
        <f>INDEX(Table1[Unit],Table5[[#This Row],[//NOTA]])</f>
        <v>BOX</v>
      </c>
      <c r="H24" s="195">
        <f>SUMIF(Table1[H_A1],Sheet5!A24,Table1[C])</f>
        <v>1</v>
      </c>
      <c r="I24" s="195">
        <f>INDEX(Table1[Unit Price],Table5[[#This Row],[//NOTA]])</f>
        <v>66000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230</v>
      </c>
      <c r="B25" s="88"/>
      <c r="C25" s="194">
        <f>MATCH(A25,Table1[H_A1],0)</f>
        <v>33</v>
      </c>
      <c r="D25" s="194">
        <f>MATCH(Table5[[#This Row],[NAMA]],[1]!db[NB PAJAK],0)</f>
        <v>616</v>
      </c>
      <c r="E25" t="str">
        <f>INDEX(Table1[Item Description],Table5[[#This Row],[//NOTA]])</f>
        <v>PENCIL CASE 22 x 7.5 MAGNET C-1758</v>
      </c>
      <c r="F25">
        <f>SUMIF(Table1[H_A1],Sheet5!A25,Table1[Qty])</f>
        <v>12</v>
      </c>
      <c r="G25" t="str">
        <f>INDEX(Table1[Unit],Table5[[#This Row],[//NOTA]])</f>
        <v>LS</v>
      </c>
      <c r="H25" s="195">
        <f>SUMIF(Table1[H_A1],Sheet5!A25,Table1[C])</f>
        <v>1</v>
      </c>
      <c r="I25" s="195">
        <f>INDEX(Table1[Unit Price],Table5[[#This Row],[//NOTA]])</f>
        <v>150000</v>
      </c>
      <c r="J25" s="86" t="str">
        <f>IF(Table5[[#This Row],[a2]]="","",Table5[[#This Row],[QTY]]*12)</f>
        <v/>
      </c>
      <c r="K25" s="86" t="str">
        <f>IF(Table5[[#This Row],[UNIT]]="grs","LSN",IF(Table5[[#This Row],[UNIT]]="LSN","PCS",""))</f>
        <v/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177</v>
      </c>
      <c r="B26" s="88"/>
      <c r="C26" s="194">
        <f>MATCH(A26,Table1[H_A1],0)</f>
        <v>17</v>
      </c>
      <c r="D26" s="194">
        <f>MATCH(Table5[[#This Row],[NAMA]],[1]!db[NB PAJAK],0)</f>
        <v>657</v>
      </c>
      <c r="E26" t="str">
        <f>INDEX(Table1[Item Description],Table5[[#This Row],[//NOTA]])</f>
        <v>PENSIL KENKO 2B-6191 HIJAU CAP HITAM</v>
      </c>
      <c r="F26">
        <f>SUMIF(Table1[H_A1],Sheet5!A26,Table1[Qty])</f>
        <v>40</v>
      </c>
      <c r="G26" t="str">
        <f>INDEX(Table1[Unit],Table5[[#This Row],[//NOTA]])</f>
        <v>GRS</v>
      </c>
      <c r="H26" s="195">
        <f>SUMIF(Table1[H_A1],Sheet5!A26,Table1[C])</f>
        <v>2</v>
      </c>
      <c r="I26" s="195">
        <f>INDEX(Table1[Unit Price],Table5[[#This Row],[//NOTA]])</f>
        <v>110400</v>
      </c>
      <c r="J26" s="86">
        <f>IF(Table5[[#This Row],[a2]]="","",Table5[[#This Row],[QTY]]*12)</f>
        <v>480</v>
      </c>
      <c r="K26" s="86" t="str">
        <f>IF(Table5[[#This Row],[UNIT]]="grs","LSN",IF(Table5[[#This Row],[UNIT]]="LSN","PCS",""))</f>
        <v>LSN</v>
      </c>
      <c r="L26" s="86">
        <f>IF(Table5[[#This Row],[a2]]="LSN",Table5[[#This Row],[a1]]*12,"")</f>
        <v>5760</v>
      </c>
      <c r="M26" s="86" t="str">
        <f>IF(Table5[[#This Row],[b1]]="","","PCS")</f>
        <v>PCS</v>
      </c>
      <c r="N26" s="86"/>
      <c r="O26" s="86"/>
    </row>
    <row r="27" spans="1:15" x14ac:dyDescent="0.25">
      <c r="A27" s="88" t="s">
        <v>201</v>
      </c>
      <c r="B27" s="88"/>
      <c r="C27" s="194">
        <f>MATCH(A27,Table1[H_A1],0)</f>
        <v>25</v>
      </c>
      <c r="D27" s="194">
        <f>MATCH(Table5[[#This Row],[NAMA]],[1]!db[NB PAJAK],0)</f>
        <v>668</v>
      </c>
      <c r="E27" t="str">
        <f>INDEX(Table1[Item Description],Table5[[#This Row],[//NOTA]])</f>
        <v>PENSIL WARNA JOYKO CP-12PB (PANJANG)</v>
      </c>
      <c r="F27">
        <f>SUMIF(Table1[H_A1],Sheet5!A27,Table1[Qty])</f>
        <v>432</v>
      </c>
      <c r="G27" t="str">
        <f>INDEX(Table1[Unit],Table5[[#This Row],[//NOTA]])</f>
        <v>PCS</v>
      </c>
      <c r="H27" s="195">
        <f>SUMIF(Table1[H_A1],Sheet5!A27,Table1[C])</f>
        <v>3</v>
      </c>
      <c r="I27" s="195">
        <f>INDEX(Table1[Unit Price],Table5[[#This Row],[//NOTA]])</f>
        <v>10600</v>
      </c>
      <c r="J27" s="86" t="str">
        <f>IF(Table5[[#This Row],[a2]]="","",Table5[[#This Row],[QTY]]*12)</f>
        <v/>
      </c>
      <c r="K27" s="86" t="str">
        <f>IF(Table5[[#This Row],[UNIT]]="grs","LSN",IF(Table5[[#This Row],[UNIT]]="LSN","PCS",""))</f>
        <v/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202</v>
      </c>
      <c r="B28" s="88"/>
      <c r="C28" s="194">
        <f>MATCH(A28,Table1[H_A1],0)</f>
        <v>23</v>
      </c>
      <c r="D28" s="194">
        <f>MATCH(Table5[[#This Row],[NAMA]],[1]!db[NB PAJAK],0)</f>
        <v>669</v>
      </c>
      <c r="E28" t="str">
        <f>INDEX(Table1[Item Description],Table5[[#This Row],[//NOTA]])</f>
        <v>PENSIL WARNA JOYKO CP-24PB (PANJANG)</v>
      </c>
      <c r="F28">
        <f>SUMIF(Table1[H_A1],Sheet5!A28,Table1[Qty])</f>
        <v>72</v>
      </c>
      <c r="G28" t="str">
        <f>INDEX(Table1[Unit],Table5[[#This Row],[//NOTA]])</f>
        <v>PCS</v>
      </c>
      <c r="H28" s="195">
        <f>SUMIF(Table1[H_A1],Sheet5!A28,Table1[C])</f>
        <v>1</v>
      </c>
      <c r="I28" s="195">
        <f>INDEX(Table1[Unit Price],Table5[[#This Row],[//NOTA]])</f>
        <v>21200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203</v>
      </c>
      <c r="B29" s="88"/>
      <c r="C29" s="194">
        <f>MATCH(A29,Table1[H_A1],0)</f>
        <v>24</v>
      </c>
      <c r="D29" s="194">
        <f>MATCH(Table5[[#This Row],[NAMA]],[1]!db[NB PAJAK],0)</f>
        <v>671</v>
      </c>
      <c r="E29" t="str">
        <f>INDEX(Table1[Item Description],Table5[[#This Row],[//NOTA]])</f>
        <v>PENSIL WARNA JOYKO CP-S12 MINI (PENDEK)</v>
      </c>
      <c r="F29">
        <f>SUMIF(Table1[H_A1],Sheet5!A29,Table1[Qty])</f>
        <v>288</v>
      </c>
      <c r="G29" t="str">
        <f>INDEX(Table1[Unit],Table5[[#This Row],[//NOTA]])</f>
        <v>PCS</v>
      </c>
      <c r="H29" s="195">
        <f>SUMIF(Table1[H_A1],Sheet5!A29,Table1[C])</f>
        <v>1</v>
      </c>
      <c r="I29" s="195">
        <f>INDEX(Table1[Unit Price],Table5[[#This Row],[//NOTA]])</f>
        <v>6700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224</v>
      </c>
      <c r="B30" s="88"/>
      <c r="C30" s="194">
        <f>MATCH(A30,Table1[H_A1],0)</f>
        <v>35</v>
      </c>
      <c r="D30" s="194">
        <f>MATCH(Table5[[#This Row],[NAMA]],[1]!db[NB PAJAK],0)</f>
        <v>679</v>
      </c>
      <c r="E30" t="str">
        <f>INDEX(Table1[Item Description],Table5[[#This Row],[//NOTA]])</f>
        <v>PENSIL WARNA KAYAGI KY-CP1224 TWIN</v>
      </c>
      <c r="F30">
        <f>SUMIF(Table1[H_A1],Sheet5!A30,Table1[Qty])</f>
        <v>2</v>
      </c>
      <c r="G30" t="str">
        <f>INDEX(Table1[Unit],Table5[[#This Row],[//NOTA]])</f>
        <v>LS</v>
      </c>
      <c r="H30" s="195">
        <f>SUMIF(Table1[H_A1],Sheet5!A30,Table1[C])</f>
        <v>0</v>
      </c>
      <c r="I30" s="195">
        <f>INDEX(Table1[Unit Price],Table5[[#This Row],[//NOTA]])</f>
        <v>149000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239</v>
      </c>
      <c r="B31" s="88"/>
      <c r="C31" s="194">
        <f>MATCH(A31,Table1[H_A1],0)</f>
        <v>45</v>
      </c>
      <c r="D31" s="194">
        <f>MATCH(Table5[[#This Row],[NAMA]],[1]!db[NB PAJAK],0)</f>
        <v>716</v>
      </c>
      <c r="E31" t="str">
        <f>INDEX(Table1[Item Description],Table5[[#This Row],[//NOTA]])</f>
        <v>PUNCH KENKO NO. 40</v>
      </c>
      <c r="F31">
        <f>SUMIF(Table1[H_A1],Sheet5!A31,Table1[Qty])</f>
        <v>3</v>
      </c>
      <c r="G31" t="str">
        <f>INDEX(Table1[Unit],Table5[[#This Row],[//NOTA]])</f>
        <v>LSN</v>
      </c>
      <c r="H31" s="195">
        <f>SUMIF(Table1[H_A1],Sheet5!A31,Table1[C])</f>
        <v>0</v>
      </c>
      <c r="I31" s="195">
        <f>INDEX(Table1[Unit Price],Table5[[#This Row],[//NOTA]])</f>
        <v>282000</v>
      </c>
      <c r="J31" s="86">
        <f>IF(Table5[[#This Row],[a2]]="","",Table5[[#This Row],[QTY]]*12)</f>
        <v>36</v>
      </c>
      <c r="K31" s="86" t="str">
        <f>IF(Table5[[#This Row],[UNIT]]="grs","LSN",IF(Table5[[#This Row],[UNIT]]="LSN","PCS",""))</f>
        <v>PCS</v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204</v>
      </c>
      <c r="B32" s="88"/>
      <c r="C32" s="194">
        <f>MATCH(A32,Table1[H_A1],0)</f>
        <v>26</v>
      </c>
      <c r="D32" s="194">
        <f>MATCH(Table5[[#This Row],[NAMA]],[1]!db[NB PAJAK],0)</f>
        <v>756</v>
      </c>
      <c r="E32" t="str">
        <f>INDEX(Table1[Item Description],Table5[[#This Row],[//NOTA]])</f>
        <v>STAPLER JOYKO HD-50</v>
      </c>
      <c r="F32">
        <f>SUMIF(Table1[H_A1],Sheet5!A32,Table1[Qty])</f>
        <v>240</v>
      </c>
      <c r="G32" t="str">
        <f>INDEX(Table1[Unit],Table5[[#This Row],[//NOTA]])</f>
        <v>PCS</v>
      </c>
      <c r="H32" s="195">
        <f>SUMIF(Table1[H_A1],Sheet5!A32,Table1[C])</f>
        <v>2</v>
      </c>
      <c r="I32" s="195">
        <f>INDEX(Table1[Unit Price],Table5[[#This Row],[//NOTA]])</f>
        <v>18700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205</v>
      </c>
      <c r="B33" s="88"/>
      <c r="C33" s="194">
        <f>MATCH(A33,Table1[H_A1],0)</f>
        <v>27</v>
      </c>
      <c r="D33" s="194">
        <f>MATCH(Table5[[#This Row],[NAMA]],[1]!db[NB PAJAK],0)</f>
        <v>774</v>
      </c>
      <c r="E33" t="str">
        <f>INDEX(Table1[Item Description],Table5[[#This Row],[//NOTA]])</f>
        <v>STIP / PENGHAPUS JOYKO 526-B20 PUTIH</v>
      </c>
      <c r="F33">
        <f>SUMIF(Table1[H_A1],Sheet5!A33,Table1[Qty])</f>
        <v>150</v>
      </c>
      <c r="G33" t="str">
        <f>INDEX(Table1[Unit],Table5[[#This Row],[//NOTA]])</f>
        <v>BOX</v>
      </c>
      <c r="H33" s="195">
        <f>SUMIF(Table1[H_A1],Sheet5!A33,Table1[C])</f>
        <v>3</v>
      </c>
      <c r="I33" s="195">
        <f>INDEX(Table1[Unit Price],Table5[[#This Row],[//NOTA]])</f>
        <v>34100</v>
      </c>
      <c r="J33" s="86" t="str">
        <f>IF(Table5[[#This Row],[a2]]="","",Table5[[#This Row],[QTY]]*12)</f>
        <v/>
      </c>
      <c r="K33" s="86" t="str">
        <f>IF(Table5[[#This Row],[UNIT]]="grs","LSN",IF(Table5[[#This Row],[UNIT]]="LSN","PCS",""))</f>
        <v/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172</v>
      </c>
      <c r="B34" s="88"/>
      <c r="C34" s="194">
        <f>MATCH(A34,Table1[H_A1],0)</f>
        <v>11</v>
      </c>
      <c r="D34" s="194">
        <f>MATCH(Table5[[#This Row],[NAMA]],[1]!db[NB PAJAK],0)</f>
        <v>777</v>
      </c>
      <c r="E34" t="str">
        <f>INDEX(Table1[Item Description],Table5[[#This Row],[//NOTA]])</f>
        <v>STIP / PENGHAPUS JOYKO 526-B40P PUTIH</v>
      </c>
      <c r="F34">
        <f>SUMIF(Table1[H_A1],Sheet5!A34,Table1[Qty])</f>
        <v>100</v>
      </c>
      <c r="G34" t="str">
        <f>INDEX(Table1[Unit],Table5[[#This Row],[//NOTA]])</f>
        <v>BOX</v>
      </c>
      <c r="H34" s="195">
        <f>SUMIF(Table1[H_A1],Sheet5!A34,Table1[C])</f>
        <v>2</v>
      </c>
      <c r="I34" s="195">
        <f>INDEX(Table1[Unit Price],Table5[[#This Row],[//NOTA]])</f>
        <v>28300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244</v>
      </c>
      <c r="B35" s="88"/>
      <c r="C35" s="194">
        <f>MATCH(A35,Table1[H_A1],0)</f>
        <v>47</v>
      </c>
      <c r="D35" s="194">
        <f>MATCH(Table5[[#This Row],[NAMA]],[1]!db[NB PAJAK],0)</f>
        <v>807</v>
      </c>
      <c r="E35" t="str">
        <f>INDEX(Table1[Item Description],Table5[[#This Row],[//NOTA]])</f>
        <v>TAPE DISPENSER KENKO TD-321 (1" &amp; 3" CORE)</v>
      </c>
      <c r="F35">
        <f>SUMIF(Table1[H_A1],Sheet5!A35,Table1[Qty])</f>
        <v>24</v>
      </c>
      <c r="G35" t="str">
        <f>INDEX(Table1[Unit],Table5[[#This Row],[//NOTA]])</f>
        <v>PCS</v>
      </c>
      <c r="H35" s="195">
        <f>SUMIF(Table1[H_A1],Sheet5!A35,Table1[C])</f>
        <v>1</v>
      </c>
      <c r="I35" s="195">
        <f>INDEX(Table1[Unit Price],Table5[[#This Row],[//NOTA]])</f>
        <v>18500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225</v>
      </c>
      <c r="B36" s="88"/>
      <c r="C36" s="194">
        <f>MATCH(A36,Table1[H_A1],0)</f>
        <v>42</v>
      </c>
      <c r="D36" s="194">
        <f>MATCH(Table5[[#This Row],[NAMA]],[1]!db[NB PAJAK],0)</f>
        <v>813</v>
      </c>
      <c r="E36" t="str">
        <f>INDEX(Table1[Item Description],Table5[[#This Row],[//NOTA]])</f>
        <v>TAPE DISPENSER POLAR BEAR MN-305 @12pc</v>
      </c>
      <c r="F36">
        <f>SUMIF(Table1[H_A1],Sheet5!A36,Table1[Qty])</f>
        <v>2</v>
      </c>
      <c r="G36" t="str">
        <f>INDEX(Table1[Unit],Table5[[#This Row],[//NOTA]])</f>
        <v>BOX</v>
      </c>
      <c r="H36" s="195">
        <f>SUMIF(Table1[H_A1],Sheet5!A36,Table1[C])</f>
        <v>0</v>
      </c>
      <c r="I36" s="195">
        <f>INDEX(Table1[Unit Price],Table5[[#This Row],[//NOTA]])</f>
        <v>105000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55</v>
      </c>
      <c r="B37" s="88"/>
      <c r="C37" s="194" t="e">
        <f>MATCH(A37,Table1[H_A1],0)</f>
        <v>#N/A</v>
      </c>
      <c r="D37" s="194" t="e">
        <f>MATCH(Table5[[#This Row],[NAMA]],[1]!db[NB PAJAK],0)</f>
        <v>#N/A</v>
      </c>
      <c r="E37" t="e">
        <f>INDEX(Table1[Item Description],Table5[[#This Row],[//NOTA]])</f>
        <v>#N/A</v>
      </c>
      <c r="F37">
        <f>SUMIF(Table1[H_A1],Sheet5!A37,Table1[Qty])</f>
        <v>0</v>
      </c>
      <c r="G37" t="e">
        <f>INDEX(Table1[Unit],Table5[[#This Row],[//NOTA]])</f>
        <v>#N/A</v>
      </c>
      <c r="H37" s="195">
        <f>SUMIF(Table1[H_A1],Sheet5!A37,Table1[C])</f>
        <v>0</v>
      </c>
      <c r="I37" s="195" t="e">
        <f>INDEX(Table1[Unit Price],Table5[[#This Row],[//NOTA]])</f>
        <v>#N/A</v>
      </c>
      <c r="J37" s="86" t="e">
        <f>IF(Table5[[#This Row],[a2]]="","",Table5[[#This Row],[QTY]]*12)</f>
        <v>#N/A</v>
      </c>
      <c r="K37" s="86" t="e">
        <f>IF(Table5[[#This Row],[UNIT]]="grs","LSN",IF(Table5[[#This Row],[UNIT]]="LSN","PCS",""))</f>
        <v>#N/A</v>
      </c>
      <c r="L37" s="86" t="e">
        <f>IF(Table5[[#This Row],[a2]]="LSN",Table5[[#This Row],[a1]]*12,"")</f>
        <v>#N/A</v>
      </c>
      <c r="M37" s="86" t="e">
        <f>IF(Table5[[#This Row],[b1]]="","","PCS")</f>
        <v>#N/A</v>
      </c>
      <c r="N37" s="86"/>
      <c r="O37" s="86"/>
    </row>
    <row r="38" spans="1:15" x14ac:dyDescent="0.25">
      <c r="B38" s="88"/>
      <c r="C38" s="194" t="e">
        <f>MATCH(A38,Table1[H_A1],0)</f>
        <v>#N/A</v>
      </c>
      <c r="D38" s="194" t="e">
        <f>MATCH(Table5[[#This Row],[NAMA]],[1]!db[NB PAJAK],0)</f>
        <v>#N/A</v>
      </c>
      <c r="E38" t="e">
        <f>INDEX(Table1[Item Description],Table5[[#This Row],[//NOTA]])</f>
        <v>#N/A</v>
      </c>
      <c r="F38">
        <f>SUMIF(Table1[H_A1],Sheet5!A38,Table1[Qty])</f>
        <v>0</v>
      </c>
      <c r="G38" t="e">
        <f>INDEX(Table1[Unit],Table5[[#This Row],[//NOTA]])</f>
        <v>#N/A</v>
      </c>
      <c r="H38" s="195">
        <f>SUMIF(Table1[H_A1],Sheet5!A38,Table1[C])</f>
        <v>0</v>
      </c>
      <c r="I38" s="195" t="e">
        <f>INDEX(Table1[Unit Price],Table5[[#This Row],[//NOTA]])</f>
        <v>#N/A</v>
      </c>
      <c r="J38" s="86" t="e">
        <f>IF(Table5[[#This Row],[a2]]="","",Table5[[#This Row],[QTY]]*12)</f>
        <v>#N/A</v>
      </c>
      <c r="K38" s="86" t="e">
        <f>IF(Table5[[#This Row],[UNIT]]="grs","LSN",IF(Table5[[#This Row],[UNIT]]="LSN","PCS",""))</f>
        <v>#N/A</v>
      </c>
      <c r="L38" s="86" t="e">
        <f>IF(Table5[[#This Row],[a2]]="LSN",Table5[[#This Row],[a1]]*12,"")</f>
        <v>#N/A</v>
      </c>
      <c r="M38" s="86" t="e">
        <f>IF(Table5[[#This Row],[b1]]="","","PCS")</f>
        <v>#N/A</v>
      </c>
      <c r="N38" s="86"/>
      <c r="O38" s="86"/>
    </row>
    <row r="39" spans="1:15" x14ac:dyDescent="0.25">
      <c r="B39" s="88"/>
      <c r="C39" s="194" t="e">
        <f>MATCH(A39,Table1[H_A1],0)</f>
        <v>#N/A</v>
      </c>
      <c r="D39" s="194" t="e">
        <f>MATCH(Table5[[#This Row],[NAMA]],[1]!db[NB PAJAK],0)</f>
        <v>#N/A</v>
      </c>
      <c r="E39" t="e">
        <f>INDEX(Table1[Item Description],Table5[[#This Row],[//NOTA]])</f>
        <v>#N/A</v>
      </c>
      <c r="F39">
        <f>SUMIF(Table1[H_A1],Sheet5!A39,Table1[Qty])</f>
        <v>0</v>
      </c>
      <c r="G39" t="e">
        <f>INDEX(Table1[Unit],Table5[[#This Row],[//NOTA]])</f>
        <v>#N/A</v>
      </c>
      <c r="H39" s="195">
        <f>SUMIF(Table1[H_A1],Sheet5!A39,Table1[C])</f>
        <v>0</v>
      </c>
      <c r="I39" s="195" t="e">
        <f>INDEX(Table1[Unit Price],Table5[[#This Row],[//NOTA]])</f>
        <v>#N/A</v>
      </c>
      <c r="J39" s="86" t="e">
        <f>IF(Table5[[#This Row],[a2]]="","",Table5[[#This Row],[QTY]]*12)</f>
        <v>#N/A</v>
      </c>
      <c r="K39" s="86" t="e">
        <f>IF(Table5[[#This Row],[UNIT]]="grs","LSN",IF(Table5[[#This Row],[UNIT]]="LSN","PCS",""))</f>
        <v>#N/A</v>
      </c>
      <c r="L39" s="86" t="e">
        <f>IF(Table5[[#This Row],[a2]]="LSN",Table5[[#This Row],[a1]]*12,"")</f>
        <v>#N/A</v>
      </c>
      <c r="M39" s="86" t="e">
        <f>IF(Table5[[#This Row],[b1]]="","","PCS")</f>
        <v>#N/A</v>
      </c>
      <c r="N39" s="86"/>
      <c r="O39" s="86"/>
    </row>
    <row r="40" spans="1:15" x14ac:dyDescent="0.25">
      <c r="B40" s="88"/>
      <c r="C40" s="194" t="e">
        <f>MATCH(A40,Table1[H_A1],0)</f>
        <v>#N/A</v>
      </c>
      <c r="D40" s="194" t="e">
        <f>MATCH(Table5[[#This Row],[NAMA]],[1]!db[NB PAJAK],0)</f>
        <v>#N/A</v>
      </c>
      <c r="E40" t="e">
        <f>INDEX(Table1[Item Description],Table5[[#This Row],[//NOTA]])</f>
        <v>#N/A</v>
      </c>
      <c r="F40">
        <f>SUMIF(Table1[H_A1],Sheet5!A40,Table1[Qty])</f>
        <v>0</v>
      </c>
      <c r="G40" t="e">
        <f>INDEX(Table1[Unit],Table5[[#This Row],[//NOTA]])</f>
        <v>#N/A</v>
      </c>
      <c r="H40" s="195">
        <f>SUMIF(Table1[H_A1],Sheet5!A40,Table1[C])</f>
        <v>0</v>
      </c>
      <c r="I40" s="195" t="e">
        <f>INDEX(Table1[Unit Price],Table5[[#This Row],[//NOTA]])</f>
        <v>#N/A</v>
      </c>
      <c r="J40" s="86" t="e">
        <f>IF(Table5[[#This Row],[a2]]="","",Table5[[#This Row],[QTY]]*12)</f>
        <v>#N/A</v>
      </c>
      <c r="K40" s="86" t="e">
        <f>IF(Table5[[#This Row],[UNIT]]="grs","LSN",IF(Table5[[#This Row],[UNIT]]="LSN","PCS",""))</f>
        <v>#N/A</v>
      </c>
      <c r="L40" s="86" t="e">
        <f>IF(Table5[[#This Row],[a2]]="LSN",Table5[[#This Row],[a1]]*12,"")</f>
        <v>#N/A</v>
      </c>
      <c r="M40" s="86" t="e">
        <f>IF(Table5[[#This Row],[b1]]="","","PCS")</f>
        <v>#N/A</v>
      </c>
      <c r="N40" s="86"/>
      <c r="O40" s="86"/>
    </row>
    <row r="41" spans="1:15" x14ac:dyDescent="0.25">
      <c r="B41" s="88"/>
      <c r="C41" s="194" t="e">
        <f>MATCH(A41,Table1[H_A1],0)</f>
        <v>#N/A</v>
      </c>
      <c r="D41" s="194" t="e">
        <f>MATCH(Table5[[#This Row],[NAMA]],[1]!db[NB PAJAK],0)</f>
        <v>#N/A</v>
      </c>
      <c r="E41" t="e">
        <f>INDEX(Table1[Item Description],Table5[[#This Row],[//NOTA]])</f>
        <v>#N/A</v>
      </c>
      <c r="F41">
        <f>SUMIF(Table1[H_A1],Sheet5!A41,Table1[Qty])</f>
        <v>0</v>
      </c>
      <c r="G41" t="e">
        <f>INDEX(Table1[Unit],Table5[[#This Row],[//NOTA]])</f>
        <v>#N/A</v>
      </c>
      <c r="H41" s="195">
        <f>SUMIF(Table1[H_A1],Sheet5!A41,Table1[C])</f>
        <v>0</v>
      </c>
      <c r="I41" s="195" t="e">
        <f>INDEX(Table1[Unit Price],Table5[[#This Row],[//NOTA]])</f>
        <v>#N/A</v>
      </c>
      <c r="J41" s="86" t="e">
        <f>IF(Table5[[#This Row],[a2]]="","",Table5[[#This Row],[QTY]]*12)</f>
        <v>#N/A</v>
      </c>
      <c r="K41" s="86" t="e">
        <f>IF(Table5[[#This Row],[UNIT]]="grs","LSN",IF(Table5[[#This Row],[UNIT]]="LSN","PCS",""))</f>
        <v>#N/A</v>
      </c>
      <c r="L41" s="86" t="e">
        <f>IF(Table5[[#This Row],[a2]]="LSN",Table5[[#This Row],[a1]]*12,"")</f>
        <v>#N/A</v>
      </c>
      <c r="M41" s="86" t="e">
        <f>IF(Table5[[#This Row],[b1]]="","","PCS")</f>
        <v>#N/A</v>
      </c>
      <c r="N41" s="86"/>
      <c r="O41" s="86"/>
    </row>
    <row r="42" spans="1:15" x14ac:dyDescent="0.25">
      <c r="B42" s="88"/>
      <c r="C42" s="194" t="e">
        <f>MATCH(A42,Table1[H_A1],0)</f>
        <v>#N/A</v>
      </c>
      <c r="D42" s="194" t="e">
        <f>MATCH(Table5[[#This Row],[NAMA]],[1]!db[NB PAJAK],0)</f>
        <v>#N/A</v>
      </c>
      <c r="E42" t="e">
        <f>INDEX(Table1[Item Description],Table5[[#This Row],[//NOTA]])</f>
        <v>#N/A</v>
      </c>
      <c r="F42">
        <f>SUMIF(Table1[H_A1],Sheet5!A42,Table1[Qty])</f>
        <v>0</v>
      </c>
      <c r="G42" t="e">
        <f>INDEX(Table1[Unit],Table5[[#This Row],[//NOTA]])</f>
        <v>#N/A</v>
      </c>
      <c r="H42" s="195">
        <f>SUMIF(Table1[H_A1],Sheet5!A42,Table1[C])</f>
        <v>0</v>
      </c>
      <c r="I42" s="195" t="e">
        <f>INDEX(Table1[Unit Price],Table5[[#This Row],[//NOTA]])</f>
        <v>#N/A</v>
      </c>
      <c r="J42" s="86" t="e">
        <f>IF(Table5[[#This Row],[a2]]="","",Table5[[#This Row],[QTY]]*12)</f>
        <v>#N/A</v>
      </c>
      <c r="K42" s="86" t="e">
        <f>IF(Table5[[#This Row],[UNIT]]="grs","LSN",IF(Table5[[#This Row],[UNIT]]="LSN","PCS",""))</f>
        <v>#N/A</v>
      </c>
      <c r="L42" s="86" t="e">
        <f>IF(Table5[[#This Row],[a2]]="LSN",Table5[[#This Row],[a1]]*12,"")</f>
        <v>#N/A</v>
      </c>
      <c r="M42" s="86" t="e">
        <f>IF(Table5[[#This Row],[b1]]="","","PCS")</f>
        <v>#N/A</v>
      </c>
      <c r="N42" s="86"/>
      <c r="O42" s="86"/>
    </row>
    <row r="43" spans="1:15" x14ac:dyDescent="0.25">
      <c r="B43" s="88"/>
      <c r="C43" s="194" t="e">
        <f>MATCH(A43,Table1[H_A1],0)</f>
        <v>#N/A</v>
      </c>
      <c r="D43" s="194" t="e">
        <f>MATCH(Table5[[#This Row],[NAMA]],[1]!db[NB PAJAK],0)</f>
        <v>#N/A</v>
      </c>
      <c r="E43" t="e">
        <f>INDEX(Table1[Item Description],Table5[[#This Row],[//NOTA]])</f>
        <v>#N/A</v>
      </c>
      <c r="F43">
        <f>SUMIF(Table1[H_A1],Sheet5!A43,Table1[Qty])</f>
        <v>0</v>
      </c>
      <c r="G43" t="e">
        <f>INDEX(Table1[Unit],Table5[[#This Row],[//NOTA]])</f>
        <v>#N/A</v>
      </c>
      <c r="H43" s="195">
        <f>SUMIF(Table1[H_A1],Sheet5!A43,Table1[C])</f>
        <v>0</v>
      </c>
      <c r="I43" s="195" t="e">
        <f>INDEX(Table1[Unit Price],Table5[[#This Row],[//NOTA]])</f>
        <v>#N/A</v>
      </c>
      <c r="J43" s="86" t="e">
        <f>IF(Table5[[#This Row],[a2]]="","",Table5[[#This Row],[QTY]]*12)</f>
        <v>#N/A</v>
      </c>
      <c r="K43" s="86" t="e">
        <f>IF(Table5[[#This Row],[UNIT]]="grs","LSN",IF(Table5[[#This Row],[UNIT]]="LSN","PCS",""))</f>
        <v>#N/A</v>
      </c>
      <c r="L43" s="86" t="e">
        <f>IF(Table5[[#This Row],[a2]]="LSN",Table5[[#This Row],[a1]]*12,"")</f>
        <v>#N/A</v>
      </c>
      <c r="M43" s="86" t="e">
        <f>IF(Table5[[#This Row],[b1]]="","","PCS")</f>
        <v>#N/A</v>
      </c>
      <c r="N43" s="86"/>
      <c r="O43" s="86"/>
    </row>
    <row r="44" spans="1:15" x14ac:dyDescent="0.25">
      <c r="B44" s="88"/>
      <c r="C44" s="194" t="e">
        <f>MATCH(A44,Table1[H_A1],0)</f>
        <v>#N/A</v>
      </c>
      <c r="D44" s="194" t="e">
        <f>MATCH(Table5[[#This Row],[NAMA]],[1]!db[NB PAJAK],0)</f>
        <v>#N/A</v>
      </c>
      <c r="E44" t="e">
        <f>INDEX(Table1[Item Description],Table5[[#This Row],[//NOTA]])</f>
        <v>#N/A</v>
      </c>
      <c r="F44">
        <f>SUMIF(Table1[H_A1],Sheet5!A44,Table1[Qty])</f>
        <v>0</v>
      </c>
      <c r="G44" t="e">
        <f>INDEX(Table1[Unit],Table5[[#This Row],[//NOTA]])</f>
        <v>#N/A</v>
      </c>
      <c r="H44" s="195">
        <f>SUMIF(Table1[H_A1],Sheet5!A44,Table1[C])</f>
        <v>0</v>
      </c>
      <c r="I44" s="195" t="e">
        <f>INDEX(Table1[Unit Price],Table5[[#This Row],[//NOTA]])</f>
        <v>#N/A</v>
      </c>
      <c r="J44" s="86" t="e">
        <f>IF(Table5[[#This Row],[a2]]="","",Table5[[#This Row],[QTY]]*12)</f>
        <v>#N/A</v>
      </c>
      <c r="K44" s="86" t="e">
        <f>IF(Table5[[#This Row],[UNIT]]="grs","LSN",IF(Table5[[#This Row],[UNIT]]="LSN","PCS",""))</f>
        <v>#N/A</v>
      </c>
      <c r="L44" s="86" t="e">
        <f>IF(Table5[[#This Row],[a2]]="LSN",Table5[[#This Row],[a1]]*12,"")</f>
        <v>#N/A</v>
      </c>
      <c r="M44" s="86" t="e">
        <f>IF(Table5[[#This Row],[b1]]="","","PCS")</f>
        <v>#N/A</v>
      </c>
      <c r="N44" s="86"/>
      <c r="O44" s="86"/>
    </row>
    <row r="45" spans="1:15" x14ac:dyDescent="0.25">
      <c r="B45" s="88"/>
      <c r="C45" s="194" t="e">
        <f>MATCH(A45,Table1[H_A1],0)</f>
        <v>#N/A</v>
      </c>
      <c r="D45" s="194" t="e">
        <f>MATCH(Table5[[#This Row],[NAMA]],[1]!db[NB PAJAK],0)</f>
        <v>#N/A</v>
      </c>
      <c r="E45" t="e">
        <f>INDEX(Table1[Item Description],Table5[[#This Row],[//NOTA]])</f>
        <v>#N/A</v>
      </c>
      <c r="F45">
        <f>SUMIF(Table1[H_A1],Sheet5!A45,Table1[Qty])</f>
        <v>0</v>
      </c>
      <c r="G45" t="e">
        <f>INDEX(Table1[Unit],Table5[[#This Row],[//NOTA]])</f>
        <v>#N/A</v>
      </c>
      <c r="H45" s="195">
        <f>SUMIF(Table1[H_A1],Sheet5!A45,Table1[C])</f>
        <v>0</v>
      </c>
      <c r="I45" s="195" t="e">
        <f>INDEX(Table1[Unit Price],Table5[[#This Row],[//NOTA]])</f>
        <v>#N/A</v>
      </c>
      <c r="J45" s="86" t="e">
        <f>IF(Table5[[#This Row],[a2]]="","",Table5[[#This Row],[QTY]]*12)</f>
        <v>#N/A</v>
      </c>
      <c r="K45" s="86" t="e">
        <f>IF(Table5[[#This Row],[UNIT]]="grs","LSN",IF(Table5[[#This Row],[UNIT]]="LSN","PCS",""))</f>
        <v>#N/A</v>
      </c>
      <c r="L45" s="86" t="e">
        <f>IF(Table5[[#This Row],[a2]]="LSN",Table5[[#This Row],[a1]]*12,"")</f>
        <v>#N/A</v>
      </c>
      <c r="M45" s="86" t="e">
        <f>IF(Table5[[#This Row],[b1]]="","","PCS")</f>
        <v>#N/A</v>
      </c>
      <c r="N45" s="86"/>
      <c r="O45" s="86"/>
    </row>
    <row r="46" spans="1:15" x14ac:dyDescent="0.25">
      <c r="B46" s="88"/>
      <c r="C46" s="194" t="e">
        <f>MATCH(A46,Table1[H_A1],0)</f>
        <v>#N/A</v>
      </c>
      <c r="D46" s="194" t="e">
        <f>MATCH(Table5[[#This Row],[NAMA]],[1]!db[NB PAJAK],0)</f>
        <v>#N/A</v>
      </c>
      <c r="E46" t="e">
        <f>INDEX(Table1[Item Description],Table5[[#This Row],[//NOTA]])</f>
        <v>#N/A</v>
      </c>
      <c r="F46">
        <f>SUMIF(Table1[H_A1],Sheet5!A46,Table1[Qty])</f>
        <v>0</v>
      </c>
      <c r="G46" t="e">
        <f>INDEX(Table1[Unit],Table5[[#This Row],[//NOTA]])</f>
        <v>#N/A</v>
      </c>
      <c r="H46" s="195">
        <f>SUMIF(Table1[H_A1],Sheet5!A46,Table1[C])</f>
        <v>0</v>
      </c>
      <c r="I46" s="195" t="e">
        <f>INDEX(Table1[Unit Price],Table5[[#This Row],[//NOTA]])</f>
        <v>#N/A</v>
      </c>
      <c r="J46" s="86" t="e">
        <f>IF(Table5[[#This Row],[a2]]="","",Table5[[#This Row],[QTY]]*12)</f>
        <v>#N/A</v>
      </c>
      <c r="K46" s="86" t="e">
        <f>IF(Table5[[#This Row],[UNIT]]="grs","LSN",IF(Table5[[#This Row],[UNIT]]="LSN","PCS",""))</f>
        <v>#N/A</v>
      </c>
      <c r="L46" s="86" t="e">
        <f>IF(Table5[[#This Row],[a2]]="LSN",Table5[[#This Row],[a1]]*12,"")</f>
        <v>#N/A</v>
      </c>
      <c r="M46" s="86" t="e">
        <f>IF(Table5[[#This Row],[b1]]="","","PCS")</f>
        <v>#N/A</v>
      </c>
      <c r="N46" s="86"/>
      <c r="O46" s="86"/>
    </row>
    <row r="47" spans="1:15" x14ac:dyDescent="0.25"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1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8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2023-05-17T03:25:50Z</dcterms:modified>
</cp:coreProperties>
</file>