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4 APRIL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3" r:id="rId17"/>
  </pivotCaches>
</workbook>
</file>

<file path=xl/calcChain.xml><?xml version="1.0" encoding="utf-8"?>
<calcChain xmlns="http://schemas.openxmlformats.org/spreadsheetml/2006/main">
  <c r="B368" i="1" l="1"/>
  <c r="C368" i="1" s="1"/>
  <c r="AD368" i="1"/>
  <c r="AE368" i="1"/>
  <c r="W368" i="1" s="1"/>
  <c r="AK368" i="1"/>
  <c r="AL368" i="1" s="1"/>
  <c r="AN368" i="1"/>
  <c r="AO368" i="1" s="1"/>
  <c r="B362" i="1"/>
  <c r="C362" i="1" s="1"/>
  <c r="AD362" i="1"/>
  <c r="AE362" i="1"/>
  <c r="W362" i="1" s="1"/>
  <c r="AK362" i="1"/>
  <c r="AL362" i="1" s="1"/>
  <c r="AN362" i="1"/>
  <c r="AO362" i="1" s="1"/>
  <c r="B364" i="1"/>
  <c r="C364" i="1" s="1"/>
  <c r="AD364" i="1"/>
  <c r="AE364" i="1"/>
  <c r="W364" i="1" s="1"/>
  <c r="AK364" i="1"/>
  <c r="AL364" i="1" s="1"/>
  <c r="AN364" i="1"/>
  <c r="AO364" i="1" s="1"/>
  <c r="AM368" i="1" l="1"/>
  <c r="X368" i="1"/>
  <c r="Y368" i="1" s="1"/>
  <c r="Z368" i="1" s="1"/>
  <c r="AA368" i="1" s="1"/>
  <c r="AM362" i="1"/>
  <c r="AM364" i="1"/>
  <c r="X362" i="1"/>
  <c r="X364" i="1"/>
  <c r="B23" i="1"/>
  <c r="C23" i="1" s="1"/>
  <c r="D23" i="1"/>
  <c r="AC23" i="1" s="1"/>
  <c r="AD23" i="1"/>
  <c r="AE23" i="1"/>
  <c r="W23" i="1" s="1"/>
  <c r="AG23" i="1"/>
  <c r="AJ23" i="1" s="1"/>
  <c r="AK23" i="1"/>
  <c r="AL23" i="1" s="1"/>
  <c r="AN23" i="1"/>
  <c r="AO23" i="1" s="1"/>
  <c r="AE24" i="1"/>
  <c r="W24" i="1" s="1"/>
  <c r="AJ24" i="1"/>
  <c r="AK24" i="1"/>
  <c r="Y364" i="1" l="1"/>
  <c r="Z364" i="1" s="1"/>
  <c r="AA364" i="1" s="1"/>
  <c r="Y362" i="1"/>
  <c r="Z362" i="1" s="1"/>
  <c r="AA362" i="1" s="1"/>
  <c r="AP23" i="1"/>
  <c r="AM23" i="1"/>
  <c r="AD24" i="1"/>
  <c r="AL24" i="1" s="1"/>
  <c r="AH23" i="1"/>
  <c r="AF23" i="1"/>
  <c r="AN24" i="1"/>
  <c r="AO24" i="1" s="1"/>
  <c r="AB23" i="1"/>
  <c r="X24" i="1"/>
  <c r="Y24" i="1" s="1"/>
  <c r="Z24" i="1" s="1"/>
  <c r="AA24" i="1" s="1"/>
  <c r="Y23" i="1"/>
  <c r="AA23" i="1"/>
  <c r="X23" i="1"/>
  <c r="Z23" i="1"/>
  <c r="N117" i="1"/>
  <c r="P113" i="1"/>
  <c r="P112" i="1"/>
  <c r="AM24" i="1" l="1"/>
  <c r="B27" i="1"/>
  <c r="C27" i="1" s="1"/>
  <c r="D27" i="1"/>
  <c r="AC27" i="1" s="1"/>
  <c r="AD27" i="1"/>
  <c r="AE27" i="1"/>
  <c r="W27" i="1" s="1"/>
  <c r="AG27" i="1"/>
  <c r="AJ27" i="1" s="1"/>
  <c r="AK27" i="1"/>
  <c r="AL27" i="1" s="1"/>
  <c r="AN27" i="1"/>
  <c r="AO27" i="1" s="1"/>
  <c r="B12" i="1"/>
  <c r="B14" i="1"/>
  <c r="B16" i="1"/>
  <c r="B17" i="1"/>
  <c r="B18" i="1"/>
  <c r="B19" i="1"/>
  <c r="B20" i="1"/>
  <c r="B21" i="1"/>
  <c r="B22" i="1"/>
  <c r="B25" i="1"/>
  <c r="C12" i="1"/>
  <c r="C14" i="1"/>
  <c r="C16" i="1"/>
  <c r="C17" i="1"/>
  <c r="C18" i="1"/>
  <c r="C19" i="1"/>
  <c r="C20" i="1"/>
  <c r="C21" i="1"/>
  <c r="C22" i="1"/>
  <c r="C25" i="1"/>
  <c r="AE11" i="1"/>
  <c r="W11" i="1" s="1"/>
  <c r="AE12" i="1"/>
  <c r="AE13" i="1"/>
  <c r="W13" i="1" s="1"/>
  <c r="AE14" i="1"/>
  <c r="W14" i="1" s="1"/>
  <c r="AE15" i="1"/>
  <c r="W15" i="1" s="1"/>
  <c r="AE16" i="1"/>
  <c r="AE17" i="1"/>
  <c r="W17" i="1" s="1"/>
  <c r="AE18" i="1"/>
  <c r="W18" i="1" s="1"/>
  <c r="AE19" i="1"/>
  <c r="W19" i="1" s="1"/>
  <c r="AE20" i="1"/>
  <c r="W20" i="1" s="1"/>
  <c r="AE21" i="1"/>
  <c r="W21" i="1" s="1"/>
  <c r="AE22" i="1"/>
  <c r="W22" i="1" s="1"/>
  <c r="AE25" i="1"/>
  <c r="W25" i="1" s="1"/>
  <c r="AE26" i="1"/>
  <c r="W26" i="1" s="1"/>
  <c r="AK11" i="1"/>
  <c r="AN11" i="1" s="1"/>
  <c r="AO11" i="1" s="1"/>
  <c r="AK12" i="1"/>
  <c r="AK13" i="1"/>
  <c r="AK14" i="1"/>
  <c r="AK15" i="1"/>
  <c r="AN15" i="1" s="1"/>
  <c r="AO15" i="1" s="1"/>
  <c r="AK16" i="1"/>
  <c r="AK17" i="1"/>
  <c r="AK18" i="1"/>
  <c r="AK19" i="1"/>
  <c r="AK20" i="1"/>
  <c r="AK21" i="1"/>
  <c r="AK22" i="1"/>
  <c r="AK25" i="1"/>
  <c r="AP25" i="1" s="1"/>
  <c r="AK26" i="1"/>
  <c r="AN26" i="1" s="1"/>
  <c r="AO26" i="1" s="1"/>
  <c r="AN12" i="1"/>
  <c r="AN14" i="1"/>
  <c r="AN16" i="1"/>
  <c r="AO16" i="1" s="1"/>
  <c r="AN17" i="1"/>
  <c r="AO17" i="1" s="1"/>
  <c r="AN18" i="1"/>
  <c r="AN19" i="1"/>
  <c r="AO19" i="1" s="1"/>
  <c r="AN20" i="1"/>
  <c r="AO20" i="1" s="1"/>
  <c r="AN21" i="1"/>
  <c r="AO21" i="1" s="1"/>
  <c r="AN22" i="1"/>
  <c r="AO22" i="1" s="1"/>
  <c r="AN25" i="1"/>
  <c r="AO25" i="1" s="1"/>
  <c r="AO12" i="1"/>
  <c r="AO14" i="1"/>
  <c r="AO18" i="1"/>
  <c r="AP12" i="1"/>
  <c r="AD14" i="1" l="1"/>
  <c r="AM14" i="1" s="1"/>
  <c r="AP27" i="1"/>
  <c r="AM27" i="1"/>
  <c r="AN13" i="1"/>
  <c r="AO13" i="1" s="1"/>
  <c r="AH27" i="1"/>
  <c r="AF27" i="1"/>
  <c r="AB27" i="1"/>
  <c r="Y27" i="1"/>
  <c r="AA27" i="1"/>
  <c r="X27" i="1"/>
  <c r="Z27" i="1"/>
  <c r="W16" i="1"/>
  <c r="AD16" i="1"/>
  <c r="AM16" i="1" s="1"/>
  <c r="W12" i="1"/>
  <c r="AD12" i="1"/>
  <c r="AM12" i="1" s="1"/>
  <c r="AD26" i="1"/>
  <c r="AM26" i="1" s="1"/>
  <c r="AD20" i="1"/>
  <c r="AM20" i="1" s="1"/>
  <c r="AD22" i="1"/>
  <c r="AL22" i="1" s="1"/>
  <c r="AD18" i="1"/>
  <c r="AL18" i="1" s="1"/>
  <c r="AD25" i="1"/>
  <c r="AD21" i="1"/>
  <c r="AD19" i="1"/>
  <c r="AD17" i="1"/>
  <c r="AD15" i="1"/>
  <c r="AD13" i="1"/>
  <c r="AD11" i="1"/>
  <c r="X25" i="1"/>
  <c r="Y25" i="1" s="1"/>
  <c r="Z25" i="1" s="1"/>
  <c r="AA25" i="1" s="1"/>
  <c r="X21" i="1"/>
  <c r="Y21" i="1" s="1"/>
  <c r="Z21" i="1" s="1"/>
  <c r="AA21" i="1" s="1"/>
  <c r="X19" i="1"/>
  <c r="Y19" i="1" s="1"/>
  <c r="Z19" i="1" s="1"/>
  <c r="AA19" i="1" s="1"/>
  <c r="X17" i="1"/>
  <c r="Y17" i="1" s="1"/>
  <c r="Z17" i="1" s="1"/>
  <c r="AA17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26" i="1"/>
  <c r="Y26" i="1" s="1"/>
  <c r="Z26" i="1" s="1"/>
  <c r="AA26" i="1" s="1"/>
  <c r="X22" i="1"/>
  <c r="Y22" i="1" s="1"/>
  <c r="Z22" i="1" s="1"/>
  <c r="AA22" i="1" s="1"/>
  <c r="X20" i="1"/>
  <c r="Y20" i="1" s="1"/>
  <c r="Z20" i="1" s="1"/>
  <c r="AA20" i="1" s="1"/>
  <c r="X18" i="1"/>
  <c r="Y18" i="1" s="1"/>
  <c r="Z18" i="1" s="1"/>
  <c r="AA18" i="1" s="1"/>
  <c r="X16" i="1"/>
  <c r="Y16" i="1" s="1"/>
  <c r="Z16" i="1" s="1"/>
  <c r="AA16" i="1" s="1"/>
  <c r="X14" i="1"/>
  <c r="Y14" i="1" s="1"/>
  <c r="Z14" i="1" s="1"/>
  <c r="AA14" i="1" s="1"/>
  <c r="X12" i="1"/>
  <c r="Y12" i="1" s="1"/>
  <c r="Z12" i="1" s="1"/>
  <c r="AA12" i="1" s="1"/>
  <c r="AL14" i="1" l="1"/>
  <c r="AL13" i="1"/>
  <c r="AM13" i="1"/>
  <c r="AL17" i="1"/>
  <c r="AM17" i="1"/>
  <c r="AL21" i="1"/>
  <c r="AM21" i="1"/>
  <c r="AL12" i="1"/>
  <c r="AL20" i="1"/>
  <c r="AL16" i="1"/>
  <c r="AL11" i="1"/>
  <c r="AM11" i="1"/>
  <c r="AL15" i="1"/>
  <c r="AM15" i="1"/>
  <c r="AL19" i="1"/>
  <c r="AM19" i="1"/>
  <c r="AL25" i="1"/>
  <c r="AM25" i="1"/>
  <c r="AM18" i="1"/>
  <c r="AM22" i="1"/>
  <c r="AL26" i="1"/>
  <c r="AE38" i="1" l="1"/>
  <c r="AD38" i="1" s="1"/>
  <c r="AK38" i="1"/>
  <c r="AL38" i="1" s="1"/>
  <c r="W38" i="1" l="1"/>
  <c r="X38" i="1" s="1"/>
  <c r="Y38" i="1" s="1"/>
  <c r="Z38" i="1" s="1"/>
  <c r="AA38" i="1" s="1"/>
  <c r="AM38" i="1"/>
  <c r="AP38" i="1"/>
  <c r="AN38" i="1"/>
  <c r="AO38" i="1" s="1"/>
  <c r="AE39" i="1"/>
  <c r="AD39" i="1" s="1"/>
  <c r="AK39" i="1"/>
  <c r="B40" i="1"/>
  <c r="C40" i="1" s="1"/>
  <c r="AE40" i="1"/>
  <c r="AD40" i="1" s="1"/>
  <c r="AK40" i="1"/>
  <c r="AM40" i="1"/>
  <c r="AN40" i="1"/>
  <c r="AO40" i="1" s="1"/>
  <c r="AP40" i="1"/>
  <c r="AE41" i="1"/>
  <c r="AD41" i="1" s="1"/>
  <c r="AK41" i="1"/>
  <c r="B42" i="1"/>
  <c r="C42" i="1" s="1"/>
  <c r="AE42" i="1"/>
  <c r="AD42" i="1" s="1"/>
  <c r="AK42" i="1"/>
  <c r="AN42" i="1"/>
  <c r="AO42" i="1" s="1"/>
  <c r="B43" i="1"/>
  <c r="C43" i="1"/>
  <c r="AE43" i="1"/>
  <c r="AD43" i="1" s="1"/>
  <c r="AK43" i="1"/>
  <c r="AL43" i="1" s="1"/>
  <c r="AN43" i="1"/>
  <c r="AO43" i="1" s="1"/>
  <c r="AM42" i="1" l="1"/>
  <c r="AL41" i="1"/>
  <c r="AN41" i="1"/>
  <c r="AO41" i="1" s="1"/>
  <c r="AL39" i="1"/>
  <c r="AN39" i="1"/>
  <c r="AO39" i="1" s="1"/>
  <c r="W43" i="1"/>
  <c r="X43" i="1" s="1"/>
  <c r="Y43" i="1" s="1"/>
  <c r="Z43" i="1" s="1"/>
  <c r="AA43" i="1" s="1"/>
  <c r="W42" i="1"/>
  <c r="X42" i="1" s="1"/>
  <c r="Y42" i="1" s="1"/>
  <c r="Z42" i="1" s="1"/>
  <c r="AA42" i="1" s="1"/>
  <c r="W41" i="1"/>
  <c r="X41" i="1" s="1"/>
  <c r="Y41" i="1" s="1"/>
  <c r="Z41" i="1" s="1"/>
  <c r="AA41" i="1" s="1"/>
  <c r="W40" i="1"/>
  <c r="X40" i="1" s="1"/>
  <c r="Y40" i="1" s="1"/>
  <c r="Z40" i="1" s="1"/>
  <c r="AA40" i="1" s="1"/>
  <c r="W39" i="1"/>
  <c r="X39" i="1" s="1"/>
  <c r="Y39" i="1" s="1"/>
  <c r="Z39" i="1" s="1"/>
  <c r="AA39" i="1" s="1"/>
  <c r="AP43" i="1"/>
  <c r="AM43" i="1"/>
  <c r="AL42" i="1"/>
  <c r="AM41" i="1"/>
  <c r="AL40" i="1"/>
  <c r="AM39" i="1"/>
  <c r="AE44" i="1"/>
  <c r="AK44" i="1"/>
  <c r="AN44" i="1" s="1"/>
  <c r="AO44" i="1" s="1"/>
  <c r="AD44" i="1" l="1"/>
  <c r="W44" i="1"/>
  <c r="AL44" i="1"/>
  <c r="AM44" i="1"/>
  <c r="B45" i="1"/>
  <c r="C45" i="1" s="1"/>
  <c r="AE45" i="1"/>
  <c r="W45" i="1" s="1"/>
  <c r="AD45" i="1" l="1"/>
  <c r="X44" i="1"/>
  <c r="Y44" i="1" s="1"/>
  <c r="X45" i="1"/>
  <c r="AK45" i="1"/>
  <c r="AL45" i="1" s="1"/>
  <c r="AN45" i="1"/>
  <c r="AO45" i="1" s="1"/>
  <c r="Y45" i="1" l="1"/>
  <c r="Z45" i="1" s="1"/>
  <c r="AA45" i="1" s="1"/>
  <c r="Z44" i="1"/>
  <c r="AA44" i="1" s="1"/>
  <c r="AM45" i="1"/>
  <c r="AE46" i="1" l="1"/>
  <c r="AK46" i="1"/>
  <c r="AD46" i="1" l="1"/>
  <c r="AL46" i="1" s="1"/>
  <c r="W46" i="1"/>
  <c r="AN46" i="1"/>
  <c r="AO46" i="1" s="1"/>
  <c r="B47" i="1"/>
  <c r="C47" i="1" s="1"/>
  <c r="AE47" i="1"/>
  <c r="AD47" i="1" s="1"/>
  <c r="AK47" i="1"/>
  <c r="AN47" i="1"/>
  <c r="AO47" i="1" s="1"/>
  <c r="AL47" i="1" l="1"/>
  <c r="AM46" i="1"/>
  <c r="W47" i="1"/>
  <c r="X47" i="1" s="1"/>
  <c r="Y47" i="1" s="1"/>
  <c r="Z47" i="1" s="1"/>
  <c r="AA47" i="1" s="1"/>
  <c r="X46" i="1"/>
  <c r="Y46" i="1" s="1"/>
  <c r="AM47" i="1"/>
  <c r="B48" i="1"/>
  <c r="C48" i="1" s="1"/>
  <c r="Z46" i="1" l="1"/>
  <c r="AA46" i="1" s="1"/>
  <c r="AE48" i="1"/>
  <c r="AK48" i="1"/>
  <c r="AN48" i="1"/>
  <c r="AO48" i="1" s="1"/>
  <c r="AD48" i="1" l="1"/>
  <c r="AM48" i="1" s="1"/>
  <c r="W48" i="1"/>
  <c r="AL48" i="1"/>
  <c r="B49" i="1"/>
  <c r="C49" i="1" s="1"/>
  <c r="X48" i="1" l="1"/>
  <c r="Y48" i="1"/>
  <c r="Z48" i="1" s="1"/>
  <c r="AA48" i="1" s="1"/>
  <c r="AE49" i="1"/>
  <c r="AK49" i="1"/>
  <c r="AN49" i="1"/>
  <c r="AO49" i="1" s="1"/>
  <c r="AD49" i="1" l="1"/>
  <c r="W49" i="1"/>
  <c r="AL49" i="1"/>
  <c r="AM49" i="1"/>
  <c r="B50" i="1"/>
  <c r="C50" i="1" s="1"/>
  <c r="X49" i="1" l="1"/>
  <c r="Y49" i="1"/>
  <c r="Z49" i="1" s="1"/>
  <c r="AA49" i="1" s="1"/>
  <c r="AE50" i="1"/>
  <c r="AK50" i="1"/>
  <c r="AN50" i="1"/>
  <c r="AO50" i="1" s="1"/>
  <c r="AD50" i="1" l="1"/>
  <c r="W50" i="1"/>
  <c r="AL50" i="1"/>
  <c r="AM50" i="1"/>
  <c r="B51" i="1"/>
  <c r="C51" i="1" s="1"/>
  <c r="D51" i="1"/>
  <c r="AB51" i="1" s="1"/>
  <c r="AD51" i="1"/>
  <c r="AE51" i="1"/>
  <c r="W51" i="1" s="1"/>
  <c r="AG51" i="1"/>
  <c r="AC51" i="1" l="1"/>
  <c r="X50" i="1"/>
  <c r="Y50" i="1" s="1"/>
  <c r="Z50" i="1" s="1"/>
  <c r="AA50" i="1" s="1"/>
  <c r="AH51" i="1"/>
  <c r="AF51" i="1"/>
  <c r="Y51" i="1"/>
  <c r="AA51" i="1"/>
  <c r="X51" i="1"/>
  <c r="Z51" i="1"/>
  <c r="AJ51" i="1"/>
  <c r="AK51" i="1"/>
  <c r="AL51" i="1" s="1"/>
  <c r="AN51" i="1"/>
  <c r="AO51" i="1" s="1"/>
  <c r="AP51" i="1" l="1"/>
  <c r="AM51" i="1"/>
  <c r="AN4" i="1" l="1"/>
  <c r="AO4" i="1" s="1"/>
  <c r="AN8" i="1"/>
  <c r="AO8" i="1" s="1"/>
  <c r="AN9" i="1"/>
  <c r="AO9" i="1" s="1"/>
  <c r="AN10" i="1"/>
  <c r="AO10" i="1" s="1"/>
  <c r="AN29" i="1"/>
  <c r="AO29" i="1" s="1"/>
  <c r="AN34" i="1"/>
  <c r="AO34" i="1" s="1"/>
  <c r="AN35" i="1"/>
  <c r="AO35" i="1" s="1"/>
  <c r="AN53" i="1"/>
  <c r="AO53" i="1" s="1"/>
  <c r="AN55" i="1"/>
  <c r="AO55" i="1" s="1"/>
  <c r="AN56" i="1"/>
  <c r="AO56" i="1" s="1"/>
  <c r="AN60" i="1"/>
  <c r="AO60" i="1" s="1"/>
  <c r="AN61" i="1"/>
  <c r="AO61" i="1" s="1"/>
  <c r="AN63" i="1"/>
  <c r="AO63" i="1" s="1"/>
  <c r="AN66" i="1"/>
  <c r="AO66" i="1" s="1"/>
  <c r="AN67" i="1"/>
  <c r="AO67" i="1" s="1"/>
  <c r="AN68" i="1"/>
  <c r="AO68" i="1" s="1"/>
  <c r="AN70" i="1"/>
  <c r="AO70" i="1" s="1"/>
  <c r="AN71" i="1"/>
  <c r="AO71" i="1" s="1"/>
  <c r="AN72" i="1"/>
  <c r="AO72" i="1" s="1"/>
  <c r="AN75" i="1"/>
  <c r="AO75" i="1" s="1"/>
  <c r="AN76" i="1"/>
  <c r="AO76" i="1" s="1"/>
  <c r="AN78" i="1"/>
  <c r="AO78" i="1" s="1"/>
  <c r="AN79" i="1"/>
  <c r="AO79" i="1" s="1"/>
  <c r="AN84" i="1"/>
  <c r="AO84" i="1" s="1"/>
  <c r="AN86" i="1"/>
  <c r="AO86" i="1" s="1"/>
  <c r="AN88" i="1"/>
  <c r="AO88" i="1" s="1"/>
  <c r="AN91" i="1"/>
  <c r="AO91" i="1" s="1"/>
  <c r="AN93" i="1"/>
  <c r="AO93" i="1" s="1"/>
  <c r="AN95" i="1"/>
  <c r="AO95" i="1" s="1"/>
  <c r="AN96" i="1"/>
  <c r="AO96" i="1" s="1"/>
  <c r="AN97" i="1"/>
  <c r="AO97" i="1" s="1"/>
  <c r="AN98" i="1"/>
  <c r="AO98" i="1" s="1"/>
  <c r="AN100" i="1"/>
  <c r="AO100" i="1" s="1"/>
  <c r="AN102" i="1"/>
  <c r="AO102" i="1" s="1"/>
  <c r="AN105" i="1"/>
  <c r="AO105" i="1" s="1"/>
  <c r="AN106" i="1"/>
  <c r="AO106" i="1" s="1"/>
  <c r="AN108" i="1"/>
  <c r="AO108" i="1" s="1"/>
  <c r="AN110" i="1"/>
  <c r="AO110" i="1" s="1"/>
  <c r="AN111" i="1"/>
  <c r="AO111" i="1" s="1"/>
  <c r="AN113" i="1"/>
  <c r="AO113" i="1" s="1"/>
  <c r="AN118" i="1"/>
  <c r="AO118" i="1" s="1"/>
  <c r="AN120" i="1"/>
  <c r="AO120" i="1" s="1"/>
  <c r="AN121" i="1"/>
  <c r="AO121" i="1" s="1"/>
  <c r="AN124" i="1"/>
  <c r="AO124" i="1" s="1"/>
  <c r="AN125" i="1"/>
  <c r="AO125" i="1" s="1"/>
  <c r="AN127" i="1"/>
  <c r="AO127" i="1" s="1"/>
  <c r="AN128" i="1"/>
  <c r="AO128" i="1" s="1"/>
  <c r="AN132" i="1"/>
  <c r="AO132" i="1" s="1"/>
  <c r="AN133" i="1"/>
  <c r="AO133" i="1" s="1"/>
  <c r="AN135" i="1"/>
  <c r="AO135" i="1" s="1"/>
  <c r="AN137" i="1"/>
  <c r="AO137" i="1" s="1"/>
  <c r="AN138" i="1"/>
  <c r="AO138" i="1" s="1"/>
  <c r="AN139" i="1"/>
  <c r="AO139" i="1" s="1"/>
  <c r="AN140" i="1"/>
  <c r="AO140" i="1" s="1"/>
  <c r="AN142" i="1"/>
  <c r="AO142" i="1" s="1"/>
  <c r="AN145" i="1"/>
  <c r="AO145" i="1" s="1"/>
  <c r="AN147" i="1"/>
  <c r="AO147" i="1" s="1"/>
  <c r="AN151" i="1"/>
  <c r="AO151" i="1" s="1"/>
  <c r="AN153" i="1"/>
  <c r="AO153" i="1" s="1"/>
  <c r="AN157" i="1"/>
  <c r="AO157" i="1" s="1"/>
  <c r="AN158" i="1"/>
  <c r="AO158" i="1" s="1"/>
  <c r="AN161" i="1"/>
  <c r="AO161" i="1" s="1"/>
  <c r="AN162" i="1"/>
  <c r="AO162" i="1" s="1"/>
  <c r="AN163" i="1"/>
  <c r="AO163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3" i="1"/>
  <c r="AO173" i="1" s="1"/>
  <c r="AN174" i="1"/>
  <c r="AO174" i="1" s="1"/>
  <c r="AN175" i="1"/>
  <c r="AO175" i="1" s="1"/>
  <c r="AN176" i="1"/>
  <c r="AO176" i="1" s="1"/>
  <c r="AN178" i="1"/>
  <c r="AO178" i="1" s="1"/>
  <c r="AN179" i="1"/>
  <c r="AO179" i="1" s="1"/>
  <c r="AN182" i="1"/>
  <c r="AO182" i="1" s="1"/>
  <c r="AN183" i="1"/>
  <c r="AO183" i="1" s="1"/>
  <c r="AN186" i="1"/>
  <c r="AO186" i="1" s="1"/>
  <c r="AN188" i="1"/>
  <c r="AO188" i="1" s="1"/>
  <c r="AN191" i="1"/>
  <c r="AO191" i="1" s="1"/>
  <c r="AN192" i="1"/>
  <c r="AO192" i="1" s="1"/>
  <c r="AN193" i="1"/>
  <c r="AO193" i="1" s="1"/>
  <c r="AN195" i="1"/>
  <c r="AO195" i="1" s="1"/>
  <c r="AN197" i="1"/>
  <c r="AO197" i="1" s="1"/>
  <c r="AN198" i="1"/>
  <c r="AO198" i="1" s="1"/>
  <c r="AN203" i="1"/>
  <c r="AO203" i="1" s="1"/>
  <c r="AN204" i="1"/>
  <c r="AO204" i="1" s="1"/>
  <c r="AN205" i="1"/>
  <c r="AO205" i="1" s="1"/>
  <c r="AN206" i="1"/>
  <c r="AO206" i="1" s="1"/>
  <c r="AN208" i="1"/>
  <c r="AO208" i="1" s="1"/>
  <c r="AN210" i="1"/>
  <c r="AO210" i="1" s="1"/>
  <c r="AN211" i="1"/>
  <c r="AO211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9" i="1"/>
  <c r="AO219" i="1" s="1"/>
  <c r="AN220" i="1"/>
  <c r="AO220" i="1" s="1"/>
  <c r="AN222" i="1"/>
  <c r="AO222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31" i="1"/>
  <c r="AO231" i="1" s="1"/>
  <c r="AN232" i="1"/>
  <c r="AO232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40" i="1"/>
  <c r="AO240" i="1" s="1"/>
  <c r="AN242" i="1"/>
  <c r="AO242" i="1" s="1"/>
  <c r="AN244" i="1"/>
  <c r="AO244" i="1" s="1"/>
  <c r="AN245" i="1"/>
  <c r="AO245" i="1" s="1"/>
  <c r="AN246" i="1"/>
  <c r="AO246" i="1" s="1"/>
  <c r="AN250" i="1"/>
  <c r="AO250" i="1" s="1"/>
  <c r="AN253" i="1"/>
  <c r="AO253" i="1" s="1"/>
  <c r="AN254" i="1"/>
  <c r="AO254" i="1" s="1"/>
  <c r="AN255" i="1"/>
  <c r="AO255" i="1" s="1"/>
  <c r="AN257" i="1"/>
  <c r="AO257" i="1" s="1"/>
  <c r="AN258" i="1"/>
  <c r="AO258" i="1" s="1"/>
  <c r="AN259" i="1"/>
  <c r="AO259" i="1" s="1"/>
  <c r="AN261" i="1"/>
  <c r="AO261" i="1" s="1"/>
  <c r="AN263" i="1"/>
  <c r="AO263" i="1" s="1"/>
  <c r="AN266" i="1"/>
  <c r="AO266" i="1" s="1"/>
  <c r="AN268" i="1"/>
  <c r="AO268" i="1" s="1"/>
  <c r="AN269" i="1"/>
  <c r="AO269" i="1" s="1"/>
  <c r="AN271" i="1"/>
  <c r="AO271" i="1" s="1"/>
  <c r="AN273" i="1"/>
  <c r="AO273" i="1" s="1"/>
  <c r="AN274" i="1"/>
  <c r="AO274" i="1" s="1"/>
  <c r="AN275" i="1"/>
  <c r="AO275" i="1" s="1"/>
  <c r="AN276" i="1"/>
  <c r="AO276" i="1" s="1"/>
  <c r="AN277" i="1"/>
  <c r="AO277" i="1" s="1"/>
  <c r="AN278" i="1"/>
  <c r="AO278" i="1" s="1"/>
  <c r="AN281" i="1"/>
  <c r="AO281" i="1" s="1"/>
  <c r="AN283" i="1"/>
  <c r="AO283" i="1" s="1"/>
  <c r="AN285" i="1"/>
  <c r="AO285" i="1" s="1"/>
  <c r="AN286" i="1"/>
  <c r="AO286" i="1" s="1"/>
  <c r="AN288" i="1"/>
  <c r="AO288" i="1" s="1"/>
  <c r="AN292" i="1"/>
  <c r="AO292" i="1" s="1"/>
  <c r="AN294" i="1"/>
  <c r="AO294" i="1" s="1"/>
  <c r="AN295" i="1"/>
  <c r="AO295" i="1" s="1"/>
  <c r="AN299" i="1"/>
  <c r="AO299" i="1" s="1"/>
  <c r="AN301" i="1"/>
  <c r="AO301" i="1" s="1"/>
  <c r="AN302" i="1"/>
  <c r="AO302" i="1" s="1"/>
  <c r="AN303" i="1"/>
  <c r="AO303" i="1" s="1"/>
  <c r="AN306" i="1"/>
  <c r="AO306" i="1" s="1"/>
  <c r="AN308" i="1"/>
  <c r="AO308" i="1" s="1"/>
  <c r="AN309" i="1"/>
  <c r="AO309" i="1" s="1"/>
  <c r="AN310" i="1"/>
  <c r="AO310" i="1" s="1"/>
  <c r="AN312" i="1"/>
  <c r="AO312" i="1" s="1"/>
  <c r="AN316" i="1"/>
  <c r="AO316" i="1" s="1"/>
  <c r="AN318" i="1"/>
  <c r="AO318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29" i="1"/>
  <c r="AO329" i="1" s="1"/>
  <c r="AN331" i="1"/>
  <c r="AO331" i="1" s="1"/>
  <c r="AN333" i="1"/>
  <c r="AO333" i="1" s="1"/>
  <c r="AN335" i="1"/>
  <c r="AO335" i="1" s="1"/>
  <c r="AN337" i="1"/>
  <c r="AO337" i="1" s="1"/>
  <c r="AN338" i="1"/>
  <c r="AO338" i="1" s="1"/>
  <c r="AN340" i="1"/>
  <c r="AO340" i="1" s="1"/>
  <c r="AN341" i="1"/>
  <c r="AO341" i="1" s="1"/>
  <c r="AN342" i="1"/>
  <c r="AO342" i="1" s="1"/>
  <c r="AN343" i="1"/>
  <c r="AO343" i="1" s="1"/>
  <c r="AN345" i="1"/>
  <c r="AO345" i="1" s="1"/>
  <c r="AN346" i="1"/>
  <c r="AO346" i="1" s="1"/>
  <c r="AN348" i="1"/>
  <c r="AO348" i="1" s="1"/>
  <c r="AN349" i="1"/>
  <c r="AO349" i="1" s="1"/>
  <c r="AN350" i="1"/>
  <c r="AO350" i="1" s="1"/>
  <c r="AN352" i="1"/>
  <c r="AO352" i="1" s="1"/>
  <c r="AN353" i="1"/>
  <c r="AO353" i="1" s="1"/>
  <c r="AN355" i="1"/>
  <c r="AO355" i="1" s="1"/>
  <c r="AN356" i="1"/>
  <c r="AO356" i="1" s="1"/>
  <c r="AN358" i="1"/>
  <c r="AO358" i="1" s="1"/>
  <c r="AN360" i="1"/>
  <c r="AO360" i="1" s="1"/>
  <c r="AN363" i="1"/>
  <c r="AO363" i="1" s="1"/>
  <c r="AN365" i="1"/>
  <c r="AO365" i="1" s="1"/>
  <c r="AN367" i="1"/>
  <c r="AO367" i="1" s="1"/>
  <c r="AN370" i="1"/>
  <c r="AO370" i="1" s="1"/>
  <c r="AN376" i="1"/>
  <c r="AO376" i="1" s="1"/>
  <c r="AN377" i="1"/>
  <c r="AO377" i="1" s="1"/>
  <c r="AN379" i="1"/>
  <c r="AO379" i="1" s="1"/>
  <c r="AN381" i="1"/>
  <c r="AO381" i="1" s="1"/>
  <c r="AN382" i="1"/>
  <c r="AO382" i="1" s="1"/>
  <c r="AN384" i="1"/>
  <c r="AO384" i="1" s="1"/>
  <c r="AN386" i="1"/>
  <c r="AO386" i="1" s="1"/>
  <c r="AN390" i="1"/>
  <c r="AO390" i="1" s="1"/>
  <c r="AN394" i="1"/>
  <c r="AO394" i="1" s="1"/>
  <c r="AN395" i="1"/>
  <c r="AO395" i="1" s="1"/>
  <c r="AN396" i="1"/>
  <c r="AO396" i="1" s="1"/>
  <c r="AN397" i="1"/>
  <c r="AO397" i="1" s="1"/>
  <c r="AN399" i="1"/>
  <c r="AO399" i="1" s="1"/>
  <c r="AN400" i="1"/>
  <c r="AO400" i="1" s="1"/>
  <c r="AN402" i="1"/>
  <c r="AO402" i="1" s="1"/>
  <c r="AN404" i="1"/>
  <c r="AO404" i="1" s="1"/>
  <c r="AN405" i="1"/>
  <c r="AO405" i="1" s="1"/>
  <c r="AN406" i="1"/>
  <c r="AO406" i="1" s="1"/>
  <c r="AN409" i="1"/>
  <c r="AO409" i="1" s="1"/>
  <c r="AN410" i="1"/>
  <c r="AO410" i="1" s="1"/>
  <c r="AN412" i="1"/>
  <c r="AO412" i="1" s="1"/>
  <c r="AN413" i="1"/>
  <c r="AO413" i="1" s="1"/>
  <c r="AN414" i="1"/>
  <c r="AO414" i="1" s="1"/>
  <c r="AN415" i="1"/>
  <c r="AO415" i="1" s="1"/>
  <c r="AN416" i="1"/>
  <c r="AO416" i="1" s="1"/>
  <c r="AN418" i="1"/>
  <c r="AO418" i="1" s="1"/>
  <c r="AN421" i="1"/>
  <c r="AO421" i="1" s="1"/>
  <c r="AN422" i="1"/>
  <c r="AO422" i="1" s="1"/>
  <c r="AN423" i="1"/>
  <c r="AO423" i="1" s="1"/>
  <c r="AN424" i="1"/>
  <c r="AO424" i="1" s="1"/>
  <c r="AN426" i="1"/>
  <c r="AO426" i="1" s="1"/>
  <c r="AN427" i="1"/>
  <c r="AO427" i="1" s="1"/>
  <c r="AN428" i="1"/>
  <c r="AO428" i="1" s="1"/>
  <c r="AN429" i="1"/>
  <c r="AO429" i="1" s="1"/>
  <c r="AN431" i="1"/>
  <c r="AO431" i="1" s="1"/>
  <c r="AN432" i="1"/>
  <c r="AO432" i="1" s="1"/>
  <c r="AN433" i="1"/>
  <c r="AO433" i="1" s="1"/>
  <c r="AN434" i="1"/>
  <c r="AO434" i="1" s="1"/>
  <c r="AN436" i="1"/>
  <c r="AO436" i="1" s="1"/>
  <c r="AN438" i="1"/>
  <c r="AO438" i="1" s="1"/>
  <c r="AN439" i="1"/>
  <c r="AO439" i="1" s="1"/>
  <c r="AN440" i="1"/>
  <c r="AO440" i="1" s="1"/>
  <c r="AN441" i="1"/>
  <c r="AO441" i="1" s="1"/>
  <c r="AN442" i="1"/>
  <c r="AO442" i="1" s="1"/>
  <c r="AN443" i="1"/>
  <c r="AO443" i="1" s="1"/>
  <c r="AN444" i="1"/>
  <c r="AO444" i="1" s="1"/>
  <c r="AN445" i="1"/>
  <c r="AO445" i="1" s="1"/>
  <c r="AN448" i="1"/>
  <c r="AO448" i="1" s="1"/>
  <c r="AN449" i="1"/>
  <c r="AO449" i="1" s="1"/>
  <c r="AN450" i="1"/>
  <c r="AO450" i="1" s="1"/>
  <c r="AN451" i="1"/>
  <c r="AO451" i="1" s="1"/>
  <c r="AN452" i="1"/>
  <c r="AO452" i="1" s="1"/>
  <c r="AN453" i="1"/>
  <c r="AO453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1" i="1"/>
  <c r="AO461" i="1" s="1"/>
  <c r="AN463" i="1"/>
  <c r="AO463" i="1" s="1"/>
  <c r="AN469" i="1"/>
  <c r="AO469" i="1" s="1"/>
  <c r="AN470" i="1"/>
  <c r="AO470" i="1" s="1"/>
  <c r="AN472" i="1"/>
  <c r="AO472" i="1" s="1"/>
  <c r="AN473" i="1"/>
  <c r="AO473" i="1" s="1"/>
  <c r="AN475" i="1"/>
  <c r="AO475" i="1" s="1"/>
  <c r="AN476" i="1"/>
  <c r="AO476" i="1" s="1"/>
  <c r="AN477" i="1"/>
  <c r="AO477" i="1" s="1"/>
  <c r="AN479" i="1"/>
  <c r="AO479" i="1" s="1"/>
  <c r="AN480" i="1"/>
  <c r="AO480" i="1" s="1"/>
  <c r="AN481" i="1"/>
  <c r="AO481" i="1" s="1"/>
  <c r="AN483" i="1"/>
  <c r="AO483" i="1" s="1"/>
  <c r="AN485" i="1"/>
  <c r="AO485" i="1" s="1"/>
  <c r="AN487" i="1"/>
  <c r="AO487" i="1" s="1"/>
  <c r="AN491" i="1"/>
  <c r="AO491" i="1" s="1"/>
  <c r="AN492" i="1"/>
  <c r="AO492" i="1" s="1"/>
  <c r="AN499" i="1"/>
  <c r="AO499" i="1" s="1"/>
  <c r="AN501" i="1"/>
  <c r="AO501" i="1" s="1"/>
  <c r="AN506" i="1"/>
  <c r="AO506" i="1" s="1"/>
  <c r="AN508" i="1"/>
  <c r="AO508" i="1" s="1"/>
  <c r="AN509" i="1"/>
  <c r="AO509" i="1" s="1"/>
  <c r="AN511" i="1"/>
  <c r="AO511" i="1" s="1"/>
  <c r="AN512" i="1"/>
  <c r="AO512" i="1" s="1"/>
  <c r="AN513" i="1"/>
  <c r="AO513" i="1" s="1"/>
  <c r="AN515" i="1"/>
  <c r="AO515" i="1" s="1"/>
  <c r="AN516" i="1"/>
  <c r="AO516" i="1" s="1"/>
  <c r="AN517" i="1"/>
  <c r="AO517" i="1" s="1"/>
  <c r="AN519" i="1"/>
  <c r="AO519" i="1" s="1"/>
  <c r="AN520" i="1"/>
  <c r="AO520" i="1" s="1"/>
  <c r="AN522" i="1"/>
  <c r="AO522" i="1" s="1"/>
  <c r="AN524" i="1"/>
  <c r="AO524" i="1" s="1"/>
  <c r="AN526" i="1"/>
  <c r="AO526" i="1" s="1"/>
  <c r="AN527" i="1"/>
  <c r="AO527" i="1" s="1"/>
  <c r="AN528" i="1"/>
  <c r="AO528" i="1" s="1"/>
  <c r="AN529" i="1"/>
  <c r="AO529" i="1" s="1"/>
  <c r="AN531" i="1"/>
  <c r="AO531" i="1" s="1"/>
  <c r="AN532" i="1"/>
  <c r="AO532" i="1" s="1"/>
  <c r="AN534" i="1"/>
  <c r="AO534" i="1" s="1"/>
  <c r="AN535" i="1"/>
  <c r="AO535" i="1" s="1"/>
  <c r="AN537" i="1"/>
  <c r="AO537" i="1" s="1"/>
  <c r="AN539" i="1"/>
  <c r="AO539" i="1" s="1"/>
  <c r="AN541" i="1"/>
  <c r="AO541" i="1" s="1"/>
  <c r="AN542" i="1"/>
  <c r="AO542" i="1" s="1"/>
  <c r="AN543" i="1"/>
  <c r="AO543" i="1" s="1"/>
  <c r="AN544" i="1"/>
  <c r="AO544" i="1" s="1"/>
  <c r="AN545" i="1"/>
  <c r="AO545" i="1" s="1"/>
  <c r="AN546" i="1"/>
  <c r="AO546" i="1" s="1"/>
  <c r="AN548" i="1"/>
  <c r="AO548" i="1" s="1"/>
  <c r="AN549" i="1"/>
  <c r="AO549" i="1" s="1"/>
  <c r="AN550" i="1"/>
  <c r="AO550" i="1" s="1"/>
  <c r="AN554" i="1"/>
  <c r="AO554" i="1" s="1"/>
  <c r="AN556" i="1"/>
  <c r="AO556" i="1" s="1"/>
  <c r="AN558" i="1"/>
  <c r="AO558" i="1" s="1"/>
  <c r="AN559" i="1"/>
  <c r="AO559" i="1" s="1"/>
  <c r="AN560" i="1"/>
  <c r="AO560" i="1" s="1"/>
  <c r="AN561" i="1"/>
  <c r="AO561" i="1" s="1"/>
  <c r="AN563" i="1"/>
  <c r="AO563" i="1" s="1"/>
  <c r="AN565" i="1"/>
  <c r="AO565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2" i="1"/>
  <c r="AO572" i="1" s="1"/>
  <c r="AN573" i="1"/>
  <c r="AO573" i="1" s="1"/>
  <c r="AN574" i="1"/>
  <c r="AO574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7" i="1"/>
  <c r="AO587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4" i="1"/>
  <c r="AO594" i="1" s="1"/>
  <c r="AN595" i="1"/>
  <c r="AO595" i="1" s="1"/>
  <c r="AN597" i="1"/>
  <c r="AO597" i="1" s="1"/>
  <c r="AN598" i="1"/>
  <c r="AO598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O817" i="1" s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O923" i="1" s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AN971" i="1"/>
  <c r="AO971" i="1" s="1"/>
  <c r="AN972" i="1"/>
  <c r="AO972" i="1" s="1"/>
  <c r="AN973" i="1"/>
  <c r="AO973" i="1" s="1"/>
  <c r="B171" i="1" l="1"/>
  <c r="C171" i="1" s="1"/>
  <c r="AE171" i="1"/>
  <c r="W171" i="1" s="1"/>
  <c r="AK171" i="1"/>
  <c r="AD171" i="1" l="1"/>
  <c r="AL171" i="1" s="1"/>
  <c r="AP171" i="1"/>
  <c r="X171" i="1"/>
  <c r="Y171" i="1" l="1"/>
  <c r="Z171" i="1" s="1"/>
  <c r="AA171" i="1" s="1"/>
  <c r="AM171" i="1"/>
  <c r="B128" i="1"/>
  <c r="C128" i="1" s="1"/>
  <c r="AE128" i="1"/>
  <c r="AK128" i="1"/>
  <c r="AD128" i="1" l="1"/>
  <c r="AM128" i="1" s="1"/>
  <c r="W128" i="1"/>
  <c r="X128" i="1" s="1"/>
  <c r="AL128" i="1"/>
  <c r="Y128" i="1" l="1"/>
  <c r="Z128" i="1" s="1"/>
  <c r="AA128" i="1" s="1"/>
  <c r="B509" i="1" l="1"/>
  <c r="C509" i="1" s="1"/>
  <c r="AE509" i="1"/>
  <c r="W509" i="1" s="1"/>
  <c r="AK509" i="1"/>
  <c r="AD509" i="1" l="1"/>
  <c r="AL509" i="1" s="1"/>
  <c r="X509" i="1"/>
  <c r="Y509" i="1" s="1"/>
  <c r="Z509" i="1" s="1"/>
  <c r="AA509" i="1" s="1"/>
  <c r="AM509" i="1" l="1"/>
  <c r="AE467" i="1"/>
  <c r="W467" i="1" s="1"/>
  <c r="AK467" i="1"/>
  <c r="AD467" i="1" l="1"/>
  <c r="AL467" i="1"/>
  <c r="AN467" i="1"/>
  <c r="AO467" i="1" s="1"/>
  <c r="AM467" i="1"/>
  <c r="AP467" i="1"/>
  <c r="X467" i="1"/>
  <c r="Y467" i="1" l="1"/>
  <c r="Z467" i="1" s="1"/>
  <c r="AA467" i="1" s="1"/>
  <c r="AE417" i="1"/>
  <c r="W417" i="1" s="1"/>
  <c r="AK417" i="1"/>
  <c r="AN417" i="1" s="1"/>
  <c r="AO417" i="1" s="1"/>
  <c r="AD417" i="1" l="1"/>
  <c r="AM417" i="1" s="1"/>
  <c r="X417" i="1"/>
  <c r="Y417" i="1" s="1"/>
  <c r="Z417" i="1" s="1"/>
  <c r="AA417" i="1" s="1"/>
  <c r="AL417" i="1" l="1"/>
  <c r="B4" i="1"/>
  <c r="B9" i="1"/>
  <c r="B10" i="1"/>
  <c r="B29" i="1"/>
  <c r="B34" i="1"/>
  <c r="B35" i="1"/>
  <c r="B53" i="1"/>
  <c r="B56" i="1"/>
  <c r="B60" i="1"/>
  <c r="B61" i="1"/>
  <c r="B63" i="1"/>
  <c r="B66" i="1"/>
  <c r="B68" i="1"/>
  <c r="B70" i="1"/>
  <c r="B72" i="1"/>
  <c r="B75" i="1"/>
  <c r="B78" i="1"/>
  <c r="B79" i="1"/>
  <c r="B86" i="1"/>
  <c r="B88" i="1"/>
  <c r="B93" i="1"/>
  <c r="B95" i="1"/>
  <c r="B96" i="1"/>
  <c r="B97" i="1"/>
  <c r="B98" i="1"/>
  <c r="B100" i="1"/>
  <c r="B102" i="1"/>
  <c r="B105" i="1"/>
  <c r="B106" i="1"/>
  <c r="B108" i="1"/>
  <c r="B110" i="1"/>
  <c r="B111" i="1"/>
  <c r="B113" i="1"/>
  <c r="B118" i="1"/>
  <c r="B120" i="1"/>
  <c r="B121" i="1"/>
  <c r="B124" i="1"/>
  <c r="B125" i="1"/>
  <c r="B127" i="1"/>
  <c r="B132" i="1"/>
  <c r="B138" i="1"/>
  <c r="B139" i="1"/>
  <c r="B142" i="1"/>
  <c r="B145" i="1"/>
  <c r="B147" i="1"/>
  <c r="B153" i="1"/>
  <c r="B157" i="1"/>
  <c r="B158" i="1"/>
  <c r="B161" i="1"/>
  <c r="B162" i="1"/>
  <c r="B163" i="1"/>
  <c r="B165" i="1"/>
  <c r="B167" i="1"/>
  <c r="B168" i="1"/>
  <c r="B169" i="1"/>
  <c r="B170" i="1"/>
  <c r="B173" i="1"/>
  <c r="B174" i="1"/>
  <c r="B175" i="1"/>
  <c r="B176" i="1"/>
  <c r="B179" i="1"/>
  <c r="B182" i="1"/>
  <c r="B186" i="1"/>
  <c r="B188" i="1"/>
  <c r="B191" i="1"/>
  <c r="B192" i="1"/>
  <c r="B193" i="1"/>
  <c r="B198" i="1"/>
  <c r="B203" i="1"/>
  <c r="B204" i="1"/>
  <c r="B205" i="1"/>
  <c r="B206" i="1"/>
  <c r="B210" i="1"/>
  <c r="B211" i="1"/>
  <c r="B214" i="1"/>
  <c r="B215" i="1"/>
  <c r="B216" i="1"/>
  <c r="B217" i="1"/>
  <c r="B220" i="1"/>
  <c r="B222" i="1"/>
  <c r="B224" i="1"/>
  <c r="B225" i="1"/>
  <c r="B226" i="1"/>
  <c r="B227" i="1"/>
  <c r="B228" i="1"/>
  <c r="B231" i="1"/>
  <c r="B232" i="1"/>
  <c r="B234" i="1"/>
  <c r="B236" i="1"/>
  <c r="B237" i="1"/>
  <c r="B238" i="1"/>
  <c r="B240" i="1"/>
  <c r="B242" i="1"/>
  <c r="B244" i="1"/>
  <c r="B245" i="1"/>
  <c r="B246" i="1"/>
  <c r="B250" i="1"/>
  <c r="B253" i="1"/>
  <c r="B254" i="1"/>
  <c r="B255" i="1"/>
  <c r="B257" i="1"/>
  <c r="B258" i="1"/>
  <c r="B261" i="1"/>
  <c r="B263" i="1"/>
  <c r="B266" i="1"/>
  <c r="B268" i="1"/>
  <c r="B269" i="1"/>
  <c r="B271" i="1"/>
  <c r="B273" i="1"/>
  <c r="B274" i="1"/>
  <c r="B275" i="1"/>
  <c r="B277" i="1"/>
  <c r="B278" i="1"/>
  <c r="B283" i="1"/>
  <c r="B285" i="1"/>
  <c r="B286" i="1"/>
  <c r="B288" i="1"/>
  <c r="B292" i="1"/>
  <c r="B294" i="1"/>
  <c r="B295" i="1"/>
  <c r="B299" i="1"/>
  <c r="B301" i="1"/>
  <c r="B302" i="1"/>
  <c r="B303" i="1"/>
  <c r="B306" i="1"/>
  <c r="B308" i="1"/>
  <c r="B310" i="1"/>
  <c r="B312" i="1"/>
  <c r="B316" i="1"/>
  <c r="B318" i="1"/>
  <c r="B322" i="1"/>
  <c r="B323" i="1"/>
  <c r="B325" i="1"/>
  <c r="B329" i="1"/>
  <c r="B331" i="1"/>
  <c r="B333" i="1"/>
  <c r="B335" i="1"/>
  <c r="B338" i="1"/>
  <c r="B340" i="1"/>
  <c r="B341" i="1"/>
  <c r="B342" i="1"/>
  <c r="B343" i="1"/>
  <c r="B345" i="1"/>
  <c r="B346" i="1"/>
  <c r="B348" i="1"/>
  <c r="B350" i="1"/>
  <c r="B352" i="1"/>
  <c r="B353" i="1"/>
  <c r="B355" i="1"/>
  <c r="B356" i="1"/>
  <c r="B358" i="1"/>
  <c r="B360" i="1"/>
  <c r="B363" i="1"/>
  <c r="B365" i="1"/>
  <c r="B367" i="1"/>
  <c r="B370" i="1"/>
  <c r="B376" i="1"/>
  <c r="B377" i="1"/>
  <c r="B379" i="1"/>
  <c r="B381" i="1"/>
  <c r="B382" i="1"/>
  <c r="B386" i="1"/>
  <c r="B390" i="1"/>
  <c r="B394" i="1"/>
  <c r="B395" i="1"/>
  <c r="B396" i="1"/>
  <c r="B397" i="1"/>
  <c r="B399" i="1"/>
  <c r="B405" i="1"/>
  <c r="B410" i="1"/>
  <c r="B412" i="1"/>
  <c r="B413" i="1"/>
  <c r="B414" i="1"/>
  <c r="B415" i="1"/>
  <c r="B416" i="1"/>
  <c r="B418" i="1"/>
  <c r="B421" i="1"/>
  <c r="B423" i="1"/>
  <c r="B424" i="1"/>
  <c r="B426" i="1"/>
  <c r="B427" i="1"/>
  <c r="B428" i="1"/>
  <c r="B429" i="1"/>
  <c r="B432" i="1"/>
  <c r="B433" i="1"/>
  <c r="B434" i="1"/>
  <c r="B436" i="1"/>
  <c r="B438" i="1"/>
  <c r="B440" i="1"/>
  <c r="B442" i="1"/>
  <c r="B443" i="1"/>
  <c r="B445" i="1"/>
  <c r="B448" i="1"/>
  <c r="B449" i="1"/>
  <c r="B450" i="1"/>
  <c r="B452" i="1"/>
  <c r="B453" i="1"/>
  <c r="B455" i="1"/>
  <c r="B457" i="1"/>
  <c r="B458" i="1"/>
  <c r="B459" i="1"/>
  <c r="B461" i="1"/>
  <c r="B469" i="1"/>
  <c r="B470" i="1"/>
  <c r="B472" i="1"/>
  <c r="B475" i="1"/>
  <c r="B476" i="1"/>
  <c r="B477" i="1"/>
  <c r="B479" i="1"/>
  <c r="B480" i="1"/>
  <c r="B483" i="1"/>
  <c r="B485" i="1"/>
  <c r="B487" i="1"/>
  <c r="B491" i="1"/>
  <c r="B501" i="1"/>
  <c r="B508" i="1"/>
  <c r="B511" i="1"/>
  <c r="B512" i="1"/>
  <c r="B513" i="1"/>
  <c r="B515" i="1"/>
  <c r="B517" i="1"/>
  <c r="B519" i="1"/>
  <c r="B520" i="1"/>
  <c r="B524" i="1"/>
  <c r="B526" i="1"/>
  <c r="B527" i="1"/>
  <c r="B528" i="1"/>
  <c r="B529" i="1"/>
  <c r="B531" i="1"/>
  <c r="B532" i="1"/>
  <c r="B534" i="1"/>
  <c r="B535" i="1"/>
  <c r="B537" i="1"/>
  <c r="B539" i="1"/>
  <c r="B541" i="1"/>
  <c r="B542" i="1"/>
  <c r="B543" i="1"/>
  <c r="B544" i="1"/>
  <c r="B545" i="1"/>
  <c r="B546" i="1"/>
  <c r="B548" i="1"/>
  <c r="B549" i="1"/>
  <c r="B550" i="1"/>
  <c r="B552" i="1"/>
  <c r="B554" i="1"/>
  <c r="B556" i="1"/>
  <c r="B558" i="1"/>
  <c r="B559" i="1"/>
  <c r="B560" i="1"/>
  <c r="B561" i="1"/>
  <c r="B563" i="1"/>
  <c r="B565" i="1"/>
  <c r="B566" i="1"/>
  <c r="B567" i="1"/>
  <c r="B568" i="1"/>
  <c r="B569" i="1"/>
  <c r="B570" i="1"/>
  <c r="B571" i="1"/>
  <c r="B572" i="1"/>
  <c r="B573" i="1"/>
  <c r="B574" i="1"/>
  <c r="B576" i="1"/>
  <c r="B577" i="1"/>
  <c r="B578" i="1"/>
  <c r="B579" i="1"/>
  <c r="B580" i="1"/>
  <c r="B582" i="1"/>
  <c r="B583" i="1"/>
  <c r="B584" i="1"/>
  <c r="B585" i="1"/>
  <c r="B586" i="1"/>
  <c r="B587" i="1"/>
  <c r="B588" i="1"/>
  <c r="B589" i="1"/>
  <c r="B590" i="1"/>
  <c r="B591" i="1"/>
  <c r="B592" i="1"/>
  <c r="B594" i="1"/>
  <c r="B595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AE597" i="1" l="1"/>
  <c r="W597" i="1" s="1"/>
  <c r="B928" i="1" l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C718" i="1" l="1"/>
  <c r="D718" i="1"/>
  <c r="AB718" i="1" s="1"/>
  <c r="AD718" i="1"/>
  <c r="AE718" i="1"/>
  <c r="W718" i="1" s="1"/>
  <c r="AG718" i="1"/>
  <c r="AJ718" i="1" s="1"/>
  <c r="AK718" i="1"/>
  <c r="AL718" i="1" l="1"/>
  <c r="AM718" i="1"/>
  <c r="AP718" i="1"/>
  <c r="AH718" i="1"/>
  <c r="AF718" i="1"/>
  <c r="AC718" i="1"/>
  <c r="X718" i="1"/>
  <c r="Z718" i="1"/>
  <c r="Y718" i="1"/>
  <c r="AA718" i="1"/>
  <c r="AE719" i="1"/>
  <c r="W719" i="1" s="1"/>
  <c r="AK719" i="1"/>
  <c r="AL719" i="1" l="1"/>
  <c r="AM719" i="1"/>
  <c r="AD719" i="1"/>
  <c r="X719" i="1"/>
  <c r="Z719" i="1"/>
  <c r="Y719" i="1"/>
  <c r="AA719" i="1"/>
  <c r="C720" i="1"/>
  <c r="AE720" i="1"/>
  <c r="W720" i="1" s="1"/>
  <c r="AK720" i="1"/>
  <c r="AL720" i="1" l="1"/>
  <c r="AM720" i="1"/>
  <c r="AD720" i="1"/>
  <c r="X720" i="1"/>
  <c r="Y720" i="1"/>
  <c r="C721" i="1"/>
  <c r="AE721" i="1"/>
  <c r="W721" i="1" s="1"/>
  <c r="Z720" i="1" l="1"/>
  <c r="AA720" i="1" s="1"/>
  <c r="X721" i="1"/>
  <c r="Y721" i="1" s="1"/>
  <c r="Z721" i="1" s="1"/>
  <c r="AA721" i="1" s="1"/>
  <c r="AD721" i="1"/>
  <c r="AK721" i="1"/>
  <c r="C722" i="1"/>
  <c r="AD722" i="1"/>
  <c r="AE722" i="1"/>
  <c r="W722" i="1" s="1"/>
  <c r="AK722" i="1"/>
  <c r="AL721" i="1" l="1"/>
  <c r="AM721" i="1"/>
  <c r="AL722" i="1"/>
  <c r="AM722" i="1"/>
  <c r="X722" i="1"/>
  <c r="Z722" i="1"/>
  <c r="Y722" i="1"/>
  <c r="AA722" i="1"/>
  <c r="AP722" i="1"/>
  <c r="AE723" i="1"/>
  <c r="W723" i="1" s="1"/>
  <c r="AK723" i="1"/>
  <c r="AL723" i="1" l="1"/>
  <c r="AM723" i="1"/>
  <c r="AD723" i="1"/>
  <c r="X723" i="1"/>
  <c r="Y723" i="1" s="1"/>
  <c r="Z723" i="1" s="1"/>
  <c r="AA723" i="1" s="1"/>
  <c r="C724" i="1"/>
  <c r="AE724" i="1"/>
  <c r="W724" i="1" s="1"/>
  <c r="AK724" i="1"/>
  <c r="AL724" i="1" l="1"/>
  <c r="AM724" i="1"/>
  <c r="AD724" i="1"/>
  <c r="X724" i="1"/>
  <c r="C725" i="1"/>
  <c r="AE725" i="1"/>
  <c r="W725" i="1" s="1"/>
  <c r="AK725" i="1"/>
  <c r="AL725" i="1" l="1"/>
  <c r="AM725" i="1"/>
  <c r="Y724" i="1"/>
  <c r="Z724" i="1" s="1"/>
  <c r="AA724" i="1" s="1"/>
  <c r="AD725" i="1"/>
  <c r="X725" i="1"/>
  <c r="Y725" i="1" s="1"/>
  <c r="Z725" i="1" s="1"/>
  <c r="AA725" i="1" s="1"/>
  <c r="C726" i="1"/>
  <c r="AE726" i="1"/>
  <c r="W726" i="1" s="1"/>
  <c r="AK726" i="1"/>
  <c r="AL726" i="1" l="1"/>
  <c r="AM726" i="1"/>
  <c r="AD726" i="1"/>
  <c r="X726" i="1"/>
  <c r="Y726" i="1" s="1"/>
  <c r="Z726" i="1" s="1"/>
  <c r="AA726" i="1" s="1"/>
  <c r="C727" i="1"/>
  <c r="AE727" i="1"/>
  <c r="W727" i="1" s="1"/>
  <c r="AK727" i="1"/>
  <c r="AL727" i="1" l="1"/>
  <c r="AM727" i="1"/>
  <c r="AD727" i="1"/>
  <c r="X727" i="1"/>
  <c r="Y727" i="1" s="1"/>
  <c r="Z727" i="1" s="1"/>
  <c r="AA727" i="1" s="1"/>
  <c r="C728" i="1"/>
  <c r="AE728" i="1"/>
  <c r="W728" i="1" s="1"/>
  <c r="AK728" i="1"/>
  <c r="AL728" i="1" l="1"/>
  <c r="AM728" i="1"/>
  <c r="AD728" i="1"/>
  <c r="X728" i="1"/>
  <c r="Y728" i="1" s="1"/>
  <c r="Z728" i="1" s="1"/>
  <c r="AA728" i="1" s="1"/>
  <c r="C729" i="1"/>
  <c r="AE729" i="1"/>
  <c r="W729" i="1" s="1"/>
  <c r="AK729" i="1"/>
  <c r="AL729" i="1" l="1"/>
  <c r="AM729" i="1"/>
  <c r="AD729" i="1"/>
  <c r="X729" i="1"/>
  <c r="Y729" i="1" s="1"/>
  <c r="Z729" i="1" s="1"/>
  <c r="AA729" i="1" s="1"/>
  <c r="C730" i="1"/>
  <c r="AE730" i="1"/>
  <c r="W730" i="1" s="1"/>
  <c r="AK730" i="1"/>
  <c r="AL730" i="1" l="1"/>
  <c r="AM730" i="1"/>
  <c r="AD730" i="1"/>
  <c r="X730" i="1"/>
  <c r="Y730" i="1" s="1"/>
  <c r="Z730" i="1" s="1"/>
  <c r="AA730" i="1" s="1"/>
  <c r="C731" i="1"/>
  <c r="AE731" i="1"/>
  <c r="W731" i="1" s="1"/>
  <c r="AK731" i="1"/>
  <c r="AL731" i="1" l="1"/>
  <c r="AM731" i="1"/>
  <c r="AD731" i="1"/>
  <c r="X731" i="1"/>
  <c r="Y731" i="1" s="1"/>
  <c r="C732" i="1"/>
  <c r="AE732" i="1"/>
  <c r="W732" i="1" s="1"/>
  <c r="AK732" i="1"/>
  <c r="AL732" i="1" l="1"/>
  <c r="AM732" i="1"/>
  <c r="AD732" i="1"/>
  <c r="Z731" i="1"/>
  <c r="AA731" i="1" s="1"/>
  <c r="X732" i="1"/>
  <c r="C733" i="1"/>
  <c r="AE733" i="1"/>
  <c r="W733" i="1" s="1"/>
  <c r="AK733" i="1"/>
  <c r="AL733" i="1" l="1"/>
  <c r="AM733" i="1"/>
  <c r="Z732" i="1"/>
  <c r="AA732" i="1" s="1"/>
  <c r="Y732" i="1"/>
  <c r="AD733" i="1"/>
  <c r="X733" i="1"/>
  <c r="Y733" i="1"/>
  <c r="C734" i="1"/>
  <c r="AE734" i="1"/>
  <c r="W734" i="1" s="1"/>
  <c r="AK734" i="1"/>
  <c r="AL734" i="1" l="1"/>
  <c r="AM734" i="1"/>
  <c r="Z733" i="1"/>
  <c r="AA733" i="1" s="1"/>
  <c r="AD734" i="1"/>
  <c r="X734" i="1"/>
  <c r="C735" i="1"/>
  <c r="AE735" i="1"/>
  <c r="W735" i="1" s="1"/>
  <c r="AK735" i="1"/>
  <c r="AL735" i="1" l="1"/>
  <c r="AM735" i="1"/>
  <c r="AD735" i="1"/>
  <c r="Y734" i="1"/>
  <c r="Z734" i="1" s="1"/>
  <c r="AA734" i="1" s="1"/>
  <c r="X735" i="1"/>
  <c r="Y735" i="1"/>
  <c r="C736" i="1"/>
  <c r="AE736" i="1"/>
  <c r="W736" i="1" s="1"/>
  <c r="AK736" i="1"/>
  <c r="AL736" i="1" l="1"/>
  <c r="AM736" i="1"/>
  <c r="Z735" i="1"/>
  <c r="AA735" i="1" s="1"/>
  <c r="AD736" i="1"/>
  <c r="X736" i="1"/>
  <c r="Y736" i="1" s="1"/>
  <c r="C737" i="1"/>
  <c r="D737" i="1"/>
  <c r="AB737" i="1" s="1"/>
  <c r="AD737" i="1"/>
  <c r="AE737" i="1"/>
  <c r="W737" i="1" s="1"/>
  <c r="AG737" i="1"/>
  <c r="AJ737" i="1" s="1"/>
  <c r="AK737" i="1"/>
  <c r="AL737" i="1" l="1"/>
  <c r="AM737" i="1"/>
  <c r="Z736" i="1"/>
  <c r="AA736" i="1" s="1"/>
  <c r="AP737" i="1"/>
  <c r="AC737" i="1"/>
  <c r="AH737" i="1"/>
  <c r="AF737" i="1"/>
  <c r="X737" i="1"/>
  <c r="Z737" i="1"/>
  <c r="Y737" i="1"/>
  <c r="AA737" i="1"/>
  <c r="AE738" i="1"/>
  <c r="W738" i="1" s="1"/>
  <c r="AK738" i="1"/>
  <c r="AL738" i="1" l="1"/>
  <c r="AM738" i="1"/>
  <c r="AD738" i="1"/>
  <c r="X738" i="1"/>
  <c r="Z738" i="1"/>
  <c r="Y738" i="1"/>
  <c r="AA738" i="1"/>
  <c r="C739" i="1"/>
  <c r="D739" i="1"/>
  <c r="AB739" i="1" s="1"/>
  <c r="AD739" i="1"/>
  <c r="AE739" i="1"/>
  <c r="W739" i="1" s="1"/>
  <c r="AG739" i="1"/>
  <c r="AJ739" i="1" s="1"/>
  <c r="AK739" i="1"/>
  <c r="AL739" i="1" l="1"/>
  <c r="AM739" i="1"/>
  <c r="AP739" i="1"/>
  <c r="AC739" i="1"/>
  <c r="AH739" i="1"/>
  <c r="AF739" i="1"/>
  <c r="X739" i="1"/>
  <c r="Z739" i="1"/>
  <c r="Y739" i="1"/>
  <c r="AA739" i="1"/>
  <c r="AE740" i="1"/>
  <c r="W740" i="1" s="1"/>
  <c r="AK740" i="1"/>
  <c r="AL740" i="1" l="1"/>
  <c r="AM740" i="1"/>
  <c r="AD740" i="1"/>
  <c r="X740" i="1"/>
  <c r="Y740" i="1"/>
  <c r="C741" i="1"/>
  <c r="D741" i="1"/>
  <c r="AB741" i="1" s="1"/>
  <c r="AD741" i="1"/>
  <c r="AE741" i="1"/>
  <c r="W741" i="1" s="1"/>
  <c r="AG741" i="1"/>
  <c r="AJ741" i="1" s="1"/>
  <c r="AK741" i="1"/>
  <c r="AL741" i="1" l="1"/>
  <c r="AM741" i="1"/>
  <c r="Z740" i="1"/>
  <c r="AA740" i="1" s="1"/>
  <c r="AP741" i="1"/>
  <c r="AC741" i="1"/>
  <c r="AH741" i="1"/>
  <c r="AF741" i="1"/>
  <c r="X741" i="1"/>
  <c r="Z741" i="1"/>
  <c r="Y741" i="1"/>
  <c r="AA741" i="1"/>
  <c r="AE742" i="1"/>
  <c r="W742" i="1" s="1"/>
  <c r="AK742" i="1"/>
  <c r="AL742" i="1" l="1"/>
  <c r="AM742" i="1"/>
  <c r="AD742" i="1"/>
  <c r="X742" i="1"/>
  <c r="Y742" i="1" s="1"/>
  <c r="C743" i="1"/>
  <c r="AE743" i="1"/>
  <c r="W743" i="1" s="1"/>
  <c r="AK743" i="1"/>
  <c r="AL743" i="1" l="1"/>
  <c r="AM743" i="1"/>
  <c r="AD743" i="1"/>
  <c r="Z742" i="1"/>
  <c r="AA742" i="1" s="1"/>
  <c r="X743" i="1"/>
  <c r="C744" i="1"/>
  <c r="AE744" i="1"/>
  <c r="W744" i="1" s="1"/>
  <c r="AK744" i="1"/>
  <c r="AL744" i="1" l="1"/>
  <c r="AM744" i="1"/>
  <c r="AD744" i="1"/>
  <c r="Y743" i="1"/>
  <c r="Z743" i="1" s="1"/>
  <c r="AA743" i="1" s="1"/>
  <c r="X744" i="1"/>
  <c r="Y744" i="1" s="1"/>
  <c r="C745" i="1"/>
  <c r="AE745" i="1"/>
  <c r="W745" i="1" s="1"/>
  <c r="AK745" i="1"/>
  <c r="AL745" i="1" l="1"/>
  <c r="AM745" i="1"/>
  <c r="AD745" i="1"/>
  <c r="Z744" i="1"/>
  <c r="AA744" i="1" s="1"/>
  <c r="X745" i="1"/>
  <c r="C746" i="1"/>
  <c r="AE746" i="1"/>
  <c r="W746" i="1" s="1"/>
  <c r="AK746" i="1"/>
  <c r="AL746" i="1" l="1"/>
  <c r="AM746" i="1"/>
  <c r="Z745" i="1"/>
  <c r="AA745" i="1" s="1"/>
  <c r="Y745" i="1"/>
  <c r="AD746" i="1"/>
  <c r="X746" i="1"/>
  <c r="Y746" i="1" s="1"/>
  <c r="C747" i="1"/>
  <c r="AE747" i="1"/>
  <c r="W747" i="1" s="1"/>
  <c r="AK747" i="1"/>
  <c r="AL747" i="1" l="1"/>
  <c r="AM747" i="1"/>
  <c r="AD747" i="1"/>
  <c r="Z746" i="1"/>
  <c r="AA746" i="1" s="1"/>
  <c r="X747" i="1"/>
  <c r="C748" i="1"/>
  <c r="D748" i="1"/>
  <c r="AB748" i="1" s="1"/>
  <c r="AD748" i="1"/>
  <c r="AE748" i="1"/>
  <c r="W748" i="1" s="1"/>
  <c r="AG748" i="1"/>
  <c r="AJ748" i="1" s="1"/>
  <c r="AK748" i="1"/>
  <c r="AL748" i="1" l="1"/>
  <c r="AM748" i="1"/>
  <c r="Z747" i="1"/>
  <c r="AA747" i="1" s="1"/>
  <c r="Y747" i="1"/>
  <c r="AP748" i="1"/>
  <c r="AC748" i="1"/>
  <c r="AH748" i="1"/>
  <c r="AF748" i="1"/>
  <c r="X748" i="1"/>
  <c r="Z748" i="1"/>
  <c r="Y748" i="1"/>
  <c r="AA748" i="1"/>
  <c r="AE749" i="1"/>
  <c r="W749" i="1" s="1"/>
  <c r="AK749" i="1"/>
  <c r="AL749" i="1" l="1"/>
  <c r="AM749" i="1"/>
  <c r="AD749" i="1"/>
  <c r="X749" i="1"/>
  <c r="Y749" i="1" s="1"/>
  <c r="C750" i="1"/>
  <c r="AE750" i="1"/>
  <c r="W750" i="1" s="1"/>
  <c r="AK750" i="1"/>
  <c r="AL750" i="1" l="1"/>
  <c r="AM750" i="1"/>
  <c r="AD750" i="1"/>
  <c r="Z749" i="1"/>
  <c r="AA749" i="1" s="1"/>
  <c r="X750" i="1"/>
  <c r="Y750" i="1" s="1"/>
  <c r="C751" i="1"/>
  <c r="AE751" i="1"/>
  <c r="W751" i="1" s="1"/>
  <c r="AK751" i="1"/>
  <c r="AL751" i="1" l="1"/>
  <c r="AM751" i="1"/>
  <c r="AD751" i="1"/>
  <c r="Z750" i="1"/>
  <c r="AA750" i="1" s="1"/>
  <c r="X751" i="1"/>
  <c r="Y751" i="1" s="1"/>
  <c r="C752" i="1"/>
  <c r="AE752" i="1"/>
  <c r="W752" i="1" s="1"/>
  <c r="AK752" i="1"/>
  <c r="AL752" i="1" l="1"/>
  <c r="AM752" i="1"/>
  <c r="AD752" i="1"/>
  <c r="Z751" i="1"/>
  <c r="AA751" i="1" s="1"/>
  <c r="X752" i="1"/>
  <c r="Y752" i="1" s="1"/>
  <c r="C753" i="1"/>
  <c r="AE753" i="1"/>
  <c r="W753" i="1" s="1"/>
  <c r="AK753" i="1"/>
  <c r="AL753" i="1" l="1"/>
  <c r="AM753" i="1"/>
  <c r="AD753" i="1"/>
  <c r="Z752" i="1"/>
  <c r="AA752" i="1" s="1"/>
  <c r="X753" i="1"/>
  <c r="Y753" i="1" s="1"/>
  <c r="Z753" i="1" s="1"/>
  <c r="AA753" i="1" s="1"/>
  <c r="C754" i="1"/>
  <c r="AE754" i="1"/>
  <c r="W754" i="1" s="1"/>
  <c r="AK754" i="1"/>
  <c r="AL754" i="1" l="1"/>
  <c r="AM754" i="1"/>
  <c r="AD754" i="1"/>
  <c r="X754" i="1"/>
  <c r="Y754" i="1" s="1"/>
  <c r="C755" i="1"/>
  <c r="AE755" i="1"/>
  <c r="W755" i="1" s="1"/>
  <c r="AK755" i="1"/>
  <c r="AL755" i="1" l="1"/>
  <c r="AM755" i="1"/>
  <c r="AD755" i="1"/>
  <c r="Z754" i="1"/>
  <c r="AA754" i="1" s="1"/>
  <c r="X755" i="1"/>
  <c r="C756" i="1"/>
  <c r="AE756" i="1"/>
  <c r="W756" i="1" s="1"/>
  <c r="AK756" i="1"/>
  <c r="AL756" i="1" l="1"/>
  <c r="AM756" i="1"/>
  <c r="AD756" i="1"/>
  <c r="Y755" i="1"/>
  <c r="Z755" i="1" s="1"/>
  <c r="AA755" i="1" s="1"/>
  <c r="X756" i="1"/>
  <c r="C757" i="1"/>
  <c r="AE757" i="1"/>
  <c r="W757" i="1" s="1"/>
  <c r="AK757" i="1"/>
  <c r="AL757" i="1" l="1"/>
  <c r="AM757" i="1"/>
  <c r="Y756" i="1"/>
  <c r="Z756" i="1" s="1"/>
  <c r="AA756" i="1" s="1"/>
  <c r="AD757" i="1"/>
  <c r="X757" i="1"/>
  <c r="Y757" i="1" s="1"/>
  <c r="Z757" i="1" s="1"/>
  <c r="AA757" i="1" s="1"/>
  <c r="C758" i="1"/>
  <c r="AE758" i="1"/>
  <c r="W758" i="1" s="1"/>
  <c r="AK758" i="1"/>
  <c r="AL758" i="1" l="1"/>
  <c r="AM758" i="1"/>
  <c r="AD758" i="1"/>
  <c r="X758" i="1"/>
  <c r="Y758" i="1" s="1"/>
  <c r="Z758" i="1" s="1"/>
  <c r="AA758" i="1" s="1"/>
  <c r="C759" i="1"/>
  <c r="D759" i="1"/>
  <c r="AC759" i="1" s="1"/>
  <c r="AD759" i="1"/>
  <c r="AE759" i="1"/>
  <c r="W759" i="1" s="1"/>
  <c r="AG759" i="1"/>
  <c r="AJ759" i="1" s="1"/>
  <c r="AK759" i="1"/>
  <c r="AL759" i="1" l="1"/>
  <c r="AM759" i="1"/>
  <c r="AP759" i="1"/>
  <c r="AH759" i="1"/>
  <c r="AF759" i="1"/>
  <c r="AB759" i="1"/>
  <c r="Y759" i="1"/>
  <c r="AA759" i="1"/>
  <c r="X759" i="1"/>
  <c r="Z759" i="1"/>
  <c r="AE760" i="1"/>
  <c r="W760" i="1" s="1"/>
  <c r="AK760" i="1"/>
  <c r="AL760" i="1" l="1"/>
  <c r="AM760" i="1"/>
  <c r="AD760" i="1"/>
  <c r="X760" i="1"/>
  <c r="C761" i="1"/>
  <c r="D761" i="1"/>
  <c r="AC761" i="1" s="1"/>
  <c r="AD761" i="1"/>
  <c r="AE761" i="1"/>
  <c r="W761" i="1" s="1"/>
  <c r="AG761" i="1"/>
  <c r="AJ761" i="1" s="1"/>
  <c r="AK761" i="1"/>
  <c r="AL761" i="1" l="1"/>
  <c r="AM761" i="1"/>
  <c r="Y760" i="1"/>
  <c r="Z760" i="1" s="1"/>
  <c r="AA760" i="1" s="1"/>
  <c r="AH761" i="1"/>
  <c r="AF761" i="1"/>
  <c r="AB761" i="1"/>
  <c r="Y761" i="1"/>
  <c r="AA761" i="1"/>
  <c r="X761" i="1"/>
  <c r="Z761" i="1"/>
  <c r="AP761" i="1"/>
  <c r="AE762" i="1"/>
  <c r="W762" i="1" s="1"/>
  <c r="AK762" i="1"/>
  <c r="AL762" i="1" l="1"/>
  <c r="AM762" i="1"/>
  <c r="AD762" i="1"/>
  <c r="X762" i="1"/>
  <c r="C763" i="1"/>
  <c r="AE763" i="1"/>
  <c r="W763" i="1" s="1"/>
  <c r="AK763" i="1"/>
  <c r="AL763" i="1" l="1"/>
  <c r="AM763" i="1"/>
  <c r="AD763" i="1"/>
  <c r="Y762" i="1"/>
  <c r="Z762" i="1" s="1"/>
  <c r="AA762" i="1" s="1"/>
  <c r="X763" i="1"/>
  <c r="C764" i="1"/>
  <c r="AE764" i="1"/>
  <c r="W764" i="1" s="1"/>
  <c r="AK764" i="1"/>
  <c r="AL764" i="1" l="1"/>
  <c r="AM764" i="1"/>
  <c r="AD764" i="1"/>
  <c r="Y763" i="1"/>
  <c r="Z763" i="1" s="1"/>
  <c r="AA763" i="1" s="1"/>
  <c r="X764" i="1"/>
  <c r="C765" i="1"/>
  <c r="AE765" i="1"/>
  <c r="W765" i="1" s="1"/>
  <c r="AK765" i="1"/>
  <c r="AL765" i="1" l="1"/>
  <c r="AM765" i="1"/>
  <c r="AD765" i="1"/>
  <c r="Y764" i="1"/>
  <c r="Z764" i="1" s="1"/>
  <c r="AA764" i="1" s="1"/>
  <c r="X765" i="1"/>
  <c r="C766" i="1"/>
  <c r="AE766" i="1"/>
  <c r="W766" i="1" s="1"/>
  <c r="AK766" i="1"/>
  <c r="AL766" i="1" l="1"/>
  <c r="AM766" i="1"/>
  <c r="AD766" i="1"/>
  <c r="Y765" i="1"/>
  <c r="Z765" i="1" s="1"/>
  <c r="AA765" i="1" s="1"/>
  <c r="X766" i="1"/>
  <c r="Y766" i="1" s="1"/>
  <c r="Z766" i="1" s="1"/>
  <c r="AA766" i="1" s="1"/>
  <c r="C767" i="1"/>
  <c r="AD767" i="1"/>
  <c r="AE767" i="1"/>
  <c r="W767" i="1" s="1"/>
  <c r="AK767" i="1"/>
  <c r="AL767" i="1" l="1"/>
  <c r="AM767" i="1"/>
  <c r="X767" i="1"/>
  <c r="Y767" i="1" s="1"/>
  <c r="Z767" i="1" s="1"/>
  <c r="AA767" i="1" s="1"/>
  <c r="C768" i="1"/>
  <c r="D768" i="1"/>
  <c r="AC768" i="1" s="1"/>
  <c r="AD768" i="1"/>
  <c r="AE768" i="1"/>
  <c r="W768" i="1" s="1"/>
  <c r="AG768" i="1"/>
  <c r="AJ768" i="1" s="1"/>
  <c r="AK768" i="1"/>
  <c r="AL768" i="1" l="1"/>
  <c r="AM768" i="1"/>
  <c r="AP768" i="1"/>
  <c r="AH768" i="1"/>
  <c r="AF768" i="1"/>
  <c r="AB768" i="1"/>
  <c r="Y768" i="1"/>
  <c r="AA768" i="1"/>
  <c r="X768" i="1"/>
  <c r="Z768" i="1"/>
  <c r="AE769" i="1"/>
  <c r="W769" i="1" s="1"/>
  <c r="AK769" i="1"/>
  <c r="AL769" i="1" l="1"/>
  <c r="AM769" i="1"/>
  <c r="AD769" i="1"/>
  <c r="X769" i="1"/>
  <c r="C770" i="1"/>
  <c r="AE770" i="1"/>
  <c r="W770" i="1" s="1"/>
  <c r="AK770" i="1"/>
  <c r="AL770" i="1" l="1"/>
  <c r="AM770" i="1"/>
  <c r="AD770" i="1"/>
  <c r="Y769" i="1"/>
  <c r="Z769" i="1" s="1"/>
  <c r="AA769" i="1" s="1"/>
  <c r="X770" i="1"/>
  <c r="Y770" i="1" s="1"/>
  <c r="Z770" i="1" s="1"/>
  <c r="AA770" i="1" s="1"/>
  <c r="C771" i="1"/>
  <c r="AE771" i="1"/>
  <c r="W771" i="1" s="1"/>
  <c r="AK771" i="1"/>
  <c r="AL771" i="1" l="1"/>
  <c r="AM771" i="1"/>
  <c r="AD771" i="1"/>
  <c r="X771" i="1"/>
  <c r="C772" i="1"/>
  <c r="AE772" i="1"/>
  <c r="W772" i="1" s="1"/>
  <c r="AK772" i="1"/>
  <c r="AL772" i="1" l="1"/>
  <c r="AM772" i="1"/>
  <c r="AD772" i="1"/>
  <c r="Y771" i="1"/>
  <c r="Z771" i="1" s="1"/>
  <c r="AA771" i="1" s="1"/>
  <c r="X772" i="1"/>
  <c r="Y772" i="1"/>
  <c r="C773" i="1"/>
  <c r="AE773" i="1"/>
  <c r="W773" i="1" s="1"/>
  <c r="AK773" i="1"/>
  <c r="AL773" i="1" l="1"/>
  <c r="AM773" i="1"/>
  <c r="Z772" i="1"/>
  <c r="AA772" i="1" s="1"/>
  <c r="AD773" i="1"/>
  <c r="X773" i="1"/>
  <c r="C774" i="1"/>
  <c r="AE774" i="1"/>
  <c r="W774" i="1" s="1"/>
  <c r="AK774" i="1"/>
  <c r="AL774" i="1" l="1"/>
  <c r="AM774" i="1"/>
  <c r="AD774" i="1"/>
  <c r="Y773" i="1"/>
  <c r="Z773" i="1" s="1"/>
  <c r="AA773" i="1" s="1"/>
  <c r="X774" i="1"/>
  <c r="C775" i="1"/>
  <c r="AE775" i="1"/>
  <c r="W775" i="1" s="1"/>
  <c r="AK775" i="1"/>
  <c r="AL775" i="1" l="1"/>
  <c r="AM775" i="1"/>
  <c r="Z774" i="1"/>
  <c r="AA774" i="1" s="1"/>
  <c r="Y774" i="1"/>
  <c r="AD775" i="1"/>
  <c r="X775" i="1"/>
  <c r="Y775" i="1"/>
  <c r="C776" i="1"/>
  <c r="AD776" i="1"/>
  <c r="AE776" i="1"/>
  <c r="W776" i="1" s="1"/>
  <c r="AK776" i="1"/>
  <c r="AL776" i="1" l="1"/>
  <c r="AM776" i="1"/>
  <c r="Z775" i="1"/>
  <c r="AA775" i="1" s="1"/>
  <c r="X776" i="1"/>
  <c r="Y776" i="1" s="1"/>
  <c r="C777" i="1"/>
  <c r="AE777" i="1"/>
  <c r="W777" i="1" s="1"/>
  <c r="AK777" i="1"/>
  <c r="AL777" i="1" l="1"/>
  <c r="AM777" i="1"/>
  <c r="AD777" i="1"/>
  <c r="Z776" i="1"/>
  <c r="AA776" i="1" s="1"/>
  <c r="X777" i="1"/>
  <c r="C778" i="1"/>
  <c r="AE778" i="1"/>
  <c r="W778" i="1" s="1"/>
  <c r="AK778" i="1"/>
  <c r="AL778" i="1" l="1"/>
  <c r="AM778" i="1"/>
  <c r="AD778" i="1"/>
  <c r="Y777" i="1"/>
  <c r="Z777" i="1" s="1"/>
  <c r="AA777" i="1" s="1"/>
  <c r="X778" i="1"/>
  <c r="C779" i="1"/>
  <c r="D779" i="1"/>
  <c r="AB779" i="1" s="1"/>
  <c r="AD779" i="1"/>
  <c r="AE779" i="1"/>
  <c r="W779" i="1" s="1"/>
  <c r="AG779" i="1"/>
  <c r="AJ779" i="1" s="1"/>
  <c r="AK779" i="1"/>
  <c r="AL779" i="1" l="1"/>
  <c r="AM779" i="1"/>
  <c r="Z778" i="1"/>
  <c r="AA778" i="1" s="1"/>
  <c r="Y778" i="1"/>
  <c r="AP779" i="1"/>
  <c r="AC779" i="1"/>
  <c r="AH779" i="1"/>
  <c r="AF779" i="1"/>
  <c r="X779" i="1"/>
  <c r="Z779" i="1"/>
  <c r="Y779" i="1"/>
  <c r="AA779" i="1"/>
  <c r="AE780" i="1"/>
  <c r="W780" i="1" s="1"/>
  <c r="AK780" i="1"/>
  <c r="AL780" i="1" l="1"/>
  <c r="AM780" i="1"/>
  <c r="AD780" i="1"/>
  <c r="X780" i="1"/>
  <c r="Y780" i="1" s="1"/>
  <c r="C781" i="1"/>
  <c r="D781" i="1"/>
  <c r="AB781" i="1" s="1"/>
  <c r="AD781" i="1"/>
  <c r="AE781" i="1"/>
  <c r="W781" i="1" s="1"/>
  <c r="AG781" i="1"/>
  <c r="AJ781" i="1" s="1"/>
  <c r="AK781" i="1"/>
  <c r="AL781" i="1" l="1"/>
  <c r="AM781" i="1"/>
  <c r="Z780" i="1"/>
  <c r="AA780" i="1" s="1"/>
  <c r="AP781" i="1"/>
  <c r="AC781" i="1"/>
  <c r="AH781" i="1"/>
  <c r="AF781" i="1"/>
  <c r="X781" i="1"/>
  <c r="Z781" i="1"/>
  <c r="Y781" i="1"/>
  <c r="AA781" i="1"/>
  <c r="AE782" i="1" l="1"/>
  <c r="W782" i="1" s="1"/>
  <c r="AK782" i="1"/>
  <c r="AL782" i="1" l="1"/>
  <c r="AM782" i="1"/>
  <c r="AD782" i="1"/>
  <c r="X782" i="1"/>
  <c r="Z782" i="1"/>
  <c r="Y782" i="1"/>
  <c r="AA782" i="1"/>
  <c r="C783" i="1"/>
  <c r="D783" i="1"/>
  <c r="AB783" i="1" s="1"/>
  <c r="AD783" i="1"/>
  <c r="AE783" i="1"/>
  <c r="W783" i="1" s="1"/>
  <c r="AG783" i="1"/>
  <c r="AJ783" i="1" s="1"/>
  <c r="AK783" i="1"/>
  <c r="AL783" i="1" l="1"/>
  <c r="AM783" i="1"/>
  <c r="AP783" i="1"/>
  <c r="AC783" i="1"/>
  <c r="AH783" i="1"/>
  <c r="AF783" i="1"/>
  <c r="X783" i="1"/>
  <c r="Z783" i="1"/>
  <c r="Y783" i="1"/>
  <c r="AA783" i="1"/>
  <c r="AE784" i="1"/>
  <c r="W784" i="1" s="1"/>
  <c r="AK784" i="1"/>
  <c r="AL784" i="1" l="1"/>
  <c r="AM784" i="1"/>
  <c r="AD784" i="1"/>
  <c r="X784" i="1"/>
  <c r="Z784" i="1"/>
  <c r="Y784" i="1"/>
  <c r="AA784" i="1"/>
  <c r="C785" i="1"/>
  <c r="AE785" i="1"/>
  <c r="W785" i="1" s="1"/>
  <c r="AK785" i="1"/>
  <c r="AL785" i="1" l="1"/>
  <c r="AM785" i="1"/>
  <c r="AD785" i="1"/>
  <c r="X785" i="1"/>
  <c r="C786" i="1"/>
  <c r="D786" i="1"/>
  <c r="AB786" i="1" s="1"/>
  <c r="AD786" i="1"/>
  <c r="AE786" i="1"/>
  <c r="W786" i="1" s="1"/>
  <c r="AG786" i="1"/>
  <c r="AJ786" i="1" s="1"/>
  <c r="AK786" i="1"/>
  <c r="AL786" i="1" l="1"/>
  <c r="AM786" i="1"/>
  <c r="Y785" i="1"/>
  <c r="Z785" i="1" s="1"/>
  <c r="AA785" i="1" s="1"/>
  <c r="AP786" i="1"/>
  <c r="AC786" i="1"/>
  <c r="AH786" i="1"/>
  <c r="AF786" i="1"/>
  <c r="X786" i="1"/>
  <c r="Z786" i="1"/>
  <c r="Y786" i="1"/>
  <c r="AA786" i="1"/>
  <c r="AE787" i="1"/>
  <c r="W787" i="1" s="1"/>
  <c r="AK787" i="1"/>
  <c r="AL787" i="1" l="1"/>
  <c r="AM787" i="1"/>
  <c r="AD787" i="1"/>
  <c r="X787" i="1"/>
  <c r="Y787" i="1"/>
  <c r="AP787" i="1"/>
  <c r="C788" i="1"/>
  <c r="AE788" i="1"/>
  <c r="W788" i="1" s="1"/>
  <c r="AK788" i="1"/>
  <c r="AL788" i="1" l="1"/>
  <c r="AM788" i="1"/>
  <c r="AD788" i="1"/>
  <c r="Z787" i="1"/>
  <c r="AA787" i="1" s="1"/>
  <c r="AP788" i="1"/>
  <c r="X788" i="1"/>
  <c r="C789" i="1"/>
  <c r="AE789" i="1"/>
  <c r="W789" i="1" s="1"/>
  <c r="AK789" i="1"/>
  <c r="AL789" i="1" l="1"/>
  <c r="AM789" i="1"/>
  <c r="AD789" i="1"/>
  <c r="Y788" i="1"/>
  <c r="Z788" i="1" s="1"/>
  <c r="AA788" i="1" s="1"/>
  <c r="X789" i="1"/>
  <c r="Y789" i="1"/>
  <c r="AP789" i="1"/>
  <c r="C790" i="1"/>
  <c r="AE790" i="1"/>
  <c r="W790" i="1" s="1"/>
  <c r="AK790" i="1"/>
  <c r="AM790" i="1" s="1"/>
  <c r="AP790" i="1" l="1"/>
  <c r="AL790" i="1"/>
  <c r="AD790" i="1"/>
  <c r="Z789" i="1"/>
  <c r="AA789" i="1" s="1"/>
  <c r="X790" i="1"/>
  <c r="Y790" i="1" s="1"/>
  <c r="Z790" i="1" s="1"/>
  <c r="AA790" i="1" s="1"/>
  <c r="C791" i="1"/>
  <c r="AE791" i="1"/>
  <c r="W791" i="1" s="1"/>
  <c r="AK791" i="1"/>
  <c r="AM791" i="1" s="1"/>
  <c r="AP791" i="1" l="1"/>
  <c r="AL791" i="1"/>
  <c r="AD791" i="1"/>
  <c r="X791" i="1"/>
  <c r="C792" i="1"/>
  <c r="AE792" i="1"/>
  <c r="W792" i="1" s="1"/>
  <c r="AK792" i="1"/>
  <c r="AL792" i="1" l="1"/>
  <c r="AM792" i="1"/>
  <c r="AD792" i="1"/>
  <c r="Y791" i="1"/>
  <c r="Z791" i="1" s="1"/>
  <c r="AA791" i="1" s="1"/>
  <c r="AP792" i="1"/>
  <c r="X792" i="1"/>
  <c r="C793" i="1"/>
  <c r="D793" i="1"/>
  <c r="AB793" i="1" s="1"/>
  <c r="AD793" i="1"/>
  <c r="AE793" i="1"/>
  <c r="W793" i="1" s="1"/>
  <c r="AG793" i="1"/>
  <c r="AJ793" i="1" s="1"/>
  <c r="AK793" i="1"/>
  <c r="AL793" i="1" l="1"/>
  <c r="AM793" i="1"/>
  <c r="Y792" i="1"/>
  <c r="Z792" i="1" s="1"/>
  <c r="AA792" i="1" s="1"/>
  <c r="AC793" i="1"/>
  <c r="AH793" i="1"/>
  <c r="AF793" i="1"/>
  <c r="X793" i="1"/>
  <c r="Z793" i="1"/>
  <c r="Y793" i="1"/>
  <c r="AA793" i="1"/>
  <c r="AP793" i="1"/>
  <c r="AD794" i="1"/>
  <c r="AE794" i="1"/>
  <c r="W794" i="1" s="1"/>
  <c r="AK794" i="1"/>
  <c r="AL794" i="1" l="1"/>
  <c r="AM794" i="1"/>
  <c r="AP794" i="1"/>
  <c r="X794" i="1"/>
  <c r="C795" i="1"/>
  <c r="AD795" i="1"/>
  <c r="AE795" i="1"/>
  <c r="W795" i="1" s="1"/>
  <c r="AK795" i="1"/>
  <c r="AL795" i="1" l="1"/>
  <c r="AM795" i="1"/>
  <c r="Y794" i="1"/>
  <c r="Z794" i="1" s="1"/>
  <c r="AA794" i="1" s="1"/>
  <c r="X795" i="1"/>
  <c r="AP795" i="1"/>
  <c r="C796" i="1"/>
  <c r="AD796" i="1"/>
  <c r="AE796" i="1"/>
  <c r="W796" i="1" s="1"/>
  <c r="AK796" i="1"/>
  <c r="AL796" i="1" l="1"/>
  <c r="AM796" i="1"/>
  <c r="Y795" i="1"/>
  <c r="Z795" i="1" s="1"/>
  <c r="AA795" i="1" s="1"/>
  <c r="AP796" i="1"/>
  <c r="X796" i="1"/>
  <c r="Y796" i="1" s="1"/>
  <c r="Z796" i="1" s="1"/>
  <c r="AA796" i="1" s="1"/>
  <c r="C797" i="1"/>
  <c r="AD797" i="1"/>
  <c r="AE797" i="1"/>
  <c r="W797" i="1" s="1"/>
  <c r="AK797" i="1"/>
  <c r="AL797" i="1" l="1"/>
  <c r="AM797" i="1"/>
  <c r="X797" i="1"/>
  <c r="Z797" i="1" s="1"/>
  <c r="AA797" i="1" s="1"/>
  <c r="Y797" i="1"/>
  <c r="AP797" i="1"/>
  <c r="C798" i="1"/>
  <c r="AD798" i="1"/>
  <c r="AE798" i="1"/>
  <c r="W798" i="1" s="1"/>
  <c r="AK798" i="1"/>
  <c r="AL798" i="1" l="1"/>
  <c r="AM798" i="1"/>
  <c r="AP798" i="1"/>
  <c r="X798" i="1"/>
  <c r="C799" i="1"/>
  <c r="AE799" i="1"/>
  <c r="W799" i="1" s="1"/>
  <c r="AK799" i="1"/>
  <c r="AL799" i="1" l="1"/>
  <c r="AM799" i="1"/>
  <c r="AD799" i="1"/>
  <c r="Y798" i="1"/>
  <c r="Z798" i="1" s="1"/>
  <c r="AA798" i="1" s="1"/>
  <c r="X799" i="1"/>
  <c r="AP799" i="1"/>
  <c r="C800" i="1"/>
  <c r="AD800" i="1"/>
  <c r="AE800" i="1"/>
  <c r="W800" i="1" s="1"/>
  <c r="AK800" i="1"/>
  <c r="AL800" i="1" l="1"/>
  <c r="AM800" i="1"/>
  <c r="Y799" i="1"/>
  <c r="Z799" i="1" s="1"/>
  <c r="AA799" i="1" s="1"/>
  <c r="X800" i="1"/>
  <c r="Y800" i="1" s="1"/>
  <c r="AP800" i="1"/>
  <c r="C801" i="1"/>
  <c r="D801" i="1"/>
  <c r="AC801" i="1" s="1"/>
  <c r="AD801" i="1"/>
  <c r="AE801" i="1"/>
  <c r="W801" i="1" s="1"/>
  <c r="AG801" i="1"/>
  <c r="AJ801" i="1" s="1"/>
  <c r="AK801" i="1"/>
  <c r="AL801" i="1" l="1"/>
  <c r="AM801" i="1"/>
  <c r="Z800" i="1"/>
  <c r="AA800" i="1" s="1"/>
  <c r="AH801" i="1"/>
  <c r="AF801" i="1"/>
  <c r="AB801" i="1"/>
  <c r="Y801" i="1"/>
  <c r="AA801" i="1"/>
  <c r="X801" i="1"/>
  <c r="Z801" i="1"/>
  <c r="AP801" i="1"/>
  <c r="AD802" i="1"/>
  <c r="AE802" i="1"/>
  <c r="W802" i="1" s="1"/>
  <c r="AK802" i="1"/>
  <c r="AL802" i="1" l="1"/>
  <c r="AM802" i="1"/>
  <c r="AP802" i="1"/>
  <c r="X802" i="1"/>
  <c r="Y802" i="1" s="1"/>
  <c r="C803" i="1"/>
  <c r="AD803" i="1"/>
  <c r="AE803" i="1"/>
  <c r="W803" i="1" s="1"/>
  <c r="AK803" i="1"/>
  <c r="AL803" i="1" l="1"/>
  <c r="AM803" i="1"/>
  <c r="Z802" i="1"/>
  <c r="AA802" i="1" s="1"/>
  <c r="X803" i="1"/>
  <c r="AP803" i="1"/>
  <c r="C804" i="1"/>
  <c r="AD804" i="1"/>
  <c r="AE804" i="1"/>
  <c r="W804" i="1" s="1"/>
  <c r="AK804" i="1"/>
  <c r="AL804" i="1" l="1"/>
  <c r="AM804" i="1"/>
  <c r="Y803" i="1"/>
  <c r="Z803" i="1" s="1"/>
  <c r="AA803" i="1" s="1"/>
  <c r="AP804" i="1"/>
  <c r="X804" i="1"/>
  <c r="Y804" i="1" s="1"/>
  <c r="Z804" i="1" s="1"/>
  <c r="AA804" i="1" s="1"/>
  <c r="C805" i="1"/>
  <c r="AD805" i="1"/>
  <c r="AE805" i="1"/>
  <c r="W805" i="1" s="1"/>
  <c r="AK805" i="1"/>
  <c r="AL805" i="1" l="1"/>
  <c r="AM805" i="1"/>
  <c r="X805" i="1"/>
  <c r="Y805" i="1"/>
  <c r="AP805" i="1"/>
  <c r="C806" i="1"/>
  <c r="AD806" i="1"/>
  <c r="AE806" i="1"/>
  <c r="W806" i="1" s="1"/>
  <c r="AK806" i="1"/>
  <c r="AL806" i="1" l="1"/>
  <c r="AM806" i="1"/>
  <c r="Z805" i="1"/>
  <c r="AA805" i="1" s="1"/>
  <c r="AP806" i="1"/>
  <c r="X806" i="1"/>
  <c r="Y806" i="1" s="1"/>
  <c r="Z806" i="1" s="1"/>
  <c r="AA806" i="1" s="1"/>
  <c r="C807" i="1"/>
  <c r="AD807" i="1"/>
  <c r="AE807" i="1"/>
  <c r="W807" i="1" s="1"/>
  <c r="AK807" i="1"/>
  <c r="AL807" i="1" l="1"/>
  <c r="AM807" i="1"/>
  <c r="X807" i="1"/>
  <c r="Z807" i="1"/>
  <c r="Y807" i="1"/>
  <c r="AA807" i="1"/>
  <c r="AP807" i="1"/>
  <c r="C808" i="1"/>
  <c r="AD808" i="1"/>
  <c r="AE808" i="1"/>
  <c r="W808" i="1" s="1"/>
  <c r="AK808" i="1"/>
  <c r="AL808" i="1" l="1"/>
  <c r="AM808" i="1"/>
  <c r="AP808" i="1"/>
  <c r="X808" i="1"/>
  <c r="C809" i="1"/>
  <c r="D809" i="1"/>
  <c r="AB809" i="1" s="1"/>
  <c r="AD809" i="1"/>
  <c r="AE809" i="1"/>
  <c r="W809" i="1" s="1"/>
  <c r="AG809" i="1"/>
  <c r="AJ809" i="1" s="1"/>
  <c r="AK809" i="1"/>
  <c r="AL809" i="1" l="1"/>
  <c r="AM809" i="1"/>
  <c r="Y808" i="1"/>
  <c r="Z808" i="1" s="1"/>
  <c r="AA808" i="1" s="1"/>
  <c r="AC809" i="1"/>
  <c r="AH809" i="1"/>
  <c r="AF809" i="1"/>
  <c r="X809" i="1"/>
  <c r="Z809" i="1"/>
  <c r="Y809" i="1"/>
  <c r="AA809" i="1"/>
  <c r="AP809" i="1"/>
  <c r="AD810" i="1"/>
  <c r="AE810" i="1"/>
  <c r="W810" i="1" s="1"/>
  <c r="AK810" i="1"/>
  <c r="AL810" i="1" l="1"/>
  <c r="AM810" i="1"/>
  <c r="AP810" i="1"/>
  <c r="X810" i="1"/>
  <c r="C811" i="1"/>
  <c r="AD811" i="1"/>
  <c r="AE811" i="1"/>
  <c r="W811" i="1" s="1"/>
  <c r="AK811" i="1"/>
  <c r="AL811" i="1" l="1"/>
  <c r="AM811" i="1"/>
  <c r="Y810" i="1"/>
  <c r="Z810" i="1" s="1"/>
  <c r="AA810" i="1" s="1"/>
  <c r="X811" i="1"/>
  <c r="AP811" i="1"/>
  <c r="C812" i="1"/>
  <c r="AD812" i="1"/>
  <c r="AE812" i="1"/>
  <c r="W812" i="1" s="1"/>
  <c r="AK812" i="1"/>
  <c r="AL812" i="1" l="1"/>
  <c r="AM812" i="1"/>
  <c r="Y811" i="1"/>
  <c r="Z811" i="1" s="1"/>
  <c r="AA811" i="1" s="1"/>
  <c r="X812" i="1"/>
  <c r="AP812" i="1"/>
  <c r="C813" i="1"/>
  <c r="AD813" i="1"/>
  <c r="AE813" i="1"/>
  <c r="W813" i="1" s="1"/>
  <c r="AK813" i="1"/>
  <c r="AL813" i="1" l="1"/>
  <c r="AM813" i="1"/>
  <c r="Y812" i="1"/>
  <c r="Z812" i="1" s="1"/>
  <c r="AA812" i="1" s="1"/>
  <c r="AP813" i="1"/>
  <c r="X813" i="1"/>
  <c r="Y813" i="1" s="1"/>
  <c r="Z813" i="1" s="1"/>
  <c r="AA813" i="1" s="1"/>
  <c r="C814" i="1"/>
  <c r="AD814" i="1"/>
  <c r="AE814" i="1"/>
  <c r="W814" i="1" s="1"/>
  <c r="AK814" i="1"/>
  <c r="AL814" i="1" l="1"/>
  <c r="AM814" i="1"/>
  <c r="X814" i="1"/>
  <c r="Z814" i="1"/>
  <c r="Y814" i="1"/>
  <c r="AA814" i="1"/>
  <c r="AP814" i="1"/>
  <c r="C815" i="1"/>
  <c r="AD815" i="1"/>
  <c r="AE815" i="1"/>
  <c r="W815" i="1" s="1"/>
  <c r="AK815" i="1"/>
  <c r="AL815" i="1" l="1"/>
  <c r="AM815" i="1"/>
  <c r="X815" i="1"/>
  <c r="Y815" i="1" s="1"/>
  <c r="Z815" i="1" s="1"/>
  <c r="AA815" i="1" s="1"/>
  <c r="AP815" i="1"/>
  <c r="C816" i="1"/>
  <c r="AD816" i="1"/>
  <c r="AE816" i="1"/>
  <c r="W816" i="1" s="1"/>
  <c r="AK816" i="1"/>
  <c r="AL816" i="1" l="1"/>
  <c r="AM816" i="1"/>
  <c r="X816" i="1"/>
  <c r="Y816" i="1" s="1"/>
  <c r="Z816" i="1" s="1"/>
  <c r="AA816" i="1" s="1"/>
  <c r="AP816" i="1"/>
  <c r="C817" i="1"/>
  <c r="AD817" i="1"/>
  <c r="AE817" i="1"/>
  <c r="W817" i="1" s="1"/>
  <c r="AK817" i="1"/>
  <c r="AL817" i="1" l="1"/>
  <c r="AM817" i="1"/>
  <c r="AP817" i="1"/>
  <c r="X817" i="1"/>
  <c r="C818" i="1"/>
  <c r="AD818" i="1"/>
  <c r="AE818" i="1"/>
  <c r="W818" i="1" s="1"/>
  <c r="AK818" i="1"/>
  <c r="AL818" i="1" l="1"/>
  <c r="AM818" i="1"/>
  <c r="Y817" i="1"/>
  <c r="Z817" i="1" s="1"/>
  <c r="AA817" i="1" s="1"/>
  <c r="X818" i="1"/>
  <c r="AP818" i="1"/>
  <c r="C819" i="1"/>
  <c r="AD819" i="1"/>
  <c r="AE819" i="1"/>
  <c r="W819" i="1" s="1"/>
  <c r="AK819" i="1"/>
  <c r="AL819" i="1" l="1"/>
  <c r="AM819" i="1"/>
  <c r="Y818" i="1"/>
  <c r="Z818" i="1" s="1"/>
  <c r="AA818" i="1" s="1"/>
  <c r="AP819" i="1"/>
  <c r="X819" i="1"/>
  <c r="Y819" i="1" s="1"/>
  <c r="Z819" i="1" s="1"/>
  <c r="AA819" i="1" s="1"/>
  <c r="C820" i="1"/>
  <c r="D820" i="1"/>
  <c r="AB820" i="1" s="1"/>
  <c r="AD820" i="1"/>
  <c r="AE820" i="1"/>
  <c r="W820" i="1" s="1"/>
  <c r="AG820" i="1"/>
  <c r="AJ820" i="1" s="1"/>
  <c r="AK820" i="1"/>
  <c r="AL820" i="1" l="1"/>
  <c r="AM820" i="1"/>
  <c r="AC820" i="1"/>
  <c r="AH820" i="1"/>
  <c r="AF820" i="1"/>
  <c r="X820" i="1"/>
  <c r="Z820" i="1"/>
  <c r="Y820" i="1"/>
  <c r="AA820" i="1"/>
  <c r="AP820" i="1"/>
  <c r="AE821" i="1"/>
  <c r="W821" i="1" s="1"/>
  <c r="AK821" i="1"/>
  <c r="AL821" i="1" l="1"/>
  <c r="AM821" i="1"/>
  <c r="AD821" i="1"/>
  <c r="AP821" i="1"/>
  <c r="X821" i="1"/>
  <c r="Y821" i="1" s="1"/>
  <c r="C822" i="1"/>
  <c r="AE822" i="1"/>
  <c r="W822" i="1" s="1"/>
  <c r="AK822" i="1"/>
  <c r="AL822" i="1" l="1"/>
  <c r="AM822" i="1"/>
  <c r="AD822" i="1"/>
  <c r="Z821" i="1"/>
  <c r="AA821" i="1" s="1"/>
  <c r="X822" i="1"/>
  <c r="Z822" i="1" s="1"/>
  <c r="AA822" i="1" s="1"/>
  <c r="Y822" i="1"/>
  <c r="AP822" i="1"/>
  <c r="C823" i="1"/>
  <c r="AE823" i="1"/>
  <c r="W823" i="1" s="1"/>
  <c r="AK823" i="1"/>
  <c r="AL823" i="1" l="1"/>
  <c r="AM823" i="1"/>
  <c r="AD823" i="1"/>
  <c r="X823" i="1"/>
  <c r="AP823" i="1"/>
  <c r="C824" i="1"/>
  <c r="AE824" i="1"/>
  <c r="W824" i="1" s="1"/>
  <c r="AK824" i="1"/>
  <c r="AL824" i="1" l="1"/>
  <c r="AM824" i="1"/>
  <c r="Y823" i="1"/>
  <c r="Z823" i="1" s="1"/>
  <c r="AA823" i="1" s="1"/>
  <c r="AP824" i="1"/>
  <c r="X824" i="1"/>
  <c r="C825" i="1"/>
  <c r="D825" i="1"/>
  <c r="AB825" i="1" s="1"/>
  <c r="AD825" i="1"/>
  <c r="AE825" i="1"/>
  <c r="W825" i="1" s="1"/>
  <c r="AG825" i="1"/>
  <c r="AJ825" i="1" s="1"/>
  <c r="AK825" i="1"/>
  <c r="AL825" i="1" l="1"/>
  <c r="AM825" i="1"/>
  <c r="Y824" i="1"/>
  <c r="Z824" i="1" s="1"/>
  <c r="AA824" i="1" s="1"/>
  <c r="AC825" i="1"/>
  <c r="AH825" i="1"/>
  <c r="AF825" i="1"/>
  <c r="X825" i="1"/>
  <c r="Z825" i="1"/>
  <c r="Y825" i="1"/>
  <c r="AA825" i="1"/>
  <c r="AP825" i="1"/>
  <c r="C826" i="1"/>
  <c r="D826" i="1"/>
  <c r="AC826" i="1" s="1"/>
  <c r="AD826" i="1"/>
  <c r="AE826" i="1"/>
  <c r="W826" i="1" s="1"/>
  <c r="AG826" i="1"/>
  <c r="AJ826" i="1" s="1"/>
  <c r="AK826" i="1"/>
  <c r="AL826" i="1" l="1"/>
  <c r="AM826" i="1"/>
  <c r="AH826" i="1"/>
  <c r="AF826" i="1"/>
  <c r="AB826" i="1"/>
  <c r="Y826" i="1"/>
  <c r="AA826" i="1"/>
  <c r="X826" i="1"/>
  <c r="Z826" i="1"/>
  <c r="AP826" i="1"/>
  <c r="C827" i="1"/>
  <c r="D827" i="1"/>
  <c r="AC827" i="1" s="1"/>
  <c r="AD827" i="1"/>
  <c r="AE827" i="1"/>
  <c r="W827" i="1" s="1"/>
  <c r="AG827" i="1"/>
  <c r="AJ827" i="1" s="1"/>
  <c r="AK827" i="1"/>
  <c r="AL827" i="1" l="1"/>
  <c r="AM827" i="1"/>
  <c r="AP827" i="1"/>
  <c r="AH827" i="1"/>
  <c r="AF827" i="1"/>
  <c r="AB827" i="1"/>
  <c r="Y827" i="1"/>
  <c r="AA827" i="1"/>
  <c r="X827" i="1"/>
  <c r="Z827" i="1"/>
  <c r="C828" i="1"/>
  <c r="D828" i="1"/>
  <c r="AB828" i="1" s="1"/>
  <c r="AD828" i="1"/>
  <c r="AE828" i="1"/>
  <c r="W828" i="1" s="1"/>
  <c r="AG828" i="1"/>
  <c r="AJ828" i="1" s="1"/>
  <c r="AK828" i="1"/>
  <c r="AL828" i="1" l="1"/>
  <c r="AM828" i="1"/>
  <c r="AC828" i="1"/>
  <c r="AH828" i="1"/>
  <c r="AF828" i="1"/>
  <c r="X828" i="1"/>
  <c r="Z828" i="1"/>
  <c r="Y828" i="1"/>
  <c r="AA828" i="1"/>
  <c r="AP828" i="1"/>
  <c r="C829" i="1"/>
  <c r="D829" i="1"/>
  <c r="AC829" i="1" s="1"/>
  <c r="AD829" i="1"/>
  <c r="AE829" i="1"/>
  <c r="W829" i="1" s="1"/>
  <c r="AG829" i="1"/>
  <c r="AJ829" i="1" s="1"/>
  <c r="AK829" i="1"/>
  <c r="AL829" i="1" l="1"/>
  <c r="AM829" i="1"/>
  <c r="AH829" i="1"/>
  <c r="AF829" i="1"/>
  <c r="AB829" i="1"/>
  <c r="Y829" i="1"/>
  <c r="AA829" i="1"/>
  <c r="X829" i="1"/>
  <c r="Z829" i="1"/>
  <c r="AP829" i="1"/>
  <c r="C830" i="1"/>
  <c r="D830" i="1"/>
  <c r="AC830" i="1" s="1"/>
  <c r="AD830" i="1"/>
  <c r="AE830" i="1"/>
  <c r="W830" i="1" s="1"/>
  <c r="AG830" i="1"/>
  <c r="AJ830" i="1" s="1"/>
  <c r="AK830" i="1"/>
  <c r="AL830" i="1" l="1"/>
  <c r="AM830" i="1"/>
  <c r="AP830" i="1"/>
  <c r="AH830" i="1"/>
  <c r="AF830" i="1"/>
  <c r="AB830" i="1"/>
  <c r="Y830" i="1"/>
  <c r="AA830" i="1"/>
  <c r="X830" i="1"/>
  <c r="Z830" i="1"/>
  <c r="C831" i="1"/>
  <c r="D831" i="1"/>
  <c r="AB831" i="1" s="1"/>
  <c r="AD831" i="1"/>
  <c r="AE831" i="1"/>
  <c r="W831" i="1" s="1"/>
  <c r="AG831" i="1"/>
  <c r="AJ831" i="1" s="1"/>
  <c r="AK831" i="1"/>
  <c r="AL831" i="1" l="1"/>
  <c r="AM831" i="1"/>
  <c r="AC831" i="1"/>
  <c r="AH831" i="1"/>
  <c r="AF831" i="1"/>
  <c r="X831" i="1"/>
  <c r="Z831" i="1"/>
  <c r="Y831" i="1"/>
  <c r="AA831" i="1"/>
  <c r="AP831" i="1"/>
  <c r="C832" i="1"/>
  <c r="D832" i="1"/>
  <c r="AC832" i="1" s="1"/>
  <c r="AD832" i="1"/>
  <c r="AE832" i="1"/>
  <c r="W832" i="1" s="1"/>
  <c r="AG832" i="1"/>
  <c r="AJ832" i="1" s="1"/>
  <c r="AK832" i="1"/>
  <c r="AL832" i="1" l="1"/>
  <c r="AM832" i="1"/>
  <c r="AP832" i="1"/>
  <c r="AH832" i="1"/>
  <c r="AF832" i="1"/>
  <c r="AB832" i="1"/>
  <c r="Y832" i="1"/>
  <c r="AA832" i="1"/>
  <c r="X832" i="1"/>
  <c r="Z832" i="1"/>
  <c r="C833" i="1"/>
  <c r="D833" i="1"/>
  <c r="AB833" i="1" s="1"/>
  <c r="AD833" i="1"/>
  <c r="AE833" i="1"/>
  <c r="W833" i="1" s="1"/>
  <c r="AG833" i="1"/>
  <c r="AJ833" i="1" s="1"/>
  <c r="AK833" i="1"/>
  <c r="AL833" i="1" l="1"/>
  <c r="AM833" i="1"/>
  <c r="AC833" i="1"/>
  <c r="AH833" i="1"/>
  <c r="AF833" i="1"/>
  <c r="X833" i="1"/>
  <c r="Z833" i="1"/>
  <c r="Y833" i="1"/>
  <c r="AA833" i="1"/>
  <c r="AP833" i="1"/>
  <c r="C834" i="1"/>
  <c r="D834" i="1"/>
  <c r="AC834" i="1" s="1"/>
  <c r="AD834" i="1"/>
  <c r="AE834" i="1"/>
  <c r="W834" i="1" s="1"/>
  <c r="AG834" i="1"/>
  <c r="AJ834" i="1" s="1"/>
  <c r="AK834" i="1"/>
  <c r="AL834" i="1" l="1"/>
  <c r="AM834" i="1"/>
  <c r="AP834" i="1"/>
  <c r="AH834" i="1"/>
  <c r="AF834" i="1"/>
  <c r="AB834" i="1"/>
  <c r="Y834" i="1"/>
  <c r="AA834" i="1"/>
  <c r="X834" i="1"/>
  <c r="Z834" i="1"/>
  <c r="C835" i="1"/>
  <c r="D835" i="1"/>
  <c r="AB835" i="1" s="1"/>
  <c r="AD835" i="1"/>
  <c r="AE835" i="1"/>
  <c r="W835" i="1" s="1"/>
  <c r="AG835" i="1"/>
  <c r="AJ835" i="1" s="1"/>
  <c r="AK835" i="1"/>
  <c r="AL835" i="1" l="1"/>
  <c r="AM835" i="1"/>
  <c r="AC835" i="1"/>
  <c r="AH835" i="1"/>
  <c r="AF835" i="1"/>
  <c r="X835" i="1"/>
  <c r="Z835" i="1"/>
  <c r="Y835" i="1"/>
  <c r="AA835" i="1"/>
  <c r="AP835" i="1"/>
  <c r="C836" i="1"/>
  <c r="D836" i="1"/>
  <c r="AB836" i="1" s="1"/>
  <c r="AD836" i="1"/>
  <c r="AE836" i="1"/>
  <c r="W836" i="1" s="1"/>
  <c r="AG836" i="1"/>
  <c r="AJ836" i="1" s="1"/>
  <c r="AK836" i="1"/>
  <c r="AL836" i="1" l="1"/>
  <c r="AM836" i="1"/>
  <c r="AP836" i="1"/>
  <c r="AC836" i="1"/>
  <c r="AH836" i="1"/>
  <c r="AF836" i="1"/>
  <c r="X836" i="1"/>
  <c r="Z836" i="1"/>
  <c r="Y836" i="1"/>
  <c r="AA836" i="1"/>
  <c r="C837" i="1"/>
  <c r="D837" i="1"/>
  <c r="AB837" i="1" s="1"/>
  <c r="AD837" i="1"/>
  <c r="AE837" i="1"/>
  <c r="W837" i="1" s="1"/>
  <c r="AG837" i="1"/>
  <c r="AJ837" i="1" s="1"/>
  <c r="AK837" i="1"/>
  <c r="AL837" i="1" l="1"/>
  <c r="AM837" i="1"/>
  <c r="AP837" i="1"/>
  <c r="AH837" i="1"/>
  <c r="AF837" i="1"/>
  <c r="AC837" i="1"/>
  <c r="X837" i="1"/>
  <c r="Z837" i="1"/>
  <c r="Y837" i="1"/>
  <c r="AA837" i="1"/>
  <c r="C838" i="1"/>
  <c r="D838" i="1"/>
  <c r="AB838" i="1" s="1"/>
  <c r="AD838" i="1"/>
  <c r="AE838" i="1"/>
  <c r="W838" i="1" s="1"/>
  <c r="AG838" i="1"/>
  <c r="AJ838" i="1" s="1"/>
  <c r="AK838" i="1"/>
  <c r="AL838" i="1" l="1"/>
  <c r="AM838" i="1"/>
  <c r="AP838" i="1"/>
  <c r="AC838" i="1"/>
  <c r="AH838" i="1"/>
  <c r="AF838" i="1"/>
  <c r="X838" i="1"/>
  <c r="Z838" i="1"/>
  <c r="Y838" i="1"/>
  <c r="AA838" i="1"/>
  <c r="C839" i="1"/>
  <c r="D839" i="1"/>
  <c r="AB839" i="1" s="1"/>
  <c r="AD839" i="1"/>
  <c r="AE839" i="1"/>
  <c r="W839" i="1" s="1"/>
  <c r="AG839" i="1"/>
  <c r="AJ839" i="1" s="1"/>
  <c r="AK839" i="1"/>
  <c r="AL839" i="1" l="1"/>
  <c r="AM839" i="1"/>
  <c r="AP839" i="1"/>
  <c r="AC839" i="1"/>
  <c r="AH839" i="1"/>
  <c r="AF839" i="1"/>
  <c r="X839" i="1"/>
  <c r="Z839" i="1"/>
  <c r="Y839" i="1"/>
  <c r="AA839" i="1"/>
  <c r="C840" i="1"/>
  <c r="D840" i="1"/>
  <c r="AC840" i="1" s="1"/>
  <c r="AD840" i="1"/>
  <c r="AE840" i="1"/>
  <c r="W840" i="1" s="1"/>
  <c r="AG840" i="1"/>
  <c r="AJ840" i="1" s="1"/>
  <c r="AK840" i="1"/>
  <c r="AL840" i="1" l="1"/>
  <c r="AM840" i="1"/>
  <c r="AP840" i="1"/>
  <c r="AH840" i="1"/>
  <c r="AF840" i="1"/>
  <c r="AB840" i="1"/>
  <c r="X840" i="1"/>
  <c r="Y840" i="1"/>
  <c r="AA840" i="1"/>
  <c r="Z840" i="1"/>
  <c r="C841" i="1"/>
  <c r="D841" i="1"/>
  <c r="AB841" i="1" s="1"/>
  <c r="AD841" i="1"/>
  <c r="AE841" i="1"/>
  <c r="W841" i="1" s="1"/>
  <c r="AG841" i="1"/>
  <c r="AJ841" i="1" s="1"/>
  <c r="AK841" i="1"/>
  <c r="AL841" i="1" l="1"/>
  <c r="AM841" i="1"/>
  <c r="AC841" i="1"/>
  <c r="AH841" i="1"/>
  <c r="AF841" i="1"/>
  <c r="X841" i="1"/>
  <c r="Z841" i="1"/>
  <c r="Y841" i="1"/>
  <c r="AA841" i="1"/>
  <c r="AP841" i="1"/>
  <c r="C842" i="1"/>
  <c r="D842" i="1"/>
  <c r="AC842" i="1" s="1"/>
  <c r="AD842" i="1"/>
  <c r="AE842" i="1"/>
  <c r="W842" i="1" s="1"/>
  <c r="AG842" i="1"/>
  <c r="AJ842" i="1" s="1"/>
  <c r="AK842" i="1"/>
  <c r="AL842" i="1" l="1"/>
  <c r="AM842" i="1"/>
  <c r="AH842" i="1"/>
  <c r="AF842" i="1"/>
  <c r="AB842" i="1"/>
  <c r="Y842" i="1"/>
  <c r="AA842" i="1"/>
  <c r="X842" i="1"/>
  <c r="Z842" i="1"/>
  <c r="AP842" i="1"/>
  <c r="C843" i="1"/>
  <c r="D843" i="1"/>
  <c r="AC843" i="1" s="1"/>
  <c r="AD843" i="1"/>
  <c r="AE843" i="1"/>
  <c r="W843" i="1" s="1"/>
  <c r="AG843" i="1"/>
  <c r="AJ843" i="1" s="1"/>
  <c r="AK843" i="1"/>
  <c r="AL843" i="1" l="1"/>
  <c r="AM843" i="1"/>
  <c r="AH843" i="1"/>
  <c r="AF843" i="1"/>
  <c r="AB843" i="1"/>
  <c r="Y843" i="1"/>
  <c r="AA843" i="1"/>
  <c r="X843" i="1"/>
  <c r="Z843" i="1"/>
  <c r="AP843" i="1"/>
  <c r="C844" i="1"/>
  <c r="D844" i="1"/>
  <c r="AC844" i="1" s="1"/>
  <c r="AD844" i="1"/>
  <c r="AE844" i="1"/>
  <c r="W844" i="1" s="1"/>
  <c r="AG844" i="1"/>
  <c r="AJ844" i="1" s="1"/>
  <c r="AK844" i="1"/>
  <c r="AL844" i="1" l="1"/>
  <c r="AM844" i="1"/>
  <c r="AP844" i="1"/>
  <c r="AH844" i="1"/>
  <c r="AF844" i="1"/>
  <c r="AB844" i="1"/>
  <c r="Y844" i="1"/>
  <c r="AA844" i="1"/>
  <c r="X844" i="1"/>
  <c r="Z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AP845" i="1"/>
  <c r="AH845" i="1"/>
  <c r="AF845" i="1"/>
  <c r="AC845" i="1"/>
  <c r="X845" i="1"/>
  <c r="Z845" i="1"/>
  <c r="Y845" i="1"/>
  <c r="AA845" i="1"/>
  <c r="C846" i="1"/>
  <c r="D846" i="1"/>
  <c r="AB846" i="1" s="1"/>
  <c r="AD846" i="1"/>
  <c r="AE846" i="1"/>
  <c r="W846" i="1" s="1"/>
  <c r="AG846" i="1"/>
  <c r="AJ846" i="1" s="1"/>
  <c r="AK846" i="1"/>
  <c r="AL846" i="1" l="1"/>
  <c r="AM846" i="1"/>
  <c r="AC846" i="1"/>
  <c r="AH846" i="1"/>
  <c r="AF846" i="1"/>
  <c r="X846" i="1"/>
  <c r="Z846" i="1"/>
  <c r="Y846" i="1"/>
  <c r="AA846" i="1"/>
  <c r="AP846" i="1"/>
  <c r="C847" i="1"/>
  <c r="D847" i="1"/>
  <c r="AC847" i="1" s="1"/>
  <c r="AD847" i="1"/>
  <c r="AE847" i="1"/>
  <c r="W847" i="1" s="1"/>
  <c r="AG847" i="1"/>
  <c r="AJ847" i="1" s="1"/>
  <c r="AK847" i="1"/>
  <c r="AL847" i="1" l="1"/>
  <c r="AM847" i="1"/>
  <c r="AP847" i="1"/>
  <c r="AH847" i="1"/>
  <c r="AF847" i="1"/>
  <c r="AB847" i="1"/>
  <c r="Y847" i="1"/>
  <c r="AA847" i="1"/>
  <c r="X847" i="1"/>
  <c r="Z847" i="1"/>
  <c r="C848" i="1"/>
  <c r="D848" i="1"/>
  <c r="AB848" i="1" s="1"/>
  <c r="AD848" i="1"/>
  <c r="AE848" i="1"/>
  <c r="W848" i="1" s="1"/>
  <c r="AG848" i="1"/>
  <c r="AJ848" i="1" s="1"/>
  <c r="AK848" i="1"/>
  <c r="AL848" i="1" l="1"/>
  <c r="AM848" i="1"/>
  <c r="AC848" i="1"/>
  <c r="AH848" i="1"/>
  <c r="AF848" i="1"/>
  <c r="X848" i="1"/>
  <c r="Z848" i="1"/>
  <c r="Y848" i="1"/>
  <c r="AA848" i="1"/>
  <c r="AP848" i="1"/>
  <c r="C849" i="1"/>
  <c r="D849" i="1"/>
  <c r="AC849" i="1" s="1"/>
  <c r="AD849" i="1"/>
  <c r="AE849" i="1"/>
  <c r="W849" i="1" s="1"/>
  <c r="AG849" i="1"/>
  <c r="AJ849" i="1" s="1"/>
  <c r="AK849" i="1"/>
  <c r="AL849" i="1" l="1"/>
  <c r="AM849" i="1"/>
  <c r="AP849" i="1"/>
  <c r="AH849" i="1"/>
  <c r="AF849" i="1"/>
  <c r="AB849" i="1"/>
  <c r="Y849" i="1"/>
  <c r="AA849" i="1"/>
  <c r="X849" i="1"/>
  <c r="Z849" i="1"/>
  <c r="C850" i="1"/>
  <c r="D850" i="1"/>
  <c r="AB850" i="1" s="1"/>
  <c r="AD850" i="1"/>
  <c r="AE850" i="1"/>
  <c r="W850" i="1" s="1"/>
  <c r="AG850" i="1"/>
  <c r="AJ850" i="1" s="1"/>
  <c r="AK850" i="1"/>
  <c r="AL850" i="1" l="1"/>
  <c r="AM850" i="1"/>
  <c r="AC850" i="1"/>
  <c r="AH850" i="1"/>
  <c r="AF850" i="1"/>
  <c r="X850" i="1"/>
  <c r="Z850" i="1"/>
  <c r="Y850" i="1"/>
  <c r="AA850" i="1"/>
  <c r="AP850" i="1"/>
  <c r="C851" i="1"/>
  <c r="D851" i="1"/>
  <c r="AC851" i="1" s="1"/>
  <c r="AD851" i="1"/>
  <c r="AE851" i="1"/>
  <c r="W851" i="1" s="1"/>
  <c r="AG851" i="1"/>
  <c r="AJ851" i="1" s="1"/>
  <c r="AK851" i="1"/>
  <c r="AL851" i="1" l="1"/>
  <c r="AM851" i="1"/>
  <c r="AP851" i="1"/>
  <c r="AH851" i="1"/>
  <c r="AF851" i="1"/>
  <c r="AB851" i="1"/>
  <c r="Y851" i="1"/>
  <c r="AA851" i="1"/>
  <c r="X851" i="1"/>
  <c r="Z851" i="1"/>
  <c r="C852" i="1"/>
  <c r="D852" i="1"/>
  <c r="AB852" i="1" s="1"/>
  <c r="AD852" i="1"/>
  <c r="AE852" i="1"/>
  <c r="W852" i="1" s="1"/>
  <c r="AG852" i="1"/>
  <c r="AJ852" i="1" s="1"/>
  <c r="AK852" i="1"/>
  <c r="AL852" i="1" l="1"/>
  <c r="AM852" i="1"/>
  <c r="AP852" i="1"/>
  <c r="AC852" i="1"/>
  <c r="AH852" i="1"/>
  <c r="AF852" i="1"/>
  <c r="X852" i="1"/>
  <c r="Z852" i="1"/>
  <c r="Y852" i="1"/>
  <c r="AA852" i="1"/>
  <c r="C853" i="1"/>
  <c r="D853" i="1"/>
  <c r="AB853" i="1" s="1"/>
  <c r="AD853" i="1"/>
  <c r="AE853" i="1"/>
  <c r="W853" i="1" s="1"/>
  <c r="AG853" i="1"/>
  <c r="AJ853" i="1" s="1"/>
  <c r="AK853" i="1"/>
  <c r="AL853" i="1" l="1"/>
  <c r="AM853" i="1"/>
  <c r="AP853" i="1"/>
  <c r="AC853" i="1"/>
  <c r="AH853" i="1"/>
  <c r="AF853" i="1"/>
  <c r="X853" i="1"/>
  <c r="Z853" i="1"/>
  <c r="Y853" i="1"/>
  <c r="AA853" i="1"/>
  <c r="C854" i="1"/>
  <c r="D854" i="1"/>
  <c r="AB854" i="1" s="1"/>
  <c r="AD854" i="1"/>
  <c r="AE854" i="1"/>
  <c r="W854" i="1" s="1"/>
  <c r="AG854" i="1"/>
  <c r="AJ854" i="1" s="1"/>
  <c r="AK854" i="1"/>
  <c r="AL854" i="1" l="1"/>
  <c r="AM854" i="1"/>
  <c r="AP854" i="1"/>
  <c r="AC854" i="1"/>
  <c r="AH854" i="1"/>
  <c r="AF854" i="1"/>
  <c r="X854" i="1"/>
  <c r="Z854" i="1"/>
  <c r="Y854" i="1"/>
  <c r="AA854" i="1"/>
  <c r="C855" i="1"/>
  <c r="D855" i="1"/>
  <c r="AB855" i="1" s="1"/>
  <c r="AD855" i="1"/>
  <c r="AE855" i="1"/>
  <c r="W855" i="1" s="1"/>
  <c r="AG855" i="1"/>
  <c r="AJ855" i="1" s="1"/>
  <c r="AK855" i="1"/>
  <c r="AL855" i="1" l="1"/>
  <c r="AM855" i="1"/>
  <c r="AP855" i="1"/>
  <c r="AH855" i="1"/>
  <c r="AF855" i="1"/>
  <c r="AC855" i="1"/>
  <c r="X855" i="1"/>
  <c r="Z855" i="1"/>
  <c r="Y855" i="1"/>
  <c r="AA855" i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P856" i="1"/>
  <c r="AC856" i="1"/>
  <c r="AH856" i="1"/>
  <c r="AF856" i="1"/>
  <c r="X856" i="1"/>
  <c r="Z856" i="1"/>
  <c r="Y856" i="1"/>
  <c r="AA856" i="1"/>
  <c r="C857" i="1"/>
  <c r="D857" i="1"/>
  <c r="AB857" i="1" s="1"/>
  <c r="AD857" i="1"/>
  <c r="AE857" i="1"/>
  <c r="W857" i="1" s="1"/>
  <c r="AG857" i="1"/>
  <c r="AJ857" i="1" s="1"/>
  <c r="AK857" i="1"/>
  <c r="AL857" i="1" l="1"/>
  <c r="AM857" i="1"/>
  <c r="AP857" i="1"/>
  <c r="AC857" i="1"/>
  <c r="AH857" i="1"/>
  <c r="AF857" i="1"/>
  <c r="X857" i="1"/>
  <c r="Z857" i="1"/>
  <c r="Y857" i="1"/>
  <c r="AA857" i="1"/>
  <c r="C858" i="1"/>
  <c r="D858" i="1"/>
  <c r="AB858" i="1" s="1"/>
  <c r="AD858" i="1"/>
  <c r="AE858" i="1"/>
  <c r="W858" i="1" s="1"/>
  <c r="AG858" i="1"/>
  <c r="AJ858" i="1" s="1"/>
  <c r="AK858" i="1"/>
  <c r="AL858" i="1" l="1"/>
  <c r="AM858" i="1"/>
  <c r="AP858" i="1"/>
  <c r="AH858" i="1"/>
  <c r="AF858" i="1"/>
  <c r="AC858" i="1"/>
  <c r="X858" i="1"/>
  <c r="Z858" i="1"/>
  <c r="Y858" i="1"/>
  <c r="AA858" i="1"/>
  <c r="C859" i="1"/>
  <c r="D859" i="1"/>
  <c r="AB859" i="1" s="1"/>
  <c r="AD859" i="1"/>
  <c r="AE859" i="1"/>
  <c r="W859" i="1" s="1"/>
  <c r="AG859" i="1"/>
  <c r="AJ859" i="1" s="1"/>
  <c r="AK859" i="1"/>
  <c r="AL859" i="1" l="1"/>
  <c r="AM859" i="1"/>
  <c r="AP859" i="1"/>
  <c r="AC859" i="1"/>
  <c r="AH859" i="1"/>
  <c r="AF859" i="1"/>
  <c r="X859" i="1"/>
  <c r="Z859" i="1"/>
  <c r="Y859" i="1"/>
  <c r="AA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AP860" i="1"/>
  <c r="AC860" i="1"/>
  <c r="AH860" i="1"/>
  <c r="AF860" i="1"/>
  <c r="X860" i="1"/>
  <c r="Z860" i="1"/>
  <c r="Y860" i="1"/>
  <c r="AA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AP861" i="1"/>
  <c r="AC861" i="1"/>
  <c r="AH861" i="1"/>
  <c r="AF861" i="1"/>
  <c r="X861" i="1"/>
  <c r="Z861" i="1"/>
  <c r="Y861" i="1"/>
  <c r="AA861" i="1"/>
  <c r="C862" i="1"/>
  <c r="D862" i="1"/>
  <c r="AB862" i="1" s="1"/>
  <c r="AD862" i="1"/>
  <c r="AE862" i="1"/>
  <c r="W862" i="1" s="1"/>
  <c r="AG862" i="1"/>
  <c r="AJ862" i="1" s="1"/>
  <c r="AK862" i="1"/>
  <c r="AL862" i="1" l="1"/>
  <c r="AM862" i="1"/>
  <c r="AP862" i="1"/>
  <c r="AC862" i="1"/>
  <c r="AH862" i="1"/>
  <c r="AF862" i="1"/>
  <c r="X862" i="1"/>
  <c r="Z862" i="1"/>
  <c r="Y862" i="1"/>
  <c r="AA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P863" i="1"/>
  <c r="AC863" i="1"/>
  <c r="AH863" i="1"/>
  <c r="AF863" i="1"/>
  <c r="X863" i="1"/>
  <c r="Z863" i="1"/>
  <c r="Y863" i="1"/>
  <c r="AA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P864" i="1"/>
  <c r="AC864" i="1"/>
  <c r="AH864" i="1"/>
  <c r="AF864" i="1"/>
  <c r="X864" i="1"/>
  <c r="Z864" i="1"/>
  <c r="Y864" i="1"/>
  <c r="AA864" i="1"/>
  <c r="C865" i="1"/>
  <c r="D865" i="1"/>
  <c r="AB865" i="1" s="1"/>
  <c r="AD865" i="1"/>
  <c r="AE865" i="1"/>
  <c r="W865" i="1" s="1"/>
  <c r="AG865" i="1"/>
  <c r="AJ865" i="1" s="1"/>
  <c r="AK865" i="1"/>
  <c r="AL865" i="1" l="1"/>
  <c r="AM865" i="1"/>
  <c r="AP865" i="1"/>
  <c r="AC865" i="1"/>
  <c r="AH865" i="1"/>
  <c r="AF865" i="1"/>
  <c r="X865" i="1"/>
  <c r="Z865" i="1"/>
  <c r="Y865" i="1"/>
  <c r="AA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P866" i="1"/>
  <c r="AC866" i="1"/>
  <c r="AH866" i="1"/>
  <c r="AF866" i="1"/>
  <c r="X866" i="1"/>
  <c r="Z866" i="1"/>
  <c r="Y866" i="1"/>
  <c r="AA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P867" i="1"/>
  <c r="AC867" i="1"/>
  <c r="AH867" i="1"/>
  <c r="AF867" i="1"/>
  <c r="X867" i="1"/>
  <c r="Z867" i="1"/>
  <c r="Y867" i="1"/>
  <c r="AA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P868" i="1"/>
  <c r="AC868" i="1"/>
  <c r="AH868" i="1"/>
  <c r="AF868" i="1"/>
  <c r="X868" i="1"/>
  <c r="Z868" i="1"/>
  <c r="Y868" i="1"/>
  <c r="AA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P869" i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P870" i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P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P872" i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P873" i="1"/>
  <c r="AC873" i="1"/>
  <c r="AH873" i="1"/>
  <c r="AF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P874" i="1"/>
  <c r="AC874" i="1"/>
  <c r="AH874" i="1"/>
  <c r="AF874" i="1"/>
  <c r="X874" i="1"/>
  <c r="Z874" i="1"/>
  <c r="Y874" i="1"/>
  <c r="AA874" i="1"/>
  <c r="C875" i="1"/>
  <c r="D875" i="1"/>
  <c r="AB875" i="1" s="1"/>
  <c r="AD875" i="1"/>
  <c r="AE875" i="1"/>
  <c r="W875" i="1" s="1"/>
  <c r="AG875" i="1"/>
  <c r="AJ875" i="1" s="1"/>
  <c r="AK875" i="1"/>
  <c r="AL875" i="1" l="1"/>
  <c r="AM875" i="1"/>
  <c r="AC875" i="1"/>
  <c r="AH875" i="1"/>
  <c r="AF875" i="1"/>
  <c r="X875" i="1"/>
  <c r="Z875" i="1"/>
  <c r="Y875" i="1"/>
  <c r="AA875" i="1"/>
  <c r="AP875" i="1"/>
  <c r="C876" i="1"/>
  <c r="D876" i="1"/>
  <c r="AC876" i="1" s="1"/>
  <c r="AD876" i="1"/>
  <c r="AE876" i="1"/>
  <c r="W876" i="1" s="1"/>
  <c r="AG876" i="1"/>
  <c r="AJ876" i="1" s="1"/>
  <c r="AK876" i="1"/>
  <c r="AL876" i="1" l="1"/>
  <c r="AM876" i="1"/>
  <c r="AP876" i="1"/>
  <c r="AH876" i="1"/>
  <c r="AF876" i="1"/>
  <c r="AB876" i="1"/>
  <c r="Y876" i="1"/>
  <c r="AA876" i="1"/>
  <c r="X876" i="1"/>
  <c r="Z876" i="1"/>
  <c r="C877" i="1"/>
  <c r="D877" i="1"/>
  <c r="AB877" i="1" s="1"/>
  <c r="AD877" i="1"/>
  <c r="AE877" i="1"/>
  <c r="W877" i="1" s="1"/>
  <c r="AG877" i="1"/>
  <c r="AJ877" i="1" s="1"/>
  <c r="AK877" i="1"/>
  <c r="AL877" i="1" l="1"/>
  <c r="AM877" i="1"/>
  <c r="AH877" i="1"/>
  <c r="AC877" i="1"/>
  <c r="AF877" i="1"/>
  <c r="X877" i="1"/>
  <c r="Z877" i="1"/>
  <c r="Y877" i="1"/>
  <c r="AA877" i="1"/>
  <c r="AP877" i="1"/>
  <c r="C878" i="1"/>
  <c r="D878" i="1"/>
  <c r="AC878" i="1" s="1"/>
  <c r="AD878" i="1"/>
  <c r="AE878" i="1"/>
  <c r="W878" i="1" s="1"/>
  <c r="AG878" i="1"/>
  <c r="AJ878" i="1" s="1"/>
  <c r="AK878" i="1"/>
  <c r="AL878" i="1" l="1"/>
  <c r="AM878" i="1"/>
  <c r="AP878" i="1"/>
  <c r="AH878" i="1"/>
  <c r="AF878" i="1"/>
  <c r="AB878" i="1"/>
  <c r="Y878" i="1"/>
  <c r="AA878" i="1"/>
  <c r="X878" i="1"/>
  <c r="Z878" i="1"/>
  <c r="C879" i="1"/>
  <c r="D879" i="1"/>
  <c r="AB879" i="1" s="1"/>
  <c r="AD879" i="1"/>
  <c r="AE879" i="1"/>
  <c r="W879" i="1" s="1"/>
  <c r="AG879" i="1"/>
  <c r="AJ879" i="1" s="1"/>
  <c r="AK879" i="1"/>
  <c r="AL879" i="1" l="1"/>
  <c r="AM879" i="1"/>
  <c r="AC879" i="1"/>
  <c r="AH879" i="1"/>
  <c r="AF879" i="1"/>
  <c r="X879" i="1"/>
  <c r="Z879" i="1"/>
  <c r="Y879" i="1"/>
  <c r="AA879" i="1"/>
  <c r="AP879" i="1"/>
  <c r="C880" i="1"/>
  <c r="D880" i="1"/>
  <c r="AC880" i="1" s="1"/>
  <c r="AD880" i="1"/>
  <c r="AE880" i="1"/>
  <c r="W880" i="1" s="1"/>
  <c r="AG880" i="1"/>
  <c r="AJ880" i="1" s="1"/>
  <c r="AK880" i="1"/>
  <c r="AL880" i="1" l="1"/>
  <c r="AM880" i="1"/>
  <c r="AP880" i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P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H882" i="1"/>
  <c r="AF882" i="1"/>
  <c r="AB882" i="1"/>
  <c r="Y882" i="1"/>
  <c r="AA882" i="1"/>
  <c r="X882" i="1"/>
  <c r="Z882" i="1"/>
  <c r="AP882" i="1"/>
  <c r="C883" i="1"/>
  <c r="D883" i="1"/>
  <c r="AC883" i="1" s="1"/>
  <c r="AD883" i="1"/>
  <c r="AE883" i="1"/>
  <c r="W883" i="1" s="1"/>
  <c r="AG883" i="1"/>
  <c r="AJ883" i="1" s="1"/>
  <c r="AK883" i="1"/>
  <c r="AL883" i="1" l="1"/>
  <c r="AM883" i="1"/>
  <c r="AP883" i="1"/>
  <c r="AH883" i="1"/>
  <c r="AF883" i="1"/>
  <c r="AB883" i="1"/>
  <c r="Y883" i="1"/>
  <c r="AA883" i="1"/>
  <c r="X883" i="1"/>
  <c r="Z883" i="1"/>
  <c r="C884" i="1"/>
  <c r="D884" i="1"/>
  <c r="AB884" i="1" s="1"/>
  <c r="AD884" i="1"/>
  <c r="AE884" i="1"/>
  <c r="W884" i="1" s="1"/>
  <c r="AG884" i="1"/>
  <c r="AJ884" i="1" s="1"/>
  <c r="AK884" i="1"/>
  <c r="AL884" i="1" l="1"/>
  <c r="AM884" i="1"/>
  <c r="AC884" i="1"/>
  <c r="AH884" i="1"/>
  <c r="AF884" i="1"/>
  <c r="X884" i="1"/>
  <c r="Z884" i="1"/>
  <c r="Y884" i="1"/>
  <c r="AA884" i="1"/>
  <c r="AP884" i="1"/>
  <c r="C885" i="1"/>
  <c r="D885" i="1"/>
  <c r="AC885" i="1" s="1"/>
  <c r="AD885" i="1"/>
  <c r="AE885" i="1"/>
  <c r="W885" i="1" s="1"/>
  <c r="AG885" i="1"/>
  <c r="AJ885" i="1" s="1"/>
  <c r="AK885" i="1"/>
  <c r="AL885" i="1" l="1"/>
  <c r="AM885" i="1"/>
  <c r="AH885" i="1"/>
  <c r="AF885" i="1"/>
  <c r="AB885" i="1"/>
  <c r="Y885" i="1"/>
  <c r="AA885" i="1"/>
  <c r="X885" i="1"/>
  <c r="Z885" i="1"/>
  <c r="AP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P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C887" i="1"/>
  <c r="AH887" i="1"/>
  <c r="AF887" i="1"/>
  <c r="X887" i="1"/>
  <c r="Z887" i="1"/>
  <c r="Y887" i="1"/>
  <c r="AA887" i="1"/>
  <c r="AP887" i="1"/>
  <c r="C888" i="1"/>
  <c r="D888" i="1"/>
  <c r="AC888" i="1" s="1"/>
  <c r="AD888" i="1"/>
  <c r="AE888" i="1"/>
  <c r="W888" i="1" s="1"/>
  <c r="AG888" i="1"/>
  <c r="AJ888" i="1" s="1"/>
  <c r="AK888" i="1"/>
  <c r="AL888" i="1" l="1"/>
  <c r="AM888" i="1"/>
  <c r="AH888" i="1"/>
  <c r="AF888" i="1"/>
  <c r="AB888" i="1"/>
  <c r="Y888" i="1"/>
  <c r="AA888" i="1"/>
  <c r="X888" i="1"/>
  <c r="Z888" i="1"/>
  <c r="AP888" i="1"/>
  <c r="C889" i="1"/>
  <c r="D889" i="1"/>
  <c r="AC889" i="1" s="1"/>
  <c r="AD889" i="1"/>
  <c r="AE889" i="1"/>
  <c r="W889" i="1" s="1"/>
  <c r="AG889" i="1"/>
  <c r="AJ889" i="1" s="1"/>
  <c r="AK889" i="1"/>
  <c r="AL889" i="1" l="1"/>
  <c r="AM889" i="1"/>
  <c r="AP889" i="1"/>
  <c r="AH889" i="1"/>
  <c r="AF889" i="1"/>
  <c r="AB889" i="1"/>
  <c r="Y889" i="1"/>
  <c r="AA889" i="1"/>
  <c r="X889" i="1"/>
  <c r="Z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C890" i="1"/>
  <c r="AH890" i="1"/>
  <c r="AF890" i="1"/>
  <c r="X890" i="1"/>
  <c r="Z890" i="1"/>
  <c r="Y890" i="1"/>
  <c r="AA890" i="1"/>
  <c r="AP890" i="1"/>
  <c r="C891" i="1"/>
  <c r="D891" i="1"/>
  <c r="AC891" i="1" s="1"/>
  <c r="AD891" i="1"/>
  <c r="AE891" i="1"/>
  <c r="W891" i="1" s="1"/>
  <c r="AG891" i="1"/>
  <c r="AJ891" i="1" s="1"/>
  <c r="AK891" i="1"/>
  <c r="AL891" i="1" l="1"/>
  <c r="AM891" i="1"/>
  <c r="AH891" i="1"/>
  <c r="AF891" i="1"/>
  <c r="AB891" i="1"/>
  <c r="Y891" i="1"/>
  <c r="AA891" i="1"/>
  <c r="X891" i="1"/>
  <c r="Z891" i="1"/>
  <c r="AP891" i="1"/>
  <c r="C892" i="1"/>
  <c r="D892" i="1"/>
  <c r="AC892" i="1" s="1"/>
  <c r="AD892" i="1"/>
  <c r="AE892" i="1"/>
  <c r="W892" i="1" s="1"/>
  <c r="AG892" i="1"/>
  <c r="AJ892" i="1" s="1"/>
  <c r="AK892" i="1"/>
  <c r="AL892" i="1" l="1"/>
  <c r="AM892" i="1"/>
  <c r="AP892" i="1"/>
  <c r="AH892" i="1"/>
  <c r="AF892" i="1"/>
  <c r="AB892" i="1"/>
  <c r="Y892" i="1"/>
  <c r="AA892" i="1"/>
  <c r="X892" i="1"/>
  <c r="Z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C893" i="1"/>
  <c r="AH893" i="1"/>
  <c r="AF893" i="1"/>
  <c r="X893" i="1"/>
  <c r="Z893" i="1"/>
  <c r="Y893" i="1"/>
  <c r="AA893" i="1"/>
  <c r="AP893" i="1"/>
  <c r="C894" i="1"/>
  <c r="D894" i="1"/>
  <c r="AC894" i="1" s="1"/>
  <c r="AD894" i="1"/>
  <c r="AE894" i="1"/>
  <c r="W894" i="1" s="1"/>
  <c r="AG894" i="1"/>
  <c r="AJ894" i="1" s="1"/>
  <c r="AK894" i="1"/>
  <c r="AL894" i="1" l="1"/>
  <c r="AM894" i="1"/>
  <c r="AP894" i="1"/>
  <c r="AH894" i="1"/>
  <c r="AF894" i="1"/>
  <c r="AB894" i="1"/>
  <c r="Y894" i="1"/>
  <c r="AA894" i="1"/>
  <c r="X894" i="1"/>
  <c r="Z894" i="1"/>
  <c r="C895" i="1"/>
  <c r="D895" i="1"/>
  <c r="AB895" i="1" s="1"/>
  <c r="AD895" i="1"/>
  <c r="AE895" i="1"/>
  <c r="W895" i="1" s="1"/>
  <c r="AG895" i="1"/>
  <c r="AJ895" i="1" s="1"/>
  <c r="AK895" i="1"/>
  <c r="AL895" i="1" l="1"/>
  <c r="AM895" i="1"/>
  <c r="AC895" i="1"/>
  <c r="AH895" i="1"/>
  <c r="AF895" i="1"/>
  <c r="X895" i="1"/>
  <c r="Z895" i="1"/>
  <c r="Y895" i="1"/>
  <c r="AA895" i="1"/>
  <c r="AP895" i="1"/>
  <c r="C896" i="1"/>
  <c r="D896" i="1"/>
  <c r="AC896" i="1" s="1"/>
  <c r="AD896" i="1"/>
  <c r="AE896" i="1"/>
  <c r="W896" i="1" s="1"/>
  <c r="AG896" i="1"/>
  <c r="AJ896" i="1" s="1"/>
  <c r="AK896" i="1"/>
  <c r="AL896" i="1" l="1"/>
  <c r="AM896" i="1"/>
  <c r="AH896" i="1"/>
  <c r="AF896" i="1"/>
  <c r="AB896" i="1"/>
  <c r="Y896" i="1"/>
  <c r="AA896" i="1"/>
  <c r="X896" i="1"/>
  <c r="Z896" i="1"/>
  <c r="AP896" i="1"/>
  <c r="C897" i="1"/>
  <c r="D897" i="1"/>
  <c r="AC897" i="1" s="1"/>
  <c r="AD897" i="1"/>
  <c r="AE897" i="1"/>
  <c r="W897" i="1" s="1"/>
  <c r="AG897" i="1"/>
  <c r="AJ897" i="1" s="1"/>
  <c r="AK897" i="1"/>
  <c r="AL897" i="1" l="1"/>
  <c r="AM897" i="1"/>
  <c r="AP897" i="1"/>
  <c r="AH897" i="1"/>
  <c r="AF897" i="1"/>
  <c r="AB897" i="1"/>
  <c r="Y897" i="1"/>
  <c r="AA897" i="1"/>
  <c r="X897" i="1"/>
  <c r="Z897" i="1"/>
  <c r="C898" i="1"/>
  <c r="D898" i="1"/>
  <c r="AB898" i="1" s="1"/>
  <c r="AD898" i="1"/>
  <c r="AE898" i="1"/>
  <c r="W898" i="1" s="1"/>
  <c r="AG898" i="1"/>
  <c r="AJ898" i="1" s="1"/>
  <c r="AK898" i="1"/>
  <c r="AL898" i="1" l="1"/>
  <c r="AM898" i="1"/>
  <c r="AC898" i="1"/>
  <c r="AH898" i="1"/>
  <c r="AF898" i="1"/>
  <c r="X898" i="1"/>
  <c r="Z898" i="1"/>
  <c r="Y898" i="1"/>
  <c r="AA898" i="1"/>
  <c r="AP898" i="1"/>
  <c r="C899" i="1"/>
  <c r="D899" i="1"/>
  <c r="AC899" i="1" s="1"/>
  <c r="AD899" i="1"/>
  <c r="AE899" i="1"/>
  <c r="W899" i="1" s="1"/>
  <c r="AG899" i="1"/>
  <c r="AJ899" i="1" s="1"/>
  <c r="AK899" i="1"/>
  <c r="AL899" i="1" l="1"/>
  <c r="AM899" i="1"/>
  <c r="AP899" i="1"/>
  <c r="AH899" i="1"/>
  <c r="AF899" i="1"/>
  <c r="AB899" i="1"/>
  <c r="Y899" i="1"/>
  <c r="AA899" i="1"/>
  <c r="X899" i="1"/>
  <c r="Z899" i="1"/>
  <c r="C900" i="1"/>
  <c r="D900" i="1"/>
  <c r="AB900" i="1" s="1"/>
  <c r="AD900" i="1"/>
  <c r="AE900" i="1"/>
  <c r="W900" i="1" s="1"/>
  <c r="AG900" i="1"/>
  <c r="AJ900" i="1" s="1"/>
  <c r="AK900" i="1"/>
  <c r="AL900" i="1" l="1"/>
  <c r="AM900" i="1"/>
  <c r="AC900" i="1"/>
  <c r="AH900" i="1"/>
  <c r="AF900" i="1"/>
  <c r="X900" i="1"/>
  <c r="Z900" i="1"/>
  <c r="Y900" i="1"/>
  <c r="AA900" i="1"/>
  <c r="AP900" i="1"/>
  <c r="C901" i="1"/>
  <c r="D901" i="1"/>
  <c r="AC901" i="1" s="1"/>
  <c r="AD901" i="1"/>
  <c r="AE901" i="1"/>
  <c r="W901" i="1" s="1"/>
  <c r="AG901" i="1"/>
  <c r="AJ901" i="1" s="1"/>
  <c r="AK901" i="1"/>
  <c r="AL901" i="1" l="1"/>
  <c r="AM901" i="1"/>
  <c r="AP901" i="1"/>
  <c r="AH901" i="1"/>
  <c r="AF901" i="1"/>
  <c r="AB901" i="1"/>
  <c r="Y901" i="1"/>
  <c r="AA901" i="1"/>
  <c r="X901" i="1"/>
  <c r="Z901" i="1"/>
  <c r="C902" i="1"/>
  <c r="D902" i="1"/>
  <c r="AB902" i="1" s="1"/>
  <c r="AD902" i="1"/>
  <c r="AE902" i="1"/>
  <c r="W902" i="1" s="1"/>
  <c r="AG902" i="1"/>
  <c r="AJ902" i="1" s="1"/>
  <c r="AK902" i="1"/>
  <c r="AL902" i="1" l="1"/>
  <c r="AM902" i="1"/>
  <c r="AC902" i="1"/>
  <c r="AH902" i="1"/>
  <c r="AF902" i="1"/>
  <c r="X902" i="1"/>
  <c r="Z902" i="1"/>
  <c r="Y902" i="1"/>
  <c r="AA902" i="1"/>
  <c r="AP902" i="1"/>
  <c r="C903" i="1"/>
  <c r="D903" i="1"/>
  <c r="AC903" i="1" s="1"/>
  <c r="AD903" i="1"/>
  <c r="AE903" i="1"/>
  <c r="W903" i="1" s="1"/>
  <c r="AG903" i="1"/>
  <c r="AJ903" i="1" s="1"/>
  <c r="AK903" i="1"/>
  <c r="AL903" i="1" l="1"/>
  <c r="AM903" i="1"/>
  <c r="AH903" i="1"/>
  <c r="AF903" i="1"/>
  <c r="AB903" i="1"/>
  <c r="Y903" i="1"/>
  <c r="AA903" i="1"/>
  <c r="X903" i="1"/>
  <c r="Z903" i="1"/>
  <c r="AP903" i="1"/>
  <c r="C904" i="1"/>
  <c r="D904" i="1"/>
  <c r="AC904" i="1" s="1"/>
  <c r="AD904" i="1"/>
  <c r="AE904" i="1"/>
  <c r="W904" i="1" s="1"/>
  <c r="AG904" i="1"/>
  <c r="AJ904" i="1" s="1"/>
  <c r="AK904" i="1"/>
  <c r="AL904" i="1" l="1"/>
  <c r="AM904" i="1"/>
  <c r="AP904" i="1"/>
  <c r="AH904" i="1"/>
  <c r="AF904" i="1"/>
  <c r="AB904" i="1"/>
  <c r="Y904" i="1"/>
  <c r="AA904" i="1"/>
  <c r="X904" i="1"/>
  <c r="Z904" i="1"/>
  <c r="C905" i="1"/>
  <c r="D905" i="1"/>
  <c r="AB905" i="1" s="1"/>
  <c r="AD905" i="1"/>
  <c r="AE905" i="1"/>
  <c r="W905" i="1" s="1"/>
  <c r="AG905" i="1"/>
  <c r="AJ905" i="1" s="1"/>
  <c r="AK905" i="1"/>
  <c r="AL905" i="1" l="1"/>
  <c r="AM905" i="1"/>
  <c r="AC905" i="1"/>
  <c r="AH905" i="1"/>
  <c r="AF905" i="1"/>
  <c r="X905" i="1"/>
  <c r="Z905" i="1"/>
  <c r="Y905" i="1"/>
  <c r="AA905" i="1"/>
  <c r="AP905" i="1"/>
  <c r="C906" i="1"/>
  <c r="D906" i="1"/>
  <c r="AC906" i="1" s="1"/>
  <c r="AD906" i="1"/>
  <c r="AE906" i="1"/>
  <c r="W906" i="1" s="1"/>
  <c r="AG906" i="1"/>
  <c r="AJ906" i="1" s="1"/>
  <c r="AK906" i="1"/>
  <c r="AL906" i="1" l="1"/>
  <c r="AM906" i="1"/>
  <c r="AP906" i="1"/>
  <c r="AH906" i="1"/>
  <c r="AF906" i="1"/>
  <c r="AB906" i="1"/>
  <c r="Y906" i="1"/>
  <c r="AA906" i="1"/>
  <c r="X906" i="1"/>
  <c r="Z906" i="1"/>
  <c r="C907" i="1"/>
  <c r="D907" i="1"/>
  <c r="AB907" i="1" s="1"/>
  <c r="AD907" i="1"/>
  <c r="AE907" i="1"/>
  <c r="W907" i="1" s="1"/>
  <c r="AG907" i="1"/>
  <c r="AJ907" i="1" s="1"/>
  <c r="AK907" i="1"/>
  <c r="AL907" i="1" l="1"/>
  <c r="AM907" i="1"/>
  <c r="AC907" i="1"/>
  <c r="AH907" i="1"/>
  <c r="AF907" i="1"/>
  <c r="X907" i="1"/>
  <c r="Z907" i="1"/>
  <c r="AA907" i="1"/>
  <c r="Y907" i="1"/>
  <c r="AP907" i="1"/>
  <c r="C908" i="1"/>
  <c r="D908" i="1"/>
  <c r="AC908" i="1" s="1"/>
  <c r="AD908" i="1"/>
  <c r="AE908" i="1"/>
  <c r="W908" i="1" s="1"/>
  <c r="AG908" i="1"/>
  <c r="AJ908" i="1" s="1"/>
  <c r="AK908" i="1"/>
  <c r="AL908" i="1" l="1"/>
  <c r="AM908" i="1"/>
  <c r="AP908" i="1"/>
  <c r="AH908" i="1"/>
  <c r="AF908" i="1"/>
  <c r="AB908" i="1"/>
  <c r="Y908" i="1"/>
  <c r="AA908" i="1"/>
  <c r="X908" i="1"/>
  <c r="Z908" i="1"/>
  <c r="C909" i="1"/>
  <c r="D909" i="1"/>
  <c r="AB909" i="1" s="1"/>
  <c r="AD909" i="1"/>
  <c r="AE909" i="1"/>
  <c r="W909" i="1" s="1"/>
  <c r="AG909" i="1"/>
  <c r="AJ909" i="1" s="1"/>
  <c r="AK909" i="1"/>
  <c r="AL909" i="1" l="1"/>
  <c r="AM909" i="1"/>
  <c r="AC909" i="1"/>
  <c r="AH909" i="1"/>
  <c r="AF909" i="1"/>
  <c r="X909" i="1"/>
  <c r="Z909" i="1"/>
  <c r="Y909" i="1"/>
  <c r="AA909" i="1"/>
  <c r="AP909" i="1"/>
  <c r="C910" i="1"/>
  <c r="D910" i="1"/>
  <c r="AC910" i="1" s="1"/>
  <c r="AD910" i="1"/>
  <c r="AE910" i="1"/>
  <c r="W910" i="1" s="1"/>
  <c r="AG910" i="1"/>
  <c r="AJ910" i="1" s="1"/>
  <c r="AK910" i="1"/>
  <c r="AL910" i="1" l="1"/>
  <c r="AM910" i="1"/>
  <c r="AP910" i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C911" i="1"/>
  <c r="AH911" i="1"/>
  <c r="AF911" i="1"/>
  <c r="X911" i="1"/>
  <c r="Z911" i="1"/>
  <c r="Y911" i="1"/>
  <c r="AA911" i="1"/>
  <c r="AP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H912" i="1"/>
  <c r="AF912" i="1"/>
  <c r="AB912" i="1"/>
  <c r="Y912" i="1"/>
  <c r="AA912" i="1"/>
  <c r="X912" i="1"/>
  <c r="Z912" i="1"/>
  <c r="AP912" i="1"/>
  <c r="C913" i="1"/>
  <c r="D913" i="1"/>
  <c r="AC913" i="1" s="1"/>
  <c r="AD913" i="1"/>
  <c r="AE913" i="1"/>
  <c r="W913" i="1" s="1"/>
  <c r="AG913" i="1"/>
  <c r="AJ913" i="1" s="1"/>
  <c r="AK913" i="1"/>
  <c r="AL913" i="1" l="1"/>
  <c r="AM913" i="1"/>
  <c r="AP913" i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l="1"/>
  <c r="AM914" i="1"/>
  <c r="AH914" i="1"/>
  <c r="AF914" i="1"/>
  <c r="AC914" i="1"/>
  <c r="X914" i="1"/>
  <c r="Z914" i="1"/>
  <c r="Y914" i="1"/>
  <c r="AA914" i="1"/>
  <c r="AP914" i="1"/>
  <c r="C915" i="1"/>
  <c r="D915" i="1"/>
  <c r="AC915" i="1" s="1"/>
  <c r="AD915" i="1"/>
  <c r="AE915" i="1"/>
  <c r="W915" i="1" s="1"/>
  <c r="AG915" i="1"/>
  <c r="AJ915" i="1" s="1"/>
  <c r="AK915" i="1"/>
  <c r="AL915" i="1" l="1"/>
  <c r="AM915" i="1"/>
  <c r="AH915" i="1"/>
  <c r="AF915" i="1"/>
  <c r="AB915" i="1"/>
  <c r="Y915" i="1"/>
  <c r="AA915" i="1"/>
  <c r="X915" i="1"/>
  <c r="Z915" i="1"/>
  <c r="AP915" i="1"/>
  <c r="C916" i="1"/>
  <c r="D916" i="1"/>
  <c r="AC916" i="1" s="1"/>
  <c r="AD916" i="1"/>
  <c r="AE916" i="1"/>
  <c r="W916" i="1" s="1"/>
  <c r="AG916" i="1"/>
  <c r="AJ916" i="1" s="1"/>
  <c r="AK916" i="1"/>
  <c r="AL916" i="1" l="1"/>
  <c r="AM916" i="1"/>
  <c r="AP916" i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l="1"/>
  <c r="AM917" i="1"/>
  <c r="AC917" i="1"/>
  <c r="AH917" i="1"/>
  <c r="AF917" i="1"/>
  <c r="X917" i="1"/>
  <c r="Z917" i="1"/>
  <c r="Y917" i="1"/>
  <c r="AA917" i="1"/>
  <c r="AP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P918" i="1"/>
  <c r="AH918" i="1"/>
  <c r="AF918" i="1"/>
  <c r="AB918" i="1"/>
  <c r="Y918" i="1"/>
  <c r="AA918" i="1"/>
  <c r="X918" i="1"/>
  <c r="Z918" i="1"/>
  <c r="C919" i="1"/>
  <c r="D919" i="1"/>
  <c r="AB919" i="1" s="1"/>
  <c r="AD919" i="1"/>
  <c r="AE919" i="1"/>
  <c r="W919" i="1" s="1"/>
  <c r="AG919" i="1"/>
  <c r="AJ919" i="1" s="1"/>
  <c r="AK919" i="1"/>
  <c r="AL919" i="1" l="1"/>
  <c r="AM919" i="1"/>
  <c r="AC919" i="1"/>
  <c r="AH919" i="1"/>
  <c r="AF919" i="1"/>
  <c r="X919" i="1"/>
  <c r="Z919" i="1"/>
  <c r="Y919" i="1"/>
  <c r="AA919" i="1"/>
  <c r="AP919" i="1"/>
  <c r="C920" i="1"/>
  <c r="D920" i="1"/>
  <c r="AC920" i="1" s="1"/>
  <c r="AD920" i="1"/>
  <c r="AE920" i="1"/>
  <c r="W920" i="1" s="1"/>
  <c r="AG920" i="1"/>
  <c r="AJ920" i="1" s="1"/>
  <c r="AK920" i="1"/>
  <c r="AL920" i="1" l="1"/>
  <c r="AM920" i="1"/>
  <c r="AH920" i="1"/>
  <c r="AF920" i="1"/>
  <c r="AB920" i="1"/>
  <c r="Y920" i="1"/>
  <c r="AA920" i="1"/>
  <c r="X920" i="1"/>
  <c r="Z920" i="1"/>
  <c r="AP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H921" i="1"/>
  <c r="AF921" i="1"/>
  <c r="AB921" i="1"/>
  <c r="Y921" i="1"/>
  <c r="AA921" i="1"/>
  <c r="X921" i="1"/>
  <c r="Z921" i="1"/>
  <c r="AP921" i="1"/>
  <c r="C922" i="1"/>
  <c r="D922" i="1"/>
  <c r="AC922" i="1" s="1"/>
  <c r="AD922" i="1"/>
  <c r="AE922" i="1"/>
  <c r="W922" i="1" s="1"/>
  <c r="AG922" i="1"/>
  <c r="AJ922" i="1" s="1"/>
  <c r="AK922" i="1"/>
  <c r="AL922" i="1" l="1"/>
  <c r="AM922" i="1"/>
  <c r="AP922" i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l="1"/>
  <c r="AM923" i="1"/>
  <c r="AC923" i="1"/>
  <c r="AH923" i="1"/>
  <c r="AF923" i="1"/>
  <c r="X923" i="1"/>
  <c r="Z923" i="1"/>
  <c r="Y923" i="1"/>
  <c r="AA923" i="1"/>
  <c r="AP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P924" i="1"/>
  <c r="AH924" i="1"/>
  <c r="AF924" i="1"/>
  <c r="AB924" i="1"/>
  <c r="Y924" i="1"/>
  <c r="AA924" i="1"/>
  <c r="X924" i="1"/>
  <c r="Z924" i="1"/>
  <c r="C925" i="1"/>
  <c r="D925" i="1"/>
  <c r="AB925" i="1" s="1"/>
  <c r="AD925" i="1"/>
  <c r="AE925" i="1"/>
  <c r="W925" i="1" s="1"/>
  <c r="AG925" i="1"/>
  <c r="AJ925" i="1" s="1"/>
  <c r="AK925" i="1"/>
  <c r="AL925" i="1" l="1"/>
  <c r="AM925" i="1"/>
  <c r="AC925" i="1"/>
  <c r="AH925" i="1"/>
  <c r="AF925" i="1"/>
  <c r="X925" i="1"/>
  <c r="Z925" i="1"/>
  <c r="Y925" i="1"/>
  <c r="AA925" i="1"/>
  <c r="AP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H926" i="1"/>
  <c r="AF926" i="1"/>
  <c r="AB926" i="1"/>
  <c r="Y926" i="1"/>
  <c r="AA926" i="1"/>
  <c r="X926" i="1"/>
  <c r="Z926" i="1"/>
  <c r="AP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H927" i="1"/>
  <c r="AF927" i="1"/>
  <c r="AB927" i="1"/>
  <c r="Y927" i="1"/>
  <c r="AA927" i="1"/>
  <c r="X927" i="1"/>
  <c r="Z927" i="1"/>
  <c r="AP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H928" i="1"/>
  <c r="AF928" i="1"/>
  <c r="AB928" i="1"/>
  <c r="Y928" i="1"/>
  <c r="AA928" i="1"/>
  <c r="X928" i="1"/>
  <c r="Z928" i="1"/>
  <c r="AP928" i="1"/>
  <c r="C929" i="1"/>
  <c r="D929" i="1"/>
  <c r="AC929" i="1" s="1"/>
  <c r="AD929" i="1"/>
  <c r="AE929" i="1"/>
  <c r="W929" i="1" s="1"/>
  <c r="AG929" i="1"/>
  <c r="AJ929" i="1" s="1"/>
  <c r="AK929" i="1"/>
  <c r="AL929" i="1" l="1"/>
  <c r="AM929" i="1"/>
  <c r="AP929" i="1"/>
  <c r="AH929" i="1"/>
  <c r="AF929" i="1"/>
  <c r="AB929" i="1"/>
  <c r="Y929" i="1"/>
  <c r="AA929" i="1"/>
  <c r="X929" i="1"/>
  <c r="Z929" i="1"/>
  <c r="C930" i="1"/>
  <c r="D930" i="1"/>
  <c r="AB930" i="1" s="1"/>
  <c r="AD930" i="1"/>
  <c r="AE930" i="1"/>
  <c r="W930" i="1" s="1"/>
  <c r="AG930" i="1"/>
  <c r="AJ930" i="1" s="1"/>
  <c r="AK930" i="1"/>
  <c r="AL930" i="1" l="1"/>
  <c r="AM930" i="1"/>
  <c r="AC930" i="1"/>
  <c r="AH930" i="1"/>
  <c r="AF930" i="1"/>
  <c r="X930" i="1"/>
  <c r="Z930" i="1"/>
  <c r="Y930" i="1"/>
  <c r="AA930" i="1"/>
  <c r="AP930" i="1"/>
  <c r="C931" i="1"/>
  <c r="D931" i="1"/>
  <c r="AC931" i="1" s="1"/>
  <c r="AD931" i="1"/>
  <c r="AE931" i="1"/>
  <c r="W931" i="1" s="1"/>
  <c r="AG931" i="1"/>
  <c r="AJ931" i="1" s="1"/>
  <c r="AK931" i="1"/>
  <c r="AL931" i="1" l="1"/>
  <c r="AM931" i="1"/>
  <c r="AH931" i="1"/>
  <c r="AF931" i="1"/>
  <c r="AB931" i="1"/>
  <c r="Y931" i="1"/>
  <c r="AA931" i="1"/>
  <c r="X931" i="1"/>
  <c r="Z931" i="1"/>
  <c r="AP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P932" i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l="1"/>
  <c r="AM933" i="1"/>
  <c r="AC933" i="1"/>
  <c r="AH933" i="1"/>
  <c r="AF933" i="1"/>
  <c r="X933" i="1"/>
  <c r="Z933" i="1"/>
  <c r="Y933" i="1"/>
  <c r="AA933" i="1"/>
  <c r="AP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P934" i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l="1"/>
  <c r="AM935" i="1"/>
  <c r="AC935" i="1"/>
  <c r="AH935" i="1"/>
  <c r="AF935" i="1"/>
  <c r="X935" i="1"/>
  <c r="Z935" i="1"/>
  <c r="Y935" i="1"/>
  <c r="AA935" i="1"/>
  <c r="AP935" i="1"/>
  <c r="C936" i="1"/>
  <c r="D936" i="1"/>
  <c r="AC936" i="1" s="1"/>
  <c r="AD936" i="1"/>
  <c r="AE936" i="1"/>
  <c r="W936" i="1" s="1"/>
  <c r="AG936" i="1"/>
  <c r="AJ936" i="1" s="1"/>
  <c r="AK936" i="1"/>
  <c r="AL936" i="1" l="1"/>
  <c r="AM936" i="1"/>
  <c r="AH936" i="1"/>
  <c r="AF936" i="1"/>
  <c r="AB936" i="1"/>
  <c r="Y936" i="1"/>
  <c r="AA936" i="1"/>
  <c r="X936" i="1"/>
  <c r="Z936" i="1"/>
  <c r="AP936" i="1"/>
  <c r="C937" i="1"/>
  <c r="D937" i="1"/>
  <c r="AC937" i="1" s="1"/>
  <c r="AD937" i="1"/>
  <c r="AE937" i="1"/>
  <c r="W937" i="1" s="1"/>
  <c r="AG937" i="1"/>
  <c r="AJ937" i="1" s="1"/>
  <c r="AK937" i="1"/>
  <c r="AL937" i="1" l="1"/>
  <c r="AM937" i="1"/>
  <c r="AH937" i="1"/>
  <c r="AF937" i="1"/>
  <c r="AB937" i="1"/>
  <c r="Y937" i="1"/>
  <c r="AA937" i="1"/>
  <c r="X937" i="1"/>
  <c r="Z937" i="1"/>
  <c r="AP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P938" i="1"/>
  <c r="AH938" i="1"/>
  <c r="AF938" i="1"/>
  <c r="AB938" i="1"/>
  <c r="Y938" i="1"/>
  <c r="AA938" i="1"/>
  <c r="X938" i="1"/>
  <c r="Z938" i="1"/>
  <c r="C939" i="1"/>
  <c r="D939" i="1"/>
  <c r="AB939" i="1" s="1"/>
  <c r="AD939" i="1"/>
  <c r="AE939" i="1"/>
  <c r="W939" i="1" s="1"/>
  <c r="AG939" i="1"/>
  <c r="AJ939" i="1" s="1"/>
  <c r="AK939" i="1"/>
  <c r="AL939" i="1" l="1"/>
  <c r="AM939" i="1"/>
  <c r="AC939" i="1"/>
  <c r="AH939" i="1"/>
  <c r="AF939" i="1"/>
  <c r="X939" i="1"/>
  <c r="Z939" i="1"/>
  <c r="Y939" i="1"/>
  <c r="AA939" i="1"/>
  <c r="AP939" i="1"/>
  <c r="C940" i="1"/>
  <c r="D940" i="1"/>
  <c r="AB940" i="1" s="1"/>
  <c r="AD940" i="1"/>
  <c r="AE940" i="1"/>
  <c r="W940" i="1" s="1"/>
  <c r="AG940" i="1"/>
  <c r="AJ940" i="1" s="1"/>
  <c r="AK940" i="1"/>
  <c r="AL940" i="1" l="1"/>
  <c r="AM940" i="1"/>
  <c r="AC940" i="1"/>
  <c r="AH940" i="1"/>
  <c r="AF940" i="1"/>
  <c r="Y940" i="1"/>
  <c r="AA940" i="1"/>
  <c r="X940" i="1"/>
  <c r="Z940" i="1"/>
  <c r="AP940" i="1"/>
  <c r="C941" i="1"/>
  <c r="D941" i="1"/>
  <c r="AC941" i="1" s="1"/>
  <c r="AD941" i="1"/>
  <c r="AE941" i="1"/>
  <c r="W941" i="1" s="1"/>
  <c r="AG941" i="1"/>
  <c r="AJ941" i="1" s="1"/>
  <c r="AK941" i="1"/>
  <c r="AL941" i="1" l="1"/>
  <c r="AM941" i="1"/>
  <c r="AH941" i="1"/>
  <c r="AF941" i="1"/>
  <c r="AB941" i="1"/>
  <c r="Y941" i="1"/>
  <c r="AA941" i="1"/>
  <c r="X941" i="1"/>
  <c r="Z941" i="1"/>
  <c r="AP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P942" i="1"/>
  <c r="AH942" i="1"/>
  <c r="AF942" i="1"/>
  <c r="AB942" i="1"/>
  <c r="Y942" i="1"/>
  <c r="AA942" i="1"/>
  <c r="X942" i="1"/>
  <c r="Z942" i="1"/>
  <c r="C943" i="1"/>
  <c r="D943" i="1"/>
  <c r="AB943" i="1" s="1"/>
  <c r="AD943" i="1"/>
  <c r="AE943" i="1"/>
  <c r="W943" i="1" s="1"/>
  <c r="AG943" i="1"/>
  <c r="AJ943" i="1" s="1"/>
  <c r="AK943" i="1"/>
  <c r="AL943" i="1" l="1"/>
  <c r="AM943" i="1"/>
  <c r="AC943" i="1"/>
  <c r="AH943" i="1"/>
  <c r="AF943" i="1"/>
  <c r="X943" i="1"/>
  <c r="Z943" i="1"/>
  <c r="Y943" i="1"/>
  <c r="AA943" i="1"/>
  <c r="AP943" i="1"/>
  <c r="C944" i="1"/>
  <c r="D944" i="1"/>
  <c r="AC944" i="1" s="1"/>
  <c r="AD944" i="1"/>
  <c r="AE944" i="1"/>
  <c r="W944" i="1" s="1"/>
  <c r="AG944" i="1"/>
  <c r="AJ944" i="1" s="1"/>
  <c r="AK944" i="1"/>
  <c r="AL944" i="1" l="1"/>
  <c r="AM944" i="1"/>
  <c r="AH944" i="1"/>
  <c r="AF944" i="1"/>
  <c r="AB944" i="1"/>
  <c r="Y944" i="1"/>
  <c r="AA944" i="1"/>
  <c r="X944" i="1"/>
  <c r="Z944" i="1"/>
  <c r="AP944" i="1"/>
  <c r="C945" i="1"/>
  <c r="D945" i="1"/>
  <c r="AC945" i="1" s="1"/>
  <c r="AD945" i="1"/>
  <c r="AE945" i="1"/>
  <c r="W945" i="1" s="1"/>
  <c r="AG945" i="1"/>
  <c r="AJ945" i="1" s="1"/>
  <c r="AK945" i="1"/>
  <c r="AL945" i="1" l="1"/>
  <c r="AM945" i="1"/>
  <c r="AH945" i="1"/>
  <c r="AF945" i="1"/>
  <c r="AB945" i="1"/>
  <c r="Y945" i="1"/>
  <c r="AA945" i="1"/>
  <c r="X945" i="1"/>
  <c r="Z945" i="1"/>
  <c r="AP945" i="1"/>
  <c r="C946" i="1"/>
  <c r="D946" i="1"/>
  <c r="AC946" i="1" s="1"/>
  <c r="AD946" i="1"/>
  <c r="AE946" i="1"/>
  <c r="W946" i="1" s="1"/>
  <c r="AG946" i="1"/>
  <c r="AJ946" i="1" s="1"/>
  <c r="AK946" i="1"/>
  <c r="AL946" i="1" l="1"/>
  <c r="AM946" i="1"/>
  <c r="AP946" i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l="1"/>
  <c r="AM947" i="1"/>
  <c r="AC947" i="1"/>
  <c r="AH947" i="1"/>
  <c r="AF947" i="1"/>
  <c r="X947" i="1"/>
  <c r="Z947" i="1"/>
  <c r="Y947" i="1"/>
  <c r="AA947" i="1"/>
  <c r="AP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P948" i="1"/>
  <c r="AH948" i="1"/>
  <c r="AF948" i="1"/>
  <c r="AB948" i="1"/>
  <c r="Y948" i="1"/>
  <c r="AA948" i="1"/>
  <c r="X948" i="1"/>
  <c r="Z948" i="1"/>
  <c r="C949" i="1"/>
  <c r="D949" i="1"/>
  <c r="AB949" i="1" s="1"/>
  <c r="AD949" i="1"/>
  <c r="AE949" i="1"/>
  <c r="W949" i="1" s="1"/>
  <c r="AG949" i="1"/>
  <c r="AJ949" i="1" s="1"/>
  <c r="AK949" i="1"/>
  <c r="AL949" i="1" l="1"/>
  <c r="AM949" i="1"/>
  <c r="AC949" i="1"/>
  <c r="AH949" i="1"/>
  <c r="AF949" i="1"/>
  <c r="X949" i="1"/>
  <c r="Z949" i="1"/>
  <c r="Y949" i="1"/>
  <c r="AA949" i="1"/>
  <c r="AP949" i="1"/>
  <c r="C950" i="1"/>
  <c r="D950" i="1"/>
  <c r="AC950" i="1" s="1"/>
  <c r="AD950" i="1"/>
  <c r="AE950" i="1"/>
  <c r="W950" i="1" s="1"/>
  <c r="AG950" i="1"/>
  <c r="AJ950" i="1" s="1"/>
  <c r="AK950" i="1"/>
  <c r="AL950" i="1" l="1"/>
  <c r="AM950" i="1"/>
  <c r="AP950" i="1"/>
  <c r="AH950" i="1"/>
  <c r="AF950" i="1"/>
  <c r="AB950" i="1"/>
  <c r="Y950" i="1"/>
  <c r="AA950" i="1"/>
  <c r="X950" i="1"/>
  <c r="Z950" i="1"/>
  <c r="C951" i="1"/>
  <c r="D951" i="1"/>
  <c r="AB951" i="1" s="1"/>
  <c r="AD951" i="1"/>
  <c r="AE951" i="1"/>
  <c r="W951" i="1" s="1"/>
  <c r="AG951" i="1"/>
  <c r="AJ951" i="1" s="1"/>
  <c r="AK951" i="1"/>
  <c r="AL951" i="1" l="1"/>
  <c r="AM951" i="1"/>
  <c r="AC951" i="1"/>
  <c r="AH951" i="1"/>
  <c r="AF951" i="1"/>
  <c r="X951" i="1"/>
  <c r="Z951" i="1"/>
  <c r="Y951" i="1"/>
  <c r="AA951" i="1"/>
  <c r="AP951" i="1"/>
  <c r="C952" i="1"/>
  <c r="D952" i="1"/>
  <c r="AC952" i="1" s="1"/>
  <c r="AD952" i="1"/>
  <c r="AE952" i="1"/>
  <c r="W952" i="1" s="1"/>
  <c r="AG952" i="1"/>
  <c r="AJ952" i="1" s="1"/>
  <c r="AK952" i="1"/>
  <c r="AL952" i="1" l="1"/>
  <c r="AM952" i="1"/>
  <c r="AP952" i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l="1"/>
  <c r="AM953" i="1"/>
  <c r="AH953" i="1"/>
  <c r="AC953" i="1"/>
  <c r="AF953" i="1"/>
  <c r="X953" i="1"/>
  <c r="Z953" i="1"/>
  <c r="Y953" i="1"/>
  <c r="AA953" i="1"/>
  <c r="AP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P954" i="1"/>
  <c r="AH954" i="1"/>
  <c r="AF954" i="1"/>
  <c r="AB954" i="1"/>
  <c r="Y954" i="1"/>
  <c r="AA954" i="1"/>
  <c r="X954" i="1"/>
  <c r="Z954" i="1"/>
  <c r="C955" i="1"/>
  <c r="D955" i="1"/>
  <c r="AB955" i="1" s="1"/>
  <c r="AD955" i="1"/>
  <c r="AE955" i="1"/>
  <c r="W955" i="1" s="1"/>
  <c r="AG955" i="1"/>
  <c r="AJ955" i="1" s="1"/>
  <c r="AK955" i="1"/>
  <c r="AL955" i="1" l="1"/>
  <c r="AM955" i="1"/>
  <c r="AC955" i="1"/>
  <c r="AH955" i="1"/>
  <c r="AF955" i="1"/>
  <c r="X955" i="1"/>
  <c r="Z955" i="1"/>
  <c r="Y955" i="1"/>
  <c r="AA955" i="1"/>
  <c r="AP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H956" i="1"/>
  <c r="AF956" i="1"/>
  <c r="AB956" i="1"/>
  <c r="Y956" i="1"/>
  <c r="AA956" i="1"/>
  <c r="X956" i="1"/>
  <c r="Z956" i="1"/>
  <c r="AP956" i="1"/>
  <c r="C957" i="1"/>
  <c r="D957" i="1"/>
  <c r="AC957" i="1" s="1"/>
  <c r="AD957" i="1"/>
  <c r="AE957" i="1"/>
  <c r="W957" i="1" s="1"/>
  <c r="AG957" i="1"/>
  <c r="AJ957" i="1" s="1"/>
  <c r="AK957" i="1"/>
  <c r="AL957" i="1" l="1"/>
  <c r="AM957" i="1"/>
  <c r="AH957" i="1"/>
  <c r="AF957" i="1"/>
  <c r="AB957" i="1"/>
  <c r="Y957" i="1"/>
  <c r="AA957" i="1"/>
  <c r="X957" i="1"/>
  <c r="Z957" i="1"/>
  <c r="AP957" i="1"/>
  <c r="C958" i="1"/>
  <c r="D958" i="1"/>
  <c r="AC958" i="1" s="1"/>
  <c r="AD958" i="1"/>
  <c r="AE958" i="1"/>
  <c r="W958" i="1" s="1"/>
  <c r="AG958" i="1"/>
  <c r="AJ958" i="1" s="1"/>
  <c r="AK958" i="1"/>
  <c r="AL958" i="1" l="1"/>
  <c r="AM958" i="1"/>
  <c r="AP958" i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l="1"/>
  <c r="AM959" i="1"/>
  <c r="AC959" i="1"/>
  <c r="AH959" i="1"/>
  <c r="AF959" i="1"/>
  <c r="X959" i="1"/>
  <c r="Z959" i="1"/>
  <c r="Y959" i="1"/>
  <c r="AA959" i="1"/>
  <c r="AP959" i="1"/>
  <c r="C960" i="1"/>
  <c r="D960" i="1"/>
  <c r="AC960" i="1" s="1"/>
  <c r="AD960" i="1"/>
  <c r="AE960" i="1"/>
  <c r="W960" i="1" s="1"/>
  <c r="AG960" i="1"/>
  <c r="AJ960" i="1" s="1"/>
  <c r="AK960" i="1"/>
  <c r="AL960" i="1" l="1"/>
  <c r="AM960" i="1"/>
  <c r="AP960" i="1"/>
  <c r="AH960" i="1"/>
  <c r="AF960" i="1"/>
  <c r="AB960" i="1"/>
  <c r="Y960" i="1"/>
  <c r="AA960" i="1"/>
  <c r="X960" i="1"/>
  <c r="Z960" i="1"/>
  <c r="C961" i="1"/>
  <c r="D961" i="1"/>
  <c r="AB961" i="1" s="1"/>
  <c r="AD961" i="1"/>
  <c r="AE961" i="1"/>
  <c r="W961" i="1" s="1"/>
  <c r="AG961" i="1"/>
  <c r="AJ961" i="1" s="1"/>
  <c r="AK961" i="1"/>
  <c r="AL961" i="1" l="1"/>
  <c r="AM961" i="1"/>
  <c r="AC961" i="1"/>
  <c r="AH961" i="1"/>
  <c r="AF961" i="1"/>
  <c r="X961" i="1"/>
  <c r="Z961" i="1"/>
  <c r="Y961" i="1"/>
  <c r="AA961" i="1"/>
  <c r="AP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P962" i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l="1"/>
  <c r="AM963" i="1"/>
  <c r="AC963" i="1"/>
  <c r="AH963" i="1"/>
  <c r="AF963" i="1"/>
  <c r="X963" i="1"/>
  <c r="Z963" i="1"/>
  <c r="Y963" i="1"/>
  <c r="AA963" i="1"/>
  <c r="AP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H964" i="1"/>
  <c r="AF964" i="1"/>
  <c r="AB964" i="1"/>
  <c r="Y964" i="1"/>
  <c r="AA964" i="1"/>
  <c r="X964" i="1"/>
  <c r="Z964" i="1"/>
  <c r="AP964" i="1"/>
  <c r="C965" i="1"/>
  <c r="D965" i="1"/>
  <c r="AC965" i="1" s="1"/>
  <c r="AD965" i="1"/>
  <c r="AE965" i="1"/>
  <c r="W965" i="1" s="1"/>
  <c r="AG965" i="1"/>
  <c r="AJ965" i="1" s="1"/>
  <c r="AK965" i="1"/>
  <c r="AL965" i="1" l="1"/>
  <c r="AM965" i="1"/>
  <c r="AP965" i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l="1"/>
  <c r="AM966" i="1"/>
  <c r="AP966" i="1"/>
  <c r="AC966" i="1"/>
  <c r="AH966" i="1"/>
  <c r="AF966" i="1"/>
  <c r="X966" i="1"/>
  <c r="Z966" i="1"/>
  <c r="Y966" i="1"/>
  <c r="AA966" i="1"/>
  <c r="C967" i="1"/>
  <c r="D967" i="1"/>
  <c r="AB967" i="1" s="1"/>
  <c r="AD967" i="1"/>
  <c r="AE967" i="1"/>
  <c r="W967" i="1" s="1"/>
  <c r="AG967" i="1"/>
  <c r="AJ967" i="1" s="1"/>
  <c r="AK967" i="1"/>
  <c r="AL967" i="1" l="1"/>
  <c r="AM967" i="1"/>
  <c r="AP967" i="1"/>
  <c r="AC967" i="1"/>
  <c r="AH967" i="1"/>
  <c r="AF967" i="1"/>
  <c r="X967" i="1"/>
  <c r="Z967" i="1"/>
  <c r="Y967" i="1"/>
  <c r="AA967" i="1"/>
  <c r="C968" i="1"/>
  <c r="D968" i="1"/>
  <c r="AB968" i="1" s="1"/>
  <c r="AD968" i="1"/>
  <c r="AE968" i="1"/>
  <c r="W968" i="1" s="1"/>
  <c r="AG968" i="1"/>
  <c r="AJ968" i="1" s="1"/>
  <c r="AK968" i="1"/>
  <c r="AL968" i="1" l="1"/>
  <c r="AM968" i="1"/>
  <c r="AP968" i="1"/>
  <c r="AH968" i="1"/>
  <c r="AC968" i="1"/>
  <c r="AF968" i="1"/>
  <c r="X968" i="1"/>
  <c r="Z968" i="1"/>
  <c r="Y968" i="1"/>
  <c r="AA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P969" i="1"/>
  <c r="AC969" i="1"/>
  <c r="AH969" i="1"/>
  <c r="AF969" i="1"/>
  <c r="X969" i="1"/>
  <c r="Z969" i="1"/>
  <c r="Y969" i="1"/>
  <c r="AA969" i="1"/>
  <c r="C970" i="1"/>
  <c r="D970" i="1"/>
  <c r="AB970" i="1" s="1"/>
  <c r="AD970" i="1"/>
  <c r="AE970" i="1"/>
  <c r="W970" i="1" s="1"/>
  <c r="AG970" i="1"/>
  <c r="AJ970" i="1" s="1"/>
  <c r="AK970" i="1"/>
  <c r="AL970" i="1" l="1"/>
  <c r="AM970" i="1"/>
  <c r="AP970" i="1"/>
  <c r="AC970" i="1"/>
  <c r="AH970" i="1"/>
  <c r="AF970" i="1"/>
  <c r="X970" i="1"/>
  <c r="Z970" i="1"/>
  <c r="Y970" i="1"/>
  <c r="AA970" i="1"/>
  <c r="C971" i="1"/>
  <c r="D971" i="1"/>
  <c r="AB971" i="1" s="1"/>
  <c r="AD971" i="1"/>
  <c r="AE971" i="1"/>
  <c r="W971" i="1" s="1"/>
  <c r="AG971" i="1"/>
  <c r="AJ971" i="1" s="1"/>
  <c r="AK971" i="1"/>
  <c r="AL971" i="1" l="1"/>
  <c r="AM971" i="1"/>
  <c r="AP971" i="1"/>
  <c r="AC971" i="1"/>
  <c r="AH971" i="1"/>
  <c r="AF971" i="1"/>
  <c r="X971" i="1"/>
  <c r="Z971" i="1"/>
  <c r="Y971" i="1"/>
  <c r="AA971" i="1"/>
  <c r="C972" i="1"/>
  <c r="D972" i="1"/>
  <c r="AB972" i="1" s="1"/>
  <c r="AD972" i="1"/>
  <c r="AE972" i="1"/>
  <c r="W972" i="1" s="1"/>
  <c r="AG972" i="1"/>
  <c r="AJ972" i="1" s="1"/>
  <c r="AK972" i="1"/>
  <c r="AL972" i="1" l="1"/>
  <c r="AM972" i="1"/>
  <c r="AP972" i="1"/>
  <c r="AC972" i="1"/>
  <c r="AH972" i="1"/>
  <c r="AF972" i="1"/>
  <c r="X972" i="1"/>
  <c r="Z972" i="1"/>
  <c r="Y972" i="1"/>
  <c r="AA972" i="1"/>
  <c r="C973" i="1"/>
  <c r="D973" i="1"/>
  <c r="AB973" i="1" s="1"/>
  <c r="AD973" i="1"/>
  <c r="AE973" i="1"/>
  <c r="W973" i="1" s="1"/>
  <c r="AG973" i="1"/>
  <c r="AJ973" i="1" s="1"/>
  <c r="AK973" i="1"/>
  <c r="AL973" i="1" l="1"/>
  <c r="AM973" i="1"/>
  <c r="AP973" i="1"/>
  <c r="AC973" i="1"/>
  <c r="AH973" i="1"/>
  <c r="AF973" i="1"/>
  <c r="X973" i="1"/>
  <c r="Z973" i="1"/>
  <c r="Y973" i="1"/>
  <c r="AA973" i="1"/>
  <c r="AE183" i="1" l="1"/>
  <c r="AK183" i="1"/>
  <c r="AD183" i="1" l="1"/>
  <c r="AM183" i="1" s="1"/>
  <c r="W183" i="1"/>
  <c r="X183" i="1" s="1"/>
  <c r="Y183" i="1" s="1"/>
  <c r="Z183" i="1" s="1"/>
  <c r="AA183" i="1" s="1"/>
  <c r="AL183" i="1"/>
  <c r="AK3" i="1"/>
  <c r="AN3" i="1" s="1"/>
  <c r="AK4" i="1"/>
  <c r="AK5" i="1"/>
  <c r="AN5" i="1" s="1"/>
  <c r="AO5" i="1" s="1"/>
  <c r="AK6" i="1"/>
  <c r="AN6" i="1" s="1"/>
  <c r="AK7" i="1"/>
  <c r="AN7" i="1" s="1"/>
  <c r="AO7" i="1" s="1"/>
  <c r="AK8" i="1"/>
  <c r="AK9" i="1"/>
  <c r="AK10" i="1"/>
  <c r="AK28" i="1"/>
  <c r="AN28" i="1" s="1"/>
  <c r="AO28" i="1" s="1"/>
  <c r="AK29" i="1"/>
  <c r="AK52" i="1"/>
  <c r="AN52" i="1" s="1"/>
  <c r="AO52" i="1" s="1"/>
  <c r="AK53" i="1"/>
  <c r="AK54" i="1"/>
  <c r="AN54" i="1" s="1"/>
  <c r="AK55" i="1"/>
  <c r="AK56" i="1"/>
  <c r="AK57" i="1"/>
  <c r="AN57" i="1" s="1"/>
  <c r="AK58" i="1"/>
  <c r="AN58" i="1" s="1"/>
  <c r="AO58" i="1" s="1"/>
  <c r="AK59" i="1"/>
  <c r="AN59" i="1" s="1"/>
  <c r="AK60" i="1"/>
  <c r="AK61" i="1"/>
  <c r="AK62" i="1"/>
  <c r="AN62" i="1" s="1"/>
  <c r="AO62" i="1" s="1"/>
  <c r="AK63" i="1"/>
  <c r="AK64" i="1"/>
  <c r="AN64" i="1" s="1"/>
  <c r="AO64" i="1" s="1"/>
  <c r="AK33" i="1"/>
  <c r="AN33" i="1" s="1"/>
  <c r="AK34" i="1"/>
  <c r="AK35" i="1"/>
  <c r="AK36" i="1"/>
  <c r="AN36" i="1" s="1"/>
  <c r="AK37" i="1"/>
  <c r="AN37" i="1" s="1"/>
  <c r="AO37" i="1" s="1"/>
  <c r="AK65" i="1"/>
  <c r="AN65" i="1" s="1"/>
  <c r="AK66" i="1"/>
  <c r="AK67" i="1"/>
  <c r="AK68" i="1"/>
  <c r="AK30" i="1"/>
  <c r="AN30" i="1" s="1"/>
  <c r="AO30" i="1" s="1"/>
  <c r="AK31" i="1"/>
  <c r="AN31" i="1" s="1"/>
  <c r="AK32" i="1"/>
  <c r="AN32" i="1" s="1"/>
  <c r="AO32" i="1" s="1"/>
  <c r="AK69" i="1"/>
  <c r="AN69" i="1" s="1"/>
  <c r="AO69" i="1" s="1"/>
  <c r="AK70" i="1"/>
  <c r="AK71" i="1"/>
  <c r="AK72" i="1"/>
  <c r="AK73" i="1"/>
  <c r="AN73" i="1" s="1"/>
  <c r="AO73" i="1" s="1"/>
  <c r="AK74" i="1"/>
  <c r="AN74" i="1" s="1"/>
  <c r="AO74" i="1" s="1"/>
  <c r="AK75" i="1"/>
  <c r="AK76" i="1"/>
  <c r="AK77" i="1"/>
  <c r="AN77" i="1" s="1"/>
  <c r="AO77" i="1" s="1"/>
  <c r="AK78" i="1"/>
  <c r="AK79" i="1"/>
  <c r="AK80" i="1"/>
  <c r="AN80" i="1" s="1"/>
  <c r="AO80" i="1" s="1"/>
  <c r="AK81" i="1"/>
  <c r="AN81" i="1" s="1"/>
  <c r="AO81" i="1" s="1"/>
  <c r="AK82" i="1"/>
  <c r="AN82" i="1" s="1"/>
  <c r="AK83" i="1"/>
  <c r="AN83" i="1" s="1"/>
  <c r="AO83" i="1" s="1"/>
  <c r="AK84" i="1"/>
  <c r="AK85" i="1"/>
  <c r="AN85" i="1" s="1"/>
  <c r="AK86" i="1"/>
  <c r="AK87" i="1"/>
  <c r="AN87" i="1" s="1"/>
  <c r="AO87" i="1" s="1"/>
  <c r="AK88" i="1"/>
  <c r="AK89" i="1"/>
  <c r="AN89" i="1" s="1"/>
  <c r="AK90" i="1"/>
  <c r="AN90" i="1" s="1"/>
  <c r="AO90" i="1" s="1"/>
  <c r="AK91" i="1"/>
  <c r="AK92" i="1"/>
  <c r="AN92" i="1" s="1"/>
  <c r="AO92" i="1" s="1"/>
  <c r="AK93" i="1"/>
  <c r="AK94" i="1"/>
  <c r="AN94" i="1" s="1"/>
  <c r="AK95" i="1"/>
  <c r="AK96" i="1"/>
  <c r="AK97" i="1"/>
  <c r="AK98" i="1"/>
  <c r="AK99" i="1"/>
  <c r="AN99" i="1" s="1"/>
  <c r="AO99" i="1" s="1"/>
  <c r="AK100" i="1"/>
  <c r="AK101" i="1"/>
  <c r="AN101" i="1" s="1"/>
  <c r="AK102" i="1"/>
  <c r="AK103" i="1"/>
  <c r="AN103" i="1" s="1"/>
  <c r="AO103" i="1" s="1"/>
  <c r="AK104" i="1"/>
  <c r="AN104" i="1" s="1"/>
  <c r="AK105" i="1"/>
  <c r="AK106" i="1"/>
  <c r="AK107" i="1"/>
  <c r="AN107" i="1" s="1"/>
  <c r="AO107" i="1" s="1"/>
  <c r="AK108" i="1"/>
  <c r="AK109" i="1"/>
  <c r="AN109" i="1" s="1"/>
  <c r="AO109" i="1" s="1"/>
  <c r="AK110" i="1"/>
  <c r="AK111" i="1"/>
  <c r="AK112" i="1"/>
  <c r="AN112" i="1" s="1"/>
  <c r="AK113" i="1"/>
  <c r="AK114" i="1"/>
  <c r="AN114" i="1" s="1"/>
  <c r="AO114" i="1" s="1"/>
  <c r="AK115" i="1"/>
  <c r="AN115" i="1" s="1"/>
  <c r="AO115" i="1" s="1"/>
  <c r="AK116" i="1"/>
  <c r="AN116" i="1" s="1"/>
  <c r="AO116" i="1" s="1"/>
  <c r="AK117" i="1"/>
  <c r="AN117" i="1" s="1"/>
  <c r="AO117" i="1" s="1"/>
  <c r="AK118" i="1"/>
  <c r="AK119" i="1"/>
  <c r="AN119" i="1" s="1"/>
  <c r="AO119" i="1" s="1"/>
  <c r="AK120" i="1"/>
  <c r="AK121" i="1"/>
  <c r="AK122" i="1"/>
  <c r="AN122" i="1" s="1"/>
  <c r="AO122" i="1" s="1"/>
  <c r="AK123" i="1"/>
  <c r="AN123" i="1" s="1"/>
  <c r="AK124" i="1"/>
  <c r="AK125" i="1"/>
  <c r="AK126" i="1"/>
  <c r="AN126" i="1" s="1"/>
  <c r="AO126" i="1" s="1"/>
  <c r="AK127" i="1"/>
  <c r="AK129" i="1"/>
  <c r="AN129" i="1" s="1"/>
  <c r="AO129" i="1" s="1"/>
  <c r="AK130" i="1"/>
  <c r="AN130" i="1" s="1"/>
  <c r="AO130" i="1" s="1"/>
  <c r="AK131" i="1"/>
  <c r="AN131" i="1" s="1"/>
  <c r="AO131" i="1" s="1"/>
  <c r="AK132" i="1"/>
  <c r="AK133" i="1"/>
  <c r="AK134" i="1"/>
  <c r="AN134" i="1" s="1"/>
  <c r="AK135" i="1"/>
  <c r="AK136" i="1"/>
  <c r="AN136" i="1" s="1"/>
  <c r="AO136" i="1" s="1"/>
  <c r="AK137" i="1"/>
  <c r="AK138" i="1"/>
  <c r="AK139" i="1"/>
  <c r="AK140" i="1"/>
  <c r="AK141" i="1"/>
  <c r="AN141" i="1" s="1"/>
  <c r="AO141" i="1" s="1"/>
  <c r="AK142" i="1"/>
  <c r="AK143" i="1"/>
  <c r="AN143" i="1" s="1"/>
  <c r="AO143" i="1" s="1"/>
  <c r="AK144" i="1"/>
  <c r="AN144" i="1" s="1"/>
  <c r="AK145" i="1"/>
  <c r="AK146" i="1"/>
  <c r="AN146" i="1" s="1"/>
  <c r="AK147" i="1"/>
  <c r="AK148" i="1"/>
  <c r="AN148" i="1" s="1"/>
  <c r="AK149" i="1"/>
  <c r="AN149" i="1" s="1"/>
  <c r="AO149" i="1" s="1"/>
  <c r="AK150" i="1"/>
  <c r="AN150" i="1" s="1"/>
  <c r="AK151" i="1"/>
  <c r="AK152" i="1"/>
  <c r="AN152" i="1" s="1"/>
  <c r="AO152" i="1" s="1"/>
  <c r="AK153" i="1"/>
  <c r="AK154" i="1"/>
  <c r="AN154" i="1" s="1"/>
  <c r="AO154" i="1" s="1"/>
  <c r="AK155" i="1"/>
  <c r="AN155" i="1" s="1"/>
  <c r="AK156" i="1"/>
  <c r="AN156" i="1" s="1"/>
  <c r="AO156" i="1" s="1"/>
  <c r="AK157" i="1"/>
  <c r="AK158" i="1"/>
  <c r="AK159" i="1"/>
  <c r="AN159" i="1" s="1"/>
  <c r="AO159" i="1" s="1"/>
  <c r="AK160" i="1"/>
  <c r="AN160" i="1" s="1"/>
  <c r="AO160" i="1" s="1"/>
  <c r="AK161" i="1"/>
  <c r="AK162" i="1"/>
  <c r="AK163" i="1"/>
  <c r="AK164" i="1"/>
  <c r="AN164" i="1" s="1"/>
  <c r="AO164" i="1" s="1"/>
  <c r="AK165" i="1"/>
  <c r="AK166" i="1"/>
  <c r="AK167" i="1"/>
  <c r="AK168" i="1"/>
  <c r="AK169" i="1"/>
  <c r="AK170" i="1"/>
  <c r="AK172" i="1"/>
  <c r="AN172" i="1" s="1"/>
  <c r="AK173" i="1"/>
  <c r="AK174" i="1"/>
  <c r="AK175" i="1"/>
  <c r="AK176" i="1"/>
  <c r="AK177" i="1"/>
  <c r="AN177" i="1" s="1"/>
  <c r="AK178" i="1"/>
  <c r="AK179" i="1"/>
  <c r="AK180" i="1"/>
  <c r="AN180" i="1" s="1"/>
  <c r="AO180" i="1" s="1"/>
  <c r="AK181" i="1"/>
  <c r="AN181" i="1" s="1"/>
  <c r="AO181" i="1" s="1"/>
  <c r="AK182" i="1"/>
  <c r="AK184" i="1"/>
  <c r="AN184" i="1" s="1"/>
  <c r="AK185" i="1"/>
  <c r="AN185" i="1" s="1"/>
  <c r="AO185" i="1" s="1"/>
  <c r="AK186" i="1"/>
  <c r="AK187" i="1"/>
  <c r="AN187" i="1" s="1"/>
  <c r="AK188" i="1"/>
  <c r="AK189" i="1"/>
  <c r="AN189" i="1" s="1"/>
  <c r="AK190" i="1"/>
  <c r="AN190" i="1" s="1"/>
  <c r="AO190" i="1" s="1"/>
  <c r="AK191" i="1"/>
  <c r="AK192" i="1"/>
  <c r="AK193" i="1"/>
  <c r="AK194" i="1"/>
  <c r="AN194" i="1" s="1"/>
  <c r="AO194" i="1" s="1"/>
  <c r="AK195" i="1"/>
  <c r="AK196" i="1"/>
  <c r="AN196" i="1" s="1"/>
  <c r="AO196" i="1" s="1"/>
  <c r="AK197" i="1"/>
  <c r="AK198" i="1"/>
  <c r="AK199" i="1"/>
  <c r="AN199" i="1" s="1"/>
  <c r="AO199" i="1" s="1"/>
  <c r="AK200" i="1"/>
  <c r="AN200" i="1" s="1"/>
  <c r="AO200" i="1" s="1"/>
  <c r="AK201" i="1"/>
  <c r="AN201" i="1" s="1"/>
  <c r="AK202" i="1"/>
  <c r="AN202" i="1" s="1"/>
  <c r="AO202" i="1" s="1"/>
  <c r="AK203" i="1"/>
  <c r="AK204" i="1"/>
  <c r="AK205" i="1"/>
  <c r="AK206" i="1"/>
  <c r="AK207" i="1"/>
  <c r="AN207" i="1" s="1"/>
  <c r="AO207" i="1" s="1"/>
  <c r="AK208" i="1"/>
  <c r="AK209" i="1"/>
  <c r="AN209" i="1" s="1"/>
  <c r="AO209" i="1" s="1"/>
  <c r="AK210" i="1"/>
  <c r="AK211" i="1"/>
  <c r="AK212" i="1"/>
  <c r="AN212" i="1" s="1"/>
  <c r="AK213" i="1"/>
  <c r="AK214" i="1"/>
  <c r="AK215" i="1"/>
  <c r="AK216" i="1"/>
  <c r="AK217" i="1"/>
  <c r="AK218" i="1"/>
  <c r="AN218" i="1" s="1"/>
  <c r="AK219" i="1"/>
  <c r="AK220" i="1"/>
  <c r="AK221" i="1"/>
  <c r="AN221" i="1" s="1"/>
  <c r="AO221" i="1" s="1"/>
  <c r="AK222" i="1"/>
  <c r="AK223" i="1"/>
  <c r="AN223" i="1" s="1"/>
  <c r="AK224" i="1"/>
  <c r="AK225" i="1"/>
  <c r="AK226" i="1"/>
  <c r="AK227" i="1"/>
  <c r="AK228" i="1"/>
  <c r="AK229" i="1"/>
  <c r="AN229" i="1" s="1"/>
  <c r="AO229" i="1" s="1"/>
  <c r="AK230" i="1"/>
  <c r="AN230" i="1" s="1"/>
  <c r="AK231" i="1"/>
  <c r="AK232" i="1"/>
  <c r="AK233" i="1"/>
  <c r="AN233" i="1" s="1"/>
  <c r="AO233" i="1" s="1"/>
  <c r="AK234" i="1"/>
  <c r="AK235" i="1"/>
  <c r="AK236" i="1"/>
  <c r="AK237" i="1"/>
  <c r="AK238" i="1"/>
  <c r="AK239" i="1"/>
  <c r="AN239" i="1" s="1"/>
  <c r="AK240" i="1"/>
  <c r="AK241" i="1"/>
  <c r="AN241" i="1" s="1"/>
  <c r="AK242" i="1"/>
  <c r="AK243" i="1"/>
  <c r="AN243" i="1" s="1"/>
  <c r="AO243" i="1" s="1"/>
  <c r="AK244" i="1"/>
  <c r="AK245" i="1"/>
  <c r="AK246" i="1"/>
  <c r="AK247" i="1"/>
  <c r="AN247" i="1" s="1"/>
  <c r="AO247" i="1" s="1"/>
  <c r="AK248" i="1"/>
  <c r="AN248" i="1" s="1"/>
  <c r="AO248" i="1" s="1"/>
  <c r="AK249" i="1"/>
  <c r="AN249" i="1" s="1"/>
  <c r="AK250" i="1"/>
  <c r="AK251" i="1"/>
  <c r="AN251" i="1" s="1"/>
  <c r="AK252" i="1"/>
  <c r="AN252" i="1" s="1"/>
  <c r="AO252" i="1" s="1"/>
  <c r="AK253" i="1"/>
  <c r="AK254" i="1"/>
  <c r="AK255" i="1"/>
  <c r="AK256" i="1"/>
  <c r="AN256" i="1" s="1"/>
  <c r="AK257" i="1"/>
  <c r="AK258" i="1"/>
  <c r="AK259" i="1"/>
  <c r="AK260" i="1"/>
  <c r="AN260" i="1" s="1"/>
  <c r="AK261" i="1"/>
  <c r="AK262" i="1"/>
  <c r="AN262" i="1" s="1"/>
  <c r="AK263" i="1"/>
  <c r="AK264" i="1"/>
  <c r="AN264" i="1" s="1"/>
  <c r="AO264" i="1" s="1"/>
  <c r="AK265" i="1"/>
  <c r="AN265" i="1" s="1"/>
  <c r="AO265" i="1" s="1"/>
  <c r="AK266" i="1"/>
  <c r="AK267" i="1"/>
  <c r="AN267" i="1" s="1"/>
  <c r="AO267" i="1" s="1"/>
  <c r="AK268" i="1"/>
  <c r="AK269" i="1"/>
  <c r="AK270" i="1"/>
  <c r="AN270" i="1" s="1"/>
  <c r="AK271" i="1"/>
  <c r="AK272" i="1"/>
  <c r="AN272" i="1" s="1"/>
  <c r="AO272" i="1" s="1"/>
  <c r="AK273" i="1"/>
  <c r="AK274" i="1"/>
  <c r="AK275" i="1"/>
  <c r="AK276" i="1"/>
  <c r="AK277" i="1"/>
  <c r="AK278" i="1"/>
  <c r="AK279" i="1"/>
  <c r="AN279" i="1" s="1"/>
  <c r="AO279" i="1" s="1"/>
  <c r="AK280" i="1"/>
  <c r="AN280" i="1" s="1"/>
  <c r="AK281" i="1"/>
  <c r="AK282" i="1"/>
  <c r="AN282" i="1" s="1"/>
  <c r="AK283" i="1"/>
  <c r="AK284" i="1"/>
  <c r="AN284" i="1" s="1"/>
  <c r="AO284" i="1" s="1"/>
  <c r="AK285" i="1"/>
  <c r="AK286" i="1"/>
  <c r="AK287" i="1"/>
  <c r="AN287" i="1" s="1"/>
  <c r="AK288" i="1"/>
  <c r="AK289" i="1"/>
  <c r="AN289" i="1" s="1"/>
  <c r="AK290" i="1"/>
  <c r="AN290" i="1" s="1"/>
  <c r="AO290" i="1" s="1"/>
  <c r="AK291" i="1"/>
  <c r="AN291" i="1" s="1"/>
  <c r="AK292" i="1"/>
  <c r="AK293" i="1"/>
  <c r="AN293" i="1" s="1"/>
  <c r="AK294" i="1"/>
  <c r="AK295" i="1"/>
  <c r="AK296" i="1"/>
  <c r="AN296" i="1" s="1"/>
  <c r="AK297" i="1"/>
  <c r="AN297" i="1" s="1"/>
  <c r="AO297" i="1" s="1"/>
  <c r="AK298" i="1"/>
  <c r="AN298" i="1" s="1"/>
  <c r="AK299" i="1"/>
  <c r="AK300" i="1"/>
  <c r="AN300" i="1" s="1"/>
  <c r="AK301" i="1"/>
  <c r="AK302" i="1"/>
  <c r="AK303" i="1"/>
  <c r="AK304" i="1"/>
  <c r="AN304" i="1" s="1"/>
  <c r="AO304" i="1" s="1"/>
  <c r="AK305" i="1"/>
  <c r="AN305" i="1" s="1"/>
  <c r="AK306" i="1"/>
  <c r="AK307" i="1"/>
  <c r="AN307" i="1" s="1"/>
  <c r="AO307" i="1" s="1"/>
  <c r="AK308" i="1"/>
  <c r="AK309" i="1"/>
  <c r="AK310" i="1"/>
  <c r="AK311" i="1"/>
  <c r="AN311" i="1" s="1"/>
  <c r="AK312" i="1"/>
  <c r="AK313" i="1"/>
  <c r="AN313" i="1" s="1"/>
  <c r="AO313" i="1" s="1"/>
  <c r="AK314" i="1"/>
  <c r="AN314" i="1" s="1"/>
  <c r="AK315" i="1"/>
  <c r="AN315" i="1" s="1"/>
  <c r="AO315" i="1" s="1"/>
  <c r="AK316" i="1"/>
  <c r="AK317" i="1"/>
  <c r="AN317" i="1" s="1"/>
  <c r="AO317" i="1" s="1"/>
  <c r="AK318" i="1"/>
  <c r="AK319" i="1"/>
  <c r="AN319" i="1" s="1"/>
  <c r="AO319" i="1" s="1"/>
  <c r="AK320" i="1"/>
  <c r="AN320" i="1" s="1"/>
  <c r="AO320" i="1" s="1"/>
  <c r="AK321" i="1"/>
  <c r="AN321" i="1" s="1"/>
  <c r="AK322" i="1"/>
  <c r="AK323" i="1"/>
  <c r="AK324" i="1"/>
  <c r="AK325" i="1"/>
  <c r="AK326" i="1"/>
  <c r="AK327" i="1"/>
  <c r="AN327" i="1" s="1"/>
  <c r="AO327" i="1" s="1"/>
  <c r="AK328" i="1"/>
  <c r="AN328" i="1" s="1"/>
  <c r="AO328" i="1" s="1"/>
  <c r="AK329" i="1"/>
  <c r="AK330" i="1"/>
  <c r="AN330" i="1" s="1"/>
  <c r="AO330" i="1" s="1"/>
  <c r="AK331" i="1"/>
  <c r="AK332" i="1"/>
  <c r="AN332" i="1" s="1"/>
  <c r="AO332" i="1" s="1"/>
  <c r="AK333" i="1"/>
  <c r="AK334" i="1"/>
  <c r="AN334" i="1" s="1"/>
  <c r="AK335" i="1"/>
  <c r="AK336" i="1"/>
  <c r="AN336" i="1" s="1"/>
  <c r="AO336" i="1" s="1"/>
  <c r="AK337" i="1"/>
  <c r="AK338" i="1"/>
  <c r="AK339" i="1"/>
  <c r="AN339" i="1" s="1"/>
  <c r="AK340" i="1"/>
  <c r="AK341" i="1"/>
  <c r="AK342" i="1"/>
  <c r="AK343" i="1"/>
  <c r="AK344" i="1"/>
  <c r="AN344" i="1" s="1"/>
  <c r="AO344" i="1" s="1"/>
  <c r="AK345" i="1"/>
  <c r="AK346" i="1"/>
  <c r="AK347" i="1"/>
  <c r="AN347" i="1" s="1"/>
  <c r="AO347" i="1" s="1"/>
  <c r="AK348" i="1"/>
  <c r="AK349" i="1"/>
  <c r="AK350" i="1"/>
  <c r="AK351" i="1"/>
  <c r="AN351" i="1" s="1"/>
  <c r="AK352" i="1"/>
  <c r="AK353" i="1"/>
  <c r="AK354" i="1"/>
  <c r="AN354" i="1" s="1"/>
  <c r="AO354" i="1" s="1"/>
  <c r="AK355" i="1"/>
  <c r="AK356" i="1"/>
  <c r="AK357" i="1"/>
  <c r="AN357" i="1" s="1"/>
  <c r="AO357" i="1" s="1"/>
  <c r="AK358" i="1"/>
  <c r="AK359" i="1"/>
  <c r="AN359" i="1" s="1"/>
  <c r="AO359" i="1" s="1"/>
  <c r="AK360" i="1"/>
  <c r="AK361" i="1"/>
  <c r="AN361" i="1" s="1"/>
  <c r="AO361" i="1" s="1"/>
  <c r="AK363" i="1"/>
  <c r="AK365" i="1"/>
  <c r="AK366" i="1"/>
  <c r="AN366" i="1" s="1"/>
  <c r="AK367" i="1"/>
  <c r="AK369" i="1"/>
  <c r="AN369" i="1" s="1"/>
  <c r="AK370" i="1"/>
  <c r="AK371" i="1"/>
  <c r="AN371" i="1" s="1"/>
  <c r="AO371" i="1" s="1"/>
  <c r="AK372" i="1"/>
  <c r="AN372" i="1" s="1"/>
  <c r="AK373" i="1"/>
  <c r="AN373" i="1" s="1"/>
  <c r="AO373" i="1" s="1"/>
  <c r="AK374" i="1"/>
  <c r="AN374" i="1" s="1"/>
  <c r="AO374" i="1" s="1"/>
  <c r="AK375" i="1"/>
  <c r="AN375" i="1" s="1"/>
  <c r="AO375" i="1" s="1"/>
  <c r="AK376" i="1"/>
  <c r="AK377" i="1"/>
  <c r="AK378" i="1"/>
  <c r="AN378" i="1" s="1"/>
  <c r="AO378" i="1" s="1"/>
  <c r="AK379" i="1"/>
  <c r="AK380" i="1"/>
  <c r="AN380" i="1" s="1"/>
  <c r="AO380" i="1" s="1"/>
  <c r="AK381" i="1"/>
  <c r="AK382" i="1"/>
  <c r="AK383" i="1"/>
  <c r="AN383" i="1" s="1"/>
  <c r="AK384" i="1"/>
  <c r="AK385" i="1"/>
  <c r="AN385" i="1" s="1"/>
  <c r="AO385" i="1" s="1"/>
  <c r="AK386" i="1"/>
  <c r="AK387" i="1"/>
  <c r="AN387" i="1" s="1"/>
  <c r="AO387" i="1" s="1"/>
  <c r="AK388" i="1"/>
  <c r="AN388" i="1" s="1"/>
  <c r="AO388" i="1" s="1"/>
  <c r="AK389" i="1"/>
  <c r="AN389" i="1" s="1"/>
  <c r="AK390" i="1"/>
  <c r="AK391" i="1"/>
  <c r="AN391" i="1" s="1"/>
  <c r="AK392" i="1"/>
  <c r="AN392" i="1" s="1"/>
  <c r="AO392" i="1" s="1"/>
  <c r="AK393" i="1"/>
  <c r="AN393" i="1" s="1"/>
  <c r="AK394" i="1"/>
  <c r="AK395" i="1"/>
  <c r="AK396" i="1"/>
  <c r="AK397" i="1"/>
  <c r="AK398" i="1"/>
  <c r="AN398" i="1" s="1"/>
  <c r="AK399" i="1"/>
  <c r="AK400" i="1"/>
  <c r="AK401" i="1"/>
  <c r="AN401" i="1" s="1"/>
  <c r="AK402" i="1"/>
  <c r="AK403" i="1"/>
  <c r="AN403" i="1" s="1"/>
  <c r="AK404" i="1"/>
  <c r="AK405" i="1"/>
  <c r="AK406" i="1"/>
  <c r="AK407" i="1"/>
  <c r="AN407" i="1" s="1"/>
  <c r="AK408" i="1"/>
  <c r="AN408" i="1" s="1"/>
  <c r="AO408" i="1" s="1"/>
  <c r="AK409" i="1"/>
  <c r="AK410" i="1"/>
  <c r="AK411" i="1"/>
  <c r="AN411" i="1" s="1"/>
  <c r="AK412" i="1"/>
  <c r="AK413" i="1"/>
  <c r="AK414" i="1"/>
  <c r="AK415" i="1"/>
  <c r="AK416" i="1"/>
  <c r="AK418" i="1"/>
  <c r="AK419" i="1"/>
  <c r="AN419" i="1" s="1"/>
  <c r="AK420" i="1"/>
  <c r="AN420" i="1" s="1"/>
  <c r="AO420" i="1" s="1"/>
  <c r="AK421" i="1"/>
  <c r="AK422" i="1"/>
  <c r="AK423" i="1"/>
  <c r="AK424" i="1"/>
  <c r="AK425" i="1"/>
  <c r="AN425" i="1" s="1"/>
  <c r="AK426" i="1"/>
  <c r="AK427" i="1"/>
  <c r="AK428" i="1"/>
  <c r="AK429" i="1"/>
  <c r="AK430" i="1"/>
  <c r="AN430" i="1" s="1"/>
  <c r="AO430" i="1" s="1"/>
  <c r="AK431" i="1"/>
  <c r="AK432" i="1"/>
  <c r="AK433" i="1"/>
  <c r="AK434" i="1"/>
  <c r="AK435" i="1"/>
  <c r="AN435" i="1" s="1"/>
  <c r="AK436" i="1"/>
  <c r="AK437" i="1"/>
  <c r="AN437" i="1" s="1"/>
  <c r="AK438" i="1"/>
  <c r="AK439" i="1"/>
  <c r="AK440" i="1"/>
  <c r="AK441" i="1"/>
  <c r="AK442" i="1"/>
  <c r="AK443" i="1"/>
  <c r="AK444" i="1"/>
  <c r="AK445" i="1"/>
  <c r="AK446" i="1"/>
  <c r="AN446" i="1" s="1"/>
  <c r="AK447" i="1"/>
  <c r="AN447" i="1" s="1"/>
  <c r="AO447" i="1" s="1"/>
  <c r="AK448" i="1"/>
  <c r="AK449" i="1"/>
  <c r="AK450" i="1"/>
  <c r="AK451" i="1"/>
  <c r="AK452" i="1"/>
  <c r="AK453" i="1"/>
  <c r="AK454" i="1"/>
  <c r="AN454" i="1" s="1"/>
  <c r="AK455" i="1"/>
  <c r="AK456" i="1"/>
  <c r="AK457" i="1"/>
  <c r="AK458" i="1"/>
  <c r="AK459" i="1"/>
  <c r="AK460" i="1"/>
  <c r="AN460" i="1" s="1"/>
  <c r="AO460" i="1" s="1"/>
  <c r="AK461" i="1"/>
  <c r="AK462" i="1"/>
  <c r="AN462" i="1" s="1"/>
  <c r="AO462" i="1" s="1"/>
  <c r="AK463" i="1"/>
  <c r="AK464" i="1"/>
  <c r="AN464" i="1" s="1"/>
  <c r="AK465" i="1"/>
  <c r="AN465" i="1" s="1"/>
  <c r="AO465" i="1" s="1"/>
  <c r="AK466" i="1"/>
  <c r="AN466" i="1" s="1"/>
  <c r="AK468" i="1"/>
  <c r="AN468" i="1" s="1"/>
  <c r="AK469" i="1"/>
  <c r="AK470" i="1"/>
  <c r="AK471" i="1"/>
  <c r="AN471" i="1" s="1"/>
  <c r="AK472" i="1"/>
  <c r="AK473" i="1"/>
  <c r="AK474" i="1"/>
  <c r="AN474" i="1" s="1"/>
  <c r="AK475" i="1"/>
  <c r="AK476" i="1"/>
  <c r="AK477" i="1"/>
  <c r="AK478" i="1"/>
  <c r="AN478" i="1" s="1"/>
  <c r="AO478" i="1" s="1"/>
  <c r="AK479" i="1"/>
  <c r="AK480" i="1"/>
  <c r="AK481" i="1"/>
  <c r="AK482" i="1"/>
  <c r="AN482" i="1" s="1"/>
  <c r="AK483" i="1"/>
  <c r="AK484" i="1"/>
  <c r="AN484" i="1" s="1"/>
  <c r="AO484" i="1" s="1"/>
  <c r="AK485" i="1"/>
  <c r="AK486" i="1"/>
  <c r="AN486" i="1" s="1"/>
  <c r="AO486" i="1" s="1"/>
  <c r="AK487" i="1"/>
  <c r="AK488" i="1"/>
  <c r="AN488" i="1" s="1"/>
  <c r="AO488" i="1" s="1"/>
  <c r="AK489" i="1"/>
  <c r="AN489" i="1" s="1"/>
  <c r="AK490" i="1"/>
  <c r="AN490" i="1" s="1"/>
  <c r="AO490" i="1" s="1"/>
  <c r="AK491" i="1"/>
  <c r="AK492" i="1"/>
  <c r="AK493" i="1"/>
  <c r="AN493" i="1" s="1"/>
  <c r="AO493" i="1" s="1"/>
  <c r="AK494" i="1"/>
  <c r="AN494" i="1" s="1"/>
  <c r="AK495" i="1"/>
  <c r="AN495" i="1" s="1"/>
  <c r="AO495" i="1" s="1"/>
  <c r="AK496" i="1"/>
  <c r="AN496" i="1" s="1"/>
  <c r="AK497" i="1"/>
  <c r="AN497" i="1" s="1"/>
  <c r="AO497" i="1" s="1"/>
  <c r="AK498" i="1"/>
  <c r="AN498" i="1" s="1"/>
  <c r="AK499" i="1"/>
  <c r="AK500" i="1"/>
  <c r="AN500" i="1" s="1"/>
  <c r="AK501" i="1"/>
  <c r="AK502" i="1"/>
  <c r="AN502" i="1" s="1"/>
  <c r="AO502" i="1" s="1"/>
  <c r="AK503" i="1"/>
  <c r="AN503" i="1" s="1"/>
  <c r="AK504" i="1"/>
  <c r="AN504" i="1" s="1"/>
  <c r="AO504" i="1" s="1"/>
  <c r="AK505" i="1"/>
  <c r="AN505" i="1" s="1"/>
  <c r="AK506" i="1"/>
  <c r="AK507" i="1"/>
  <c r="AN507" i="1" s="1"/>
  <c r="AK508" i="1"/>
  <c r="AK510" i="1"/>
  <c r="AN510" i="1" s="1"/>
  <c r="AO510" i="1" s="1"/>
  <c r="AK511" i="1"/>
  <c r="AK512" i="1"/>
  <c r="AK513" i="1"/>
  <c r="AK514" i="1"/>
  <c r="AN514" i="1" s="1"/>
  <c r="AK515" i="1"/>
  <c r="AK516" i="1"/>
  <c r="AK517" i="1"/>
  <c r="AK518" i="1"/>
  <c r="AN518" i="1" s="1"/>
  <c r="AK519" i="1"/>
  <c r="AK520" i="1"/>
  <c r="AK521" i="1"/>
  <c r="AN521" i="1" s="1"/>
  <c r="AK522" i="1"/>
  <c r="AK523" i="1"/>
  <c r="AN523" i="1" s="1"/>
  <c r="AK524" i="1"/>
  <c r="AK525" i="1"/>
  <c r="AN525" i="1" s="1"/>
  <c r="AK526" i="1"/>
  <c r="AK527" i="1"/>
  <c r="AK528" i="1"/>
  <c r="AK529" i="1"/>
  <c r="AK530" i="1"/>
  <c r="AN530" i="1" s="1"/>
  <c r="AO530" i="1" s="1"/>
  <c r="AK531" i="1"/>
  <c r="AK532" i="1"/>
  <c r="AK533" i="1"/>
  <c r="AN533" i="1" s="1"/>
  <c r="AO533" i="1" s="1"/>
  <c r="AK534" i="1"/>
  <c r="AK535" i="1"/>
  <c r="AK536" i="1"/>
  <c r="AN536" i="1" s="1"/>
  <c r="AO536" i="1" s="1"/>
  <c r="AK537" i="1"/>
  <c r="AK538" i="1"/>
  <c r="AN538" i="1" s="1"/>
  <c r="AO538" i="1" s="1"/>
  <c r="AK539" i="1"/>
  <c r="AK540" i="1"/>
  <c r="AN540" i="1" s="1"/>
  <c r="AO540" i="1" s="1"/>
  <c r="AK541" i="1"/>
  <c r="AK542" i="1"/>
  <c r="AK543" i="1"/>
  <c r="AK544" i="1"/>
  <c r="AK545" i="1"/>
  <c r="AK546" i="1"/>
  <c r="AK547" i="1"/>
  <c r="AN547" i="1" s="1"/>
  <c r="AO547" i="1" s="1"/>
  <c r="AK548" i="1"/>
  <c r="AK549" i="1"/>
  <c r="AK550" i="1"/>
  <c r="AK551" i="1"/>
  <c r="AN551" i="1" s="1"/>
  <c r="AO551" i="1" s="1"/>
  <c r="AK552" i="1"/>
  <c r="AN552" i="1" s="1"/>
  <c r="AO552" i="1" s="1"/>
  <c r="AK553" i="1"/>
  <c r="AN553" i="1" s="1"/>
  <c r="AO553" i="1" s="1"/>
  <c r="AK554" i="1"/>
  <c r="AK555" i="1"/>
  <c r="AN555" i="1" s="1"/>
  <c r="AO555" i="1" s="1"/>
  <c r="AK556" i="1"/>
  <c r="AK557" i="1"/>
  <c r="AN557" i="1" s="1"/>
  <c r="AO557" i="1" s="1"/>
  <c r="AK558" i="1"/>
  <c r="AK559" i="1"/>
  <c r="AK560" i="1"/>
  <c r="AK561" i="1"/>
  <c r="AK562" i="1"/>
  <c r="AN562" i="1" s="1"/>
  <c r="AO562" i="1" s="1"/>
  <c r="AK563" i="1"/>
  <c r="AK564" i="1"/>
  <c r="AN564" i="1" s="1"/>
  <c r="AO564" i="1" s="1"/>
  <c r="AK565" i="1"/>
  <c r="AK566" i="1"/>
  <c r="AK567" i="1"/>
  <c r="AK568" i="1"/>
  <c r="AK569" i="1"/>
  <c r="AK570" i="1"/>
  <c r="AK571" i="1"/>
  <c r="AK572" i="1"/>
  <c r="AK573" i="1"/>
  <c r="AK574" i="1"/>
  <c r="AK575" i="1"/>
  <c r="AN575" i="1" s="1"/>
  <c r="AO575" i="1" s="1"/>
  <c r="AK576" i="1"/>
  <c r="AK577" i="1"/>
  <c r="AK578" i="1"/>
  <c r="AK579" i="1"/>
  <c r="AK580" i="1"/>
  <c r="AK581" i="1"/>
  <c r="AN581" i="1" s="1"/>
  <c r="AO581" i="1" s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N593" i="1" s="1"/>
  <c r="AO593" i="1" s="1"/>
  <c r="AK594" i="1"/>
  <c r="AK595" i="1"/>
  <c r="AK596" i="1"/>
  <c r="AN596" i="1" s="1"/>
  <c r="AO596" i="1" s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705" i="1"/>
  <c r="AK706" i="1"/>
  <c r="AK707" i="1"/>
  <c r="AK708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9" i="1"/>
  <c r="AK710" i="1"/>
  <c r="AK711" i="1"/>
  <c r="AK712" i="1"/>
  <c r="AK713" i="1"/>
  <c r="AK714" i="1"/>
  <c r="AK715" i="1"/>
  <c r="AK716" i="1"/>
  <c r="AK717" i="1"/>
  <c r="AL716" i="1" l="1"/>
  <c r="AM716" i="1"/>
  <c r="AL712" i="1"/>
  <c r="AM712" i="1"/>
  <c r="AL704" i="1"/>
  <c r="AM704" i="1"/>
  <c r="AL702" i="1"/>
  <c r="AM702" i="1"/>
  <c r="AL698" i="1"/>
  <c r="AM698" i="1"/>
  <c r="AL694" i="1"/>
  <c r="AM694" i="1"/>
  <c r="AL690" i="1"/>
  <c r="AM690" i="1"/>
  <c r="AL686" i="1"/>
  <c r="AM686" i="1"/>
  <c r="AL684" i="1"/>
  <c r="AM684" i="1"/>
  <c r="AL680" i="1"/>
  <c r="AM680" i="1"/>
  <c r="AL707" i="1"/>
  <c r="AM707" i="1"/>
  <c r="AL705" i="1"/>
  <c r="AM705" i="1"/>
  <c r="AL678" i="1"/>
  <c r="AM678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6" i="1"/>
  <c r="AM636" i="1"/>
  <c r="AL634" i="1"/>
  <c r="AM634" i="1"/>
  <c r="AL632" i="1"/>
  <c r="AM632" i="1"/>
  <c r="AL628" i="1"/>
  <c r="AM628" i="1"/>
  <c r="AL626" i="1"/>
  <c r="AM626" i="1"/>
  <c r="AL622" i="1"/>
  <c r="AM622" i="1"/>
  <c r="AL618" i="1"/>
  <c r="AM618" i="1"/>
  <c r="AL614" i="1"/>
  <c r="AM614" i="1"/>
  <c r="AL612" i="1"/>
  <c r="AM612" i="1"/>
  <c r="AL608" i="1"/>
  <c r="AM608" i="1"/>
  <c r="AL604" i="1"/>
  <c r="AM604" i="1"/>
  <c r="AL600" i="1"/>
  <c r="AM600" i="1"/>
  <c r="AL554" i="1"/>
  <c r="AM554" i="1"/>
  <c r="AL717" i="1"/>
  <c r="AM717" i="1"/>
  <c r="AL715" i="1"/>
  <c r="AM715" i="1"/>
  <c r="AL713" i="1"/>
  <c r="AM713" i="1"/>
  <c r="AL711" i="1"/>
  <c r="AM711" i="1"/>
  <c r="AL709" i="1"/>
  <c r="AM709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685" i="1"/>
  <c r="AM685" i="1"/>
  <c r="AL683" i="1"/>
  <c r="AM683" i="1"/>
  <c r="AL681" i="1"/>
  <c r="AM681" i="1"/>
  <c r="AL708" i="1"/>
  <c r="AM708" i="1"/>
  <c r="AL706" i="1"/>
  <c r="AM706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7" i="1"/>
  <c r="AM627" i="1"/>
  <c r="AL625" i="1"/>
  <c r="AM625" i="1"/>
  <c r="AL623" i="1"/>
  <c r="AM623" i="1"/>
  <c r="AL621" i="1"/>
  <c r="AM621" i="1"/>
  <c r="AL619" i="1"/>
  <c r="AM619" i="1"/>
  <c r="AL617" i="1"/>
  <c r="AM617" i="1"/>
  <c r="AL615" i="1"/>
  <c r="AM615" i="1"/>
  <c r="AL613" i="1"/>
  <c r="AM613" i="1"/>
  <c r="AL611" i="1"/>
  <c r="AM611" i="1"/>
  <c r="AL609" i="1"/>
  <c r="AM609" i="1"/>
  <c r="AL607" i="1"/>
  <c r="AM607" i="1"/>
  <c r="AL605" i="1"/>
  <c r="AM605" i="1"/>
  <c r="AL603" i="1"/>
  <c r="AM603" i="1"/>
  <c r="AL601" i="1"/>
  <c r="AM601" i="1"/>
  <c r="AL599" i="1"/>
  <c r="AM599" i="1"/>
  <c r="AL595" i="1"/>
  <c r="AM595" i="1"/>
  <c r="AL563" i="1"/>
  <c r="AM563" i="1"/>
  <c r="AL561" i="1"/>
  <c r="AM561" i="1"/>
  <c r="AL539" i="1"/>
  <c r="AM539" i="1"/>
  <c r="AL537" i="1"/>
  <c r="AM537" i="1"/>
  <c r="AL535" i="1"/>
  <c r="AM535" i="1"/>
  <c r="AL529" i="1"/>
  <c r="AM529" i="1"/>
  <c r="AL714" i="1"/>
  <c r="AM714" i="1"/>
  <c r="AL710" i="1"/>
  <c r="AM710" i="1"/>
  <c r="AL700" i="1"/>
  <c r="AM700" i="1"/>
  <c r="AL696" i="1"/>
  <c r="AM696" i="1"/>
  <c r="AL692" i="1"/>
  <c r="AM692" i="1"/>
  <c r="AL688" i="1"/>
  <c r="AM688" i="1"/>
  <c r="AL682" i="1"/>
  <c r="AM682" i="1"/>
  <c r="AL676" i="1"/>
  <c r="AM676" i="1"/>
  <c r="AL630" i="1"/>
  <c r="AM630" i="1"/>
  <c r="AL624" i="1"/>
  <c r="AM624" i="1"/>
  <c r="AL620" i="1"/>
  <c r="AM620" i="1"/>
  <c r="AL616" i="1"/>
  <c r="AM616" i="1"/>
  <c r="AL610" i="1"/>
  <c r="AM610" i="1"/>
  <c r="AL606" i="1"/>
  <c r="AM606" i="1"/>
  <c r="AL602" i="1"/>
  <c r="AM602" i="1"/>
  <c r="AL598" i="1"/>
  <c r="AM598" i="1"/>
  <c r="AL592" i="1"/>
  <c r="AM592" i="1"/>
  <c r="AL580" i="1"/>
  <c r="AM580" i="1"/>
  <c r="AL574" i="1"/>
  <c r="AM574" i="1"/>
  <c r="AL556" i="1"/>
  <c r="AM556" i="1"/>
  <c r="AL552" i="1"/>
  <c r="AM552" i="1"/>
  <c r="AL550" i="1"/>
  <c r="AM550" i="1"/>
  <c r="AL546" i="1"/>
  <c r="AM546" i="1"/>
  <c r="AL532" i="1"/>
  <c r="AM532" i="1"/>
  <c r="AL524" i="1"/>
  <c r="AM524" i="1"/>
  <c r="AL397" i="1"/>
  <c r="AM397" i="1"/>
  <c r="AP687" i="1"/>
  <c r="AP708" i="1"/>
  <c r="AP679" i="1"/>
  <c r="AP677" i="1"/>
  <c r="AP663" i="1"/>
  <c r="AP657" i="1"/>
  <c r="AP649" i="1"/>
  <c r="AP643" i="1"/>
  <c r="AP613" i="1"/>
  <c r="AP607" i="1"/>
  <c r="AP573" i="1"/>
  <c r="AP571" i="1"/>
  <c r="AP565" i="1"/>
  <c r="AP561" i="1"/>
  <c r="AP557" i="1"/>
  <c r="AP551" i="1"/>
  <c r="AP539" i="1"/>
  <c r="AP527" i="1"/>
  <c r="AP513" i="1"/>
  <c r="AP506" i="1"/>
  <c r="AP712" i="1"/>
  <c r="AP704" i="1"/>
  <c r="AP702" i="1"/>
  <c r="AP694" i="1"/>
  <c r="AP690" i="1"/>
  <c r="AP682" i="1"/>
  <c r="AP674" i="1"/>
  <c r="AP672" i="1"/>
  <c r="AP670" i="1"/>
  <c r="AP632" i="1"/>
  <c r="AP620" i="1"/>
  <c r="AP598" i="1"/>
  <c r="AP596" i="1"/>
  <c r="AP592" i="1"/>
  <c r="AP590" i="1"/>
  <c r="AP588" i="1"/>
  <c r="AP584" i="1"/>
  <c r="AP582" i="1"/>
  <c r="AP580" i="1"/>
  <c r="AP576" i="1"/>
  <c r="AP568" i="1"/>
  <c r="AP530" i="1"/>
  <c r="AP522" i="1"/>
  <c r="AP499" i="1"/>
  <c r="AP497" i="1"/>
  <c r="AP495" i="1"/>
  <c r="AP493" i="1"/>
  <c r="AP481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717" i="1"/>
  <c r="W717" i="1" s="1"/>
  <c r="C717" i="1"/>
  <c r="AE716" i="1"/>
  <c r="W716" i="1" s="1"/>
  <c r="C716" i="1"/>
  <c r="AE715" i="1"/>
  <c r="W715" i="1" s="1"/>
  <c r="C715" i="1"/>
  <c r="AE714" i="1"/>
  <c r="W714" i="1" s="1"/>
  <c r="C714" i="1"/>
  <c r="AE713" i="1"/>
  <c r="W713" i="1" s="1"/>
  <c r="AG712" i="1"/>
  <c r="AJ712" i="1" s="1"/>
  <c r="AE712" i="1"/>
  <c r="W712" i="1" s="1"/>
  <c r="AD712" i="1"/>
  <c r="D712" i="1"/>
  <c r="C712" i="1"/>
  <c r="AE711" i="1"/>
  <c r="W711" i="1" s="1"/>
  <c r="C711" i="1"/>
  <c r="AE710" i="1"/>
  <c r="W710" i="1" s="1"/>
  <c r="C710" i="1"/>
  <c r="AE709" i="1"/>
  <c r="W709" i="1" s="1"/>
  <c r="AG704" i="1"/>
  <c r="AJ704" i="1" s="1"/>
  <c r="AE704" i="1"/>
  <c r="W704" i="1" s="1"/>
  <c r="AD704" i="1"/>
  <c r="D704" i="1"/>
  <c r="C704" i="1"/>
  <c r="AE703" i="1"/>
  <c r="W703" i="1" s="1"/>
  <c r="AG702" i="1"/>
  <c r="AJ702" i="1" s="1"/>
  <c r="AE702" i="1"/>
  <c r="W702" i="1" s="1"/>
  <c r="AD702" i="1"/>
  <c r="D702" i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C697" i="1"/>
  <c r="AE696" i="1"/>
  <c r="W696" i="1" s="1"/>
  <c r="C696" i="1"/>
  <c r="AE695" i="1"/>
  <c r="W695" i="1" s="1"/>
  <c r="AG694" i="1"/>
  <c r="AJ694" i="1" s="1"/>
  <c r="AE694" i="1"/>
  <c r="W694" i="1" s="1"/>
  <c r="AD694" i="1"/>
  <c r="D694" i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AG687" i="1"/>
  <c r="AJ687" i="1" s="1"/>
  <c r="AE687" i="1"/>
  <c r="W687" i="1" s="1"/>
  <c r="AD687" i="1"/>
  <c r="D687" i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AG708" i="1"/>
  <c r="AJ708" i="1" s="1"/>
  <c r="AE708" i="1"/>
  <c r="W708" i="1" s="1"/>
  <c r="AD708" i="1"/>
  <c r="D708" i="1"/>
  <c r="C708" i="1"/>
  <c r="AE707" i="1"/>
  <c r="W707" i="1" s="1"/>
  <c r="C707" i="1"/>
  <c r="AE706" i="1"/>
  <c r="W706" i="1" s="1"/>
  <c r="C706" i="1"/>
  <c r="AE705" i="1"/>
  <c r="W705" i="1" s="1"/>
  <c r="AG679" i="1"/>
  <c r="AJ679" i="1" s="1"/>
  <c r="AE679" i="1"/>
  <c r="W679" i="1" s="1"/>
  <c r="AD679" i="1"/>
  <c r="D679" i="1"/>
  <c r="C679" i="1"/>
  <c r="AE678" i="1"/>
  <c r="W678" i="1" s="1"/>
  <c r="AG677" i="1"/>
  <c r="AJ677" i="1" s="1"/>
  <c r="AE677" i="1"/>
  <c r="W677" i="1" s="1"/>
  <c r="AD677" i="1"/>
  <c r="D677" i="1"/>
  <c r="C677" i="1"/>
  <c r="AE676" i="1"/>
  <c r="W676" i="1" s="1"/>
  <c r="C676" i="1"/>
  <c r="AE675" i="1"/>
  <c r="W675" i="1" s="1"/>
  <c r="AG674" i="1"/>
  <c r="AJ674" i="1" s="1"/>
  <c r="AE674" i="1"/>
  <c r="W674" i="1" s="1"/>
  <c r="AD674" i="1"/>
  <c r="D674" i="1"/>
  <c r="C674" i="1"/>
  <c r="AE673" i="1"/>
  <c r="W673" i="1" s="1"/>
  <c r="AG672" i="1"/>
  <c r="AJ672" i="1" s="1"/>
  <c r="AE672" i="1"/>
  <c r="W672" i="1" s="1"/>
  <c r="AD672" i="1"/>
  <c r="D672" i="1"/>
  <c r="C672" i="1"/>
  <c r="AE671" i="1"/>
  <c r="W671" i="1" s="1"/>
  <c r="AG670" i="1"/>
  <c r="AJ670" i="1" s="1"/>
  <c r="AE670" i="1"/>
  <c r="W670" i="1" s="1"/>
  <c r="AD670" i="1"/>
  <c r="D670" i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C666" i="1"/>
  <c r="AE665" i="1"/>
  <c r="W665" i="1" s="1"/>
  <c r="C665" i="1"/>
  <c r="AE664" i="1"/>
  <c r="W664" i="1" s="1"/>
  <c r="AG663" i="1"/>
  <c r="AJ663" i="1" s="1"/>
  <c r="AE663" i="1"/>
  <c r="W663" i="1" s="1"/>
  <c r="AD663" i="1"/>
  <c r="D663" i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AG657" i="1"/>
  <c r="AJ657" i="1" s="1"/>
  <c r="AE657" i="1"/>
  <c r="W657" i="1" s="1"/>
  <c r="AD657" i="1"/>
  <c r="D657" i="1"/>
  <c r="C657" i="1"/>
  <c r="AE656" i="1"/>
  <c r="W656" i="1" s="1"/>
  <c r="C656" i="1"/>
  <c r="AE655" i="1"/>
  <c r="W655" i="1" s="1"/>
  <c r="C655" i="1"/>
  <c r="AE654" i="1"/>
  <c r="W654" i="1" s="1"/>
  <c r="AD654" i="1"/>
  <c r="C654" i="1"/>
  <c r="AE653" i="1"/>
  <c r="W653" i="1" s="1"/>
  <c r="C653" i="1"/>
  <c r="AE652" i="1"/>
  <c r="W652" i="1" s="1"/>
  <c r="C652" i="1"/>
  <c r="AE651" i="1"/>
  <c r="W651" i="1" s="1"/>
  <c r="C651" i="1"/>
  <c r="AE650" i="1"/>
  <c r="W650" i="1" s="1"/>
  <c r="AG649" i="1"/>
  <c r="AJ649" i="1" s="1"/>
  <c r="AE649" i="1"/>
  <c r="W649" i="1" s="1"/>
  <c r="AD649" i="1"/>
  <c r="D649" i="1"/>
  <c r="C649" i="1"/>
  <c r="AE648" i="1"/>
  <c r="W648" i="1" s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AG643" i="1"/>
  <c r="AJ643" i="1" s="1"/>
  <c r="AE643" i="1"/>
  <c r="W643" i="1" s="1"/>
  <c r="AD643" i="1"/>
  <c r="D643" i="1"/>
  <c r="C643" i="1"/>
  <c r="AE642" i="1"/>
  <c r="W642" i="1" s="1"/>
  <c r="C642" i="1"/>
  <c r="AE641" i="1"/>
  <c r="W641" i="1" s="1"/>
  <c r="C641" i="1"/>
  <c r="AE640" i="1"/>
  <c r="W640" i="1" s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C635" i="1"/>
  <c r="AE634" i="1"/>
  <c r="W634" i="1" s="1"/>
  <c r="C634" i="1"/>
  <c r="AE633" i="1"/>
  <c r="W633" i="1" s="1"/>
  <c r="AD633" i="1"/>
  <c r="AG632" i="1"/>
  <c r="AJ632" i="1" s="1"/>
  <c r="AE632" i="1"/>
  <c r="W632" i="1" s="1"/>
  <c r="AD632" i="1"/>
  <c r="D632" i="1"/>
  <c r="C632" i="1"/>
  <c r="AE631" i="1"/>
  <c r="W631" i="1" s="1"/>
  <c r="C631" i="1"/>
  <c r="AE630" i="1"/>
  <c r="W630" i="1" s="1"/>
  <c r="C630" i="1"/>
  <c r="AE629" i="1"/>
  <c r="W629" i="1" s="1"/>
  <c r="C629" i="1"/>
  <c r="AE628" i="1"/>
  <c r="W628" i="1" s="1"/>
  <c r="C628" i="1"/>
  <c r="AE627" i="1"/>
  <c r="W627" i="1" s="1"/>
  <c r="C627" i="1"/>
  <c r="AE626" i="1"/>
  <c r="W626" i="1" s="1"/>
  <c r="C626" i="1"/>
  <c r="AE625" i="1"/>
  <c r="W625" i="1" s="1"/>
  <c r="C625" i="1"/>
  <c r="AE624" i="1"/>
  <c r="W624" i="1" s="1"/>
  <c r="C624" i="1"/>
  <c r="AE623" i="1"/>
  <c r="W623" i="1" s="1"/>
  <c r="C623" i="1"/>
  <c r="AE622" i="1"/>
  <c r="W622" i="1" s="1"/>
  <c r="C622" i="1"/>
  <c r="AE621" i="1"/>
  <c r="W621" i="1" s="1"/>
  <c r="AG620" i="1"/>
  <c r="AJ620" i="1" s="1"/>
  <c r="AE620" i="1"/>
  <c r="W620" i="1" s="1"/>
  <c r="AD620" i="1"/>
  <c r="D620" i="1"/>
  <c r="C620" i="1"/>
  <c r="AE619" i="1"/>
  <c r="W619" i="1" s="1"/>
  <c r="C619" i="1"/>
  <c r="AE618" i="1"/>
  <c r="W618" i="1" s="1"/>
  <c r="C618" i="1"/>
  <c r="AE617" i="1"/>
  <c r="W617" i="1" s="1"/>
  <c r="C617" i="1"/>
  <c r="AE616" i="1"/>
  <c r="C616" i="1"/>
  <c r="AE615" i="1"/>
  <c r="W615" i="1" s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C610" i="1"/>
  <c r="AE609" i="1"/>
  <c r="W609" i="1" s="1"/>
  <c r="C609" i="1"/>
  <c r="AE608" i="1"/>
  <c r="AG607" i="1"/>
  <c r="AJ607" i="1" s="1"/>
  <c r="AE607" i="1"/>
  <c r="W607" i="1" s="1"/>
  <c r="AD607" i="1"/>
  <c r="D607" i="1"/>
  <c r="C607" i="1"/>
  <c r="AE606" i="1"/>
  <c r="W606" i="1" s="1"/>
  <c r="C606" i="1"/>
  <c r="AE605" i="1"/>
  <c r="W605" i="1" s="1"/>
  <c r="C605" i="1"/>
  <c r="AE604" i="1"/>
  <c r="W604" i="1" s="1"/>
  <c r="C604" i="1"/>
  <c r="AE603" i="1"/>
  <c r="W603" i="1" s="1"/>
  <c r="C603" i="1"/>
  <c r="AE602" i="1"/>
  <c r="C602" i="1"/>
  <c r="AE601" i="1"/>
  <c r="W601" i="1" s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6" i="1"/>
  <c r="W596" i="1" s="1"/>
  <c r="AD596" i="1"/>
  <c r="AE595" i="1"/>
  <c r="W595" i="1" s="1"/>
  <c r="C595" i="1"/>
  <c r="AE594" i="1"/>
  <c r="W594" i="1" s="1"/>
  <c r="C594" i="1"/>
  <c r="AE593" i="1"/>
  <c r="W593" i="1" s="1"/>
  <c r="AG592" i="1"/>
  <c r="AJ592" i="1" s="1"/>
  <c r="AE592" i="1"/>
  <c r="W592" i="1" s="1"/>
  <c r="AD592" i="1"/>
  <c r="D592" i="1"/>
  <c r="C592" i="1"/>
  <c r="AE591" i="1"/>
  <c r="W591" i="1" s="1"/>
  <c r="AE590" i="1"/>
  <c r="W590" i="1" s="1"/>
  <c r="C590" i="1"/>
  <c r="AE589" i="1"/>
  <c r="W589" i="1" s="1"/>
  <c r="AE588" i="1"/>
  <c r="W588" i="1" s="1"/>
  <c r="C588" i="1"/>
  <c r="AE587" i="1"/>
  <c r="W587" i="1" s="1"/>
  <c r="C587" i="1"/>
  <c r="AE586" i="1"/>
  <c r="C586" i="1"/>
  <c r="AE585" i="1"/>
  <c r="W585" i="1" s="1"/>
  <c r="AE584" i="1"/>
  <c r="W584" i="1" s="1"/>
  <c r="AD584" i="1"/>
  <c r="C584" i="1"/>
  <c r="AE583" i="1"/>
  <c r="W583" i="1" s="1"/>
  <c r="AE582" i="1"/>
  <c r="W582" i="1" s="1"/>
  <c r="C582" i="1"/>
  <c r="AE581" i="1"/>
  <c r="W581" i="1" s="1"/>
  <c r="AG580" i="1"/>
  <c r="AJ580" i="1" s="1"/>
  <c r="AE580" i="1"/>
  <c r="W580" i="1" s="1"/>
  <c r="AD580" i="1"/>
  <c r="D580" i="1"/>
  <c r="C580" i="1"/>
  <c r="AE579" i="1"/>
  <c r="W579" i="1" s="1"/>
  <c r="C579" i="1"/>
  <c r="AE578" i="1"/>
  <c r="W578" i="1" s="1"/>
  <c r="C578" i="1"/>
  <c r="AE577" i="1"/>
  <c r="W577" i="1" s="1"/>
  <c r="AE576" i="1"/>
  <c r="W576" i="1" s="1"/>
  <c r="AD576" i="1"/>
  <c r="C576" i="1"/>
  <c r="AE575" i="1"/>
  <c r="W575" i="1" s="1"/>
  <c r="AE574" i="1"/>
  <c r="W574" i="1" s="1"/>
  <c r="AE573" i="1"/>
  <c r="W573" i="1" s="1"/>
  <c r="AD573" i="1"/>
  <c r="C573" i="1"/>
  <c r="AE572" i="1"/>
  <c r="W572" i="1" s="1"/>
  <c r="AE571" i="1"/>
  <c r="W571" i="1" s="1"/>
  <c r="C571" i="1"/>
  <c r="AE570" i="1"/>
  <c r="W570" i="1" s="1"/>
  <c r="C570" i="1"/>
  <c r="AE569" i="1"/>
  <c r="W569" i="1" s="1"/>
  <c r="AE568" i="1"/>
  <c r="W568" i="1" s="1"/>
  <c r="C568" i="1"/>
  <c r="AE567" i="1"/>
  <c r="W567" i="1" s="1"/>
  <c r="C567" i="1"/>
  <c r="AE566" i="1"/>
  <c r="W566" i="1" s="1"/>
  <c r="AE565" i="1"/>
  <c r="W565" i="1" s="1"/>
  <c r="AD565" i="1"/>
  <c r="C565" i="1"/>
  <c r="AE564" i="1"/>
  <c r="W564" i="1" s="1"/>
  <c r="AE563" i="1"/>
  <c r="W563" i="1" s="1"/>
  <c r="C563" i="1"/>
  <c r="AE562" i="1"/>
  <c r="W562" i="1" s="1"/>
  <c r="AG561" i="1"/>
  <c r="AJ561" i="1" s="1"/>
  <c r="AE561" i="1"/>
  <c r="W561" i="1" s="1"/>
  <c r="AD561" i="1"/>
  <c r="D561" i="1"/>
  <c r="C561" i="1"/>
  <c r="AE560" i="1"/>
  <c r="W560" i="1" s="1"/>
  <c r="C560" i="1"/>
  <c r="AE559" i="1"/>
  <c r="W559" i="1" s="1"/>
  <c r="C559" i="1"/>
  <c r="AE558" i="1"/>
  <c r="W558" i="1" s="1"/>
  <c r="AE557" i="1"/>
  <c r="W557" i="1" s="1"/>
  <c r="AD557" i="1"/>
  <c r="AE556" i="1"/>
  <c r="W556" i="1" s="1"/>
  <c r="C556" i="1"/>
  <c r="AE555" i="1"/>
  <c r="W555" i="1" s="1"/>
  <c r="AE554" i="1"/>
  <c r="W554" i="1" s="1"/>
  <c r="C554" i="1"/>
  <c r="AE553" i="1"/>
  <c r="W553" i="1" s="1"/>
  <c r="AE552" i="1"/>
  <c r="W552" i="1" s="1"/>
  <c r="AE551" i="1"/>
  <c r="W551" i="1" s="1"/>
  <c r="AE550" i="1"/>
  <c r="W550" i="1" s="1"/>
  <c r="C550" i="1"/>
  <c r="AE549" i="1"/>
  <c r="W549" i="1" s="1"/>
  <c r="C549" i="1"/>
  <c r="AE548" i="1"/>
  <c r="W548" i="1" s="1"/>
  <c r="C548" i="1"/>
  <c r="AE547" i="1"/>
  <c r="W547" i="1" s="1"/>
  <c r="AE546" i="1"/>
  <c r="W546" i="1" s="1"/>
  <c r="C546" i="1"/>
  <c r="AE545" i="1"/>
  <c r="W545" i="1" s="1"/>
  <c r="C545" i="1"/>
  <c r="AE544" i="1"/>
  <c r="W544" i="1" s="1"/>
  <c r="C544" i="1"/>
  <c r="AE543" i="1"/>
  <c r="W543" i="1" s="1"/>
  <c r="C543" i="1"/>
  <c r="AE542" i="1"/>
  <c r="W542" i="1" s="1"/>
  <c r="C542" i="1"/>
  <c r="AE541" i="1"/>
  <c r="W541" i="1" s="1"/>
  <c r="C541" i="1"/>
  <c r="AE540" i="1"/>
  <c r="W540" i="1" s="1"/>
  <c r="AG539" i="1"/>
  <c r="AJ539" i="1" s="1"/>
  <c r="AE539" i="1"/>
  <c r="W539" i="1" s="1"/>
  <c r="AD539" i="1"/>
  <c r="D539" i="1"/>
  <c r="C539" i="1"/>
  <c r="AE538" i="1"/>
  <c r="W538" i="1" s="1"/>
  <c r="AE537" i="1"/>
  <c r="W537" i="1" s="1"/>
  <c r="C537" i="1"/>
  <c r="AE536" i="1"/>
  <c r="W536" i="1" s="1"/>
  <c r="AE535" i="1"/>
  <c r="W535" i="1" s="1"/>
  <c r="AE534" i="1"/>
  <c r="W534" i="1" s="1"/>
  <c r="C534" i="1"/>
  <c r="AE533" i="1"/>
  <c r="W533" i="1" s="1"/>
  <c r="AE532" i="1"/>
  <c r="W532" i="1" s="1"/>
  <c r="C532" i="1"/>
  <c r="AE531" i="1"/>
  <c r="W531" i="1" s="1"/>
  <c r="AE530" i="1"/>
  <c r="W530" i="1" s="1"/>
  <c r="AE529" i="1"/>
  <c r="W529" i="1" s="1"/>
  <c r="C529" i="1"/>
  <c r="AE528" i="1"/>
  <c r="W528" i="1" s="1"/>
  <c r="AE527" i="1"/>
  <c r="W527" i="1" s="1"/>
  <c r="C527" i="1"/>
  <c r="AE526" i="1"/>
  <c r="W526" i="1" s="1"/>
  <c r="C526" i="1"/>
  <c r="AE525" i="1"/>
  <c r="AE524" i="1"/>
  <c r="W524" i="1" s="1"/>
  <c r="C524" i="1"/>
  <c r="AE523" i="1"/>
  <c r="W523" i="1" s="1"/>
  <c r="AE522" i="1"/>
  <c r="W522" i="1" s="1"/>
  <c r="AE521" i="1"/>
  <c r="W521" i="1" s="1"/>
  <c r="AE520" i="1"/>
  <c r="W520" i="1" s="1"/>
  <c r="C520" i="1"/>
  <c r="AE519" i="1"/>
  <c r="AE518" i="1"/>
  <c r="W518" i="1" s="1"/>
  <c r="AE517" i="1"/>
  <c r="AE516" i="1"/>
  <c r="W516" i="1" s="1"/>
  <c r="AE515" i="1"/>
  <c r="C515" i="1"/>
  <c r="AE514" i="1"/>
  <c r="W514" i="1" s="1"/>
  <c r="AE513" i="1"/>
  <c r="AE512" i="1"/>
  <c r="W512" i="1" s="1"/>
  <c r="AE511" i="1"/>
  <c r="W511" i="1" s="1"/>
  <c r="C511" i="1"/>
  <c r="AE510" i="1"/>
  <c r="W510" i="1" s="1"/>
  <c r="AE508" i="1"/>
  <c r="C508" i="1"/>
  <c r="AE507" i="1"/>
  <c r="W507" i="1" s="1"/>
  <c r="AE506" i="1"/>
  <c r="W506" i="1" s="1"/>
  <c r="AD506" i="1"/>
  <c r="AE505" i="1"/>
  <c r="W505" i="1" s="1"/>
  <c r="AE504" i="1"/>
  <c r="AE503" i="1"/>
  <c r="W503" i="1" s="1"/>
  <c r="AE502" i="1"/>
  <c r="AE501" i="1"/>
  <c r="W501" i="1" s="1"/>
  <c r="C501" i="1"/>
  <c r="AE500" i="1"/>
  <c r="AE499" i="1"/>
  <c r="W499" i="1" s="1"/>
  <c r="AE498" i="1"/>
  <c r="W498" i="1" s="1"/>
  <c r="AE497" i="1"/>
  <c r="W497" i="1" s="1"/>
  <c r="AE496" i="1"/>
  <c r="W496" i="1" s="1"/>
  <c r="AE495" i="1"/>
  <c r="AD495" i="1" s="1"/>
  <c r="AE494" i="1"/>
  <c r="W494" i="1" s="1"/>
  <c r="AE493" i="1"/>
  <c r="AD493" i="1" s="1"/>
  <c r="AE492" i="1"/>
  <c r="W492" i="1" s="1"/>
  <c r="AE491" i="1"/>
  <c r="AE490" i="1"/>
  <c r="W490" i="1" s="1"/>
  <c r="AE489" i="1"/>
  <c r="AE488" i="1"/>
  <c r="W488" i="1" s="1"/>
  <c r="AE487" i="1"/>
  <c r="W487" i="1" s="1"/>
  <c r="C487" i="1"/>
  <c r="AE486" i="1"/>
  <c r="W486" i="1" s="1"/>
  <c r="AE485" i="1"/>
  <c r="AE484" i="1"/>
  <c r="W484" i="1" s="1"/>
  <c r="AE483" i="1"/>
  <c r="AE482" i="1"/>
  <c r="W482" i="1" s="1"/>
  <c r="AE481" i="1"/>
  <c r="AE480" i="1"/>
  <c r="W480" i="1" s="1"/>
  <c r="C480" i="1"/>
  <c r="AE479" i="1"/>
  <c r="C479" i="1"/>
  <c r="AE478" i="1"/>
  <c r="W478" i="1" s="1"/>
  <c r="AE477" i="1"/>
  <c r="AE476" i="1"/>
  <c r="W476" i="1" s="1"/>
  <c r="C476" i="1"/>
  <c r="AE475" i="1"/>
  <c r="AE474" i="1"/>
  <c r="W474" i="1" s="1"/>
  <c r="AE473" i="1"/>
  <c r="AE472" i="1"/>
  <c r="W472" i="1" s="1"/>
  <c r="C472" i="1"/>
  <c r="AE471" i="1"/>
  <c r="AE470" i="1"/>
  <c r="W470" i="1" s="1"/>
  <c r="C470" i="1"/>
  <c r="AE469" i="1"/>
  <c r="AE468" i="1"/>
  <c r="W468" i="1" s="1"/>
  <c r="AE466" i="1"/>
  <c r="AE465" i="1"/>
  <c r="W465" i="1" s="1"/>
  <c r="AE464" i="1"/>
  <c r="W464" i="1" s="1"/>
  <c r="AE463" i="1"/>
  <c r="W463" i="1" s="1"/>
  <c r="AE462" i="1"/>
  <c r="W462" i="1" s="1"/>
  <c r="AE461" i="1"/>
  <c r="W461" i="1" s="1"/>
  <c r="C461" i="1"/>
  <c r="AE460" i="1"/>
  <c r="W460" i="1" s="1"/>
  <c r="AE459" i="1"/>
  <c r="W459" i="1" s="1"/>
  <c r="C459" i="1"/>
  <c r="AE458" i="1"/>
  <c r="W458" i="1" s="1"/>
  <c r="C458" i="1"/>
  <c r="AE457" i="1"/>
  <c r="W457" i="1" s="1"/>
  <c r="AE456" i="1"/>
  <c r="W456" i="1" s="1"/>
  <c r="AE455" i="1"/>
  <c r="W455" i="1" s="1"/>
  <c r="C455" i="1"/>
  <c r="AE454" i="1"/>
  <c r="AE453" i="1"/>
  <c r="W453" i="1" s="1"/>
  <c r="C453" i="1"/>
  <c r="AE452" i="1"/>
  <c r="AE451" i="1"/>
  <c r="W451" i="1" s="1"/>
  <c r="AE450" i="1"/>
  <c r="C450" i="1"/>
  <c r="AE449" i="1"/>
  <c r="W449" i="1" s="1"/>
  <c r="C449" i="1"/>
  <c r="AE448" i="1"/>
  <c r="AE447" i="1"/>
  <c r="W447" i="1" s="1"/>
  <c r="AE446" i="1"/>
  <c r="AE445" i="1"/>
  <c r="W445" i="1" s="1"/>
  <c r="C445" i="1"/>
  <c r="AE444" i="1"/>
  <c r="AE443" i="1"/>
  <c r="C443" i="1"/>
  <c r="AE442" i="1"/>
  <c r="C442" i="1"/>
  <c r="AE441" i="1"/>
  <c r="AE440" i="1"/>
  <c r="C440" i="1"/>
  <c r="AE439" i="1"/>
  <c r="AE438" i="1"/>
  <c r="W438" i="1" s="1"/>
  <c r="C438" i="1"/>
  <c r="AE437" i="1"/>
  <c r="AE436" i="1"/>
  <c r="C436" i="1"/>
  <c r="AE435" i="1"/>
  <c r="AE434" i="1"/>
  <c r="AE433" i="1"/>
  <c r="C433" i="1"/>
  <c r="AE432" i="1"/>
  <c r="C432" i="1"/>
  <c r="AE431" i="1"/>
  <c r="AE430" i="1"/>
  <c r="AE429" i="1"/>
  <c r="W429" i="1" s="1"/>
  <c r="C429" i="1"/>
  <c r="AE428" i="1"/>
  <c r="W428" i="1" s="1"/>
  <c r="C428" i="1"/>
  <c r="AE427" i="1"/>
  <c r="W427" i="1" s="1"/>
  <c r="AE426" i="1"/>
  <c r="W426" i="1" s="1"/>
  <c r="C426" i="1"/>
  <c r="AE425" i="1"/>
  <c r="W425" i="1" s="1"/>
  <c r="AE424" i="1"/>
  <c r="W424" i="1" s="1"/>
  <c r="C424" i="1"/>
  <c r="AE423" i="1"/>
  <c r="W423" i="1" s="1"/>
  <c r="C423" i="1"/>
  <c r="AE422" i="1"/>
  <c r="W422" i="1" s="1"/>
  <c r="AE421" i="1"/>
  <c r="W421" i="1" s="1"/>
  <c r="C421" i="1"/>
  <c r="AE420" i="1"/>
  <c r="W420" i="1" s="1"/>
  <c r="AE419" i="1"/>
  <c r="W419" i="1" s="1"/>
  <c r="AE418" i="1"/>
  <c r="W418" i="1" s="1"/>
  <c r="AE416" i="1"/>
  <c r="W416" i="1" s="1"/>
  <c r="C416" i="1"/>
  <c r="AE415" i="1"/>
  <c r="AE414" i="1"/>
  <c r="W414" i="1" s="1"/>
  <c r="C414" i="1"/>
  <c r="AE413" i="1"/>
  <c r="C413" i="1"/>
  <c r="AE412" i="1"/>
  <c r="W412" i="1" s="1"/>
  <c r="AE411" i="1"/>
  <c r="AE410" i="1"/>
  <c r="W410" i="1" s="1"/>
  <c r="C410" i="1"/>
  <c r="AE409" i="1"/>
  <c r="AE408" i="1"/>
  <c r="W408" i="1" s="1"/>
  <c r="AE407" i="1"/>
  <c r="AE406" i="1"/>
  <c r="W406" i="1" s="1"/>
  <c r="AE405" i="1"/>
  <c r="AE404" i="1"/>
  <c r="W404" i="1" s="1"/>
  <c r="AE403" i="1"/>
  <c r="W403" i="1" s="1"/>
  <c r="AE402" i="1"/>
  <c r="W402" i="1" s="1"/>
  <c r="AE401" i="1"/>
  <c r="W401" i="1" s="1"/>
  <c r="AE400" i="1"/>
  <c r="W400" i="1" s="1"/>
  <c r="AE399" i="1"/>
  <c r="W399" i="1" s="1"/>
  <c r="AE398" i="1"/>
  <c r="W398" i="1" s="1"/>
  <c r="AE397" i="1"/>
  <c r="W397" i="1" s="1"/>
  <c r="AE396" i="1"/>
  <c r="C396" i="1"/>
  <c r="AE395" i="1"/>
  <c r="W395" i="1" s="1"/>
  <c r="C395" i="1"/>
  <c r="AE394" i="1"/>
  <c r="AE393" i="1"/>
  <c r="W393" i="1" s="1"/>
  <c r="AE392" i="1"/>
  <c r="W392" i="1" s="1"/>
  <c r="AE391" i="1"/>
  <c r="W391" i="1" s="1"/>
  <c r="AE390" i="1"/>
  <c r="C390" i="1"/>
  <c r="AE389" i="1"/>
  <c r="W389" i="1" s="1"/>
  <c r="AE388" i="1"/>
  <c r="AE387" i="1"/>
  <c r="W387" i="1" s="1"/>
  <c r="AE386" i="1"/>
  <c r="C386" i="1"/>
  <c r="AE385" i="1"/>
  <c r="W385" i="1" s="1"/>
  <c r="AE384" i="1"/>
  <c r="W384" i="1" s="1"/>
  <c r="AE383" i="1"/>
  <c r="W383" i="1" s="1"/>
  <c r="AE382" i="1"/>
  <c r="C382" i="1"/>
  <c r="AE381" i="1"/>
  <c r="W381" i="1" s="1"/>
  <c r="AE380" i="1"/>
  <c r="W380" i="1" s="1"/>
  <c r="AE379" i="1"/>
  <c r="W379" i="1" s="1"/>
  <c r="C379" i="1"/>
  <c r="AE378" i="1"/>
  <c r="AE377" i="1"/>
  <c r="W377" i="1" s="1"/>
  <c r="C377" i="1"/>
  <c r="AE376" i="1"/>
  <c r="C376" i="1"/>
  <c r="AE375" i="1"/>
  <c r="W375" i="1" s="1"/>
  <c r="AE374" i="1"/>
  <c r="AE373" i="1"/>
  <c r="W373" i="1" s="1"/>
  <c r="AE372" i="1"/>
  <c r="W372" i="1" s="1"/>
  <c r="AE371" i="1"/>
  <c r="AE370" i="1"/>
  <c r="W370" i="1" s="1"/>
  <c r="C370" i="1"/>
  <c r="AE369" i="1"/>
  <c r="AE367" i="1"/>
  <c r="W367" i="1" s="1"/>
  <c r="C367" i="1"/>
  <c r="AE366" i="1"/>
  <c r="AE365" i="1"/>
  <c r="W365" i="1" s="1"/>
  <c r="C365" i="1"/>
  <c r="AE363" i="1"/>
  <c r="C363" i="1"/>
  <c r="AE361" i="1"/>
  <c r="W361" i="1" s="1"/>
  <c r="AE360" i="1"/>
  <c r="C360" i="1"/>
  <c r="AE359" i="1"/>
  <c r="W359" i="1" s="1"/>
  <c r="AE358" i="1"/>
  <c r="W358" i="1" s="1"/>
  <c r="C358" i="1"/>
  <c r="AE357" i="1"/>
  <c r="W357" i="1" s="1"/>
  <c r="AE356" i="1"/>
  <c r="AE355" i="1"/>
  <c r="W355" i="1" s="1"/>
  <c r="C355" i="1"/>
  <c r="AE354" i="1"/>
  <c r="AE353" i="1"/>
  <c r="W353" i="1" s="1"/>
  <c r="C353" i="1"/>
  <c r="AE352" i="1"/>
  <c r="AE351" i="1"/>
  <c r="W351" i="1" s="1"/>
  <c r="AE350" i="1"/>
  <c r="C350" i="1"/>
  <c r="AE349" i="1"/>
  <c r="W349" i="1" s="1"/>
  <c r="AE348" i="1"/>
  <c r="C348" i="1"/>
  <c r="AE347" i="1"/>
  <c r="W347" i="1" s="1"/>
  <c r="AE346" i="1"/>
  <c r="C346" i="1"/>
  <c r="AE345" i="1"/>
  <c r="W345" i="1" s="1"/>
  <c r="AE344" i="1"/>
  <c r="W344" i="1" s="1"/>
  <c r="AE343" i="1"/>
  <c r="W343" i="1" s="1"/>
  <c r="C343" i="1"/>
  <c r="AE342" i="1"/>
  <c r="C342" i="1"/>
  <c r="AE341" i="1"/>
  <c r="W341" i="1" s="1"/>
  <c r="C341" i="1"/>
  <c r="AE340" i="1"/>
  <c r="AE339" i="1"/>
  <c r="W339" i="1" s="1"/>
  <c r="AE338" i="1"/>
  <c r="C338" i="1"/>
  <c r="AE337" i="1"/>
  <c r="W337" i="1" s="1"/>
  <c r="AE336" i="1"/>
  <c r="W336" i="1" s="1"/>
  <c r="AE335" i="1"/>
  <c r="W335" i="1" s="1"/>
  <c r="AE334" i="1"/>
  <c r="AE333" i="1"/>
  <c r="W333" i="1" s="1"/>
  <c r="AE332" i="1"/>
  <c r="AE331" i="1"/>
  <c r="W331" i="1" s="1"/>
  <c r="AE330" i="1"/>
  <c r="W330" i="1" s="1"/>
  <c r="AE329" i="1"/>
  <c r="W329" i="1" s="1"/>
  <c r="C329" i="1"/>
  <c r="AE328" i="1"/>
  <c r="W328" i="1" s="1"/>
  <c r="AE327" i="1"/>
  <c r="W327" i="1" s="1"/>
  <c r="AE326" i="1"/>
  <c r="W326" i="1" s="1"/>
  <c r="AE325" i="1"/>
  <c r="W325" i="1" s="1"/>
  <c r="C325" i="1"/>
  <c r="AE324" i="1"/>
  <c r="W324" i="1" s="1"/>
  <c r="AE323" i="1"/>
  <c r="W323" i="1" s="1"/>
  <c r="AE322" i="1"/>
  <c r="W322" i="1" s="1"/>
  <c r="C322" i="1"/>
  <c r="AE321" i="1"/>
  <c r="W321" i="1" s="1"/>
  <c r="AE320" i="1"/>
  <c r="W320" i="1" s="1"/>
  <c r="AE319" i="1"/>
  <c r="W319" i="1" s="1"/>
  <c r="AE318" i="1"/>
  <c r="W318" i="1" s="1"/>
  <c r="C318" i="1"/>
  <c r="AE317" i="1"/>
  <c r="W317" i="1" s="1"/>
  <c r="AE316" i="1"/>
  <c r="W316" i="1" s="1"/>
  <c r="AE315" i="1"/>
  <c r="W315" i="1" s="1"/>
  <c r="AE314" i="1"/>
  <c r="W314" i="1" s="1"/>
  <c r="AE313" i="1"/>
  <c r="W313" i="1" s="1"/>
  <c r="AE312" i="1"/>
  <c r="W312" i="1" s="1"/>
  <c r="C312" i="1"/>
  <c r="AE311" i="1"/>
  <c r="W311" i="1" s="1"/>
  <c r="AE310" i="1"/>
  <c r="W310" i="1" s="1"/>
  <c r="C310" i="1"/>
  <c r="AE309" i="1"/>
  <c r="W309" i="1" s="1"/>
  <c r="AE308" i="1"/>
  <c r="W308" i="1" s="1"/>
  <c r="C308" i="1"/>
  <c r="AE307" i="1"/>
  <c r="W307" i="1" s="1"/>
  <c r="AE306" i="1"/>
  <c r="W306" i="1" s="1"/>
  <c r="AE305" i="1"/>
  <c r="AE304" i="1"/>
  <c r="W304" i="1" s="1"/>
  <c r="AE303" i="1"/>
  <c r="W303" i="1" s="1"/>
  <c r="C303" i="1"/>
  <c r="AE302" i="1"/>
  <c r="W302" i="1" s="1"/>
  <c r="C302" i="1"/>
  <c r="AE301" i="1"/>
  <c r="C301" i="1"/>
  <c r="AE300" i="1"/>
  <c r="W300" i="1" s="1"/>
  <c r="AE299" i="1"/>
  <c r="W299" i="1" s="1"/>
  <c r="C299" i="1"/>
  <c r="AE298" i="1"/>
  <c r="W298" i="1" s="1"/>
  <c r="AE297" i="1"/>
  <c r="W297" i="1" s="1"/>
  <c r="AE296" i="1"/>
  <c r="W296" i="1" s="1"/>
  <c r="AE295" i="1"/>
  <c r="W295" i="1" s="1"/>
  <c r="AE294" i="1"/>
  <c r="W294" i="1" s="1"/>
  <c r="AE293" i="1"/>
  <c r="W293" i="1" s="1"/>
  <c r="AE292" i="1"/>
  <c r="AE291" i="1"/>
  <c r="W291" i="1" s="1"/>
  <c r="AE290" i="1"/>
  <c r="AE289" i="1"/>
  <c r="W289" i="1" s="1"/>
  <c r="AE288" i="1"/>
  <c r="C288" i="1"/>
  <c r="AE287" i="1"/>
  <c r="W287" i="1" s="1"/>
  <c r="AE286" i="1"/>
  <c r="C286" i="1"/>
  <c r="AE285" i="1"/>
  <c r="W285" i="1" s="1"/>
  <c r="AE284" i="1"/>
  <c r="AE283" i="1"/>
  <c r="W283" i="1" s="1"/>
  <c r="AE282" i="1"/>
  <c r="W282" i="1" s="1"/>
  <c r="AE281" i="1"/>
  <c r="W281" i="1" s="1"/>
  <c r="AE280" i="1"/>
  <c r="AE279" i="1"/>
  <c r="W279" i="1" s="1"/>
  <c r="AE278" i="1"/>
  <c r="W278" i="1" s="1"/>
  <c r="C278" i="1"/>
  <c r="AE277" i="1"/>
  <c r="C277" i="1"/>
  <c r="AE276" i="1"/>
  <c r="W276" i="1" s="1"/>
  <c r="AE275" i="1"/>
  <c r="C275" i="1"/>
  <c r="AE274" i="1"/>
  <c r="W274" i="1" s="1"/>
  <c r="C274" i="1"/>
  <c r="AE273" i="1"/>
  <c r="C273" i="1"/>
  <c r="AE272" i="1"/>
  <c r="W272" i="1" s="1"/>
  <c r="AE271" i="1"/>
  <c r="W271" i="1" s="1"/>
  <c r="C271" i="1"/>
  <c r="AE270" i="1"/>
  <c r="W270" i="1" s="1"/>
  <c r="AE269" i="1"/>
  <c r="AE268" i="1"/>
  <c r="W268" i="1" s="1"/>
  <c r="C268" i="1"/>
  <c r="AE267" i="1"/>
  <c r="W267" i="1" s="1"/>
  <c r="AE266" i="1"/>
  <c r="W266" i="1" s="1"/>
  <c r="C266" i="1"/>
  <c r="AE265" i="1"/>
  <c r="W265" i="1" s="1"/>
  <c r="AE264" i="1"/>
  <c r="W264" i="1" s="1"/>
  <c r="AE263" i="1"/>
  <c r="W263" i="1" s="1"/>
  <c r="C263" i="1"/>
  <c r="AE262" i="1"/>
  <c r="W262" i="1" s="1"/>
  <c r="AE261" i="1"/>
  <c r="W261" i="1" s="1"/>
  <c r="AE260" i="1"/>
  <c r="W260" i="1" s="1"/>
  <c r="AE259" i="1"/>
  <c r="W259" i="1" s="1"/>
  <c r="AE258" i="1"/>
  <c r="W258" i="1" s="1"/>
  <c r="C258" i="1"/>
  <c r="AE257" i="1"/>
  <c r="W257" i="1" s="1"/>
  <c r="AE256" i="1"/>
  <c r="W256" i="1" s="1"/>
  <c r="AE255" i="1"/>
  <c r="W255" i="1" s="1"/>
  <c r="C255" i="1"/>
  <c r="AE254" i="1"/>
  <c r="W254" i="1" s="1"/>
  <c r="AE253" i="1"/>
  <c r="W253" i="1" s="1"/>
  <c r="AE252" i="1"/>
  <c r="W252" i="1" s="1"/>
  <c r="AE251" i="1"/>
  <c r="W251" i="1" s="1"/>
  <c r="AE250" i="1"/>
  <c r="W250" i="1" s="1"/>
  <c r="AE249" i="1"/>
  <c r="W249" i="1" s="1"/>
  <c r="AE248" i="1"/>
  <c r="W248" i="1" s="1"/>
  <c r="AE247" i="1"/>
  <c r="W247" i="1" s="1"/>
  <c r="AE246" i="1"/>
  <c r="W246" i="1" s="1"/>
  <c r="C246" i="1"/>
  <c r="AE245" i="1"/>
  <c r="W245" i="1" s="1"/>
  <c r="AE244" i="1"/>
  <c r="W244" i="1" s="1"/>
  <c r="AE243" i="1"/>
  <c r="AE242" i="1"/>
  <c r="W242" i="1" s="1"/>
  <c r="C242" i="1"/>
  <c r="AE241" i="1"/>
  <c r="W241" i="1" s="1"/>
  <c r="AE240" i="1"/>
  <c r="W240" i="1" s="1"/>
  <c r="C240" i="1"/>
  <c r="AE239" i="1"/>
  <c r="AE238" i="1"/>
  <c r="W238" i="1" s="1"/>
  <c r="AE237" i="1"/>
  <c r="W237" i="1" s="1"/>
  <c r="C237" i="1"/>
  <c r="AE236" i="1"/>
  <c r="W236" i="1" s="1"/>
  <c r="C236" i="1"/>
  <c r="AE235" i="1"/>
  <c r="W235" i="1" s="1"/>
  <c r="AE234" i="1"/>
  <c r="W234" i="1" s="1"/>
  <c r="AE233" i="1"/>
  <c r="W233" i="1" s="1"/>
  <c r="AE232" i="1"/>
  <c r="W232" i="1" s="1"/>
  <c r="C232" i="1"/>
  <c r="AE231" i="1"/>
  <c r="AE230" i="1"/>
  <c r="W230" i="1" s="1"/>
  <c r="AE229" i="1"/>
  <c r="W229" i="1" s="1"/>
  <c r="AE228" i="1"/>
  <c r="W228" i="1" s="1"/>
  <c r="C228" i="1"/>
  <c r="AE227" i="1"/>
  <c r="W227" i="1" s="1"/>
  <c r="AE226" i="1"/>
  <c r="W226" i="1" s="1"/>
  <c r="C226" i="1"/>
  <c r="AE225" i="1"/>
  <c r="AE224" i="1"/>
  <c r="W224" i="1" s="1"/>
  <c r="C224" i="1"/>
  <c r="AE223" i="1"/>
  <c r="W223" i="1" s="1"/>
  <c r="AE222" i="1"/>
  <c r="W222" i="1" s="1"/>
  <c r="C222" i="1"/>
  <c r="AE221" i="1"/>
  <c r="W221" i="1" s="1"/>
  <c r="AE220" i="1"/>
  <c r="W220" i="1" s="1"/>
  <c r="C220" i="1"/>
  <c r="AE219" i="1"/>
  <c r="W219" i="1" s="1"/>
  <c r="AE218" i="1"/>
  <c r="W218" i="1" s="1"/>
  <c r="AE217" i="1"/>
  <c r="W217" i="1" s="1"/>
  <c r="AE216" i="1"/>
  <c r="W216" i="1" s="1"/>
  <c r="AE215" i="1"/>
  <c r="W215" i="1" s="1"/>
  <c r="AE214" i="1"/>
  <c r="W214" i="1" s="1"/>
  <c r="AE213" i="1"/>
  <c r="W213" i="1" s="1"/>
  <c r="AE212" i="1"/>
  <c r="W212" i="1" s="1"/>
  <c r="AE211" i="1"/>
  <c r="W211" i="1" s="1"/>
  <c r="C211" i="1"/>
  <c r="AE210" i="1"/>
  <c r="W210" i="1" s="1"/>
  <c r="AE209" i="1"/>
  <c r="W209" i="1" s="1"/>
  <c r="AE208" i="1"/>
  <c r="W208" i="1" s="1"/>
  <c r="AE207" i="1"/>
  <c r="W207" i="1" s="1"/>
  <c r="AE206" i="1"/>
  <c r="W206" i="1" s="1"/>
  <c r="AE205" i="1"/>
  <c r="W205" i="1" s="1"/>
  <c r="C205" i="1"/>
  <c r="AE204" i="1"/>
  <c r="W204" i="1" s="1"/>
  <c r="C204" i="1"/>
  <c r="AE203" i="1"/>
  <c r="W203" i="1" s="1"/>
  <c r="C203" i="1"/>
  <c r="AE202" i="1"/>
  <c r="W202" i="1" s="1"/>
  <c r="AE201" i="1"/>
  <c r="W201" i="1" s="1"/>
  <c r="AE200" i="1"/>
  <c r="W200" i="1" s="1"/>
  <c r="AE199" i="1"/>
  <c r="W199" i="1" s="1"/>
  <c r="AE198" i="1"/>
  <c r="W198" i="1" s="1"/>
  <c r="C198" i="1"/>
  <c r="AE197" i="1"/>
  <c r="W197" i="1" s="1"/>
  <c r="AE196" i="1"/>
  <c r="W196" i="1" s="1"/>
  <c r="AE195" i="1"/>
  <c r="W195" i="1" s="1"/>
  <c r="AE194" i="1"/>
  <c r="W194" i="1" s="1"/>
  <c r="AE193" i="1"/>
  <c r="W193" i="1" s="1"/>
  <c r="C193" i="1"/>
  <c r="AE192" i="1"/>
  <c r="W192" i="1" s="1"/>
  <c r="AE191" i="1"/>
  <c r="W191" i="1" s="1"/>
  <c r="C191" i="1"/>
  <c r="AE190" i="1"/>
  <c r="AE189" i="1"/>
  <c r="W189" i="1" s="1"/>
  <c r="AE188" i="1"/>
  <c r="W188" i="1" s="1"/>
  <c r="C188" i="1"/>
  <c r="AE187" i="1"/>
  <c r="W187" i="1" s="1"/>
  <c r="AE186" i="1"/>
  <c r="W186" i="1" s="1"/>
  <c r="C186" i="1"/>
  <c r="AE185" i="1"/>
  <c r="W185" i="1" s="1"/>
  <c r="AE184" i="1"/>
  <c r="W184" i="1" s="1"/>
  <c r="AE182" i="1"/>
  <c r="W182" i="1" s="1"/>
  <c r="C182" i="1"/>
  <c r="AE181" i="1"/>
  <c r="W181" i="1" s="1"/>
  <c r="AE180" i="1"/>
  <c r="AE179" i="1"/>
  <c r="W179" i="1" s="1"/>
  <c r="C179" i="1"/>
  <c r="AE178" i="1"/>
  <c r="W178" i="1" s="1"/>
  <c r="AE177" i="1"/>
  <c r="W177" i="1" s="1"/>
  <c r="AE176" i="1"/>
  <c r="W176" i="1" s="1"/>
  <c r="C176" i="1"/>
  <c r="AE175" i="1"/>
  <c r="W175" i="1" s="1"/>
  <c r="AE174" i="1"/>
  <c r="W174" i="1" s="1"/>
  <c r="AE173" i="1"/>
  <c r="W173" i="1" s="1"/>
  <c r="C173" i="1"/>
  <c r="AE172" i="1"/>
  <c r="W172" i="1" s="1"/>
  <c r="AE170" i="1"/>
  <c r="C170" i="1"/>
  <c r="AE169" i="1"/>
  <c r="W169" i="1" s="1"/>
  <c r="C169" i="1"/>
  <c r="AE168" i="1"/>
  <c r="W168" i="1" s="1"/>
  <c r="C168" i="1"/>
  <c r="AE167" i="1"/>
  <c r="W167" i="1" s="1"/>
  <c r="C167" i="1"/>
  <c r="AE166" i="1"/>
  <c r="AE165" i="1"/>
  <c r="W165" i="1" s="1"/>
  <c r="C165" i="1"/>
  <c r="AE164" i="1"/>
  <c r="W164" i="1" s="1"/>
  <c r="AE163" i="1"/>
  <c r="W163" i="1" s="1"/>
  <c r="AE162" i="1"/>
  <c r="W162" i="1" s="1"/>
  <c r="C162" i="1"/>
  <c r="AE161" i="1"/>
  <c r="W161" i="1" s="1"/>
  <c r="C161" i="1"/>
  <c r="AE160" i="1"/>
  <c r="W160" i="1" s="1"/>
  <c r="AE159" i="1"/>
  <c r="W159" i="1" s="1"/>
  <c r="AE158" i="1"/>
  <c r="AE157" i="1"/>
  <c r="W157" i="1" s="1"/>
  <c r="C157" i="1"/>
  <c r="AE156" i="1"/>
  <c r="W156" i="1" s="1"/>
  <c r="AE155" i="1"/>
  <c r="W155" i="1" s="1"/>
  <c r="AE154" i="1"/>
  <c r="W154" i="1" s="1"/>
  <c r="AE153" i="1"/>
  <c r="W153" i="1" s="1"/>
  <c r="AE152" i="1"/>
  <c r="W152" i="1" s="1"/>
  <c r="AE151" i="1"/>
  <c r="W151" i="1" s="1"/>
  <c r="AE150" i="1"/>
  <c r="W150" i="1" s="1"/>
  <c r="AE149" i="1"/>
  <c r="W149" i="1" s="1"/>
  <c r="AE148" i="1"/>
  <c r="W148" i="1" s="1"/>
  <c r="AE147" i="1"/>
  <c r="W147" i="1" s="1"/>
  <c r="AE146" i="1"/>
  <c r="W146" i="1" s="1"/>
  <c r="AE145" i="1"/>
  <c r="W145" i="1" s="1"/>
  <c r="AE144" i="1"/>
  <c r="W144" i="1" s="1"/>
  <c r="AE143" i="1"/>
  <c r="W143" i="1" s="1"/>
  <c r="AE142" i="1"/>
  <c r="W142" i="1" s="1"/>
  <c r="AE141" i="1"/>
  <c r="W141" i="1" s="1"/>
  <c r="AE140" i="1"/>
  <c r="W140" i="1" s="1"/>
  <c r="AE139" i="1"/>
  <c r="W139" i="1" s="1"/>
  <c r="AE138" i="1"/>
  <c r="W138" i="1" s="1"/>
  <c r="AE137" i="1"/>
  <c r="W137" i="1" s="1"/>
  <c r="AE136" i="1"/>
  <c r="W136" i="1" s="1"/>
  <c r="AE135" i="1"/>
  <c r="W135" i="1" s="1"/>
  <c r="AE134" i="1"/>
  <c r="W134" i="1" s="1"/>
  <c r="AE133" i="1"/>
  <c r="W133" i="1" s="1"/>
  <c r="AE132" i="1"/>
  <c r="W132" i="1" s="1"/>
  <c r="C132" i="1"/>
  <c r="AE131" i="1"/>
  <c r="W131" i="1" s="1"/>
  <c r="AE130" i="1"/>
  <c r="AE129" i="1"/>
  <c r="W129" i="1" s="1"/>
  <c r="AE127" i="1"/>
  <c r="W127" i="1" s="1"/>
  <c r="C127" i="1"/>
  <c r="AE126" i="1"/>
  <c r="W126" i="1" s="1"/>
  <c r="AE125" i="1"/>
  <c r="AE124" i="1"/>
  <c r="W124" i="1" s="1"/>
  <c r="C124" i="1"/>
  <c r="AE123" i="1"/>
  <c r="W123" i="1" s="1"/>
  <c r="AE122" i="1"/>
  <c r="W122" i="1" s="1"/>
  <c r="AE121" i="1"/>
  <c r="W121" i="1" s="1"/>
  <c r="AE120" i="1"/>
  <c r="W120" i="1" s="1"/>
  <c r="C120" i="1"/>
  <c r="AE119" i="1"/>
  <c r="AE118" i="1"/>
  <c r="W118" i="1" s="1"/>
  <c r="AE117" i="1"/>
  <c r="W117" i="1" s="1"/>
  <c r="AE116" i="1"/>
  <c r="W116" i="1" s="1"/>
  <c r="AE115" i="1"/>
  <c r="AE114" i="1"/>
  <c r="W114" i="1" s="1"/>
  <c r="AE113" i="1"/>
  <c r="C113" i="1"/>
  <c r="AE112" i="1"/>
  <c r="W112" i="1" s="1"/>
  <c r="AE111" i="1"/>
  <c r="W111" i="1" s="1"/>
  <c r="AE110" i="1"/>
  <c r="W110" i="1" s="1"/>
  <c r="C110" i="1"/>
  <c r="AE109" i="1"/>
  <c r="AE108" i="1"/>
  <c r="W108" i="1" s="1"/>
  <c r="C108" i="1"/>
  <c r="AE107" i="1"/>
  <c r="AE106" i="1"/>
  <c r="W106" i="1" s="1"/>
  <c r="C106" i="1"/>
  <c r="AE105" i="1"/>
  <c r="W105" i="1" s="1"/>
  <c r="AE104" i="1"/>
  <c r="W104" i="1" s="1"/>
  <c r="AE103" i="1"/>
  <c r="W103" i="1" s="1"/>
  <c r="AE102" i="1"/>
  <c r="W102" i="1" s="1"/>
  <c r="C102" i="1"/>
  <c r="AE101" i="1"/>
  <c r="W101" i="1" s="1"/>
  <c r="AE100" i="1"/>
  <c r="W100" i="1" s="1"/>
  <c r="AE99" i="1"/>
  <c r="AE98" i="1"/>
  <c r="W98" i="1" s="1"/>
  <c r="C98" i="1"/>
  <c r="AE97" i="1"/>
  <c r="W97" i="1" s="1"/>
  <c r="AE96" i="1"/>
  <c r="W96" i="1" s="1"/>
  <c r="AE95" i="1"/>
  <c r="W95" i="1" s="1"/>
  <c r="C95" i="1"/>
  <c r="AE94" i="1"/>
  <c r="W94" i="1" s="1"/>
  <c r="AE93" i="1"/>
  <c r="W93" i="1" s="1"/>
  <c r="C93" i="1"/>
  <c r="AE92" i="1"/>
  <c r="W92" i="1" s="1"/>
  <c r="AE91" i="1"/>
  <c r="W91" i="1" s="1"/>
  <c r="AE90" i="1"/>
  <c r="W90" i="1" s="1"/>
  <c r="AE89" i="1"/>
  <c r="W89" i="1" s="1"/>
  <c r="AE88" i="1"/>
  <c r="W88" i="1" s="1"/>
  <c r="AE87" i="1"/>
  <c r="W87" i="1" s="1"/>
  <c r="AE86" i="1"/>
  <c r="W86" i="1" s="1"/>
  <c r="C86" i="1"/>
  <c r="AE85" i="1"/>
  <c r="W85" i="1" s="1"/>
  <c r="AE84" i="1"/>
  <c r="W84" i="1" s="1"/>
  <c r="AE83" i="1"/>
  <c r="W83" i="1" s="1"/>
  <c r="AE82" i="1"/>
  <c r="W82" i="1" s="1"/>
  <c r="AE81" i="1"/>
  <c r="W81" i="1" s="1"/>
  <c r="AE80" i="1"/>
  <c r="W80" i="1" s="1"/>
  <c r="AE79" i="1"/>
  <c r="AE78" i="1"/>
  <c r="W78" i="1" s="1"/>
  <c r="AE77" i="1"/>
  <c r="W77" i="1" s="1"/>
  <c r="AE76" i="1"/>
  <c r="W76" i="1" s="1"/>
  <c r="AE75" i="1"/>
  <c r="W75" i="1" s="1"/>
  <c r="AE74" i="1"/>
  <c r="W74" i="1" s="1"/>
  <c r="AE73" i="1"/>
  <c r="W73" i="1" s="1"/>
  <c r="AE72" i="1"/>
  <c r="W72" i="1" s="1"/>
  <c r="AE71" i="1"/>
  <c r="W71" i="1" s="1"/>
  <c r="AE70" i="1"/>
  <c r="W70" i="1" s="1"/>
  <c r="AE69" i="1"/>
  <c r="W69" i="1" s="1"/>
  <c r="AE32" i="1"/>
  <c r="W32" i="1" s="1"/>
  <c r="AE31" i="1"/>
  <c r="AE30" i="1"/>
  <c r="W30" i="1" s="1"/>
  <c r="AE68" i="1"/>
  <c r="AE67" i="1"/>
  <c r="W67" i="1" s="1"/>
  <c r="AE66" i="1"/>
  <c r="C66" i="1"/>
  <c r="AE65" i="1"/>
  <c r="W65" i="1" s="1"/>
  <c r="AE37" i="1"/>
  <c r="W37" i="1" s="1"/>
  <c r="AE36" i="1"/>
  <c r="W36" i="1" s="1"/>
  <c r="AE35" i="1"/>
  <c r="W35" i="1" s="1"/>
  <c r="C35" i="1"/>
  <c r="AE34" i="1"/>
  <c r="W34" i="1" s="1"/>
  <c r="C34" i="1"/>
  <c r="AE33" i="1"/>
  <c r="AE64" i="1"/>
  <c r="W64" i="1" s="1"/>
  <c r="AE63" i="1"/>
  <c r="W63" i="1" s="1"/>
  <c r="AE62" i="1"/>
  <c r="W62" i="1" s="1"/>
  <c r="AE61" i="1"/>
  <c r="W61" i="1" s="1"/>
  <c r="C61" i="1"/>
  <c r="AE60" i="1"/>
  <c r="W60" i="1" s="1"/>
  <c r="C60" i="1"/>
  <c r="AE59" i="1"/>
  <c r="W59" i="1" s="1"/>
  <c r="AE58" i="1"/>
  <c r="W58" i="1" s="1"/>
  <c r="AE57" i="1"/>
  <c r="W57" i="1" s="1"/>
  <c r="AE56" i="1"/>
  <c r="W56" i="1" s="1"/>
  <c r="C56" i="1"/>
  <c r="AE55" i="1"/>
  <c r="W55" i="1" s="1"/>
  <c r="AE54" i="1"/>
  <c r="W54" i="1" s="1"/>
  <c r="AE53" i="1"/>
  <c r="W53" i="1" s="1"/>
  <c r="C53" i="1"/>
  <c r="AE52" i="1"/>
  <c r="W52" i="1" s="1"/>
  <c r="AE29" i="1"/>
  <c r="W29" i="1" s="1"/>
  <c r="C29" i="1"/>
  <c r="AE28" i="1"/>
  <c r="W28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W5" i="1" s="1"/>
  <c r="AE4" i="1"/>
  <c r="W4" i="1" s="1"/>
  <c r="C4" i="1"/>
  <c r="AE3" i="1"/>
  <c r="W3" i="1" s="1"/>
  <c r="H1" i="1"/>
  <c r="W411" i="1" l="1"/>
  <c r="X411" i="1" s="1"/>
  <c r="W415" i="1"/>
  <c r="X415" i="1" s="1"/>
  <c r="W125" i="1"/>
  <c r="X125" i="1" s="1"/>
  <c r="W225" i="1"/>
  <c r="X225" i="1" s="1"/>
  <c r="AD231" i="1"/>
  <c r="AM231" i="1" s="1"/>
  <c r="W231" i="1"/>
  <c r="W405" i="1"/>
  <c r="X405" i="1" s="1"/>
  <c r="AD409" i="1"/>
  <c r="W409" i="1"/>
  <c r="X409" i="1" s="1"/>
  <c r="W413" i="1"/>
  <c r="X413" i="1" s="1"/>
  <c r="AM596" i="1"/>
  <c r="AL596" i="1"/>
  <c r="AD590" i="1"/>
  <c r="AD588" i="1"/>
  <c r="AL588" i="1"/>
  <c r="AM588" i="1"/>
  <c r="AL584" i="1"/>
  <c r="AM584" i="1"/>
  <c r="AD582" i="1"/>
  <c r="AL582" i="1" s="1"/>
  <c r="AM582" i="1"/>
  <c r="AL576" i="1"/>
  <c r="AM576" i="1"/>
  <c r="AL573" i="1"/>
  <c r="AM573" i="1"/>
  <c r="AD571" i="1"/>
  <c r="AL571" i="1"/>
  <c r="AM571" i="1"/>
  <c r="AD568" i="1"/>
  <c r="AL568" i="1"/>
  <c r="AM568" i="1"/>
  <c r="AL565" i="1"/>
  <c r="AM565" i="1"/>
  <c r="AL557" i="1"/>
  <c r="AM557" i="1"/>
  <c r="AD130" i="1"/>
  <c r="AL130" i="1" s="1"/>
  <c r="W130" i="1"/>
  <c r="X130" i="1" s="1"/>
  <c r="Y130" i="1" s="1"/>
  <c r="Z130" i="1" s="1"/>
  <c r="AA130" i="1" s="1"/>
  <c r="AD243" i="1"/>
  <c r="AL243" i="1" s="1"/>
  <c r="W243" i="1"/>
  <c r="X243" i="1" s="1"/>
  <c r="Y243" i="1" s="1"/>
  <c r="Z243" i="1" s="1"/>
  <c r="AA243" i="1" s="1"/>
  <c r="AD430" i="1"/>
  <c r="AL430" i="1" s="1"/>
  <c r="W430" i="1"/>
  <c r="X430" i="1" s="1"/>
  <c r="AD475" i="1"/>
  <c r="AL475" i="1" s="1"/>
  <c r="W475" i="1"/>
  <c r="W479" i="1"/>
  <c r="X479" i="1" s="1"/>
  <c r="Y479" i="1" s="1"/>
  <c r="Z479" i="1" s="1"/>
  <c r="AA479" i="1" s="1"/>
  <c r="AD527" i="1"/>
  <c r="AD551" i="1"/>
  <c r="AD180" i="1"/>
  <c r="AL180" i="1" s="1"/>
  <c r="W180" i="1"/>
  <c r="X180" i="1" s="1"/>
  <c r="W332" i="1"/>
  <c r="X332" i="1" s="1"/>
  <c r="Y332" i="1" s="1"/>
  <c r="Z332" i="1" s="1"/>
  <c r="AA332" i="1" s="1"/>
  <c r="W407" i="1"/>
  <c r="X407" i="1" s="1"/>
  <c r="Y407" i="1" s="1"/>
  <c r="Z407" i="1" s="1"/>
  <c r="AA407" i="1" s="1"/>
  <c r="AD431" i="1"/>
  <c r="AM431" i="1" s="1"/>
  <c r="W431" i="1"/>
  <c r="X431" i="1" s="1"/>
  <c r="AD432" i="1"/>
  <c r="AM432" i="1" s="1"/>
  <c r="W432" i="1"/>
  <c r="X432" i="1" s="1"/>
  <c r="AD433" i="1"/>
  <c r="AM433" i="1" s="1"/>
  <c r="W433" i="1"/>
  <c r="X433" i="1" s="1"/>
  <c r="AD435" i="1"/>
  <c r="AM435" i="1" s="1"/>
  <c r="W435" i="1"/>
  <c r="W477" i="1"/>
  <c r="X477" i="1" s="1"/>
  <c r="Y477" i="1" s="1"/>
  <c r="Z477" i="1" s="1"/>
  <c r="AA477" i="1" s="1"/>
  <c r="AD483" i="1"/>
  <c r="W483" i="1"/>
  <c r="W485" i="1"/>
  <c r="X485" i="1" s="1"/>
  <c r="Y485" i="1" s="1"/>
  <c r="Z485" i="1" s="1"/>
  <c r="AA485" i="1" s="1"/>
  <c r="AD511" i="1"/>
  <c r="AM511" i="1" s="1"/>
  <c r="W33" i="1"/>
  <c r="X33" i="1" s="1"/>
  <c r="Y33" i="1" s="1"/>
  <c r="Z33" i="1" s="1"/>
  <c r="AA33" i="1" s="1"/>
  <c r="AD68" i="1"/>
  <c r="AL68" i="1" s="1"/>
  <c r="W68" i="1"/>
  <c r="X68" i="1" s="1"/>
  <c r="Y68" i="1" s="1"/>
  <c r="Z68" i="1" s="1"/>
  <c r="AA68" i="1" s="1"/>
  <c r="W31" i="1"/>
  <c r="X31" i="1" s="1"/>
  <c r="Y31" i="1" s="1"/>
  <c r="Z31" i="1" s="1"/>
  <c r="AA31" i="1" s="1"/>
  <c r="AD99" i="1"/>
  <c r="AL99" i="1" s="1"/>
  <c r="W99" i="1"/>
  <c r="X99" i="1" s="1"/>
  <c r="Y99" i="1" s="1"/>
  <c r="Z99" i="1" s="1"/>
  <c r="AA99" i="1" s="1"/>
  <c r="AD109" i="1"/>
  <c r="AL109" i="1" s="1"/>
  <c r="W109" i="1"/>
  <c r="X109" i="1" s="1"/>
  <c r="W113" i="1"/>
  <c r="X113" i="1" s="1"/>
  <c r="Y113" i="1" s="1"/>
  <c r="Z113" i="1" s="1"/>
  <c r="AA113" i="1" s="1"/>
  <c r="AD119" i="1"/>
  <c r="AL119" i="1" s="1"/>
  <c r="W119" i="1"/>
  <c r="X119" i="1" s="1"/>
  <c r="AD158" i="1"/>
  <c r="AL158" i="1" s="1"/>
  <c r="W158" i="1"/>
  <c r="AD277" i="1"/>
  <c r="AM277" i="1" s="1"/>
  <c r="W277" i="1"/>
  <c r="X277" i="1" s="1"/>
  <c r="W284" i="1"/>
  <c r="X284" i="1" s="1"/>
  <c r="Y284" i="1" s="1"/>
  <c r="Z284" i="1" s="1"/>
  <c r="AA284" i="1" s="1"/>
  <c r="W288" i="1"/>
  <c r="X288" i="1" s="1"/>
  <c r="W301" i="1"/>
  <c r="X301" i="1" s="1"/>
  <c r="Y301" i="1" s="1"/>
  <c r="Z301" i="1" s="1"/>
  <c r="AA301" i="1" s="1"/>
  <c r="W305" i="1"/>
  <c r="X305" i="1" s="1"/>
  <c r="Y305" i="1" s="1"/>
  <c r="Z305" i="1" s="1"/>
  <c r="AA305" i="1" s="1"/>
  <c r="W334" i="1"/>
  <c r="X334" i="1" s="1"/>
  <c r="Y334" i="1" s="1"/>
  <c r="Z334" i="1" s="1"/>
  <c r="AA334" i="1" s="1"/>
  <c r="W338" i="1"/>
  <c r="X338" i="1" s="1"/>
  <c r="W340" i="1"/>
  <c r="X340" i="1" s="1"/>
  <c r="Y340" i="1" s="1"/>
  <c r="Z340" i="1" s="1"/>
  <c r="AA340" i="1" s="1"/>
  <c r="W342" i="1"/>
  <c r="X342" i="1" s="1"/>
  <c r="Y342" i="1" s="1"/>
  <c r="Z342" i="1" s="1"/>
  <c r="AA342" i="1" s="1"/>
  <c r="W348" i="1"/>
  <c r="X348" i="1" s="1"/>
  <c r="Y348" i="1" s="1"/>
  <c r="Z348" i="1" s="1"/>
  <c r="AA348" i="1" s="1"/>
  <c r="W354" i="1"/>
  <c r="X354" i="1" s="1"/>
  <c r="Y354" i="1" s="1"/>
  <c r="Z354" i="1" s="1"/>
  <c r="AA354" i="1" s="1"/>
  <c r="W366" i="1"/>
  <c r="X366" i="1" s="1"/>
  <c r="Y366" i="1" s="1"/>
  <c r="Z366" i="1" s="1"/>
  <c r="AA366" i="1" s="1"/>
  <c r="W382" i="1"/>
  <c r="X382" i="1" s="1"/>
  <c r="W390" i="1"/>
  <c r="X390" i="1" s="1"/>
  <c r="AD434" i="1"/>
  <c r="W434" i="1"/>
  <c r="W437" i="1"/>
  <c r="X437" i="1" s="1"/>
  <c r="Y437" i="1" s="1"/>
  <c r="Z437" i="1" s="1"/>
  <c r="AA437" i="1" s="1"/>
  <c r="AD438" i="1"/>
  <c r="AL438" i="1" s="1"/>
  <c r="AD439" i="1"/>
  <c r="AM439" i="1" s="1"/>
  <c r="W439" i="1"/>
  <c r="X439" i="1" s="1"/>
  <c r="Y439" i="1" s="1"/>
  <c r="Z439" i="1" s="1"/>
  <c r="AA439" i="1" s="1"/>
  <c r="AD440" i="1"/>
  <c r="AL440" i="1" s="1"/>
  <c r="W440" i="1"/>
  <c r="X440" i="1" s="1"/>
  <c r="AD444" i="1"/>
  <c r="AM444" i="1" s="1"/>
  <c r="W444" i="1"/>
  <c r="X444" i="1" s="1"/>
  <c r="W454" i="1"/>
  <c r="X454" i="1" s="1"/>
  <c r="Y454" i="1" s="1"/>
  <c r="Z454" i="1" s="1"/>
  <c r="AA454" i="1" s="1"/>
  <c r="AD471" i="1"/>
  <c r="AL471" i="1" s="1"/>
  <c r="W471" i="1"/>
  <c r="Y471" i="1" s="1"/>
  <c r="Z471" i="1" s="1"/>
  <c r="AA471" i="1" s="1"/>
  <c r="W481" i="1"/>
  <c r="X481" i="1" s="1"/>
  <c r="W491" i="1"/>
  <c r="X491" i="1" s="1"/>
  <c r="Y491" i="1" s="1"/>
  <c r="Z491" i="1" s="1"/>
  <c r="AA491" i="1" s="1"/>
  <c r="W493" i="1"/>
  <c r="X493" i="1" s="1"/>
  <c r="W495" i="1"/>
  <c r="X495" i="1" s="1"/>
  <c r="AD513" i="1"/>
  <c r="AM513" i="1" s="1"/>
  <c r="W513" i="1"/>
  <c r="X513" i="1" s="1"/>
  <c r="W602" i="1"/>
  <c r="X602" i="1" s="1"/>
  <c r="W608" i="1"/>
  <c r="X608" i="1" s="1"/>
  <c r="W616" i="1"/>
  <c r="X616" i="1" s="1"/>
  <c r="AD66" i="1"/>
  <c r="AM66" i="1" s="1"/>
  <c r="W66" i="1"/>
  <c r="AD79" i="1"/>
  <c r="AL79" i="1" s="1"/>
  <c r="W79" i="1"/>
  <c r="X79" i="1" s="1"/>
  <c r="Y79" i="1" s="1"/>
  <c r="Z79" i="1" s="1"/>
  <c r="AA79" i="1" s="1"/>
  <c r="AD107" i="1"/>
  <c r="AL107" i="1" s="1"/>
  <c r="W107" i="1"/>
  <c r="AD115" i="1"/>
  <c r="AL115" i="1" s="1"/>
  <c r="W115" i="1"/>
  <c r="AD166" i="1"/>
  <c r="AL166" i="1" s="1"/>
  <c r="W166" i="1"/>
  <c r="AD170" i="1"/>
  <c r="AL170" i="1" s="1"/>
  <c r="W170" i="1"/>
  <c r="AD190" i="1"/>
  <c r="AL190" i="1" s="1"/>
  <c r="W190" i="1"/>
  <c r="X190" i="1" s="1"/>
  <c r="Y190" i="1" s="1"/>
  <c r="Z190" i="1" s="1"/>
  <c r="AA190" i="1" s="1"/>
  <c r="AD239" i="1"/>
  <c r="AL239" i="1" s="1"/>
  <c r="W239" i="1"/>
  <c r="W269" i="1"/>
  <c r="X269" i="1" s="1"/>
  <c r="AD273" i="1"/>
  <c r="AL273" i="1" s="1"/>
  <c r="W273" i="1"/>
  <c r="X273" i="1" s="1"/>
  <c r="AD275" i="1"/>
  <c r="AM275" i="1" s="1"/>
  <c r="W275" i="1"/>
  <c r="X275" i="1" s="1"/>
  <c r="AD280" i="1"/>
  <c r="AL280" i="1" s="1"/>
  <c r="W280" i="1"/>
  <c r="X280" i="1" s="1"/>
  <c r="Y280" i="1" s="1"/>
  <c r="Z280" i="1" s="1"/>
  <c r="AA280" i="1" s="1"/>
  <c r="W286" i="1"/>
  <c r="X286" i="1" s="1"/>
  <c r="W290" i="1"/>
  <c r="X290" i="1" s="1"/>
  <c r="W292" i="1"/>
  <c r="X292" i="1" s="1"/>
  <c r="W346" i="1"/>
  <c r="X346" i="1" s="1"/>
  <c r="Y346" i="1" s="1"/>
  <c r="Z346" i="1" s="1"/>
  <c r="AA346" i="1" s="1"/>
  <c r="W350" i="1"/>
  <c r="X350" i="1" s="1"/>
  <c r="W352" i="1"/>
  <c r="X352" i="1" s="1"/>
  <c r="Y352" i="1" s="1"/>
  <c r="Z352" i="1" s="1"/>
  <c r="AA352" i="1" s="1"/>
  <c r="W356" i="1"/>
  <c r="X356" i="1" s="1"/>
  <c r="Y356" i="1" s="1"/>
  <c r="Z356" i="1" s="1"/>
  <c r="AA356" i="1" s="1"/>
  <c r="W360" i="1"/>
  <c r="X360" i="1" s="1"/>
  <c r="Y360" i="1" s="1"/>
  <c r="Z360" i="1" s="1"/>
  <c r="AA360" i="1" s="1"/>
  <c r="W363" i="1"/>
  <c r="X363" i="1" s="1"/>
  <c r="Y363" i="1" s="1"/>
  <c r="Z363" i="1" s="1"/>
  <c r="AA363" i="1" s="1"/>
  <c r="W369" i="1"/>
  <c r="X369" i="1" s="1"/>
  <c r="Y369" i="1" s="1"/>
  <c r="Z369" i="1" s="1"/>
  <c r="AA369" i="1" s="1"/>
  <c r="W371" i="1"/>
  <c r="X371" i="1" s="1"/>
  <c r="W374" i="1"/>
  <c r="X374" i="1" s="1"/>
  <c r="Y374" i="1" s="1"/>
  <c r="Z374" i="1" s="1"/>
  <c r="AA374" i="1" s="1"/>
  <c r="W376" i="1"/>
  <c r="X376" i="1" s="1"/>
  <c r="Y376" i="1" s="1"/>
  <c r="Z376" i="1" s="1"/>
  <c r="AA376" i="1" s="1"/>
  <c r="W378" i="1"/>
  <c r="X378" i="1" s="1"/>
  <c r="Y378" i="1" s="1"/>
  <c r="Z378" i="1" s="1"/>
  <c r="AA378" i="1" s="1"/>
  <c r="W386" i="1"/>
  <c r="X386" i="1" s="1"/>
  <c r="Y386" i="1" s="1"/>
  <c r="Z386" i="1" s="1"/>
  <c r="AA386" i="1" s="1"/>
  <c r="W388" i="1"/>
  <c r="X388" i="1" s="1"/>
  <c r="W394" i="1"/>
  <c r="X394" i="1" s="1"/>
  <c r="Y394" i="1" s="1"/>
  <c r="Z394" i="1" s="1"/>
  <c r="AA394" i="1" s="1"/>
  <c r="W396" i="1"/>
  <c r="X396" i="1" s="1"/>
  <c r="Y396" i="1" s="1"/>
  <c r="Z396" i="1" s="1"/>
  <c r="AA396" i="1" s="1"/>
  <c r="AD436" i="1"/>
  <c r="AM436" i="1" s="1"/>
  <c r="W436" i="1"/>
  <c r="X436" i="1" s="1"/>
  <c r="AD441" i="1"/>
  <c r="AM441" i="1" s="1"/>
  <c r="W441" i="1"/>
  <c r="X441" i="1" s="1"/>
  <c r="AD442" i="1"/>
  <c r="AM442" i="1" s="1"/>
  <c r="W442" i="1"/>
  <c r="AD443" i="1"/>
  <c r="AL443" i="1" s="1"/>
  <c r="W443" i="1"/>
  <c r="AD446" i="1"/>
  <c r="W446" i="1"/>
  <c r="X446" i="1" s="1"/>
  <c r="W448" i="1"/>
  <c r="X448" i="1" s="1"/>
  <c r="Y448" i="1" s="1"/>
  <c r="Z448" i="1" s="1"/>
  <c r="AA448" i="1" s="1"/>
  <c r="AD450" i="1"/>
  <c r="AM450" i="1" s="1"/>
  <c r="W450" i="1"/>
  <c r="X450" i="1" s="1"/>
  <c r="AD452" i="1"/>
  <c r="AL452" i="1" s="1"/>
  <c r="W452" i="1"/>
  <c r="X452" i="1" s="1"/>
  <c r="AD466" i="1"/>
  <c r="W466" i="1"/>
  <c r="X466" i="1" s="1"/>
  <c r="Y466" i="1" s="1"/>
  <c r="Z466" i="1" s="1"/>
  <c r="AA466" i="1" s="1"/>
  <c r="AD469" i="1"/>
  <c r="AL469" i="1" s="1"/>
  <c r="W469" i="1"/>
  <c r="X469" i="1" s="1"/>
  <c r="AD473" i="1"/>
  <c r="AL473" i="1" s="1"/>
  <c r="W473" i="1"/>
  <c r="AD489" i="1"/>
  <c r="W489" i="1"/>
  <c r="X489" i="1" s="1"/>
  <c r="Y489" i="1" s="1"/>
  <c r="Z489" i="1" s="1"/>
  <c r="AA489" i="1" s="1"/>
  <c r="W502" i="1"/>
  <c r="X502" i="1" s="1"/>
  <c r="AD504" i="1"/>
  <c r="AM504" i="1" s="1"/>
  <c r="W504" i="1"/>
  <c r="W517" i="1"/>
  <c r="X517" i="1" s="1"/>
  <c r="W586" i="1"/>
  <c r="X586" i="1" s="1"/>
  <c r="W525" i="1"/>
  <c r="X525" i="1" s="1"/>
  <c r="AD519" i="1"/>
  <c r="AM519" i="1" s="1"/>
  <c r="W519" i="1"/>
  <c r="X519" i="1" s="1"/>
  <c r="W515" i="1"/>
  <c r="X515" i="1" s="1"/>
  <c r="AD508" i="1"/>
  <c r="AM508" i="1" s="1"/>
  <c r="W508" i="1"/>
  <c r="X508" i="1" s="1"/>
  <c r="W500" i="1"/>
  <c r="X500" i="1" s="1"/>
  <c r="AL483" i="1"/>
  <c r="AM483" i="1"/>
  <c r="AL450" i="1"/>
  <c r="AL446" i="1"/>
  <c r="AM446" i="1"/>
  <c r="AM440" i="1"/>
  <c r="AM438" i="1"/>
  <c r="AM430" i="1"/>
  <c r="AM280" i="1"/>
  <c r="E1" i="8"/>
  <c r="B13" i="8" s="1"/>
  <c r="I13" i="8" s="1"/>
  <c r="AM68" i="1"/>
  <c r="AL66" i="1"/>
  <c r="AL519" i="1"/>
  <c r="AL511" i="1"/>
  <c r="AL508" i="1"/>
  <c r="AL506" i="1"/>
  <c r="AM506" i="1"/>
  <c r="AL495" i="1"/>
  <c r="AM495" i="1"/>
  <c r="AL493" i="1"/>
  <c r="AM493" i="1"/>
  <c r="AL489" i="1"/>
  <c r="AM489" i="1"/>
  <c r="AD481" i="1"/>
  <c r="AL481" i="1" s="1"/>
  <c r="AM475" i="1"/>
  <c r="AM473" i="1"/>
  <c r="AM469" i="1"/>
  <c r="AL466" i="1"/>
  <c r="AM466" i="1"/>
  <c r="AM99" i="1"/>
  <c r="AM158" i="1"/>
  <c r="AM79" i="1"/>
  <c r="AM115" i="1"/>
  <c r="AL231" i="1"/>
  <c r="AL409" i="1"/>
  <c r="AM409" i="1"/>
  <c r="AD426" i="1"/>
  <c r="AL426" i="1" s="1"/>
  <c r="AL444" i="1"/>
  <c r="AL442" i="1"/>
  <c r="AL441" i="1"/>
  <c r="AL439" i="1"/>
  <c r="AL436" i="1"/>
  <c r="AL434" i="1"/>
  <c r="AM434" i="1"/>
  <c r="AL433" i="1"/>
  <c r="AL431" i="1"/>
  <c r="AD411" i="1"/>
  <c r="AD406" i="1"/>
  <c r="AD332" i="1"/>
  <c r="AD372" i="1"/>
  <c r="AD396" i="1"/>
  <c r="AD284" i="1"/>
  <c r="AD344" i="1"/>
  <c r="AD346" i="1"/>
  <c r="AD398" i="1"/>
  <c r="AD390" i="1"/>
  <c r="AD334" i="1"/>
  <c r="AD282" i="1"/>
  <c r="AD286" i="1"/>
  <c r="AD315" i="1"/>
  <c r="AD305" i="1"/>
  <c r="AD288" i="1"/>
  <c r="AD572" i="1"/>
  <c r="AD641" i="1"/>
  <c r="AD705" i="1"/>
  <c r="AD554" i="1"/>
  <c r="AD599" i="1"/>
  <c r="AD637" i="1"/>
  <c r="AD650" i="1"/>
  <c r="AD662" i="1"/>
  <c r="AD692" i="1"/>
  <c r="AD394" i="1"/>
  <c r="AD407" i="1"/>
  <c r="AD477" i="1"/>
  <c r="AD491" i="1"/>
  <c r="AD532" i="1"/>
  <c r="AD534" i="1"/>
  <c r="AD536" i="1"/>
  <c r="AD563" i="1"/>
  <c r="AD586" i="1"/>
  <c r="AD605" i="1"/>
  <c r="AD635" i="1"/>
  <c r="AD639" i="1"/>
  <c r="AD644" i="1"/>
  <c r="AD652" i="1"/>
  <c r="AD656" i="1"/>
  <c r="AD668" i="1"/>
  <c r="AD684" i="1"/>
  <c r="AD717" i="1"/>
  <c r="AD716" i="1"/>
  <c r="AD715" i="1"/>
  <c r="AD714" i="1"/>
  <c r="AD713" i="1"/>
  <c r="AD711" i="1"/>
  <c r="AD710" i="1"/>
  <c r="AD709" i="1"/>
  <c r="AD416" i="1"/>
  <c r="AD419" i="1"/>
  <c r="AD462" i="1"/>
  <c r="AD550" i="1"/>
  <c r="AD558" i="1"/>
  <c r="AD566" i="1"/>
  <c r="AD578" i="1"/>
  <c r="AD594" i="1"/>
  <c r="AD603" i="1"/>
  <c r="AD634" i="1"/>
  <c r="AD636" i="1"/>
  <c r="AD638" i="1"/>
  <c r="AD640" i="1"/>
  <c r="AD642" i="1"/>
  <c r="AD648" i="1"/>
  <c r="AD651" i="1"/>
  <c r="AD653" i="1"/>
  <c r="AD655" i="1"/>
  <c r="AD658" i="1"/>
  <c r="AD667" i="1"/>
  <c r="AD673" i="1"/>
  <c r="AD680" i="1"/>
  <c r="AD689" i="1"/>
  <c r="AD703" i="1"/>
  <c r="AD701" i="1"/>
  <c r="AD699" i="1"/>
  <c r="AD697" i="1"/>
  <c r="AD696" i="1"/>
  <c r="AD698" i="1"/>
  <c r="AD700" i="1"/>
  <c r="AD695" i="1"/>
  <c r="AD693" i="1"/>
  <c r="AD691" i="1"/>
  <c r="AD688" i="1"/>
  <c r="AD686" i="1"/>
  <c r="AD685" i="1"/>
  <c r="AD683" i="1"/>
  <c r="AD681" i="1"/>
  <c r="AD707" i="1"/>
  <c r="AD706" i="1"/>
  <c r="AD678" i="1"/>
  <c r="AD676" i="1"/>
  <c r="AD675" i="1"/>
  <c r="AD671" i="1"/>
  <c r="AD669" i="1"/>
  <c r="AD666" i="1"/>
  <c r="AD665" i="1"/>
  <c r="AD664" i="1"/>
  <c r="AD661" i="1"/>
  <c r="AD660" i="1"/>
  <c r="AD659" i="1"/>
  <c r="AD647" i="1"/>
  <c r="AD645" i="1"/>
  <c r="AD646" i="1"/>
  <c r="AD631" i="1"/>
  <c r="AD630" i="1"/>
  <c r="AD629" i="1"/>
  <c r="AD628" i="1"/>
  <c r="AD627" i="1"/>
  <c r="AD626" i="1"/>
  <c r="AD625" i="1"/>
  <c r="AD624" i="1"/>
  <c r="AD623" i="1"/>
  <c r="AD622" i="1"/>
  <c r="AD621" i="1"/>
  <c r="AD619" i="1"/>
  <c r="AD618" i="1"/>
  <c r="AD617" i="1"/>
  <c r="AD616" i="1"/>
  <c r="AD615" i="1"/>
  <c r="AD614" i="1"/>
  <c r="AD612" i="1"/>
  <c r="AD611" i="1"/>
  <c r="AD610" i="1"/>
  <c r="AD609" i="1"/>
  <c r="AD608" i="1"/>
  <c r="AD606" i="1"/>
  <c r="AD604" i="1"/>
  <c r="AD602" i="1"/>
  <c r="AD601" i="1"/>
  <c r="AD600" i="1"/>
  <c r="AD597" i="1"/>
  <c r="AD595" i="1"/>
  <c r="AD593" i="1"/>
  <c r="AD369" i="1"/>
  <c r="AD404" i="1"/>
  <c r="AD405" i="1"/>
  <c r="AD408" i="1"/>
  <c r="AD415" i="1"/>
  <c r="AD429" i="1"/>
  <c r="AD512" i="1"/>
  <c r="AD515" i="1"/>
  <c r="AD546" i="1"/>
  <c r="AD552" i="1"/>
  <c r="AD556" i="1"/>
  <c r="AD562" i="1"/>
  <c r="AD564" i="1"/>
  <c r="AD567" i="1"/>
  <c r="AD574" i="1"/>
  <c r="AD585" i="1"/>
  <c r="AD587" i="1"/>
  <c r="AD591" i="1"/>
  <c r="AD589" i="1"/>
  <c r="AD583" i="1"/>
  <c r="AD581" i="1"/>
  <c r="AD579" i="1"/>
  <c r="AD577" i="1"/>
  <c r="AD575" i="1"/>
  <c r="AD570" i="1"/>
  <c r="AD569" i="1"/>
  <c r="AD560" i="1"/>
  <c r="AD559" i="1"/>
  <c r="AD555" i="1"/>
  <c r="AD553" i="1"/>
  <c r="AD549" i="1"/>
  <c r="AD548" i="1"/>
  <c r="AD547" i="1"/>
  <c r="AD545" i="1"/>
  <c r="AD544" i="1"/>
  <c r="AD543" i="1"/>
  <c r="AD542" i="1"/>
  <c r="AD541" i="1"/>
  <c r="AD540" i="1"/>
  <c r="AD538" i="1"/>
  <c r="AD537" i="1"/>
  <c r="AD531" i="1"/>
  <c r="AD529" i="1"/>
  <c r="AD525" i="1"/>
  <c r="AD524" i="1"/>
  <c r="AD520" i="1"/>
  <c r="AD518" i="1"/>
  <c r="AD516" i="1"/>
  <c r="AD517" i="1"/>
  <c r="AD502" i="1"/>
  <c r="AD501" i="1"/>
  <c r="AD500" i="1"/>
  <c r="AD498" i="1"/>
  <c r="AD487" i="1"/>
  <c r="AD485" i="1"/>
  <c r="AD484" i="1"/>
  <c r="AD482" i="1"/>
  <c r="AD480" i="1"/>
  <c r="AD479" i="1"/>
  <c r="AD474" i="1"/>
  <c r="AD464" i="1"/>
  <c r="AD460" i="1"/>
  <c r="AD458" i="1"/>
  <c r="AD456" i="1"/>
  <c r="AD454" i="1"/>
  <c r="AD451" i="1"/>
  <c r="AD448" i="1"/>
  <c r="AD447" i="1"/>
  <c r="AD445" i="1"/>
  <c r="AD437" i="1"/>
  <c r="AD428" i="1"/>
  <c r="AD427" i="1"/>
  <c r="AD425" i="1"/>
  <c r="AD424" i="1"/>
  <c r="AD423" i="1"/>
  <c r="AD422" i="1"/>
  <c r="AD421" i="1"/>
  <c r="AD420" i="1"/>
  <c r="AD418" i="1"/>
  <c r="AD413" i="1"/>
  <c r="AD340" i="1"/>
  <c r="AD342" i="1"/>
  <c r="AD380" i="1"/>
  <c r="AD399" i="1"/>
  <c r="AD392" i="1"/>
  <c r="AD388" i="1"/>
  <c r="AD386" i="1"/>
  <c r="AD384" i="1"/>
  <c r="AD382" i="1"/>
  <c r="AD378" i="1"/>
  <c r="AD376" i="1"/>
  <c r="AD374" i="1"/>
  <c r="AD353" i="1"/>
  <c r="AD354" i="1"/>
  <c r="AD358" i="1"/>
  <c r="AD360" i="1"/>
  <c r="AD363" i="1"/>
  <c r="AD348" i="1"/>
  <c r="AD352" i="1"/>
  <c r="AD355" i="1"/>
  <c r="AD356" i="1"/>
  <c r="AD366" i="1"/>
  <c r="AD371" i="1"/>
  <c r="AD350" i="1"/>
  <c r="AD338" i="1"/>
  <c r="AD336" i="1"/>
  <c r="X160" i="1"/>
  <c r="Y160" i="1" s="1"/>
  <c r="Z160" i="1" s="1"/>
  <c r="AA160" i="1" s="1"/>
  <c r="X303" i="1"/>
  <c r="X313" i="1"/>
  <c r="Y313" i="1" s="1"/>
  <c r="Z313" i="1" s="1"/>
  <c r="AA313" i="1" s="1"/>
  <c r="X317" i="1"/>
  <c r="X319" i="1"/>
  <c r="X321" i="1"/>
  <c r="X328" i="1"/>
  <c r="Y328" i="1" s="1"/>
  <c r="Z328" i="1" s="1"/>
  <c r="AA328" i="1" s="1"/>
  <c r="X323" i="1"/>
  <c r="X325" i="1"/>
  <c r="Y325" i="1" s="1"/>
  <c r="Z325" i="1" s="1"/>
  <c r="AA325" i="1" s="1"/>
  <c r="AD319" i="1"/>
  <c r="AD271" i="1"/>
  <c r="AD328" i="1"/>
  <c r="AD330" i="1"/>
  <c r="AD160" i="1"/>
  <c r="AD269" i="1"/>
  <c r="AD290" i="1"/>
  <c r="AD296" i="1"/>
  <c r="AD299" i="1"/>
  <c r="AD322" i="1"/>
  <c r="AD325" i="1"/>
  <c r="AD321" i="1"/>
  <c r="AD323" i="1"/>
  <c r="AD317" i="1"/>
  <c r="AD307" i="1"/>
  <c r="AD313" i="1"/>
  <c r="AD312" i="1"/>
  <c r="AD311" i="1"/>
  <c r="AD309" i="1"/>
  <c r="AD303" i="1"/>
  <c r="AD301" i="1"/>
  <c r="AD294" i="1"/>
  <c r="AD292" i="1"/>
  <c r="AD225" i="1"/>
  <c r="AH539" i="1"/>
  <c r="AH561" i="1"/>
  <c r="AH643" i="1"/>
  <c r="AH649" i="1"/>
  <c r="AH657" i="1"/>
  <c r="AH663" i="1"/>
  <c r="AH677" i="1"/>
  <c r="AH679" i="1"/>
  <c r="AH708" i="1"/>
  <c r="AH687" i="1"/>
  <c r="AH580" i="1"/>
  <c r="AH592" i="1"/>
  <c r="AH598" i="1"/>
  <c r="AH607" i="1"/>
  <c r="AH613" i="1"/>
  <c r="AH620" i="1"/>
  <c r="AH632" i="1"/>
  <c r="AH670" i="1"/>
  <c r="AH672" i="1"/>
  <c r="AH674" i="1"/>
  <c r="AH682" i="1"/>
  <c r="AH690" i="1"/>
  <c r="AH694" i="1"/>
  <c r="AH702" i="1"/>
  <c r="AH704" i="1"/>
  <c r="AH712" i="1"/>
  <c r="AD174" i="1"/>
  <c r="AD176" i="1"/>
  <c r="AD215" i="1"/>
  <c r="AD144" i="1"/>
  <c r="AD8" i="1"/>
  <c r="AF539" i="1"/>
  <c r="AF561" i="1"/>
  <c r="AC592" i="1"/>
  <c r="AC598" i="1"/>
  <c r="AF607" i="1"/>
  <c r="AF643" i="1"/>
  <c r="AF649" i="1"/>
  <c r="AF657" i="1"/>
  <c r="AF663" i="1"/>
  <c r="AF679" i="1"/>
  <c r="AF708" i="1"/>
  <c r="AF687" i="1"/>
  <c r="AC580" i="1"/>
  <c r="AC620" i="1"/>
  <c r="AC632" i="1"/>
  <c r="AC670" i="1"/>
  <c r="AC672" i="1"/>
  <c r="AC674" i="1"/>
  <c r="AC682" i="1"/>
  <c r="AC690" i="1"/>
  <c r="AC694" i="1"/>
  <c r="AF702" i="1"/>
  <c r="AF704" i="1"/>
  <c r="AF712" i="1"/>
  <c r="AD31" i="1"/>
  <c r="AD10" i="1"/>
  <c r="AD56" i="1"/>
  <c r="X56" i="1"/>
  <c r="AD139" i="1"/>
  <c r="AD141" i="1"/>
  <c r="AD146" i="1"/>
  <c r="AD157" i="1"/>
  <c r="AD159" i="1"/>
  <c r="AD162" i="1"/>
  <c r="X194" i="1"/>
  <c r="AD216" i="1"/>
  <c r="AD222" i="1"/>
  <c r="X222" i="1"/>
  <c r="Y222" i="1" s="1"/>
  <c r="AD226" i="1"/>
  <c r="AD260" i="1"/>
  <c r="X260" i="1"/>
  <c r="Y260" i="1" s="1"/>
  <c r="AD266" i="1"/>
  <c r="X266" i="1"/>
  <c r="Y266" i="1" s="1"/>
  <c r="AD9" i="1"/>
  <c r="AD28" i="1"/>
  <c r="X28" i="1"/>
  <c r="X55" i="1"/>
  <c r="AD57" i="1"/>
  <c r="X57" i="1"/>
  <c r="AD71" i="1"/>
  <c r="X71" i="1"/>
  <c r="Y71" i="1" s="1"/>
  <c r="Z71" i="1" s="1"/>
  <c r="AA71" i="1" s="1"/>
  <c r="AD73" i="1"/>
  <c r="X73" i="1"/>
  <c r="AD136" i="1"/>
  <c r="X136" i="1"/>
  <c r="AD151" i="1"/>
  <c r="X151" i="1"/>
  <c r="AD153" i="1"/>
  <c r="X153" i="1"/>
  <c r="AD156" i="1"/>
  <c r="X156" i="1"/>
  <c r="AD161" i="1"/>
  <c r="X161" i="1"/>
  <c r="AD195" i="1"/>
  <c r="AD221" i="1"/>
  <c r="AD227" i="1"/>
  <c r="AD228" i="1"/>
  <c r="AD250" i="1"/>
  <c r="X250" i="1"/>
  <c r="AD265" i="1"/>
  <c r="AD267" i="1"/>
  <c r="AD6" i="1"/>
  <c r="AD7" i="1"/>
  <c r="AD52" i="1"/>
  <c r="X52" i="1"/>
  <c r="X53" i="1"/>
  <c r="AD59" i="1"/>
  <c r="X59" i="1"/>
  <c r="AD60" i="1"/>
  <c r="X60" i="1"/>
  <c r="Y60" i="1" s="1"/>
  <c r="Z60" i="1" s="1"/>
  <c r="AA60" i="1" s="1"/>
  <c r="AD61" i="1"/>
  <c r="X61" i="1"/>
  <c r="AD138" i="1"/>
  <c r="X138" i="1"/>
  <c r="AD143" i="1"/>
  <c r="X143" i="1"/>
  <c r="AD145" i="1"/>
  <c r="X145" i="1"/>
  <c r="AD147" i="1"/>
  <c r="X147" i="1"/>
  <c r="AD149" i="1"/>
  <c r="X149" i="1"/>
  <c r="AD150" i="1"/>
  <c r="X150" i="1"/>
  <c r="Y150" i="1" s="1"/>
  <c r="Z150" i="1" s="1"/>
  <c r="AA150" i="1" s="1"/>
  <c r="AD154" i="1"/>
  <c r="AD155" i="1"/>
  <c r="AD163" i="1"/>
  <c r="X163" i="1"/>
  <c r="AD165" i="1"/>
  <c r="AD196" i="1"/>
  <c r="AD197" i="1"/>
  <c r="X197" i="1"/>
  <c r="Y197" i="1" s="1"/>
  <c r="AD198" i="1"/>
  <c r="X198" i="1"/>
  <c r="AD217" i="1"/>
  <c r="AD219" i="1"/>
  <c r="X219" i="1"/>
  <c r="AD220" i="1"/>
  <c r="X220" i="1"/>
  <c r="AD224" i="1"/>
  <c r="X224" i="1"/>
  <c r="X229" i="1"/>
  <c r="AD232" i="1"/>
  <c r="X232" i="1"/>
  <c r="Y232" i="1" s="1"/>
  <c r="AD233" i="1"/>
  <c r="X233" i="1"/>
  <c r="AD234" i="1"/>
  <c r="X234" i="1"/>
  <c r="Y234" i="1" s="1"/>
  <c r="Z234" i="1" s="1"/>
  <c r="AA234" i="1" s="1"/>
  <c r="X235" i="1"/>
  <c r="AD236" i="1"/>
  <c r="X237" i="1"/>
  <c r="AD246" i="1"/>
  <c r="X246" i="1"/>
  <c r="Y246" i="1" s="1"/>
  <c r="Z246" i="1" s="1"/>
  <c r="AA246" i="1" s="1"/>
  <c r="X247" i="1"/>
  <c r="Y247" i="1" s="1"/>
  <c r="Z247" i="1" s="1"/>
  <c r="AA247" i="1" s="1"/>
  <c r="AD248" i="1"/>
  <c r="AD249" i="1"/>
  <c r="X249" i="1"/>
  <c r="Y249" i="1" s="1"/>
  <c r="Z249" i="1" s="1"/>
  <c r="AA249" i="1" s="1"/>
  <c r="AD251" i="1"/>
  <c r="AD252" i="1"/>
  <c r="AD254" i="1"/>
  <c r="AD256" i="1"/>
  <c r="X256" i="1"/>
  <c r="AD258" i="1"/>
  <c r="X261" i="1"/>
  <c r="AD262" i="1"/>
  <c r="X262" i="1"/>
  <c r="Y262" i="1" s="1"/>
  <c r="X263" i="1"/>
  <c r="Y263" i="1" s="1"/>
  <c r="Z263" i="1" s="1"/>
  <c r="AA263" i="1" s="1"/>
  <c r="AD264" i="1"/>
  <c r="AD103" i="1"/>
  <c r="AD120" i="1"/>
  <c r="AD125" i="1"/>
  <c r="AD194" i="1"/>
  <c r="AD209" i="1"/>
  <c r="AD211" i="1"/>
  <c r="AD255" i="1"/>
  <c r="AD259" i="1"/>
  <c r="AD261" i="1"/>
  <c r="X63" i="1"/>
  <c r="Y63" i="1" s="1"/>
  <c r="Z63" i="1" s="1"/>
  <c r="AA63" i="1" s="1"/>
  <c r="AD64" i="1"/>
  <c r="X64" i="1"/>
  <c r="Y64" i="1" s="1"/>
  <c r="AD34" i="1"/>
  <c r="X34" i="1"/>
  <c r="X35" i="1"/>
  <c r="Y35" i="1" s="1"/>
  <c r="Z35" i="1" s="1"/>
  <c r="AA35" i="1" s="1"/>
  <c r="AD37" i="1"/>
  <c r="X37" i="1"/>
  <c r="AD74" i="1"/>
  <c r="X74" i="1"/>
  <c r="Y74" i="1" s="1"/>
  <c r="Z74" i="1" s="1"/>
  <c r="AA74" i="1" s="1"/>
  <c r="AD76" i="1"/>
  <c r="X76" i="1"/>
  <c r="AD78" i="1"/>
  <c r="X78" i="1"/>
  <c r="Y78" i="1" s="1"/>
  <c r="Z78" i="1" s="1"/>
  <c r="AA78" i="1" s="1"/>
  <c r="X83" i="1"/>
  <c r="Y83" i="1" s="1"/>
  <c r="Z83" i="1" s="1"/>
  <c r="AA83" i="1" s="1"/>
  <c r="X85" i="1"/>
  <c r="Y85" i="1" s="1"/>
  <c r="Z85" i="1" s="1"/>
  <c r="AA85" i="1" s="1"/>
  <c r="AD108" i="1"/>
  <c r="X108" i="1"/>
  <c r="Y108" i="1" s="1"/>
  <c r="AD110" i="1"/>
  <c r="X134" i="1"/>
  <c r="Y134" i="1" s="1"/>
  <c r="Z134" i="1" s="1"/>
  <c r="AA134" i="1" s="1"/>
  <c r="X3" i="1"/>
  <c r="AD4" i="1"/>
  <c r="AD55" i="1"/>
  <c r="AD63" i="1"/>
  <c r="AD33" i="1"/>
  <c r="AD36" i="1"/>
  <c r="X36" i="1"/>
  <c r="AD65" i="1"/>
  <c r="X65" i="1"/>
  <c r="Y65" i="1" s="1"/>
  <c r="AD30" i="1"/>
  <c r="X30" i="1"/>
  <c r="Y30" i="1" s="1"/>
  <c r="Z30" i="1" s="1"/>
  <c r="AA30" i="1" s="1"/>
  <c r="AD32" i="1"/>
  <c r="X32" i="1"/>
  <c r="AD69" i="1"/>
  <c r="AD80" i="1"/>
  <c r="X80" i="1"/>
  <c r="Y80" i="1" s="1"/>
  <c r="Z80" i="1" s="1"/>
  <c r="AA80" i="1" s="1"/>
  <c r="X81" i="1"/>
  <c r="Y81" i="1" s="1"/>
  <c r="Z81" i="1" s="1"/>
  <c r="AA81" i="1" s="1"/>
  <c r="AD82" i="1"/>
  <c r="X82" i="1"/>
  <c r="AD83" i="1"/>
  <c r="AD89" i="1"/>
  <c r="AD90" i="1"/>
  <c r="AD91" i="1"/>
  <c r="AD92" i="1"/>
  <c r="X92" i="1"/>
  <c r="Y92" i="1" s="1"/>
  <c r="AD93" i="1"/>
  <c r="AD94" i="1"/>
  <c r="X94" i="1"/>
  <c r="Y94" i="1" s="1"/>
  <c r="Z94" i="1" s="1"/>
  <c r="AA94" i="1" s="1"/>
  <c r="AD95" i="1"/>
  <c r="AD96" i="1"/>
  <c r="X96" i="1"/>
  <c r="X105" i="1"/>
  <c r="AD106" i="1"/>
  <c r="X106" i="1"/>
  <c r="X111" i="1"/>
  <c r="Y111" i="1" s="1"/>
  <c r="Z111" i="1" s="1"/>
  <c r="AA111" i="1" s="1"/>
  <c r="X115" i="1"/>
  <c r="Y115" i="1" s="1"/>
  <c r="Z115" i="1" s="1"/>
  <c r="AA115" i="1" s="1"/>
  <c r="AD118" i="1"/>
  <c r="X118" i="1"/>
  <c r="AD122" i="1"/>
  <c r="AD124" i="1"/>
  <c r="AD127" i="1"/>
  <c r="X127" i="1"/>
  <c r="AD131" i="1"/>
  <c r="AD133" i="1"/>
  <c r="AD134" i="1"/>
  <c r="AD167" i="1"/>
  <c r="AD169" i="1"/>
  <c r="AD181" i="1"/>
  <c r="AD182" i="1"/>
  <c r="X182" i="1"/>
  <c r="AD184" i="1"/>
  <c r="AD185" i="1"/>
  <c r="AD186" i="1"/>
  <c r="AD188" i="1"/>
  <c r="AD189" i="1"/>
  <c r="AD192" i="1"/>
  <c r="X192" i="1"/>
  <c r="Y192" i="1" s="1"/>
  <c r="Z192" i="1" s="1"/>
  <c r="AA192" i="1" s="1"/>
  <c r="AD193" i="1"/>
  <c r="X193" i="1"/>
  <c r="Y193" i="1" s="1"/>
  <c r="AD200" i="1"/>
  <c r="X200" i="1"/>
  <c r="Y200" i="1" s="1"/>
  <c r="Z200" i="1" s="1"/>
  <c r="AA200" i="1" s="1"/>
  <c r="AD206" i="1"/>
  <c r="X206" i="1"/>
  <c r="Y206" i="1" s="1"/>
  <c r="AD213" i="1"/>
  <c r="AD235" i="1"/>
  <c r="AD238" i="1"/>
  <c r="AD242" i="1"/>
  <c r="X245" i="1"/>
  <c r="Y245" i="1" s="1"/>
  <c r="Z245" i="1" s="1"/>
  <c r="AA245" i="1" s="1"/>
  <c r="AD247" i="1"/>
  <c r="AD274" i="1"/>
  <c r="X274" i="1"/>
  <c r="Y274" i="1" s="1"/>
  <c r="Z274" i="1" s="1"/>
  <c r="AA274" i="1" s="1"/>
  <c r="AD278" i="1"/>
  <c r="AD281" i="1"/>
  <c r="AD283" i="1"/>
  <c r="AD285" i="1"/>
  <c r="AD287" i="1"/>
  <c r="X287" i="1"/>
  <c r="AD289" i="1"/>
  <c r="AD291" i="1"/>
  <c r="AD293" i="1"/>
  <c r="AD295" i="1"/>
  <c r="AD302" i="1"/>
  <c r="AD304" i="1"/>
  <c r="AD306" i="1"/>
  <c r="AD310" i="1"/>
  <c r="AD410" i="1"/>
  <c r="X410" i="1"/>
  <c r="AD412" i="1"/>
  <c r="X412" i="1"/>
  <c r="AD414" i="1"/>
  <c r="X414" i="1"/>
  <c r="X434" i="1"/>
  <c r="X443" i="1"/>
  <c r="Y443" i="1" s="1"/>
  <c r="Z443" i="1" s="1"/>
  <c r="AA443" i="1" s="1"/>
  <c r="AD449" i="1"/>
  <c r="X449" i="1"/>
  <c r="AD453" i="1"/>
  <c r="AD455" i="1"/>
  <c r="AD457" i="1"/>
  <c r="AD461" i="1"/>
  <c r="AD468" i="1"/>
  <c r="X468" i="1"/>
  <c r="X471" i="1"/>
  <c r="AD472" i="1"/>
  <c r="X475" i="1"/>
  <c r="AD476" i="1"/>
  <c r="AD478" i="1"/>
  <c r="AD490" i="1"/>
  <c r="AD492" i="1"/>
  <c r="X492" i="1"/>
  <c r="Y492" i="1" s="1"/>
  <c r="Z492" i="1" s="1"/>
  <c r="AA492" i="1" s="1"/>
  <c r="AD494" i="1"/>
  <c r="AD496" i="1"/>
  <c r="AD497" i="1"/>
  <c r="AD499" i="1"/>
  <c r="AD503" i="1"/>
  <c r="X506" i="1"/>
  <c r="AD507" i="1"/>
  <c r="X507" i="1"/>
  <c r="X511" i="1"/>
  <c r="Y511" i="1" s="1"/>
  <c r="Z511" i="1" s="1"/>
  <c r="AA511" i="1" s="1"/>
  <c r="AD521" i="1"/>
  <c r="X521" i="1"/>
  <c r="AD522" i="1"/>
  <c r="X522" i="1"/>
  <c r="AD523" i="1"/>
  <c r="X523" i="1"/>
  <c r="AD526" i="1"/>
  <c r="X526" i="1"/>
  <c r="AD528" i="1"/>
  <c r="X528" i="1"/>
  <c r="Y528" i="1" s="1"/>
  <c r="AD530" i="1"/>
  <c r="AD70" i="1"/>
  <c r="AD84" i="1"/>
  <c r="X84" i="1"/>
  <c r="AD86" i="1"/>
  <c r="X86" i="1"/>
  <c r="X107" i="1"/>
  <c r="AD114" i="1"/>
  <c r="X114" i="1"/>
  <c r="X170" i="1"/>
  <c r="AD173" i="1"/>
  <c r="X173" i="1"/>
  <c r="AD175" i="1"/>
  <c r="X175" i="1"/>
  <c r="Y175" i="1" s="1"/>
  <c r="Z175" i="1" s="1"/>
  <c r="AA175" i="1" s="1"/>
  <c r="AD177" i="1"/>
  <c r="AD179" i="1"/>
  <c r="X179" i="1"/>
  <c r="Y179" i="1" s="1"/>
  <c r="Z179" i="1" s="1"/>
  <c r="AA179" i="1" s="1"/>
  <c r="AD201" i="1"/>
  <c r="AD202" i="1"/>
  <c r="X202" i="1"/>
  <c r="AD204" i="1"/>
  <c r="AD208" i="1"/>
  <c r="X208" i="1"/>
  <c r="Y208" i="1" s="1"/>
  <c r="AD210" i="1"/>
  <c r="X210" i="1"/>
  <c r="Y210" i="1" s="1"/>
  <c r="AD240" i="1"/>
  <c r="X240" i="1"/>
  <c r="AD244" i="1"/>
  <c r="X244" i="1"/>
  <c r="AD268" i="1"/>
  <c r="X268" i="1"/>
  <c r="AD270" i="1"/>
  <c r="X270" i="1"/>
  <c r="Y270" i="1" s="1"/>
  <c r="AD272" i="1"/>
  <c r="X272" i="1"/>
  <c r="Y272" i="1" s="1"/>
  <c r="AD276" i="1"/>
  <c r="X276" i="1"/>
  <c r="Y276" i="1" s="1"/>
  <c r="AD279" i="1"/>
  <c r="AD314" i="1"/>
  <c r="AD326" i="1"/>
  <c r="X326" i="1"/>
  <c r="Y326" i="1" s="1"/>
  <c r="AD333" i="1"/>
  <c r="X333" i="1"/>
  <c r="Y333" i="1" s="1"/>
  <c r="Z333" i="1" s="1"/>
  <c r="AA333" i="1" s="1"/>
  <c r="AD335" i="1"/>
  <c r="X335" i="1"/>
  <c r="AD347" i="1"/>
  <c r="X347" i="1"/>
  <c r="AD351" i="1"/>
  <c r="X351" i="1"/>
  <c r="AD357" i="1"/>
  <c r="X357" i="1"/>
  <c r="Y357" i="1" s="1"/>
  <c r="Z357" i="1" s="1"/>
  <c r="AA357" i="1" s="1"/>
  <c r="AD359" i="1"/>
  <c r="X359" i="1"/>
  <c r="AD375" i="1"/>
  <c r="X375" i="1"/>
  <c r="AD377" i="1"/>
  <c r="X377" i="1"/>
  <c r="AD379" i="1"/>
  <c r="X379" i="1"/>
  <c r="AD387" i="1"/>
  <c r="X387" i="1"/>
  <c r="AD391" i="1"/>
  <c r="X391" i="1"/>
  <c r="Y391" i="1" s="1"/>
  <c r="Z391" i="1" s="1"/>
  <c r="AA391" i="1" s="1"/>
  <c r="AD393" i="1"/>
  <c r="X393" i="1"/>
  <c r="AD400" i="1"/>
  <c r="X400" i="1"/>
  <c r="AD402" i="1"/>
  <c r="AD403" i="1"/>
  <c r="X403" i="1"/>
  <c r="X435" i="1"/>
  <c r="X438" i="1"/>
  <c r="X442" i="1"/>
  <c r="AD459" i="1"/>
  <c r="X459" i="1"/>
  <c r="AD463" i="1"/>
  <c r="AD465" i="1"/>
  <c r="X465" i="1"/>
  <c r="AD470" i="1"/>
  <c r="X470" i="1"/>
  <c r="X473" i="1"/>
  <c r="Y473" i="1" s="1"/>
  <c r="Z473" i="1" s="1"/>
  <c r="AA473" i="1" s="1"/>
  <c r="X483" i="1"/>
  <c r="AD486" i="1"/>
  <c r="AD488" i="1"/>
  <c r="X488" i="1"/>
  <c r="Y488" i="1" s="1"/>
  <c r="Z488" i="1" s="1"/>
  <c r="AA488" i="1" s="1"/>
  <c r="X504" i="1"/>
  <c r="AD505" i="1"/>
  <c r="X505" i="1"/>
  <c r="Y505" i="1" s="1"/>
  <c r="Z505" i="1" s="1"/>
  <c r="AA505" i="1" s="1"/>
  <c r="AD510" i="1"/>
  <c r="AD514" i="1"/>
  <c r="X514" i="1"/>
  <c r="AD535" i="1"/>
  <c r="X535" i="1"/>
  <c r="X140" i="1"/>
  <c r="AD140" i="1"/>
  <c r="X148" i="1"/>
  <c r="Y148" i="1" s="1"/>
  <c r="Z148" i="1" s="1"/>
  <c r="AA148" i="1" s="1"/>
  <c r="AD148" i="1"/>
  <c r="X164" i="1"/>
  <c r="Y164" i="1" s="1"/>
  <c r="Z164" i="1" s="1"/>
  <c r="AA164" i="1" s="1"/>
  <c r="AD164" i="1"/>
  <c r="X168" i="1"/>
  <c r="Y168" i="1" s="1"/>
  <c r="Z168" i="1" s="1"/>
  <c r="AA168" i="1" s="1"/>
  <c r="AD168" i="1"/>
  <c r="AD191" i="1"/>
  <c r="AD62" i="1"/>
  <c r="AD35" i="1"/>
  <c r="AD67" i="1"/>
  <c r="AD75" i="1"/>
  <c r="AD77" i="1"/>
  <c r="AD81" i="1"/>
  <c r="AD85" i="1"/>
  <c r="AD87" i="1"/>
  <c r="AD97" i="1"/>
  <c r="AD101" i="1"/>
  <c r="AD105" i="1"/>
  <c r="AD111" i="1"/>
  <c r="AD113" i="1"/>
  <c r="X117" i="1"/>
  <c r="Y117" i="1" s="1"/>
  <c r="Z117" i="1" s="1"/>
  <c r="AA117" i="1" s="1"/>
  <c r="AD117" i="1"/>
  <c r="X121" i="1"/>
  <c r="Y121" i="1" s="1"/>
  <c r="Z121" i="1" s="1"/>
  <c r="AA121" i="1" s="1"/>
  <c r="AD121" i="1"/>
  <c r="X123" i="1"/>
  <c r="Y123" i="1" s="1"/>
  <c r="Z123" i="1" s="1"/>
  <c r="AA123" i="1" s="1"/>
  <c r="AD123" i="1"/>
  <c r="X132" i="1"/>
  <c r="Y132" i="1" s="1"/>
  <c r="Z132" i="1" s="1"/>
  <c r="AA132" i="1" s="1"/>
  <c r="AD132" i="1"/>
  <c r="AD142" i="1"/>
  <c r="X152" i="1"/>
  <c r="Y152" i="1" s="1"/>
  <c r="Z152" i="1" s="1"/>
  <c r="AA152" i="1" s="1"/>
  <c r="AD152" i="1"/>
  <c r="X172" i="1"/>
  <c r="Y172" i="1" s="1"/>
  <c r="Z172" i="1" s="1"/>
  <c r="AA172" i="1" s="1"/>
  <c r="AD172" i="1"/>
  <c r="X178" i="1"/>
  <c r="Y178" i="1" s="1"/>
  <c r="Z178" i="1" s="1"/>
  <c r="AA178" i="1" s="1"/>
  <c r="AD178" i="1"/>
  <c r="X187" i="1"/>
  <c r="Y187" i="1" s="1"/>
  <c r="Z187" i="1" s="1"/>
  <c r="AA187" i="1" s="1"/>
  <c r="AD187" i="1"/>
  <c r="AD205" i="1"/>
  <c r="AD207" i="1"/>
  <c r="X214" i="1"/>
  <c r="Y214" i="1" s="1"/>
  <c r="Z214" i="1" s="1"/>
  <c r="AA214" i="1" s="1"/>
  <c r="AD214" i="1"/>
  <c r="X218" i="1"/>
  <c r="Y218" i="1" s="1"/>
  <c r="Z218" i="1" s="1"/>
  <c r="AA218" i="1" s="1"/>
  <c r="AD218" i="1"/>
  <c r="X223" i="1"/>
  <c r="Y223" i="1" s="1"/>
  <c r="Z223" i="1" s="1"/>
  <c r="AA223" i="1" s="1"/>
  <c r="AD223" i="1"/>
  <c r="AD229" i="1"/>
  <c r="AD230" i="1"/>
  <c r="AD237" i="1"/>
  <c r="AD241" i="1"/>
  <c r="AD245" i="1"/>
  <c r="AD253" i="1"/>
  <c r="AD257" i="1"/>
  <c r="AD263" i="1"/>
  <c r="AD53" i="1"/>
  <c r="AD54" i="1"/>
  <c r="AD29" i="1"/>
  <c r="AD5" i="1"/>
  <c r="X402" i="1"/>
  <c r="AD88" i="1"/>
  <c r="AD100" i="1"/>
  <c r="AD104" i="1"/>
  <c r="AD116" i="1"/>
  <c r="X116" i="1"/>
  <c r="AD298" i="1"/>
  <c r="AD316" i="1"/>
  <c r="AD337" i="1"/>
  <c r="AD381" i="1"/>
  <c r="AD58" i="1"/>
  <c r="X58" i="1"/>
  <c r="Y58" i="1" s="1"/>
  <c r="Z58" i="1" s="1"/>
  <c r="AA58" i="1" s="1"/>
  <c r="AD72" i="1"/>
  <c r="AD98" i="1"/>
  <c r="AD102" i="1"/>
  <c r="AD112" i="1"/>
  <c r="X112" i="1"/>
  <c r="AD300" i="1"/>
  <c r="AD324" i="1"/>
  <c r="AD349" i="1"/>
  <c r="AD389" i="1"/>
  <c r="X570" i="1"/>
  <c r="Y570" i="1" s="1"/>
  <c r="Z570" i="1" s="1"/>
  <c r="AA570" i="1" s="1"/>
  <c r="X594" i="1"/>
  <c r="X562" i="1"/>
  <c r="X578" i="1"/>
  <c r="X29" i="1"/>
  <c r="Y29" i="1" s="1"/>
  <c r="Z29" i="1" s="1"/>
  <c r="AA29" i="1" s="1"/>
  <c r="X142" i="1"/>
  <c r="Y142" i="1" s="1"/>
  <c r="Z142" i="1" s="1"/>
  <c r="AA142" i="1" s="1"/>
  <c r="X211" i="1"/>
  <c r="Y211" i="1" s="1"/>
  <c r="Z211" i="1" s="1"/>
  <c r="AA211" i="1" s="1"/>
  <c r="X253" i="1"/>
  <c r="Y253" i="1" s="1"/>
  <c r="Z253" i="1" s="1"/>
  <c r="AA253" i="1" s="1"/>
  <c r="X398" i="1"/>
  <c r="Y398" i="1" s="1"/>
  <c r="Z398" i="1" s="1"/>
  <c r="AA398" i="1" s="1"/>
  <c r="X399" i="1"/>
  <c r="Y399" i="1" s="1"/>
  <c r="Z399" i="1" s="1"/>
  <c r="AA399" i="1" s="1"/>
  <c r="X458" i="1"/>
  <c r="Y458" i="1" s="1"/>
  <c r="Z458" i="1" s="1"/>
  <c r="AA458" i="1" s="1"/>
  <c r="X462" i="1"/>
  <c r="Y462" i="1" s="1"/>
  <c r="Z462" i="1" s="1"/>
  <c r="AA462" i="1" s="1"/>
  <c r="X464" i="1"/>
  <c r="X146" i="1"/>
  <c r="X176" i="1"/>
  <c r="Y176" i="1" s="1"/>
  <c r="Z176" i="1" s="1"/>
  <c r="AA176" i="1" s="1"/>
  <c r="X207" i="1"/>
  <c r="Y207" i="1" s="1"/>
  <c r="Z207" i="1" s="1"/>
  <c r="AA207" i="1" s="1"/>
  <c r="X307" i="1"/>
  <c r="X311" i="1"/>
  <c r="Y311" i="1" s="1"/>
  <c r="Z311" i="1" s="1"/>
  <c r="AA311" i="1" s="1"/>
  <c r="X330" i="1"/>
  <c r="X538" i="1"/>
  <c r="Y538" i="1" s="1"/>
  <c r="Z538" i="1" s="1"/>
  <c r="AA538" i="1" s="1"/>
  <c r="X554" i="1"/>
  <c r="Y554" i="1" s="1"/>
  <c r="Z554" i="1" s="1"/>
  <c r="AA554" i="1" s="1"/>
  <c r="X529" i="1"/>
  <c r="Y529" i="1" s="1"/>
  <c r="Z529" i="1" s="1"/>
  <c r="AA529" i="1" s="1"/>
  <c r="X546" i="1"/>
  <c r="AD3" i="1"/>
  <c r="X77" i="1"/>
  <c r="Y77" i="1" s="1"/>
  <c r="Z77" i="1" s="1"/>
  <c r="AA77" i="1" s="1"/>
  <c r="X89" i="1"/>
  <c r="Y89" i="1" s="1"/>
  <c r="Z89" i="1" s="1"/>
  <c r="AA89" i="1" s="1"/>
  <c r="X93" i="1"/>
  <c r="Y93" i="1" s="1"/>
  <c r="Z93" i="1" s="1"/>
  <c r="AA93" i="1" s="1"/>
  <c r="X95" i="1"/>
  <c r="Y95" i="1" s="1"/>
  <c r="Z95" i="1" s="1"/>
  <c r="AA95" i="1" s="1"/>
  <c r="X110" i="1"/>
  <c r="X167" i="1"/>
  <c r="X248" i="1"/>
  <c r="X271" i="1"/>
  <c r="Y271" i="1" s="1"/>
  <c r="Z271" i="1" s="1"/>
  <c r="AA271" i="1" s="1"/>
  <c r="X294" i="1"/>
  <c r="X344" i="1"/>
  <c r="Y344" i="1" s="1"/>
  <c r="Z344" i="1" s="1"/>
  <c r="AA344" i="1" s="1"/>
  <c r="X372" i="1"/>
  <c r="Y372" i="1" s="1"/>
  <c r="Z372" i="1" s="1"/>
  <c r="AA372" i="1" s="1"/>
  <c r="X384" i="1"/>
  <c r="Y384" i="1" s="1"/>
  <c r="Z384" i="1" s="1"/>
  <c r="AA384" i="1" s="1"/>
  <c r="X456" i="1"/>
  <c r="Y456" i="1" s="1"/>
  <c r="Z456" i="1" s="1"/>
  <c r="AA456" i="1" s="1"/>
  <c r="X534" i="1"/>
  <c r="Y534" i="1" s="1"/>
  <c r="Z534" i="1" s="1"/>
  <c r="AA534" i="1" s="1"/>
  <c r="X540" i="1"/>
  <c r="X548" i="1"/>
  <c r="Y548" i="1" s="1"/>
  <c r="Z548" i="1" s="1"/>
  <c r="AA548" i="1" s="1"/>
  <c r="X556" i="1"/>
  <c r="X564" i="1"/>
  <c r="Y564" i="1" s="1"/>
  <c r="Z564" i="1" s="1"/>
  <c r="AA564" i="1" s="1"/>
  <c r="X572" i="1"/>
  <c r="X580" i="1"/>
  <c r="X588" i="1"/>
  <c r="X596" i="1"/>
  <c r="X604" i="1"/>
  <c r="X624" i="1"/>
  <c r="X666" i="1"/>
  <c r="X676" i="1"/>
  <c r="X707" i="1"/>
  <c r="X688" i="1"/>
  <c r="X694" i="1"/>
  <c r="X702" i="1"/>
  <c r="X714" i="1"/>
  <c r="X606" i="1"/>
  <c r="Y606" i="1" s="1"/>
  <c r="Z606" i="1" s="1"/>
  <c r="AA606" i="1" s="1"/>
  <c r="X614" i="1"/>
  <c r="X622" i="1"/>
  <c r="Y622" i="1" s="1"/>
  <c r="Z622" i="1" s="1"/>
  <c r="AA622" i="1" s="1"/>
  <c r="X636" i="1"/>
  <c r="X642" i="1"/>
  <c r="Y642" i="1" s="1"/>
  <c r="Z642" i="1" s="1"/>
  <c r="AA642" i="1" s="1"/>
  <c r="X652" i="1"/>
  <c r="X658" i="1"/>
  <c r="X698" i="1"/>
  <c r="X710" i="1"/>
  <c r="X634" i="1"/>
  <c r="X644" i="1"/>
  <c r="Y644" i="1" s="1"/>
  <c r="Z644" i="1" s="1"/>
  <c r="AA644" i="1" s="1"/>
  <c r="X650" i="1"/>
  <c r="X660" i="1"/>
  <c r="Y660" i="1" s="1"/>
  <c r="Z660" i="1" s="1"/>
  <c r="AA660" i="1" s="1"/>
  <c r="X668" i="1"/>
  <c r="X674" i="1"/>
  <c r="X680" i="1"/>
  <c r="X686" i="1"/>
  <c r="X696" i="1"/>
  <c r="X700" i="1"/>
  <c r="X704" i="1"/>
  <c r="X712" i="1"/>
  <c r="X716" i="1"/>
  <c r="X87" i="1"/>
  <c r="Y87" i="1" s="1"/>
  <c r="X91" i="1"/>
  <c r="Y91" i="1" s="1"/>
  <c r="Z91" i="1" s="1"/>
  <c r="AA91" i="1" s="1"/>
  <c r="AD135" i="1"/>
  <c r="X135" i="1"/>
  <c r="AD137" i="1"/>
  <c r="X137" i="1"/>
  <c r="X315" i="1"/>
  <c r="Y315" i="1" s="1"/>
  <c r="X336" i="1"/>
  <c r="X380" i="1"/>
  <c r="Y380" i="1" s="1"/>
  <c r="AD126" i="1"/>
  <c r="AD129" i="1"/>
  <c r="X144" i="1"/>
  <c r="Y144" i="1" s="1"/>
  <c r="Z144" i="1" s="1"/>
  <c r="AA144" i="1" s="1"/>
  <c r="X157" i="1"/>
  <c r="X174" i="1"/>
  <c r="Y174" i="1" s="1"/>
  <c r="Z174" i="1" s="1"/>
  <c r="AA174" i="1" s="1"/>
  <c r="X184" i="1"/>
  <c r="Y184" i="1" s="1"/>
  <c r="Z184" i="1" s="1"/>
  <c r="AA184" i="1" s="1"/>
  <c r="X185" i="1"/>
  <c r="Y185" i="1" s="1"/>
  <c r="X189" i="1"/>
  <c r="Y189" i="1" s="1"/>
  <c r="Z189" i="1" s="1"/>
  <c r="AA189" i="1" s="1"/>
  <c r="X205" i="1"/>
  <c r="Y205" i="1" s="1"/>
  <c r="Z205" i="1" s="1"/>
  <c r="X209" i="1"/>
  <c r="Y209" i="1" s="1"/>
  <c r="Z209" i="1" s="1"/>
  <c r="AA209" i="1" s="1"/>
  <c r="X221" i="1"/>
  <c r="X264" i="1"/>
  <c r="X282" i="1"/>
  <c r="Y282" i="1" s="1"/>
  <c r="Z282" i="1" s="1"/>
  <c r="AA282" i="1" s="1"/>
  <c r="X296" i="1"/>
  <c r="Y296" i="1" s="1"/>
  <c r="Z296" i="1" s="1"/>
  <c r="AA296" i="1" s="1"/>
  <c r="X299" i="1"/>
  <c r="Y299" i="1" s="1"/>
  <c r="Z299" i="1" s="1"/>
  <c r="AA299" i="1" s="1"/>
  <c r="AD361" i="1"/>
  <c r="X361" i="1"/>
  <c r="AD365" i="1"/>
  <c r="X365" i="1"/>
  <c r="Y365" i="1" s="1"/>
  <c r="Z365" i="1" s="1"/>
  <c r="AA365" i="1" s="1"/>
  <c r="AD367" i="1"/>
  <c r="X367" i="1"/>
  <c r="AD370" i="1"/>
  <c r="X370" i="1"/>
  <c r="Y370" i="1" s="1"/>
  <c r="Z370" i="1" s="1"/>
  <c r="AA370" i="1" s="1"/>
  <c r="AD373" i="1"/>
  <c r="AD395" i="1"/>
  <c r="X395" i="1"/>
  <c r="AD397" i="1"/>
  <c r="X397" i="1"/>
  <c r="Y397" i="1" s="1"/>
  <c r="Z397" i="1" s="1"/>
  <c r="AA397" i="1" s="1"/>
  <c r="AD401" i="1"/>
  <c r="X401" i="1"/>
  <c r="Y401" i="1" s="1"/>
  <c r="X638" i="1"/>
  <c r="X654" i="1"/>
  <c r="X664" i="1"/>
  <c r="X705" i="1"/>
  <c r="X692" i="1"/>
  <c r="AD308" i="1"/>
  <c r="X309" i="1"/>
  <c r="Y309" i="1" s="1"/>
  <c r="AD318" i="1"/>
  <c r="X318" i="1"/>
  <c r="Y318" i="1" s="1"/>
  <c r="Z318" i="1" s="1"/>
  <c r="AA318" i="1" s="1"/>
  <c r="AD320" i="1"/>
  <c r="X320" i="1"/>
  <c r="AD327" i="1"/>
  <c r="X327" i="1"/>
  <c r="Y327" i="1" s="1"/>
  <c r="Z327" i="1" s="1"/>
  <c r="AA327" i="1" s="1"/>
  <c r="AD329" i="1"/>
  <c r="X329" i="1"/>
  <c r="AD331" i="1"/>
  <c r="AD339" i="1"/>
  <c r="X339" i="1"/>
  <c r="Y339" i="1" s="1"/>
  <c r="Z339" i="1" s="1"/>
  <c r="AA339" i="1" s="1"/>
  <c r="AD341" i="1"/>
  <c r="X341" i="1"/>
  <c r="AD343" i="1"/>
  <c r="X343" i="1"/>
  <c r="Y343" i="1" s="1"/>
  <c r="Z343" i="1" s="1"/>
  <c r="AA343" i="1" s="1"/>
  <c r="AD345" i="1"/>
  <c r="X358" i="1"/>
  <c r="Y358" i="1" s="1"/>
  <c r="AD383" i="1"/>
  <c r="X383" i="1"/>
  <c r="AD385" i="1"/>
  <c r="X392" i="1"/>
  <c r="Y392" i="1" s="1"/>
  <c r="X630" i="1"/>
  <c r="X646" i="1"/>
  <c r="X662" i="1"/>
  <c r="X672" i="1"/>
  <c r="X684" i="1"/>
  <c r="X610" i="1"/>
  <c r="X612" i="1"/>
  <c r="X618" i="1"/>
  <c r="Y618" i="1" s="1"/>
  <c r="Z618" i="1" s="1"/>
  <c r="AA618" i="1" s="1"/>
  <c r="X620" i="1"/>
  <c r="X626" i="1"/>
  <c r="Y626" i="1" s="1"/>
  <c r="Z626" i="1" s="1"/>
  <c r="AA626" i="1" s="1"/>
  <c r="X628" i="1"/>
  <c r="X670" i="1"/>
  <c r="X678" i="1"/>
  <c r="X682" i="1"/>
  <c r="X690" i="1"/>
  <c r="X429" i="1"/>
  <c r="Y429" i="1" s="1"/>
  <c r="X460" i="1"/>
  <c r="X487" i="1"/>
  <c r="Y487" i="1" s="1"/>
  <c r="X498" i="1"/>
  <c r="Y498" i="1" s="1"/>
  <c r="X527" i="1"/>
  <c r="Y527" i="1" s="1"/>
  <c r="X536" i="1"/>
  <c r="Y536" i="1" s="1"/>
  <c r="X542" i="1"/>
  <c r="Y542" i="1" s="1"/>
  <c r="X544" i="1"/>
  <c r="Y544" i="1" s="1"/>
  <c r="X550" i="1"/>
  <c r="X552" i="1"/>
  <c r="X558" i="1"/>
  <c r="X560" i="1"/>
  <c r="Y560" i="1" s="1"/>
  <c r="X566" i="1"/>
  <c r="X568" i="1"/>
  <c r="X574" i="1"/>
  <c r="X576" i="1"/>
  <c r="X582" i="1"/>
  <c r="X584" i="1"/>
  <c r="X590" i="1"/>
  <c r="X592" i="1"/>
  <c r="X598" i="1"/>
  <c r="X600" i="1"/>
  <c r="X632" i="1"/>
  <c r="X640" i="1"/>
  <c r="X648" i="1"/>
  <c r="X656" i="1"/>
  <c r="AD533" i="1"/>
  <c r="E1" i="4"/>
  <c r="B51" i="4" s="1"/>
  <c r="X531" i="1"/>
  <c r="Y531" i="1" s="1"/>
  <c r="Z531" i="1" s="1"/>
  <c r="AA531" i="1" s="1"/>
  <c r="E1" i="6"/>
  <c r="B8" i="6" s="1"/>
  <c r="H8" i="6" s="1"/>
  <c r="D1" i="5"/>
  <c r="E1" i="5" s="1"/>
  <c r="B49" i="5" s="1"/>
  <c r="AC561" i="1"/>
  <c r="AC649" i="1"/>
  <c r="AC657" i="1"/>
  <c r="AF580" i="1"/>
  <c r="AC607" i="1"/>
  <c r="AF613" i="1"/>
  <c r="AC613" i="1"/>
  <c r="AF620" i="1"/>
  <c r="AC663" i="1"/>
  <c r="AF677" i="1"/>
  <c r="AC677" i="1"/>
  <c r="AC679" i="1"/>
  <c r="AC539" i="1"/>
  <c r="AF592" i="1"/>
  <c r="AF632" i="1"/>
  <c r="AC643" i="1"/>
  <c r="AF672" i="1"/>
  <c r="AC708" i="1"/>
  <c r="AC687" i="1"/>
  <c r="X186" i="1"/>
  <c r="Y186" i="1" s="1"/>
  <c r="X191" i="1"/>
  <c r="Y191" i="1" s="1"/>
  <c r="X226" i="1"/>
  <c r="Y226" i="1" s="1"/>
  <c r="X230" i="1"/>
  <c r="Y230" i="1" s="1"/>
  <c r="X213" i="1"/>
  <c r="Y213" i="1" s="1"/>
  <c r="X169" i="1"/>
  <c r="Y169" i="1" s="1"/>
  <c r="Z169" i="1" s="1"/>
  <c r="AA169" i="1" s="1"/>
  <c r="X188" i="1"/>
  <c r="Y188" i="1" s="1"/>
  <c r="Z188" i="1" s="1"/>
  <c r="AA188" i="1" s="1"/>
  <c r="X215" i="1"/>
  <c r="Y215" i="1" s="1"/>
  <c r="X217" i="1"/>
  <c r="Y217" i="1" s="1"/>
  <c r="X533" i="1"/>
  <c r="X541" i="1"/>
  <c r="X549" i="1"/>
  <c r="X557" i="1"/>
  <c r="X565" i="1"/>
  <c r="X573" i="1"/>
  <c r="X581" i="1"/>
  <c r="X589" i="1"/>
  <c r="X597" i="1"/>
  <c r="X605" i="1"/>
  <c r="X613" i="1"/>
  <c r="X621" i="1"/>
  <c r="X629" i="1"/>
  <c r="X637" i="1"/>
  <c r="X645" i="1"/>
  <c r="X653" i="1"/>
  <c r="X661" i="1"/>
  <c r="X669" i="1"/>
  <c r="X677" i="1"/>
  <c r="X681" i="1"/>
  <c r="X689" i="1"/>
  <c r="X195" i="1"/>
  <c r="Y195" i="1" s="1"/>
  <c r="Z195" i="1" s="1"/>
  <c r="AA195" i="1" s="1"/>
  <c r="X242" i="1"/>
  <c r="Y242" i="1" s="1"/>
  <c r="Z242" i="1" s="1"/>
  <c r="AA242" i="1" s="1"/>
  <c r="AD297" i="1"/>
  <c r="X4" i="1"/>
  <c r="Y4" i="1" s="1"/>
  <c r="Z4" i="1" s="1"/>
  <c r="AA4" i="1" s="1"/>
  <c r="X8" i="1"/>
  <c r="X54" i="1"/>
  <c r="X62" i="1"/>
  <c r="Y37" i="1"/>
  <c r="Z37" i="1" s="1"/>
  <c r="AA37" i="1" s="1"/>
  <c r="X67" i="1"/>
  <c r="X70" i="1"/>
  <c r="Y70" i="1" s="1"/>
  <c r="Z70" i="1" s="1"/>
  <c r="AA70" i="1" s="1"/>
  <c r="X72" i="1"/>
  <c r="X88" i="1"/>
  <c r="Y88" i="1" s="1"/>
  <c r="Z88" i="1" s="1"/>
  <c r="AA88" i="1" s="1"/>
  <c r="X98" i="1"/>
  <c r="X100" i="1"/>
  <c r="X102" i="1"/>
  <c r="X104" i="1"/>
  <c r="X120" i="1"/>
  <c r="X122" i="1"/>
  <c r="X124" i="1"/>
  <c r="Y125" i="1"/>
  <c r="Z125" i="1" s="1"/>
  <c r="AA125" i="1" s="1"/>
  <c r="X126" i="1"/>
  <c r="Y126" i="1" s="1"/>
  <c r="Z126" i="1" s="1"/>
  <c r="AA126" i="1" s="1"/>
  <c r="X129" i="1"/>
  <c r="X131" i="1"/>
  <c r="X139" i="1"/>
  <c r="Y140" i="1"/>
  <c r="Z140" i="1" s="1"/>
  <c r="AA140" i="1" s="1"/>
  <c r="X141" i="1"/>
  <c r="X155" i="1"/>
  <c r="Y155" i="1" s="1"/>
  <c r="X159" i="1"/>
  <c r="AD199" i="1"/>
  <c r="AD203" i="1"/>
  <c r="AD212" i="1"/>
  <c r="X537" i="1"/>
  <c r="Y537" i="1" s="1"/>
  <c r="Z537" i="1" s="1"/>
  <c r="AA537" i="1" s="1"/>
  <c r="X545" i="1"/>
  <c r="Y545" i="1" s="1"/>
  <c r="Z545" i="1" s="1"/>
  <c r="AA545" i="1" s="1"/>
  <c r="X553" i="1"/>
  <c r="Y553" i="1" s="1"/>
  <c r="Z553" i="1" s="1"/>
  <c r="AA553" i="1" s="1"/>
  <c r="X561" i="1"/>
  <c r="Y561" i="1"/>
  <c r="Z561" i="1" s="1"/>
  <c r="AA561" i="1" s="1"/>
  <c r="X569" i="1"/>
  <c r="Y569" i="1" s="1"/>
  <c r="Z569" i="1" s="1"/>
  <c r="AA569" i="1" s="1"/>
  <c r="X577" i="1"/>
  <c r="Y577" i="1" s="1"/>
  <c r="Z577" i="1" s="1"/>
  <c r="AA577" i="1" s="1"/>
  <c r="X585" i="1"/>
  <c r="Y585" i="1" s="1"/>
  <c r="Z585" i="1" s="1"/>
  <c r="AA585" i="1" s="1"/>
  <c r="X593" i="1"/>
  <c r="Y593" i="1" s="1"/>
  <c r="Z593" i="1" s="1"/>
  <c r="AA593" i="1" s="1"/>
  <c r="X601" i="1"/>
  <c r="Y601" i="1" s="1"/>
  <c r="Z601" i="1" s="1"/>
  <c r="AA601" i="1" s="1"/>
  <c r="X609" i="1"/>
  <c r="Y609" i="1" s="1"/>
  <c r="Z609" i="1" s="1"/>
  <c r="AA609" i="1" s="1"/>
  <c r="X617" i="1"/>
  <c r="Y617" i="1" s="1"/>
  <c r="Z617" i="1" s="1"/>
  <c r="AA617" i="1" s="1"/>
  <c r="X625" i="1"/>
  <c r="Y625" i="1" s="1"/>
  <c r="Z625" i="1" s="1"/>
  <c r="AA625" i="1" s="1"/>
  <c r="X633" i="1"/>
  <c r="Y633" i="1" s="1"/>
  <c r="Z633" i="1" s="1"/>
  <c r="AA633" i="1" s="1"/>
  <c r="X641" i="1"/>
  <c r="Y641" i="1" s="1"/>
  <c r="Z641" i="1" s="1"/>
  <c r="AA641" i="1" s="1"/>
  <c r="X649" i="1"/>
  <c r="Y649" i="1"/>
  <c r="Z649" i="1" s="1"/>
  <c r="AA649" i="1" s="1"/>
  <c r="X657" i="1"/>
  <c r="Y657" i="1"/>
  <c r="Z657" i="1" s="1"/>
  <c r="AA657" i="1" s="1"/>
  <c r="X665" i="1"/>
  <c r="Y665" i="1" s="1"/>
  <c r="Z665" i="1" s="1"/>
  <c r="AA665" i="1" s="1"/>
  <c r="X673" i="1"/>
  <c r="Y673" i="1" s="1"/>
  <c r="Z673" i="1" s="1"/>
  <c r="AA673" i="1" s="1"/>
  <c r="X706" i="1"/>
  <c r="Y706" i="1" s="1"/>
  <c r="Z706" i="1" s="1"/>
  <c r="AA706" i="1" s="1"/>
  <c r="X685" i="1"/>
  <c r="Y685" i="1" s="1"/>
  <c r="Z685" i="1" s="1"/>
  <c r="AA685" i="1" s="1"/>
  <c r="X693" i="1"/>
  <c r="Y693" i="1" s="1"/>
  <c r="Z693" i="1" s="1"/>
  <c r="AA693" i="1" s="1"/>
  <c r="Y225" i="1"/>
  <c r="Z225" i="1" s="1"/>
  <c r="AA225" i="1" s="1"/>
  <c r="X281" i="1"/>
  <c r="Y281" i="1" s="1"/>
  <c r="Z281" i="1" s="1"/>
  <c r="AA281" i="1" s="1"/>
  <c r="X283" i="1"/>
  <c r="Y283" i="1" s="1"/>
  <c r="Z283" i="1" s="1"/>
  <c r="AA283" i="1" s="1"/>
  <c r="X285" i="1"/>
  <c r="Y285" i="1" s="1"/>
  <c r="X289" i="1"/>
  <c r="Y289" i="1" s="1"/>
  <c r="X291" i="1"/>
  <c r="Y291" i="1" s="1"/>
  <c r="Y292" i="1"/>
  <c r="Z292" i="1" s="1"/>
  <c r="AA292" i="1" s="1"/>
  <c r="X293" i="1"/>
  <c r="Y293" i="1" s="1"/>
  <c r="Y294" i="1"/>
  <c r="Z294" i="1" s="1"/>
  <c r="AA294" i="1" s="1"/>
  <c r="X295" i="1"/>
  <c r="Y295" i="1" s="1"/>
  <c r="X298" i="1"/>
  <c r="Y298" i="1" s="1"/>
  <c r="X300" i="1"/>
  <c r="Y300" i="1" s="1"/>
  <c r="X302" i="1"/>
  <c r="Y302" i="1" s="1"/>
  <c r="Y303" i="1"/>
  <c r="Z303" i="1" s="1"/>
  <c r="AA303" i="1" s="1"/>
  <c r="X304" i="1"/>
  <c r="Y304" i="1" s="1"/>
  <c r="X306" i="1"/>
  <c r="Y306" i="1" s="1"/>
  <c r="Z306" i="1" s="1"/>
  <c r="AA306" i="1" s="1"/>
  <c r="Y307" i="1"/>
  <c r="Z307" i="1" s="1"/>
  <c r="AA307" i="1" s="1"/>
  <c r="X308" i="1"/>
  <c r="Y308" i="1" s="1"/>
  <c r="X310" i="1"/>
  <c r="X312" i="1"/>
  <c r="Y312" i="1" s="1"/>
  <c r="Z312" i="1" s="1"/>
  <c r="AA312" i="1" s="1"/>
  <c r="X316" i="1"/>
  <c r="Y317" i="1"/>
  <c r="Z317" i="1" s="1"/>
  <c r="AA317" i="1" s="1"/>
  <c r="Y319" i="1"/>
  <c r="Z319" i="1" s="1"/>
  <c r="AA319" i="1" s="1"/>
  <c r="Y321" i="1"/>
  <c r="Z321" i="1" s="1"/>
  <c r="AA321" i="1" s="1"/>
  <c r="X322" i="1"/>
  <c r="Y323" i="1"/>
  <c r="Z323" i="1" s="1"/>
  <c r="AA323" i="1" s="1"/>
  <c r="X324" i="1"/>
  <c r="Y330" i="1"/>
  <c r="Z330" i="1" s="1"/>
  <c r="AA330" i="1" s="1"/>
  <c r="X331" i="1"/>
  <c r="Y336" i="1"/>
  <c r="Z336" i="1" s="1"/>
  <c r="AA336" i="1" s="1"/>
  <c r="X337" i="1"/>
  <c r="X345" i="1"/>
  <c r="Y345" i="1" s="1"/>
  <c r="Z345" i="1" s="1"/>
  <c r="AA345" i="1" s="1"/>
  <c r="X349" i="1"/>
  <c r="Y349" i="1" s="1"/>
  <c r="Z349" i="1" s="1"/>
  <c r="AA349" i="1" s="1"/>
  <c r="X353" i="1"/>
  <c r="Y353" i="1" s="1"/>
  <c r="Z353" i="1" s="1"/>
  <c r="AA353" i="1" s="1"/>
  <c r="X355" i="1"/>
  <c r="Y355" i="1" s="1"/>
  <c r="Z355" i="1" s="1"/>
  <c r="AA355" i="1" s="1"/>
  <c r="X373" i="1"/>
  <c r="X381" i="1"/>
  <c r="Y381" i="1" s="1"/>
  <c r="Z381" i="1" s="1"/>
  <c r="AA381" i="1" s="1"/>
  <c r="Y382" i="1"/>
  <c r="Z382" i="1" s="1"/>
  <c r="AA382" i="1" s="1"/>
  <c r="X385" i="1"/>
  <c r="Y388" i="1"/>
  <c r="Z388" i="1" s="1"/>
  <c r="AA388" i="1" s="1"/>
  <c r="X389" i="1"/>
  <c r="Y390" i="1"/>
  <c r="Z390" i="1" s="1"/>
  <c r="AA390" i="1" s="1"/>
  <c r="X404" i="1"/>
  <c r="Y404" i="1" s="1"/>
  <c r="X406" i="1"/>
  <c r="Y406" i="1" s="1"/>
  <c r="X408" i="1"/>
  <c r="Y408" i="1" s="1"/>
  <c r="Y413" i="1"/>
  <c r="Z413" i="1" s="1"/>
  <c r="AA413" i="1" s="1"/>
  <c r="X416" i="1"/>
  <c r="Y416" i="1" s="1"/>
  <c r="X418" i="1"/>
  <c r="Y418" i="1" s="1"/>
  <c r="Z418" i="1" s="1"/>
  <c r="AA418" i="1" s="1"/>
  <c r="X419" i="1"/>
  <c r="Y419" i="1" s="1"/>
  <c r="X420" i="1"/>
  <c r="Y420" i="1" s="1"/>
  <c r="Z420" i="1" s="1"/>
  <c r="AA420" i="1" s="1"/>
  <c r="X421" i="1"/>
  <c r="Y421" i="1" s="1"/>
  <c r="Z421" i="1" s="1"/>
  <c r="AA421" i="1" s="1"/>
  <c r="X422" i="1"/>
  <c r="Y422" i="1" s="1"/>
  <c r="Z422" i="1" s="1"/>
  <c r="AA422" i="1" s="1"/>
  <c r="X423" i="1"/>
  <c r="Y423" i="1" s="1"/>
  <c r="X424" i="1"/>
  <c r="Y424" i="1" s="1"/>
  <c r="Z424" i="1" s="1"/>
  <c r="AA424" i="1" s="1"/>
  <c r="X425" i="1"/>
  <c r="Y425" i="1" s="1"/>
  <c r="Z425" i="1" s="1"/>
  <c r="AA425" i="1" s="1"/>
  <c r="X426" i="1"/>
  <c r="Y426" i="1" s="1"/>
  <c r="Z426" i="1" s="1"/>
  <c r="AA426" i="1" s="1"/>
  <c r="X427" i="1"/>
  <c r="Y427" i="1" s="1"/>
  <c r="X428" i="1"/>
  <c r="Y428" i="1" s="1"/>
  <c r="Y430" i="1"/>
  <c r="Z430" i="1" s="1"/>
  <c r="AA430" i="1" s="1"/>
  <c r="X445" i="1"/>
  <c r="Y445" i="1" s="1"/>
  <c r="Z445" i="1" s="1"/>
  <c r="AA445" i="1" s="1"/>
  <c r="Y446" i="1"/>
  <c r="Z446" i="1" s="1"/>
  <c r="AA446" i="1" s="1"/>
  <c r="X447" i="1"/>
  <c r="Y447" i="1" s="1"/>
  <c r="Z447" i="1" s="1"/>
  <c r="AA447" i="1" s="1"/>
  <c r="X451" i="1"/>
  <c r="Y451" i="1" s="1"/>
  <c r="Z451" i="1" s="1"/>
  <c r="AA451" i="1" s="1"/>
  <c r="X453" i="1"/>
  <c r="Y453" i="1" s="1"/>
  <c r="X455" i="1"/>
  <c r="Y455" i="1" s="1"/>
  <c r="Z455" i="1" s="1"/>
  <c r="AA455" i="1" s="1"/>
  <c r="X457" i="1"/>
  <c r="Y457" i="1" s="1"/>
  <c r="Z457" i="1" s="1"/>
  <c r="AA457" i="1" s="1"/>
  <c r="Y460" i="1"/>
  <c r="X461" i="1"/>
  <c r="Y461" i="1" s="1"/>
  <c r="Z461" i="1" s="1"/>
  <c r="AA461" i="1" s="1"/>
  <c r="X463" i="1"/>
  <c r="Y464" i="1"/>
  <c r="Z464" i="1" s="1"/>
  <c r="AA464" i="1" s="1"/>
  <c r="X472" i="1"/>
  <c r="X474" i="1"/>
  <c r="Y474" i="1" s="1"/>
  <c r="Z474" i="1" s="1"/>
  <c r="AA474" i="1" s="1"/>
  <c r="X480" i="1"/>
  <c r="Y480" i="1" s="1"/>
  <c r="Z480" i="1" s="1"/>
  <c r="AA480" i="1" s="1"/>
  <c r="Y481" i="1"/>
  <c r="Z481" i="1" s="1"/>
  <c r="AA481" i="1" s="1"/>
  <c r="X482" i="1"/>
  <c r="Y482" i="1" s="1"/>
  <c r="Z482" i="1" s="1"/>
  <c r="AA482" i="1" s="1"/>
  <c r="Y483" i="1"/>
  <c r="Z483" i="1" s="1"/>
  <c r="AA483" i="1" s="1"/>
  <c r="X484" i="1"/>
  <c r="Y484" i="1" s="1"/>
  <c r="Z484" i="1" s="1"/>
  <c r="AA484" i="1" s="1"/>
  <c r="X486" i="1"/>
  <c r="Y486" i="1" s="1"/>
  <c r="Z486" i="1" s="1"/>
  <c r="AA486" i="1" s="1"/>
  <c r="X490" i="1"/>
  <c r="Y493" i="1"/>
  <c r="Z493" i="1" s="1"/>
  <c r="AA493" i="1" s="1"/>
  <c r="X494" i="1"/>
  <c r="X496" i="1"/>
  <c r="Y496" i="1" s="1"/>
  <c r="Z496" i="1" s="1"/>
  <c r="AA496" i="1" s="1"/>
  <c r="X497" i="1"/>
  <c r="Y497" i="1" s="1"/>
  <c r="X499" i="1"/>
  <c r="Y500" i="1"/>
  <c r="Z500" i="1" s="1"/>
  <c r="AA500" i="1" s="1"/>
  <c r="X501" i="1"/>
  <c r="Y501" i="1" s="1"/>
  <c r="X503" i="1"/>
  <c r="X510" i="1"/>
  <c r="X512" i="1"/>
  <c r="X516" i="1"/>
  <c r="Y517" i="1"/>
  <c r="Z517" i="1" s="1"/>
  <c r="AA517" i="1" s="1"/>
  <c r="X518" i="1"/>
  <c r="Y518" i="1" s="1"/>
  <c r="X520" i="1"/>
  <c r="X524" i="1"/>
  <c r="Y524" i="1" s="1"/>
  <c r="Z524" i="1" s="1"/>
  <c r="AA524" i="1" s="1"/>
  <c r="Y525" i="1"/>
  <c r="Z525" i="1" s="1"/>
  <c r="AA525" i="1" s="1"/>
  <c r="X532" i="1"/>
  <c r="AB580" i="1"/>
  <c r="AB592" i="1"/>
  <c r="AF598" i="1"/>
  <c r="AB620" i="1"/>
  <c r="AB632" i="1"/>
  <c r="AF670" i="1"/>
  <c r="AB672" i="1"/>
  <c r="AF674" i="1"/>
  <c r="AF682" i="1"/>
  <c r="AF690" i="1"/>
  <c r="AF694" i="1"/>
  <c r="Y310" i="1"/>
  <c r="Y526" i="1"/>
  <c r="Y532" i="1"/>
  <c r="Z532" i="1" s="1"/>
  <c r="AA532" i="1" s="1"/>
  <c r="Z539" i="1"/>
  <c r="X539" i="1"/>
  <c r="Y539" i="1" s="1"/>
  <c r="AA539" i="1"/>
  <c r="X543" i="1"/>
  <c r="Y543" i="1" s="1"/>
  <c r="X547" i="1"/>
  <c r="Y547" i="1" s="1"/>
  <c r="X551" i="1"/>
  <c r="Y551" i="1" s="1"/>
  <c r="X555" i="1"/>
  <c r="Y555" i="1" s="1"/>
  <c r="Z555" i="1" s="1"/>
  <c r="AA555" i="1" s="1"/>
  <c r="X559" i="1"/>
  <c r="Y559" i="1" s="1"/>
  <c r="X563" i="1"/>
  <c r="Y563" i="1" s="1"/>
  <c r="X567" i="1"/>
  <c r="Y567" i="1" s="1"/>
  <c r="X571" i="1"/>
  <c r="Y571" i="1" s="1"/>
  <c r="X575" i="1"/>
  <c r="Y575" i="1" s="1"/>
  <c r="X579" i="1"/>
  <c r="Y579" i="1" s="1"/>
  <c r="X583" i="1"/>
  <c r="Y583" i="1" s="1"/>
  <c r="X587" i="1"/>
  <c r="Y587" i="1" s="1"/>
  <c r="X591" i="1"/>
  <c r="Y591" i="1" s="1"/>
  <c r="X595" i="1"/>
  <c r="Y595" i="1" s="1"/>
  <c r="AB598" i="1"/>
  <c r="X599" i="1"/>
  <c r="Y599" i="1" s="1"/>
  <c r="Z603" i="1"/>
  <c r="X603" i="1"/>
  <c r="Y603" i="1" s="1"/>
  <c r="AA603" i="1"/>
  <c r="Z607" i="1"/>
  <c r="X607" i="1"/>
  <c r="Y607" i="1" s="1"/>
  <c r="AA607" i="1"/>
  <c r="X611" i="1"/>
  <c r="Y611" i="1" s="1"/>
  <c r="X615" i="1"/>
  <c r="Y615" i="1" s="1"/>
  <c r="X619" i="1"/>
  <c r="Y619" i="1" s="1"/>
  <c r="X623" i="1"/>
  <c r="Y623" i="1" s="1"/>
  <c r="X627" i="1"/>
  <c r="Y627" i="1" s="1"/>
  <c r="X631" i="1"/>
  <c r="Y631" i="1" s="1"/>
  <c r="X635" i="1"/>
  <c r="Y635" i="1" s="1"/>
  <c r="X639" i="1"/>
  <c r="Y639" i="1" s="1"/>
  <c r="Z643" i="1"/>
  <c r="X643" i="1"/>
  <c r="Y643" i="1" s="1"/>
  <c r="AA643" i="1"/>
  <c r="X647" i="1"/>
  <c r="Y647" i="1" s="1"/>
  <c r="Z651" i="1"/>
  <c r="X651" i="1"/>
  <c r="Y651" i="1" s="1"/>
  <c r="AA651" i="1"/>
  <c r="Z655" i="1"/>
  <c r="X655" i="1"/>
  <c r="Y655" i="1" s="1"/>
  <c r="AA655" i="1"/>
  <c r="X659" i="1"/>
  <c r="Y659" i="1" s="1"/>
  <c r="Z663" i="1"/>
  <c r="X663" i="1"/>
  <c r="Y663" i="1" s="1"/>
  <c r="AA663" i="1"/>
  <c r="Z667" i="1"/>
  <c r="X667" i="1"/>
  <c r="Y667" i="1" s="1"/>
  <c r="AA667" i="1"/>
  <c r="AB670" i="1"/>
  <c r="X671" i="1"/>
  <c r="Y671" i="1" s="1"/>
  <c r="AB674" i="1"/>
  <c r="Z675" i="1"/>
  <c r="X675" i="1"/>
  <c r="Y675" i="1" s="1"/>
  <c r="AA675" i="1"/>
  <c r="Z679" i="1"/>
  <c r="X679" i="1"/>
  <c r="Y679" i="1" s="1"/>
  <c r="AA679" i="1"/>
  <c r="Z708" i="1"/>
  <c r="X708" i="1"/>
  <c r="Y708" i="1" s="1"/>
  <c r="AA708" i="1"/>
  <c r="AB682" i="1"/>
  <c r="X683" i="1"/>
  <c r="Y683" i="1" s="1"/>
  <c r="Z687" i="1"/>
  <c r="X687" i="1"/>
  <c r="Y687" i="1" s="1"/>
  <c r="AA687" i="1"/>
  <c r="AB690" i="1"/>
  <c r="X691" i="1"/>
  <c r="Y691" i="1" s="1"/>
  <c r="AB694" i="1"/>
  <c r="X695" i="1"/>
  <c r="Y695" i="1" s="1"/>
  <c r="AB539" i="1"/>
  <c r="Y540" i="1"/>
  <c r="Z540" i="1" s="1"/>
  <c r="AA540" i="1" s="1"/>
  <c r="Y546" i="1"/>
  <c r="Z546" i="1" s="1"/>
  <c r="AA546" i="1" s="1"/>
  <c r="Y550" i="1"/>
  <c r="Y552" i="1"/>
  <c r="Y556" i="1"/>
  <c r="Z556" i="1" s="1"/>
  <c r="AA556" i="1" s="1"/>
  <c r="Y558" i="1"/>
  <c r="AB561" i="1"/>
  <c r="Y562" i="1"/>
  <c r="Z562" i="1" s="1"/>
  <c r="AA562" i="1" s="1"/>
  <c r="Y566" i="1"/>
  <c r="Y568" i="1"/>
  <c r="Y572" i="1"/>
  <c r="Z572" i="1" s="1"/>
  <c r="AA572" i="1" s="1"/>
  <c r="Y574" i="1"/>
  <c r="Y576" i="1"/>
  <c r="Y578" i="1"/>
  <c r="Z578" i="1" s="1"/>
  <c r="AA578" i="1" s="1"/>
  <c r="Y580" i="1"/>
  <c r="Z580" i="1" s="1"/>
  <c r="AA580" i="1" s="1"/>
  <c r="Y582" i="1"/>
  <c r="Y584" i="1"/>
  <c r="Y588" i="1"/>
  <c r="Z588" i="1" s="1"/>
  <c r="AA588" i="1" s="1"/>
  <c r="Y590" i="1"/>
  <c r="Y592" i="1"/>
  <c r="Y594" i="1"/>
  <c r="Z594" i="1" s="1"/>
  <c r="AA594" i="1" s="1"/>
  <c r="Y596" i="1"/>
  <c r="Z596" i="1" s="1"/>
  <c r="AA596" i="1" s="1"/>
  <c r="Y598" i="1"/>
  <c r="Y600" i="1"/>
  <c r="Y604" i="1"/>
  <c r="Z604" i="1" s="1"/>
  <c r="AA604" i="1" s="1"/>
  <c r="AB607" i="1"/>
  <c r="Y610" i="1"/>
  <c r="Z610" i="1" s="1"/>
  <c r="AA610" i="1" s="1"/>
  <c r="Y612" i="1"/>
  <c r="Z612" i="1" s="1"/>
  <c r="AA612" i="1" s="1"/>
  <c r="AB613" i="1"/>
  <c r="Y614" i="1"/>
  <c r="Z614" i="1" s="1"/>
  <c r="AA614" i="1" s="1"/>
  <c r="Y620" i="1"/>
  <c r="Z620" i="1" s="1"/>
  <c r="AA620" i="1" s="1"/>
  <c r="Y624" i="1"/>
  <c r="Z624" i="1" s="1"/>
  <c r="AA624" i="1" s="1"/>
  <c r="Y628" i="1"/>
  <c r="Z628" i="1" s="1"/>
  <c r="AA628" i="1" s="1"/>
  <c r="Y630" i="1"/>
  <c r="Z630" i="1" s="1"/>
  <c r="AA630" i="1" s="1"/>
  <c r="Y632" i="1"/>
  <c r="Y634" i="1"/>
  <c r="Z634" i="1" s="1"/>
  <c r="AA634" i="1" s="1"/>
  <c r="Y636" i="1"/>
  <c r="Z636" i="1" s="1"/>
  <c r="AA636" i="1" s="1"/>
  <c r="Y638" i="1"/>
  <c r="Y640" i="1"/>
  <c r="AB643" i="1"/>
  <c r="Y646" i="1"/>
  <c r="Y648" i="1"/>
  <c r="AB649" i="1"/>
  <c r="Y650" i="1"/>
  <c r="Z650" i="1" s="1"/>
  <c r="AA650" i="1" s="1"/>
  <c r="Y652" i="1"/>
  <c r="Z652" i="1" s="1"/>
  <c r="AA652" i="1" s="1"/>
  <c r="Y654" i="1"/>
  <c r="Z654" i="1" s="1"/>
  <c r="AA654" i="1" s="1"/>
  <c r="Y656" i="1"/>
  <c r="AB657" i="1"/>
  <c r="Y658" i="1"/>
  <c r="Z658" i="1" s="1"/>
  <c r="AA658" i="1" s="1"/>
  <c r="Y662" i="1"/>
  <c r="Z662" i="1" s="1"/>
  <c r="AA662" i="1" s="1"/>
  <c r="AB663" i="1"/>
  <c r="Y664" i="1"/>
  <c r="Y666" i="1"/>
  <c r="Z666" i="1" s="1"/>
  <c r="AA666" i="1" s="1"/>
  <c r="Y668" i="1"/>
  <c r="Z668" i="1" s="1"/>
  <c r="AA668" i="1" s="1"/>
  <c r="Y670" i="1"/>
  <c r="Z670" i="1" s="1"/>
  <c r="AA670" i="1" s="1"/>
  <c r="Y672" i="1"/>
  <c r="Y674" i="1"/>
  <c r="Z674" i="1" s="1"/>
  <c r="AA674" i="1" s="1"/>
  <c r="Y676" i="1"/>
  <c r="Z676" i="1" s="1"/>
  <c r="AA676" i="1" s="1"/>
  <c r="AB677" i="1"/>
  <c r="Y678" i="1"/>
  <c r="Z678" i="1" s="1"/>
  <c r="AA678" i="1" s="1"/>
  <c r="AB679" i="1"/>
  <c r="Y705" i="1"/>
  <c r="Z705" i="1" s="1"/>
  <c r="AA705" i="1" s="1"/>
  <c r="Y707" i="1"/>
  <c r="Z707" i="1" s="1"/>
  <c r="AA707" i="1" s="1"/>
  <c r="AB708" i="1"/>
  <c r="Y680" i="1"/>
  <c r="Z680" i="1" s="1"/>
  <c r="AA680" i="1" s="1"/>
  <c r="Y682" i="1"/>
  <c r="Z682" i="1" s="1"/>
  <c r="AA682" i="1" s="1"/>
  <c r="Y684" i="1"/>
  <c r="Z684" i="1" s="1"/>
  <c r="AA684" i="1" s="1"/>
  <c r="Y686" i="1"/>
  <c r="Z686" i="1" s="1"/>
  <c r="AA686" i="1" s="1"/>
  <c r="AB687" i="1"/>
  <c r="Y688" i="1"/>
  <c r="Z688" i="1" s="1"/>
  <c r="AA688" i="1" s="1"/>
  <c r="Y690" i="1"/>
  <c r="Z690" i="1" s="1"/>
  <c r="AA690" i="1" s="1"/>
  <c r="Y692" i="1"/>
  <c r="Y694" i="1"/>
  <c r="Z694" i="1" s="1"/>
  <c r="AA694" i="1" s="1"/>
  <c r="Y696" i="1"/>
  <c r="Z696" i="1" s="1"/>
  <c r="AA696" i="1" s="1"/>
  <c r="X697" i="1"/>
  <c r="Y698" i="1"/>
  <c r="Z698" i="1" s="1"/>
  <c r="AA698" i="1" s="1"/>
  <c r="X699" i="1"/>
  <c r="Y700" i="1"/>
  <c r="Z700" i="1" s="1"/>
  <c r="AA700" i="1" s="1"/>
  <c r="X701" i="1"/>
  <c r="Y702" i="1"/>
  <c r="Z702" i="1" s="1"/>
  <c r="AA702" i="1" s="1"/>
  <c r="AC702" i="1"/>
  <c r="X703" i="1"/>
  <c r="Y704" i="1"/>
  <c r="Z704" i="1" s="1"/>
  <c r="AA704" i="1" s="1"/>
  <c r="AC704" i="1"/>
  <c r="X709" i="1"/>
  <c r="Y710" i="1"/>
  <c r="Z710" i="1" s="1"/>
  <c r="AA710" i="1" s="1"/>
  <c r="X711" i="1"/>
  <c r="Z711" i="1"/>
  <c r="AA711" i="1" s="1"/>
  <c r="Y712" i="1"/>
  <c r="Z712" i="1" s="1"/>
  <c r="AA712" i="1" s="1"/>
  <c r="AC712" i="1"/>
  <c r="X713" i="1"/>
  <c r="Y714" i="1"/>
  <c r="Z714" i="1" s="1"/>
  <c r="AA714" i="1" s="1"/>
  <c r="X715" i="1"/>
  <c r="Y716" i="1"/>
  <c r="Z716" i="1" s="1"/>
  <c r="AA716" i="1" s="1"/>
  <c r="X717" i="1"/>
  <c r="Y699" i="1"/>
  <c r="Z699" i="1" s="1"/>
  <c r="AA699" i="1" s="1"/>
  <c r="AB702" i="1"/>
  <c r="AB704" i="1"/>
  <c r="Y711" i="1"/>
  <c r="AB712" i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608" i="1" l="1"/>
  <c r="Z608" i="1" s="1"/>
  <c r="AA608" i="1" s="1"/>
  <c r="Y405" i="1"/>
  <c r="Z405" i="1" s="1"/>
  <c r="AA405" i="1" s="1"/>
  <c r="Y350" i="1"/>
  <c r="Z350" i="1" s="1"/>
  <c r="AA350" i="1" s="1"/>
  <c r="Y269" i="1"/>
  <c r="Z269" i="1" s="1"/>
  <c r="AA269" i="1" s="1"/>
  <c r="AM130" i="1"/>
  <c r="AM107" i="1"/>
  <c r="AM243" i="1"/>
  <c r="AM190" i="1"/>
  <c r="AM109" i="1"/>
  <c r="Y107" i="1"/>
  <c r="Z107" i="1" s="1"/>
  <c r="AA107" i="1" s="1"/>
  <c r="Y616" i="1"/>
  <c r="Z616" i="1" s="1"/>
  <c r="AA616" i="1" s="1"/>
  <c r="Y602" i="1"/>
  <c r="Z602" i="1" s="1"/>
  <c r="AA602" i="1" s="1"/>
  <c r="Y586" i="1"/>
  <c r="Z586" i="1" s="1"/>
  <c r="AA586" i="1" s="1"/>
  <c r="Y515" i="1"/>
  <c r="Z515" i="1" s="1"/>
  <c r="AA515" i="1" s="1"/>
  <c r="Y502" i="1"/>
  <c r="Z502" i="1" s="1"/>
  <c r="AA502" i="1" s="1"/>
  <c r="Y415" i="1"/>
  <c r="Z415" i="1" s="1"/>
  <c r="AA415" i="1" s="1"/>
  <c r="Y411" i="1"/>
  <c r="Z411" i="1" s="1"/>
  <c r="AA411" i="1" s="1"/>
  <c r="Y286" i="1"/>
  <c r="Z286" i="1" s="1"/>
  <c r="AA286" i="1" s="1"/>
  <c r="AM239" i="1"/>
  <c r="AL188" i="1"/>
  <c r="AM188" i="1"/>
  <c r="AM170" i="1"/>
  <c r="AM166" i="1"/>
  <c r="AL37" i="1"/>
  <c r="AM37" i="1"/>
  <c r="AM35" i="1"/>
  <c r="AL35" i="1"/>
  <c r="AL32" i="1"/>
  <c r="AM32" i="1"/>
  <c r="AL597" i="1"/>
  <c r="AM597" i="1"/>
  <c r="AL594" i="1"/>
  <c r="AM594" i="1"/>
  <c r="AL593" i="1"/>
  <c r="AM593" i="1"/>
  <c r="AL591" i="1"/>
  <c r="AM591" i="1"/>
  <c r="AL590" i="1"/>
  <c r="AM590" i="1"/>
  <c r="AL589" i="1"/>
  <c r="AM589" i="1"/>
  <c r="AL587" i="1"/>
  <c r="AM587" i="1"/>
  <c r="AL586" i="1"/>
  <c r="AM586" i="1"/>
  <c r="AL585" i="1"/>
  <c r="AM585" i="1"/>
  <c r="AL583" i="1"/>
  <c r="AM583" i="1"/>
  <c r="AL581" i="1"/>
  <c r="AM581" i="1"/>
  <c r="AL579" i="1"/>
  <c r="AM579" i="1"/>
  <c r="AL578" i="1"/>
  <c r="AM578" i="1"/>
  <c r="AM577" i="1"/>
  <c r="AL577" i="1"/>
  <c r="Z575" i="1"/>
  <c r="AA575" i="1" s="1"/>
  <c r="AL575" i="1"/>
  <c r="AM575" i="1"/>
  <c r="AL572" i="1"/>
  <c r="AM572" i="1"/>
  <c r="Z571" i="1"/>
  <c r="AA571" i="1" s="1"/>
  <c r="AL570" i="1"/>
  <c r="AM570" i="1"/>
  <c r="AL569" i="1"/>
  <c r="AM569" i="1"/>
  <c r="AL567" i="1"/>
  <c r="AM567" i="1"/>
  <c r="AL566" i="1"/>
  <c r="AM566" i="1"/>
  <c r="AL564" i="1"/>
  <c r="AM564" i="1"/>
  <c r="AL562" i="1"/>
  <c r="AM562" i="1"/>
  <c r="AL560" i="1"/>
  <c r="AM560" i="1"/>
  <c r="AL559" i="1"/>
  <c r="AM559" i="1"/>
  <c r="AL558" i="1"/>
  <c r="AM558" i="1"/>
  <c r="AL432" i="1"/>
  <c r="AL435" i="1"/>
  <c r="AM452" i="1"/>
  <c r="AL277" i="1"/>
  <c r="AM273" i="1"/>
  <c r="AM119" i="1"/>
  <c r="AM471" i="1"/>
  <c r="AL513" i="1"/>
  <c r="AM180" i="1"/>
  <c r="AL275" i="1"/>
  <c r="AL504" i="1"/>
  <c r="AM443" i="1"/>
  <c r="Y431" i="1"/>
  <c r="Z431" i="1" s="1"/>
  <c r="AA431" i="1" s="1"/>
  <c r="Y495" i="1"/>
  <c r="Z495" i="1" s="1"/>
  <c r="AA495" i="1" s="1"/>
  <c r="Y469" i="1"/>
  <c r="Z469" i="1" s="1"/>
  <c r="AA469" i="1" s="1"/>
  <c r="Y371" i="1"/>
  <c r="Z371" i="1" s="1"/>
  <c r="AA371" i="1" s="1"/>
  <c r="Y338" i="1"/>
  <c r="Z338" i="1" s="1"/>
  <c r="AA338" i="1" s="1"/>
  <c r="Y290" i="1"/>
  <c r="Z290" i="1" s="1"/>
  <c r="AA290" i="1" s="1"/>
  <c r="Y288" i="1"/>
  <c r="Z288" i="1" s="1"/>
  <c r="AA288" i="1" s="1"/>
  <c r="Z551" i="1"/>
  <c r="AA551" i="1" s="1"/>
  <c r="AM481" i="1"/>
  <c r="AL530" i="1"/>
  <c r="AM530" i="1"/>
  <c r="AL528" i="1"/>
  <c r="AM528" i="1"/>
  <c r="AL526" i="1"/>
  <c r="AM526" i="1"/>
  <c r="AL453" i="1"/>
  <c r="AM453" i="1"/>
  <c r="AL186" i="1"/>
  <c r="AM186" i="1"/>
  <c r="AL93" i="1"/>
  <c r="AM93" i="1"/>
  <c r="AL64" i="1"/>
  <c r="AM64" i="1"/>
  <c r="AL292" i="1"/>
  <c r="AM292" i="1"/>
  <c r="AL371" i="1"/>
  <c r="AM371" i="1"/>
  <c r="AL392" i="1"/>
  <c r="AM392" i="1"/>
  <c r="AL540" i="1"/>
  <c r="AM540" i="1"/>
  <c r="AL542" i="1"/>
  <c r="AM542" i="1"/>
  <c r="AL544" i="1"/>
  <c r="AM544" i="1"/>
  <c r="AL547" i="1"/>
  <c r="AM547" i="1"/>
  <c r="AL549" i="1"/>
  <c r="AM549" i="1"/>
  <c r="AL555" i="1"/>
  <c r="AM555" i="1"/>
  <c r="AL534" i="1"/>
  <c r="AM534" i="1"/>
  <c r="AL551" i="1"/>
  <c r="AM551" i="1"/>
  <c r="AL533" i="1"/>
  <c r="AM533" i="1"/>
  <c r="AL320" i="1"/>
  <c r="AM320" i="1"/>
  <c r="AL410" i="1"/>
  <c r="AM410" i="1"/>
  <c r="AL310" i="1"/>
  <c r="AM310" i="1"/>
  <c r="AL145" i="1"/>
  <c r="AM145" i="1"/>
  <c r="AL222" i="1"/>
  <c r="AM222" i="1"/>
  <c r="AL269" i="1"/>
  <c r="AM269" i="1"/>
  <c r="AL531" i="1"/>
  <c r="AM531" i="1"/>
  <c r="AL538" i="1"/>
  <c r="AM538" i="1"/>
  <c r="AL541" i="1"/>
  <c r="AM541" i="1"/>
  <c r="AL543" i="1"/>
  <c r="AM543" i="1"/>
  <c r="AL545" i="1"/>
  <c r="AM545" i="1"/>
  <c r="AL548" i="1"/>
  <c r="AM548" i="1"/>
  <c r="AL553" i="1"/>
  <c r="AM553" i="1"/>
  <c r="AL536" i="1"/>
  <c r="AM536" i="1"/>
  <c r="AL527" i="1"/>
  <c r="AM527" i="1"/>
  <c r="AL525" i="1"/>
  <c r="AM525" i="1"/>
  <c r="AL523" i="1"/>
  <c r="AM523" i="1"/>
  <c r="AL521" i="1"/>
  <c r="AM521" i="1"/>
  <c r="AL515" i="1"/>
  <c r="AM515" i="1"/>
  <c r="AL505" i="1"/>
  <c r="AM505" i="1"/>
  <c r="AL501" i="1"/>
  <c r="AM501" i="1"/>
  <c r="AL498" i="1"/>
  <c r="AM498" i="1"/>
  <c r="AL491" i="1"/>
  <c r="AM491" i="1"/>
  <c r="AL485" i="1"/>
  <c r="AM485" i="1"/>
  <c r="AL480" i="1"/>
  <c r="AM480" i="1"/>
  <c r="AL477" i="1"/>
  <c r="AM477" i="1"/>
  <c r="AL472" i="1"/>
  <c r="AM472" i="1"/>
  <c r="AL464" i="1"/>
  <c r="AM464" i="1"/>
  <c r="AL462" i="1"/>
  <c r="AM462" i="1"/>
  <c r="AL455" i="1"/>
  <c r="AM455" i="1"/>
  <c r="Y452" i="1"/>
  <c r="Z452" i="1" s="1"/>
  <c r="AA452" i="1" s="1"/>
  <c r="AM426" i="1"/>
  <c r="AL421" i="1"/>
  <c r="AM421" i="1"/>
  <c r="AL419" i="1"/>
  <c r="AM419" i="1"/>
  <c r="AL408" i="1"/>
  <c r="AM408" i="1"/>
  <c r="AL405" i="1"/>
  <c r="AM405" i="1"/>
  <c r="AL403" i="1"/>
  <c r="AM403" i="1"/>
  <c r="AL401" i="1"/>
  <c r="AM401" i="1"/>
  <c r="AL399" i="1"/>
  <c r="AM399" i="1"/>
  <c r="AL383" i="1"/>
  <c r="AM383" i="1"/>
  <c r="AL356" i="1"/>
  <c r="AM356" i="1"/>
  <c r="AL348" i="1"/>
  <c r="AM348" i="1"/>
  <c r="AL336" i="1"/>
  <c r="AM336" i="1"/>
  <c r="AL329" i="1"/>
  <c r="AM329" i="1"/>
  <c r="AL325" i="1"/>
  <c r="AM325" i="1"/>
  <c r="AL323" i="1"/>
  <c r="AM323" i="1"/>
  <c r="AL318" i="1"/>
  <c r="AM318" i="1"/>
  <c r="AL308" i="1"/>
  <c r="AM308" i="1"/>
  <c r="AL303" i="1"/>
  <c r="AM303" i="1"/>
  <c r="J13" i="8"/>
  <c r="K13" i="8" s="1"/>
  <c r="Y287" i="1"/>
  <c r="Z287" i="1" s="1"/>
  <c r="AA287" i="1" s="1"/>
  <c r="B11" i="8"/>
  <c r="I11" i="8" s="1"/>
  <c r="B12" i="8"/>
  <c r="J12" i="8" s="1"/>
  <c r="B17" i="8"/>
  <c r="I17" i="8" s="1"/>
  <c r="B20" i="8"/>
  <c r="J20" i="8" s="1"/>
  <c r="C13" i="8"/>
  <c r="AL258" i="1"/>
  <c r="AM258" i="1"/>
  <c r="AL246" i="1"/>
  <c r="AM246" i="1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234" i="1"/>
  <c r="AM234" i="1"/>
  <c r="AL212" i="1"/>
  <c r="AM212" i="1"/>
  <c r="AL207" i="1"/>
  <c r="AM207" i="1"/>
  <c r="AL196" i="1"/>
  <c r="AM196" i="1"/>
  <c r="AL194" i="1"/>
  <c r="AM194" i="1"/>
  <c r="AL182" i="1"/>
  <c r="AM182" i="1"/>
  <c r="AL177" i="1"/>
  <c r="AM177" i="1"/>
  <c r="AL165" i="1"/>
  <c r="AM165" i="1"/>
  <c r="AL163" i="1"/>
  <c r="AM163" i="1"/>
  <c r="AL150" i="1"/>
  <c r="AM150" i="1"/>
  <c r="AL148" i="1"/>
  <c r="AM148" i="1"/>
  <c r="AL139" i="1"/>
  <c r="AM139" i="1"/>
  <c r="AL136" i="1"/>
  <c r="AM136" i="1"/>
  <c r="AL134" i="1"/>
  <c r="AM134" i="1"/>
  <c r="AL118" i="1"/>
  <c r="AM118" i="1"/>
  <c r="AL111" i="1"/>
  <c r="AM111" i="1"/>
  <c r="AL132" i="1"/>
  <c r="AM132" i="1"/>
  <c r="AL121" i="1"/>
  <c r="AM121" i="1"/>
  <c r="AL113" i="1"/>
  <c r="AM113" i="1"/>
  <c r="AL98" i="1"/>
  <c r="AM98" i="1"/>
  <c r="AL90" i="1"/>
  <c r="AM90" i="1"/>
  <c r="AL83" i="1"/>
  <c r="AM83" i="1"/>
  <c r="AM75" i="1"/>
  <c r="AL75" i="1"/>
  <c r="AL70" i="1"/>
  <c r="AM70" i="1"/>
  <c r="AM54" i="1"/>
  <c r="AL54" i="1"/>
  <c r="AL29" i="1"/>
  <c r="AM29" i="1"/>
  <c r="AL7" i="1"/>
  <c r="AM7" i="1"/>
  <c r="AL522" i="1"/>
  <c r="AM522" i="1"/>
  <c r="AL520" i="1"/>
  <c r="AM520" i="1"/>
  <c r="AL518" i="1"/>
  <c r="AM518" i="1"/>
  <c r="AL517" i="1"/>
  <c r="AM517" i="1"/>
  <c r="AL516" i="1"/>
  <c r="AM516" i="1"/>
  <c r="Y499" i="1"/>
  <c r="Z499" i="1" s="1"/>
  <c r="AA499" i="1" s="1"/>
  <c r="Y393" i="1"/>
  <c r="Z393" i="1" s="1"/>
  <c r="AA393" i="1" s="1"/>
  <c r="AL514" i="1"/>
  <c r="AM514" i="1"/>
  <c r="AL512" i="1"/>
  <c r="AM512" i="1"/>
  <c r="AL510" i="1"/>
  <c r="AM510" i="1"/>
  <c r="AL507" i="1"/>
  <c r="AM507" i="1"/>
  <c r="AL503" i="1"/>
  <c r="AM503" i="1"/>
  <c r="AL502" i="1"/>
  <c r="AM502" i="1"/>
  <c r="AL500" i="1"/>
  <c r="AM500" i="1"/>
  <c r="AL499" i="1"/>
  <c r="AM499" i="1"/>
  <c r="Z497" i="1"/>
  <c r="AA497" i="1" s="1"/>
  <c r="AL497" i="1"/>
  <c r="AM497" i="1"/>
  <c r="AL496" i="1"/>
  <c r="AM496" i="1"/>
  <c r="AL494" i="1"/>
  <c r="AM494" i="1"/>
  <c r="AL492" i="1"/>
  <c r="AM492" i="1"/>
  <c r="AL490" i="1"/>
  <c r="AM490" i="1"/>
  <c r="AL488" i="1"/>
  <c r="AM488" i="1"/>
  <c r="AL487" i="1"/>
  <c r="AM487" i="1"/>
  <c r="AL486" i="1"/>
  <c r="AM486" i="1"/>
  <c r="AL484" i="1"/>
  <c r="AM484" i="1"/>
  <c r="AL482" i="1"/>
  <c r="AM482" i="1"/>
  <c r="AL479" i="1"/>
  <c r="AM479" i="1"/>
  <c r="AL478" i="1"/>
  <c r="AM478" i="1"/>
  <c r="AL476" i="1"/>
  <c r="AM476" i="1"/>
  <c r="AL474" i="1"/>
  <c r="AM474" i="1"/>
  <c r="AL470" i="1"/>
  <c r="AM470" i="1"/>
  <c r="AL468" i="1"/>
  <c r="AM468" i="1"/>
  <c r="AL465" i="1"/>
  <c r="AM465" i="1"/>
  <c r="AL463" i="1"/>
  <c r="AM463" i="1"/>
  <c r="AL461" i="1"/>
  <c r="AM461" i="1"/>
  <c r="AL460" i="1"/>
  <c r="AM460" i="1"/>
  <c r="AL459" i="1"/>
  <c r="AM459" i="1"/>
  <c r="AL458" i="1"/>
  <c r="AM458" i="1"/>
  <c r="AL457" i="1"/>
  <c r="AM457" i="1"/>
  <c r="AL456" i="1"/>
  <c r="AM456" i="1"/>
  <c r="AL199" i="1"/>
  <c r="AM199" i="1"/>
  <c r="AL297" i="1"/>
  <c r="AM297" i="1"/>
  <c r="AL331" i="1"/>
  <c r="AM331" i="1"/>
  <c r="AL327" i="1"/>
  <c r="AM327" i="1"/>
  <c r="AL373" i="1"/>
  <c r="AM373" i="1"/>
  <c r="AL370" i="1"/>
  <c r="AM370" i="1"/>
  <c r="AL367" i="1"/>
  <c r="AM367" i="1"/>
  <c r="AL365" i="1"/>
  <c r="AM365" i="1"/>
  <c r="AL361" i="1"/>
  <c r="AM361" i="1"/>
  <c r="AL126" i="1"/>
  <c r="AM126" i="1"/>
  <c r="AL349" i="1"/>
  <c r="AM349" i="1"/>
  <c r="AL300" i="1"/>
  <c r="AM300" i="1"/>
  <c r="AL112" i="1"/>
  <c r="AM112" i="1"/>
  <c r="AL337" i="1"/>
  <c r="AM337" i="1"/>
  <c r="AL298" i="1"/>
  <c r="AM298" i="1"/>
  <c r="AL116" i="1"/>
  <c r="AM116" i="1"/>
  <c r="AL100" i="1"/>
  <c r="AM100" i="1"/>
  <c r="AL263" i="1"/>
  <c r="AM263" i="1"/>
  <c r="AL253" i="1"/>
  <c r="AM253" i="1"/>
  <c r="AL241" i="1"/>
  <c r="AM241" i="1"/>
  <c r="AL230" i="1"/>
  <c r="AM230" i="1"/>
  <c r="AL223" i="1"/>
  <c r="AM223" i="1"/>
  <c r="AL218" i="1"/>
  <c r="AM218" i="1"/>
  <c r="AL214" i="1"/>
  <c r="AM214" i="1"/>
  <c r="AL187" i="1"/>
  <c r="AM187" i="1"/>
  <c r="AL178" i="1"/>
  <c r="AM178" i="1"/>
  <c r="AL172" i="1"/>
  <c r="AM172" i="1"/>
  <c r="AL152" i="1"/>
  <c r="AM152" i="1"/>
  <c r="AL142" i="1"/>
  <c r="AM142" i="1"/>
  <c r="AL101" i="1"/>
  <c r="AM101" i="1"/>
  <c r="AL87" i="1"/>
  <c r="AM87" i="1"/>
  <c r="AL81" i="1"/>
  <c r="AM81" i="1"/>
  <c r="AL191" i="1"/>
  <c r="AM191" i="1"/>
  <c r="AL402" i="1"/>
  <c r="AM402" i="1"/>
  <c r="AL400" i="1"/>
  <c r="AM400" i="1"/>
  <c r="AL393" i="1"/>
  <c r="AM393" i="1"/>
  <c r="AL391" i="1"/>
  <c r="AM391" i="1"/>
  <c r="AL387" i="1"/>
  <c r="AM387" i="1"/>
  <c r="AL379" i="1"/>
  <c r="AM379" i="1"/>
  <c r="AL377" i="1"/>
  <c r="AM377" i="1"/>
  <c r="AL375" i="1"/>
  <c r="AM375" i="1"/>
  <c r="AL359" i="1"/>
  <c r="AM359" i="1"/>
  <c r="AL357" i="1"/>
  <c r="AM357" i="1"/>
  <c r="AL351" i="1"/>
  <c r="AM351" i="1"/>
  <c r="AL347" i="1"/>
  <c r="AM347" i="1"/>
  <c r="AL335" i="1"/>
  <c r="AM335" i="1"/>
  <c r="AL333" i="1"/>
  <c r="AM333" i="1"/>
  <c r="AL326" i="1"/>
  <c r="AM326" i="1"/>
  <c r="AL314" i="1"/>
  <c r="AM314" i="1"/>
  <c r="AL279" i="1"/>
  <c r="AM279" i="1"/>
  <c r="AL272" i="1"/>
  <c r="AM272" i="1"/>
  <c r="AL270" i="1"/>
  <c r="AM270" i="1"/>
  <c r="AL268" i="1"/>
  <c r="AM268" i="1"/>
  <c r="AL244" i="1"/>
  <c r="AM244" i="1"/>
  <c r="AL240" i="1"/>
  <c r="AM240" i="1"/>
  <c r="AL210" i="1"/>
  <c r="AM210" i="1"/>
  <c r="AL208" i="1"/>
  <c r="AM208" i="1"/>
  <c r="AL204" i="1"/>
  <c r="AM204" i="1"/>
  <c r="AL179" i="1"/>
  <c r="AM179" i="1"/>
  <c r="AL175" i="1"/>
  <c r="AM175" i="1"/>
  <c r="AL173" i="1"/>
  <c r="AM173" i="1"/>
  <c r="AL114" i="1"/>
  <c r="AM114" i="1"/>
  <c r="AL86" i="1"/>
  <c r="AM86" i="1"/>
  <c r="AL84" i="1"/>
  <c r="AM84" i="1"/>
  <c r="AL414" i="1"/>
  <c r="AM414" i="1"/>
  <c r="AL412" i="1"/>
  <c r="AM412" i="1"/>
  <c r="AL278" i="1"/>
  <c r="AM278" i="1"/>
  <c r="AL238" i="1"/>
  <c r="AM238" i="1"/>
  <c r="AL213" i="1"/>
  <c r="AM213" i="1"/>
  <c r="AL206" i="1"/>
  <c r="AM206" i="1"/>
  <c r="AL200" i="1"/>
  <c r="AM200" i="1"/>
  <c r="AL193" i="1"/>
  <c r="AM193" i="1"/>
  <c r="AL192" i="1"/>
  <c r="AM192" i="1"/>
  <c r="AL184" i="1"/>
  <c r="AM184" i="1"/>
  <c r="AL181" i="1"/>
  <c r="AM181" i="1"/>
  <c r="AL127" i="1"/>
  <c r="AM127" i="1"/>
  <c r="AL122" i="1"/>
  <c r="AM122" i="1"/>
  <c r="AL106" i="1"/>
  <c r="AM106" i="1"/>
  <c r="AL95" i="1"/>
  <c r="AM95" i="1"/>
  <c r="AL94" i="1"/>
  <c r="AM94" i="1"/>
  <c r="AL92" i="1"/>
  <c r="AM92" i="1"/>
  <c r="AL89" i="1"/>
  <c r="AM89" i="1"/>
  <c r="AL80" i="1"/>
  <c r="AM80" i="1"/>
  <c r="AL33" i="1"/>
  <c r="AM33" i="1"/>
  <c r="AL55" i="1"/>
  <c r="AM55" i="1"/>
  <c r="AL34" i="1"/>
  <c r="AM34" i="1"/>
  <c r="AL259" i="1"/>
  <c r="AM259" i="1"/>
  <c r="AL211" i="1"/>
  <c r="AM211" i="1"/>
  <c r="AL120" i="1"/>
  <c r="AM120" i="1"/>
  <c r="AL262" i="1"/>
  <c r="AM262" i="1"/>
  <c r="AL256" i="1"/>
  <c r="AM256" i="1"/>
  <c r="AL233" i="1"/>
  <c r="AM233" i="1"/>
  <c r="AL232" i="1"/>
  <c r="AM232" i="1"/>
  <c r="AL224" i="1"/>
  <c r="AM224" i="1"/>
  <c r="AL220" i="1"/>
  <c r="AM220" i="1"/>
  <c r="AL219" i="1"/>
  <c r="AM219" i="1"/>
  <c r="AL217" i="1"/>
  <c r="AM217" i="1"/>
  <c r="AL198" i="1"/>
  <c r="AM198" i="1"/>
  <c r="AL197" i="1"/>
  <c r="AM197" i="1"/>
  <c r="AL155" i="1"/>
  <c r="AM155" i="1"/>
  <c r="AL154" i="1"/>
  <c r="AM154" i="1"/>
  <c r="AL149" i="1"/>
  <c r="AM149" i="1"/>
  <c r="AL147" i="1"/>
  <c r="AM147" i="1"/>
  <c r="AL143" i="1"/>
  <c r="AM143" i="1"/>
  <c r="AL138" i="1"/>
  <c r="AM138" i="1"/>
  <c r="AL61" i="1"/>
  <c r="AM61" i="1"/>
  <c r="AL60" i="1"/>
  <c r="AM60" i="1"/>
  <c r="AL59" i="1"/>
  <c r="AM59" i="1"/>
  <c r="AL6" i="1"/>
  <c r="AM6" i="1"/>
  <c r="AL267" i="1"/>
  <c r="AM267" i="1"/>
  <c r="AL265" i="1"/>
  <c r="AM265" i="1"/>
  <c r="AL156" i="1"/>
  <c r="AM156" i="1"/>
  <c r="AL153" i="1"/>
  <c r="AM153" i="1"/>
  <c r="AL151" i="1"/>
  <c r="AM151" i="1"/>
  <c r="AL73" i="1"/>
  <c r="AM73" i="1"/>
  <c r="AL71" i="1"/>
  <c r="AM71" i="1"/>
  <c r="AL57" i="1"/>
  <c r="AM57" i="1"/>
  <c r="AL9" i="1"/>
  <c r="AM9" i="1"/>
  <c r="AL266" i="1"/>
  <c r="AM266" i="1"/>
  <c r="AL260" i="1"/>
  <c r="AM260" i="1"/>
  <c r="AL226" i="1"/>
  <c r="AM226" i="1"/>
  <c r="AL216" i="1"/>
  <c r="AM216" i="1"/>
  <c r="AL10" i="1"/>
  <c r="AM10" i="1"/>
  <c r="AL31" i="1"/>
  <c r="AM31" i="1"/>
  <c r="AL144" i="1"/>
  <c r="AM144" i="1"/>
  <c r="AL176" i="1"/>
  <c r="AM176" i="1"/>
  <c r="AL225" i="1"/>
  <c r="AM225" i="1"/>
  <c r="AL294" i="1"/>
  <c r="AM294" i="1"/>
  <c r="AL311" i="1"/>
  <c r="AM311" i="1"/>
  <c r="AL313" i="1"/>
  <c r="AM313" i="1"/>
  <c r="AL317" i="1"/>
  <c r="AM317" i="1"/>
  <c r="AL321" i="1"/>
  <c r="AM321" i="1"/>
  <c r="AL322" i="1"/>
  <c r="AM322" i="1"/>
  <c r="AL296" i="1"/>
  <c r="AM296" i="1"/>
  <c r="AL330" i="1"/>
  <c r="AM330" i="1"/>
  <c r="AL271" i="1"/>
  <c r="AM271" i="1"/>
  <c r="AL319" i="1"/>
  <c r="AM319" i="1"/>
  <c r="AL350" i="1"/>
  <c r="AM350" i="1"/>
  <c r="AL366" i="1"/>
  <c r="AM366" i="1"/>
  <c r="AL355" i="1"/>
  <c r="AM355" i="1"/>
  <c r="AL360" i="1"/>
  <c r="AM360" i="1"/>
  <c r="AL354" i="1"/>
  <c r="AM354" i="1"/>
  <c r="AL374" i="1"/>
  <c r="AM374" i="1"/>
  <c r="AL378" i="1"/>
  <c r="AM378" i="1"/>
  <c r="AL384" i="1"/>
  <c r="AM384" i="1"/>
  <c r="AL388" i="1"/>
  <c r="AM388" i="1"/>
  <c r="AL342" i="1"/>
  <c r="AM342" i="1"/>
  <c r="AL413" i="1"/>
  <c r="AM413" i="1"/>
  <c r="AL415" i="1"/>
  <c r="AM415" i="1"/>
  <c r="AL369" i="1"/>
  <c r="AM369" i="1"/>
  <c r="AL416" i="1"/>
  <c r="AM416" i="1"/>
  <c r="AL407" i="1"/>
  <c r="AM407" i="1"/>
  <c r="AL288" i="1"/>
  <c r="AM288" i="1"/>
  <c r="AL315" i="1"/>
  <c r="AM315" i="1"/>
  <c r="AL282" i="1"/>
  <c r="AM282" i="1"/>
  <c r="AL390" i="1"/>
  <c r="AM390" i="1"/>
  <c r="AL346" i="1"/>
  <c r="AM346" i="1"/>
  <c r="AL396" i="1"/>
  <c r="AM396" i="1"/>
  <c r="AL332" i="1"/>
  <c r="AM332" i="1"/>
  <c r="AL411" i="1"/>
  <c r="AM411" i="1"/>
  <c r="AL203" i="1"/>
  <c r="AM203" i="1"/>
  <c r="AL385" i="1"/>
  <c r="AM385" i="1"/>
  <c r="AL345" i="1"/>
  <c r="AM345" i="1"/>
  <c r="AL343" i="1"/>
  <c r="AM343" i="1"/>
  <c r="AL341" i="1"/>
  <c r="AM341" i="1"/>
  <c r="AL339" i="1"/>
  <c r="AM339" i="1"/>
  <c r="AL395" i="1"/>
  <c r="AM395" i="1"/>
  <c r="AL129" i="1"/>
  <c r="AM129" i="1"/>
  <c r="AL137" i="1"/>
  <c r="AM137" i="1"/>
  <c r="AL135" i="1"/>
  <c r="AM135" i="1"/>
  <c r="AL3" i="1"/>
  <c r="AM3" i="1"/>
  <c r="AL389" i="1"/>
  <c r="AM389" i="1"/>
  <c r="AL324" i="1"/>
  <c r="AM324" i="1"/>
  <c r="AL102" i="1"/>
  <c r="AM102" i="1"/>
  <c r="AL72" i="1"/>
  <c r="AM72" i="1"/>
  <c r="AL58" i="1"/>
  <c r="AM58" i="1"/>
  <c r="AL381" i="1"/>
  <c r="AM381" i="1"/>
  <c r="AL316" i="1"/>
  <c r="AM316" i="1"/>
  <c r="AL104" i="1"/>
  <c r="AM104" i="1"/>
  <c r="AL88" i="1"/>
  <c r="AM88" i="1"/>
  <c r="AL5" i="1"/>
  <c r="AM5" i="1"/>
  <c r="AL53" i="1"/>
  <c r="AM53" i="1"/>
  <c r="AL257" i="1"/>
  <c r="AM257" i="1"/>
  <c r="AL245" i="1"/>
  <c r="AM245" i="1"/>
  <c r="AL237" i="1"/>
  <c r="AM237" i="1"/>
  <c r="AL229" i="1"/>
  <c r="AM229" i="1"/>
  <c r="AL205" i="1"/>
  <c r="AM205" i="1"/>
  <c r="AL123" i="1"/>
  <c r="AM123" i="1"/>
  <c r="AL117" i="1"/>
  <c r="AM117" i="1"/>
  <c r="AL105" i="1"/>
  <c r="AM105" i="1"/>
  <c r="AL97" i="1"/>
  <c r="AM97" i="1"/>
  <c r="AL85" i="1"/>
  <c r="AM85" i="1"/>
  <c r="AL77" i="1"/>
  <c r="AM77" i="1"/>
  <c r="AL67" i="1"/>
  <c r="AM67" i="1"/>
  <c r="AL62" i="1"/>
  <c r="AM62" i="1"/>
  <c r="AL168" i="1"/>
  <c r="AM168" i="1"/>
  <c r="AL164" i="1"/>
  <c r="AM164" i="1"/>
  <c r="AL140" i="1"/>
  <c r="AM140" i="1"/>
  <c r="AL276" i="1"/>
  <c r="AM276" i="1"/>
  <c r="AL202" i="1"/>
  <c r="AM202" i="1"/>
  <c r="AL201" i="1"/>
  <c r="AM201" i="1"/>
  <c r="AL306" i="1"/>
  <c r="AM306" i="1"/>
  <c r="AL304" i="1"/>
  <c r="AM304" i="1"/>
  <c r="AL302" i="1"/>
  <c r="AM302" i="1"/>
  <c r="AL295" i="1"/>
  <c r="AM295" i="1"/>
  <c r="AL293" i="1"/>
  <c r="AM293" i="1"/>
  <c r="AL291" i="1"/>
  <c r="AM291" i="1"/>
  <c r="AL289" i="1"/>
  <c r="AM289" i="1"/>
  <c r="AL287" i="1"/>
  <c r="AM287" i="1"/>
  <c r="AL285" i="1"/>
  <c r="AM285" i="1"/>
  <c r="AL283" i="1"/>
  <c r="AM283" i="1"/>
  <c r="AL281" i="1"/>
  <c r="AM281" i="1"/>
  <c r="AL274" i="1"/>
  <c r="AM274" i="1"/>
  <c r="AL247" i="1"/>
  <c r="AM247" i="1"/>
  <c r="AL242" i="1"/>
  <c r="AM242" i="1"/>
  <c r="AL235" i="1"/>
  <c r="AM235" i="1"/>
  <c r="AL189" i="1"/>
  <c r="AM189" i="1"/>
  <c r="AL185" i="1"/>
  <c r="AM185" i="1"/>
  <c r="AL169" i="1"/>
  <c r="AM169" i="1"/>
  <c r="AL167" i="1"/>
  <c r="AM167" i="1"/>
  <c r="AL133" i="1"/>
  <c r="AM133" i="1"/>
  <c r="AL131" i="1"/>
  <c r="AM131" i="1"/>
  <c r="AL124" i="1"/>
  <c r="AM124" i="1"/>
  <c r="AL96" i="1"/>
  <c r="AM96" i="1"/>
  <c r="AL91" i="1"/>
  <c r="AM91" i="1"/>
  <c r="AL82" i="1"/>
  <c r="AM82" i="1"/>
  <c r="AL69" i="1"/>
  <c r="AM69" i="1"/>
  <c r="AL30" i="1"/>
  <c r="AM30" i="1"/>
  <c r="AL65" i="1"/>
  <c r="AM65" i="1"/>
  <c r="AL36" i="1"/>
  <c r="AM36" i="1"/>
  <c r="AL63" i="1"/>
  <c r="AM63" i="1"/>
  <c r="AL4" i="1"/>
  <c r="AM4" i="1"/>
  <c r="AL110" i="1"/>
  <c r="AM110" i="1"/>
  <c r="AL108" i="1"/>
  <c r="AM108" i="1"/>
  <c r="AL78" i="1"/>
  <c r="AM78" i="1"/>
  <c r="AL76" i="1"/>
  <c r="AM76" i="1"/>
  <c r="AL74" i="1"/>
  <c r="AM74" i="1"/>
  <c r="AL261" i="1"/>
  <c r="AM261" i="1"/>
  <c r="AL255" i="1"/>
  <c r="AM255" i="1"/>
  <c r="AL209" i="1"/>
  <c r="AM209" i="1"/>
  <c r="AL125" i="1"/>
  <c r="AM125" i="1"/>
  <c r="AL103" i="1"/>
  <c r="AM103" i="1"/>
  <c r="AL264" i="1"/>
  <c r="AM264" i="1"/>
  <c r="AL254" i="1"/>
  <c r="AM254" i="1"/>
  <c r="AL252" i="1"/>
  <c r="AM252" i="1"/>
  <c r="AL251" i="1"/>
  <c r="AM251" i="1"/>
  <c r="AL249" i="1"/>
  <c r="AM249" i="1"/>
  <c r="AL248" i="1"/>
  <c r="AM248" i="1"/>
  <c r="AL236" i="1"/>
  <c r="AM236" i="1"/>
  <c r="AL52" i="1"/>
  <c r="AM52" i="1"/>
  <c r="AL250" i="1"/>
  <c r="AM250" i="1"/>
  <c r="AL228" i="1"/>
  <c r="AM228" i="1"/>
  <c r="AL227" i="1"/>
  <c r="AM227" i="1"/>
  <c r="AL221" i="1"/>
  <c r="AM221" i="1"/>
  <c r="AL195" i="1"/>
  <c r="AM195" i="1"/>
  <c r="AL161" i="1"/>
  <c r="AM161" i="1"/>
  <c r="AL28" i="1"/>
  <c r="AM28" i="1"/>
  <c r="AL162" i="1"/>
  <c r="AM162" i="1"/>
  <c r="AL159" i="1"/>
  <c r="AM159" i="1"/>
  <c r="AL157" i="1"/>
  <c r="AM157" i="1"/>
  <c r="AL146" i="1"/>
  <c r="AM146" i="1"/>
  <c r="AL141" i="1"/>
  <c r="AM141" i="1"/>
  <c r="AL56" i="1"/>
  <c r="AM56" i="1"/>
  <c r="AL8" i="1"/>
  <c r="AM8" i="1"/>
  <c r="AL215" i="1"/>
  <c r="AM215" i="1"/>
  <c r="AL174" i="1"/>
  <c r="AM174" i="1"/>
  <c r="AL301" i="1"/>
  <c r="AM301" i="1"/>
  <c r="AL309" i="1"/>
  <c r="AM309" i="1"/>
  <c r="AL312" i="1"/>
  <c r="AM312" i="1"/>
  <c r="AL307" i="1"/>
  <c r="AM307" i="1"/>
  <c r="AL299" i="1"/>
  <c r="AM299" i="1"/>
  <c r="AL290" i="1"/>
  <c r="AM290" i="1"/>
  <c r="AL160" i="1"/>
  <c r="AM160" i="1"/>
  <c r="AL328" i="1"/>
  <c r="AM328" i="1"/>
  <c r="AL338" i="1"/>
  <c r="AM338" i="1"/>
  <c r="AL352" i="1"/>
  <c r="AM352" i="1"/>
  <c r="AL363" i="1"/>
  <c r="AM363" i="1"/>
  <c r="AL358" i="1"/>
  <c r="AM358" i="1"/>
  <c r="AL353" i="1"/>
  <c r="AM353" i="1"/>
  <c r="AL376" i="1"/>
  <c r="AM376" i="1"/>
  <c r="AL382" i="1"/>
  <c r="AM382" i="1"/>
  <c r="AL386" i="1"/>
  <c r="AM386" i="1"/>
  <c r="AL380" i="1"/>
  <c r="AM380" i="1"/>
  <c r="AL340" i="1"/>
  <c r="AM340" i="1"/>
  <c r="AL418" i="1"/>
  <c r="AM418" i="1"/>
  <c r="AL404" i="1"/>
  <c r="AM404" i="1"/>
  <c r="AL394" i="1"/>
  <c r="AM394" i="1"/>
  <c r="AL305" i="1"/>
  <c r="AM305" i="1"/>
  <c r="AL286" i="1"/>
  <c r="AM286" i="1"/>
  <c r="AL334" i="1"/>
  <c r="AM334" i="1"/>
  <c r="AL398" i="1"/>
  <c r="AM398" i="1"/>
  <c r="AL344" i="1"/>
  <c r="AM344" i="1"/>
  <c r="AL284" i="1"/>
  <c r="AM284" i="1"/>
  <c r="AL372" i="1"/>
  <c r="AM372" i="1"/>
  <c r="AL406" i="1"/>
  <c r="AM406" i="1"/>
  <c r="AL454" i="1"/>
  <c r="AM454" i="1"/>
  <c r="AL451" i="1"/>
  <c r="AM451" i="1"/>
  <c r="AL449" i="1"/>
  <c r="AM449" i="1"/>
  <c r="AL448" i="1"/>
  <c r="AM448" i="1"/>
  <c r="AL447" i="1"/>
  <c r="AM447" i="1"/>
  <c r="AL445" i="1"/>
  <c r="AM445" i="1"/>
  <c r="AL437" i="1"/>
  <c r="AM437" i="1"/>
  <c r="AL429" i="1"/>
  <c r="AM429" i="1"/>
  <c r="AL428" i="1"/>
  <c r="AM428" i="1"/>
  <c r="AL427" i="1"/>
  <c r="AM427" i="1"/>
  <c r="AL425" i="1"/>
  <c r="AM425" i="1"/>
  <c r="AL424" i="1"/>
  <c r="AM424" i="1"/>
  <c r="AL423" i="1"/>
  <c r="AM423" i="1"/>
  <c r="AL422" i="1"/>
  <c r="AM422" i="1"/>
  <c r="AL420" i="1"/>
  <c r="AM420" i="1"/>
  <c r="Z406" i="1"/>
  <c r="AA406" i="1" s="1"/>
  <c r="Y402" i="1"/>
  <c r="Z402" i="1" s="1"/>
  <c r="AA402" i="1" s="1"/>
  <c r="Y273" i="1"/>
  <c r="Z273" i="1" s="1"/>
  <c r="AA273" i="1" s="1"/>
  <c r="Y220" i="1"/>
  <c r="Z220" i="1" s="1"/>
  <c r="AA220" i="1" s="1"/>
  <c r="Y514" i="1"/>
  <c r="Z514" i="1" s="1"/>
  <c r="AA514" i="1" s="1"/>
  <c r="Y375" i="1"/>
  <c r="Z375" i="1" s="1"/>
  <c r="AA375" i="1" s="1"/>
  <c r="Y359" i="1"/>
  <c r="Z359" i="1" s="1"/>
  <c r="AA359" i="1" s="1"/>
  <c r="Y513" i="1"/>
  <c r="Z513" i="1" s="1"/>
  <c r="AA513" i="1" s="1"/>
  <c r="Y237" i="1"/>
  <c r="Z237" i="1" s="1"/>
  <c r="AA237" i="1" s="1"/>
  <c r="Y194" i="1"/>
  <c r="Z194" i="1" s="1"/>
  <c r="AA194" i="1" s="1"/>
  <c r="Y57" i="1"/>
  <c r="Z57" i="1" s="1"/>
  <c r="AA57" i="1" s="1"/>
  <c r="X196" i="1"/>
  <c r="Y196" i="1" s="1"/>
  <c r="Y138" i="1"/>
  <c r="Z138" i="1" s="1"/>
  <c r="AA138" i="1" s="1"/>
  <c r="Y73" i="1"/>
  <c r="Z73" i="1" s="1"/>
  <c r="AA73" i="1" s="1"/>
  <c r="Y268" i="1"/>
  <c r="Z268" i="1" s="1"/>
  <c r="AA268" i="1" s="1"/>
  <c r="Y519" i="1"/>
  <c r="Z519" i="1" s="1"/>
  <c r="AA519" i="1" s="1"/>
  <c r="Y442" i="1"/>
  <c r="Z442" i="1" s="1"/>
  <c r="AA442" i="1" s="1"/>
  <c r="Y261" i="1"/>
  <c r="Z261" i="1" s="1"/>
  <c r="AA261" i="1" s="1"/>
  <c r="Y233" i="1"/>
  <c r="Z233" i="1" s="1"/>
  <c r="AA233" i="1" s="1"/>
  <c r="Y198" i="1"/>
  <c r="Z198" i="1" s="1"/>
  <c r="AA198" i="1" s="1"/>
  <c r="Y180" i="1"/>
  <c r="Z180" i="1" s="1"/>
  <c r="AA180" i="1" s="1"/>
  <c r="Y224" i="1"/>
  <c r="Z224" i="1" s="1"/>
  <c r="AA224" i="1" s="1"/>
  <c r="Y156" i="1"/>
  <c r="Z156" i="1" s="1"/>
  <c r="AA156" i="1" s="1"/>
  <c r="Y136" i="1"/>
  <c r="Z136" i="1" s="1"/>
  <c r="AA136" i="1" s="1"/>
  <c r="Y105" i="1"/>
  <c r="Z105" i="1" s="1"/>
  <c r="AA105" i="1" s="1"/>
  <c r="Y55" i="1"/>
  <c r="Z55" i="1" s="1"/>
  <c r="AA55" i="1" s="1"/>
  <c r="Y53" i="1"/>
  <c r="Z53" i="1" s="1"/>
  <c r="AA53" i="1" s="1"/>
  <c r="Y715" i="1"/>
  <c r="Z715" i="1" s="1"/>
  <c r="AA715" i="1" s="1"/>
  <c r="Y703" i="1"/>
  <c r="Z703" i="1" s="1"/>
  <c r="AA703" i="1" s="1"/>
  <c r="Z695" i="1"/>
  <c r="AA695" i="1" s="1"/>
  <c r="Z647" i="1"/>
  <c r="AA647" i="1" s="1"/>
  <c r="Z599" i="1"/>
  <c r="AA599" i="1" s="1"/>
  <c r="Z583" i="1"/>
  <c r="AA583" i="1" s="1"/>
  <c r="Z579" i="1"/>
  <c r="AA579" i="1" s="1"/>
  <c r="Z563" i="1"/>
  <c r="AA563" i="1" s="1"/>
  <c r="Z547" i="1"/>
  <c r="AA547" i="1" s="1"/>
  <c r="Z691" i="1"/>
  <c r="AA691" i="1" s="1"/>
  <c r="Z683" i="1"/>
  <c r="AA683" i="1" s="1"/>
  <c r="Z671" i="1"/>
  <c r="AA671" i="1" s="1"/>
  <c r="Z659" i="1"/>
  <c r="AA659" i="1" s="1"/>
  <c r="Z639" i="1"/>
  <c r="AA639" i="1" s="1"/>
  <c r="Z635" i="1"/>
  <c r="AA635" i="1" s="1"/>
  <c r="Z631" i="1"/>
  <c r="AA631" i="1" s="1"/>
  <c r="Z627" i="1"/>
  <c r="AA627" i="1" s="1"/>
  <c r="Z623" i="1"/>
  <c r="AA623" i="1" s="1"/>
  <c r="Z619" i="1"/>
  <c r="AA619" i="1" s="1"/>
  <c r="Z615" i="1"/>
  <c r="AA615" i="1" s="1"/>
  <c r="Z611" i="1"/>
  <c r="AA611" i="1" s="1"/>
  <c r="Z595" i="1"/>
  <c r="AA595" i="1" s="1"/>
  <c r="Z587" i="1"/>
  <c r="AA587" i="1" s="1"/>
  <c r="Z559" i="1"/>
  <c r="AA559" i="1" s="1"/>
  <c r="Z591" i="1"/>
  <c r="AA591" i="1" s="1"/>
  <c r="Z567" i="1"/>
  <c r="AA567" i="1" s="1"/>
  <c r="Z543" i="1"/>
  <c r="AA543" i="1" s="1"/>
  <c r="Y523" i="1"/>
  <c r="Z523" i="1" s="1"/>
  <c r="AA523" i="1" s="1"/>
  <c r="Z518" i="1"/>
  <c r="AA518" i="1" s="1"/>
  <c r="Y510" i="1"/>
  <c r="Z510" i="1" s="1"/>
  <c r="AA510" i="1" s="1"/>
  <c r="Z501" i="1"/>
  <c r="AA501" i="1" s="1"/>
  <c r="Y463" i="1"/>
  <c r="Z463" i="1" s="1"/>
  <c r="AA463" i="1" s="1"/>
  <c r="Y459" i="1"/>
  <c r="Z459" i="1" s="1"/>
  <c r="AA459" i="1" s="1"/>
  <c r="Y449" i="1"/>
  <c r="Z449" i="1" s="1"/>
  <c r="AA449" i="1" s="1"/>
  <c r="Y435" i="1"/>
  <c r="Z435" i="1" s="1"/>
  <c r="AA435" i="1" s="1"/>
  <c r="Y434" i="1"/>
  <c r="Z434" i="1" s="1"/>
  <c r="AA434" i="1" s="1"/>
  <c r="Z428" i="1"/>
  <c r="AA428" i="1" s="1"/>
  <c r="Z427" i="1"/>
  <c r="AA427" i="1" s="1"/>
  <c r="Z423" i="1"/>
  <c r="AA423" i="1" s="1"/>
  <c r="Z419" i="1"/>
  <c r="AA419" i="1" s="1"/>
  <c r="Z416" i="1"/>
  <c r="AA416" i="1" s="1"/>
  <c r="Z408" i="1"/>
  <c r="AA408" i="1" s="1"/>
  <c r="Z404" i="1"/>
  <c r="AA404" i="1" s="1"/>
  <c r="Y387" i="1"/>
  <c r="Z387" i="1" s="1"/>
  <c r="AA387" i="1" s="1"/>
  <c r="X478" i="1"/>
  <c r="Y478" i="1" s="1"/>
  <c r="Z478" i="1" s="1"/>
  <c r="AA478" i="1" s="1"/>
  <c r="X212" i="1"/>
  <c r="Y212" i="1" s="1"/>
  <c r="Z212" i="1" s="1"/>
  <c r="AA212" i="1" s="1"/>
  <c r="X201" i="1"/>
  <c r="Y201" i="1" s="1"/>
  <c r="X199" i="1"/>
  <c r="Y199" i="1" s="1"/>
  <c r="Z199" i="1" s="1"/>
  <c r="AA199" i="1" s="1"/>
  <c r="X241" i="1"/>
  <c r="Y241" i="1" s="1"/>
  <c r="Z241" i="1" s="1"/>
  <c r="AA241" i="1" s="1"/>
  <c r="X166" i="1"/>
  <c r="Y166" i="1" s="1"/>
  <c r="Z166" i="1" s="1"/>
  <c r="AA166" i="1" s="1"/>
  <c r="X90" i="1"/>
  <c r="Y90" i="1" s="1"/>
  <c r="Z90" i="1" s="1"/>
  <c r="AA90" i="1" s="1"/>
  <c r="X258" i="1"/>
  <c r="Y258" i="1" s="1"/>
  <c r="Z258" i="1" s="1"/>
  <c r="AA258" i="1" s="1"/>
  <c r="X257" i="1"/>
  <c r="Y257" i="1" s="1"/>
  <c r="Z257" i="1" s="1"/>
  <c r="AA257" i="1" s="1"/>
  <c r="X254" i="1"/>
  <c r="Y254" i="1" s="1"/>
  <c r="Z254" i="1" s="1"/>
  <c r="AA254" i="1" s="1"/>
  <c r="X252" i="1"/>
  <c r="Y252" i="1" s="1"/>
  <c r="Z252" i="1" s="1"/>
  <c r="AA252" i="1" s="1"/>
  <c r="X251" i="1"/>
  <c r="Y251" i="1" s="1"/>
  <c r="Z251" i="1" s="1"/>
  <c r="AA251" i="1" s="1"/>
  <c r="X236" i="1"/>
  <c r="Y236" i="1" s="1"/>
  <c r="Z236" i="1" s="1"/>
  <c r="AA236" i="1" s="1"/>
  <c r="X101" i="1"/>
  <c r="Y101" i="1" s="1"/>
  <c r="Z101" i="1" s="1"/>
  <c r="AA101" i="1" s="1"/>
  <c r="X228" i="1"/>
  <c r="Y228" i="1" s="1"/>
  <c r="Z228" i="1" s="1"/>
  <c r="AA228" i="1" s="1"/>
  <c r="X227" i="1"/>
  <c r="Y227" i="1" s="1"/>
  <c r="Z227" i="1" s="1"/>
  <c r="AA227" i="1" s="1"/>
  <c r="X158" i="1"/>
  <c r="Y158" i="1" s="1"/>
  <c r="Z158" i="1" s="1"/>
  <c r="AA158" i="1" s="1"/>
  <c r="X162" i="1"/>
  <c r="Y162" i="1" s="1"/>
  <c r="Z162" i="1" s="1"/>
  <c r="AA162" i="1" s="1"/>
  <c r="X314" i="1"/>
  <c r="Y314" i="1" s="1"/>
  <c r="Z314" i="1" s="1"/>
  <c r="AA314" i="1" s="1"/>
  <c r="X279" i="1"/>
  <c r="Y279" i="1" s="1"/>
  <c r="Z279" i="1" s="1"/>
  <c r="AA279" i="1" s="1"/>
  <c r="X239" i="1"/>
  <c r="Y239" i="1" s="1"/>
  <c r="Z239" i="1" s="1"/>
  <c r="AA239" i="1" s="1"/>
  <c r="X204" i="1"/>
  <c r="Y204" i="1" s="1"/>
  <c r="X203" i="1"/>
  <c r="Y203" i="1" s="1"/>
  <c r="Z203" i="1" s="1"/>
  <c r="AA203" i="1" s="1"/>
  <c r="X177" i="1"/>
  <c r="Y177" i="1" s="1"/>
  <c r="X238" i="1"/>
  <c r="Y238" i="1" s="1"/>
  <c r="Z238" i="1" s="1"/>
  <c r="AA238" i="1" s="1"/>
  <c r="X181" i="1"/>
  <c r="Y181" i="1" s="1"/>
  <c r="Z181" i="1" s="1"/>
  <c r="AA181" i="1" s="1"/>
  <c r="X97" i="1"/>
  <c r="Y97" i="1" s="1"/>
  <c r="Z97" i="1" s="1"/>
  <c r="AA97" i="1" s="1"/>
  <c r="X255" i="1"/>
  <c r="Y255" i="1" s="1"/>
  <c r="Z255" i="1" s="1"/>
  <c r="AA255" i="1" s="1"/>
  <c r="X231" i="1"/>
  <c r="Y231" i="1" s="1"/>
  <c r="Z231" i="1" s="1"/>
  <c r="AA231" i="1" s="1"/>
  <c r="X165" i="1"/>
  <c r="Y165" i="1" s="1"/>
  <c r="X154" i="1"/>
  <c r="Y154" i="1" s="1"/>
  <c r="Z154" i="1" s="1"/>
  <c r="AA154" i="1" s="1"/>
  <c r="X103" i="1"/>
  <c r="Y103" i="1" s="1"/>
  <c r="Z103" i="1" s="1"/>
  <c r="AA103" i="1" s="1"/>
  <c r="X7" i="1"/>
  <c r="Y7" i="1" s="1"/>
  <c r="Z7" i="1" s="1"/>
  <c r="AA7" i="1" s="1"/>
  <c r="X6" i="1"/>
  <c r="Y6" i="1" s="1"/>
  <c r="Z6" i="1" s="1"/>
  <c r="AA6" i="1" s="1"/>
  <c r="X5" i="1"/>
  <c r="Y5" i="1" s="1"/>
  <c r="Z5" i="1" s="1"/>
  <c r="AA5" i="1" s="1"/>
  <c r="X267" i="1"/>
  <c r="Y267" i="1" s="1"/>
  <c r="Z267" i="1" s="1"/>
  <c r="AA267" i="1" s="1"/>
  <c r="X265" i="1"/>
  <c r="Y265" i="1" s="1"/>
  <c r="Z265" i="1" s="1"/>
  <c r="AA265" i="1" s="1"/>
  <c r="X259" i="1"/>
  <c r="Y259" i="1" s="1"/>
  <c r="Z259" i="1" s="1"/>
  <c r="AA259" i="1" s="1"/>
  <c r="X9" i="1"/>
  <c r="Y9" i="1" s="1"/>
  <c r="Z9" i="1" s="1"/>
  <c r="AA9" i="1" s="1"/>
  <c r="X216" i="1"/>
  <c r="Y216" i="1" s="1"/>
  <c r="Z216" i="1" s="1"/>
  <c r="AA216" i="1" s="1"/>
  <c r="X10" i="1"/>
  <c r="Y10" i="1" s="1"/>
  <c r="Z10" i="1" s="1"/>
  <c r="AA10" i="1" s="1"/>
  <c r="Y264" i="1"/>
  <c r="Z264" i="1" s="1"/>
  <c r="AA264" i="1" s="1"/>
  <c r="Y146" i="1"/>
  <c r="Z146" i="1" s="1"/>
  <c r="AA146" i="1" s="1"/>
  <c r="Y465" i="1"/>
  <c r="Z465" i="1" s="1"/>
  <c r="AA465" i="1" s="1"/>
  <c r="Y414" i="1"/>
  <c r="Z414" i="1" s="1"/>
  <c r="AA414" i="1" s="1"/>
  <c r="Y379" i="1"/>
  <c r="Z379" i="1" s="1"/>
  <c r="AA379" i="1" s="1"/>
  <c r="X530" i="1"/>
  <c r="Y530" i="1" s="1"/>
  <c r="Z530" i="1" s="1"/>
  <c r="AA530" i="1" s="1"/>
  <c r="Y504" i="1"/>
  <c r="Z504" i="1" s="1"/>
  <c r="AA504" i="1" s="1"/>
  <c r="X476" i="1"/>
  <c r="Y476" i="1" s="1"/>
  <c r="Z476" i="1" s="1"/>
  <c r="AA476" i="1" s="1"/>
  <c r="Y450" i="1"/>
  <c r="Z450" i="1" s="1"/>
  <c r="AA450" i="1" s="1"/>
  <c r="Y441" i="1"/>
  <c r="Z441" i="1" s="1"/>
  <c r="AA441" i="1" s="1"/>
  <c r="Y438" i="1"/>
  <c r="Z438" i="1" s="1"/>
  <c r="AA438" i="1" s="1"/>
  <c r="Y433" i="1"/>
  <c r="Z433" i="1" s="1"/>
  <c r="AA433" i="1" s="1"/>
  <c r="Y400" i="1"/>
  <c r="Z400" i="1" s="1"/>
  <c r="X278" i="1"/>
  <c r="Y170" i="1"/>
  <c r="Z170" i="1" s="1"/>
  <c r="AA170" i="1" s="1"/>
  <c r="Y173" i="1"/>
  <c r="Z173" i="1" s="1"/>
  <c r="AA173" i="1" s="1"/>
  <c r="Y109" i="1"/>
  <c r="Z109" i="1" s="1"/>
  <c r="AA109" i="1" s="1"/>
  <c r="Y3" i="1"/>
  <c r="Z3" i="1" s="1"/>
  <c r="AA3" i="1" s="1"/>
  <c r="Y324" i="1"/>
  <c r="Z324" i="1" s="1"/>
  <c r="AA324" i="1" s="1"/>
  <c r="Y322" i="1"/>
  <c r="Z322" i="1" s="1"/>
  <c r="AA322" i="1" s="1"/>
  <c r="Z310" i="1"/>
  <c r="AA310" i="1" s="1"/>
  <c r="Y235" i="1"/>
  <c r="Z235" i="1" s="1"/>
  <c r="AA235" i="1" s="1"/>
  <c r="Y229" i="1"/>
  <c r="Z229" i="1" s="1"/>
  <c r="AA229" i="1" s="1"/>
  <c r="X75" i="1"/>
  <c r="Y75" i="1" s="1"/>
  <c r="Z75" i="1" s="1"/>
  <c r="AA75" i="1" s="1"/>
  <c r="X69" i="1"/>
  <c r="Y69" i="1" s="1"/>
  <c r="Z69" i="1" s="1"/>
  <c r="AA69" i="1" s="1"/>
  <c r="Y521" i="1"/>
  <c r="Z521" i="1" s="1"/>
  <c r="AA521" i="1" s="1"/>
  <c r="Y470" i="1"/>
  <c r="Z470" i="1" s="1"/>
  <c r="AA470" i="1" s="1"/>
  <c r="Y410" i="1"/>
  <c r="Z410" i="1" s="1"/>
  <c r="AA410" i="1" s="1"/>
  <c r="Y508" i="1"/>
  <c r="Z508" i="1" s="1"/>
  <c r="AA508" i="1" s="1"/>
  <c r="Y506" i="1"/>
  <c r="Z506" i="1" s="1"/>
  <c r="AA506" i="1" s="1"/>
  <c r="Y475" i="1"/>
  <c r="Z475" i="1" s="1"/>
  <c r="AA475" i="1" s="1"/>
  <c r="Y444" i="1"/>
  <c r="Z444" i="1" s="1"/>
  <c r="AA444" i="1" s="1"/>
  <c r="Y440" i="1"/>
  <c r="Z440" i="1" s="1"/>
  <c r="AA440" i="1" s="1"/>
  <c r="Y436" i="1"/>
  <c r="Z436" i="1" s="1"/>
  <c r="AA436" i="1" s="1"/>
  <c r="Y432" i="1"/>
  <c r="Z432" i="1" s="1"/>
  <c r="AA432" i="1" s="1"/>
  <c r="Y409" i="1"/>
  <c r="Z409" i="1" s="1"/>
  <c r="AA409" i="1" s="1"/>
  <c r="Y277" i="1"/>
  <c r="Z277" i="1" s="1"/>
  <c r="AA277" i="1" s="1"/>
  <c r="Y275" i="1"/>
  <c r="Z275" i="1" s="1"/>
  <c r="AA275" i="1" s="1"/>
  <c r="Y202" i="1"/>
  <c r="Z202" i="1" s="1"/>
  <c r="AA202" i="1" s="1"/>
  <c r="Y182" i="1"/>
  <c r="Z182" i="1" s="1"/>
  <c r="AA182" i="1" s="1"/>
  <c r="Z193" i="1"/>
  <c r="AA193" i="1" s="1"/>
  <c r="Y127" i="1"/>
  <c r="Z127" i="1" s="1"/>
  <c r="AA127" i="1" s="1"/>
  <c r="Y119" i="1"/>
  <c r="Z119" i="1" s="1"/>
  <c r="AA119" i="1" s="1"/>
  <c r="X66" i="1"/>
  <c r="Y66" i="1" s="1"/>
  <c r="Z66" i="1" s="1"/>
  <c r="AA66" i="1" s="1"/>
  <c r="Z230" i="1"/>
  <c r="AA230" i="1" s="1"/>
  <c r="Z226" i="1"/>
  <c r="AA226" i="1" s="1"/>
  <c r="Z222" i="1"/>
  <c r="AA222" i="1" s="1"/>
  <c r="Z191" i="1"/>
  <c r="AA191" i="1" s="1"/>
  <c r="Z186" i="1"/>
  <c r="AA186" i="1" s="1"/>
  <c r="Y717" i="1"/>
  <c r="Z717" i="1" s="1"/>
  <c r="AA717" i="1" s="1"/>
  <c r="Y713" i="1"/>
  <c r="Z713" i="1" s="1"/>
  <c r="AA713" i="1" s="1"/>
  <c r="Y709" i="1"/>
  <c r="Z709" i="1" s="1"/>
  <c r="AA709" i="1" s="1"/>
  <c r="Y701" i="1"/>
  <c r="Z701" i="1" s="1"/>
  <c r="AA701" i="1" s="1"/>
  <c r="Y697" i="1"/>
  <c r="Z697" i="1" s="1"/>
  <c r="AA697" i="1" s="1"/>
  <c r="Y520" i="1"/>
  <c r="Z520" i="1" s="1"/>
  <c r="AA520" i="1" s="1"/>
  <c r="Y516" i="1"/>
  <c r="Z516" i="1" s="1"/>
  <c r="AA516" i="1" s="1"/>
  <c r="Y512" i="1"/>
  <c r="Z512" i="1" s="1"/>
  <c r="AA512" i="1" s="1"/>
  <c r="Z526" i="1"/>
  <c r="AA526" i="1" s="1"/>
  <c r="Z326" i="1"/>
  <c r="AA326" i="1" s="1"/>
  <c r="Z304" i="1"/>
  <c r="AA304" i="1" s="1"/>
  <c r="Z302" i="1"/>
  <c r="AA302" i="1" s="1"/>
  <c r="Z300" i="1"/>
  <c r="AA300" i="1" s="1"/>
  <c r="Z295" i="1"/>
  <c r="AA295" i="1" s="1"/>
  <c r="Z272" i="1"/>
  <c r="AA272" i="1" s="1"/>
  <c r="Z528" i="1"/>
  <c r="AA528" i="1" s="1"/>
  <c r="Z298" i="1"/>
  <c r="AA298" i="1" s="1"/>
  <c r="Z293" i="1"/>
  <c r="AA293" i="1" s="1"/>
  <c r="Z291" i="1"/>
  <c r="AA291" i="1" s="1"/>
  <c r="Z289" i="1"/>
  <c r="AA289" i="1" s="1"/>
  <c r="Z285" i="1"/>
  <c r="AA285" i="1" s="1"/>
  <c r="Z276" i="1"/>
  <c r="AA276" i="1" s="1"/>
  <c r="Z270" i="1"/>
  <c r="AA270" i="1" s="1"/>
  <c r="Y403" i="1"/>
  <c r="Z403" i="1" s="1"/>
  <c r="AA403" i="1" s="1"/>
  <c r="Y689" i="1"/>
  <c r="Z689" i="1" s="1"/>
  <c r="AA689" i="1" s="1"/>
  <c r="Y681" i="1"/>
  <c r="Z681" i="1" s="1"/>
  <c r="AA681" i="1" s="1"/>
  <c r="Y677" i="1"/>
  <c r="Z677" i="1" s="1"/>
  <c r="AA677" i="1" s="1"/>
  <c r="Y669" i="1"/>
  <c r="Z669" i="1" s="1"/>
  <c r="AA669" i="1" s="1"/>
  <c r="Y661" i="1"/>
  <c r="Z661" i="1" s="1"/>
  <c r="AA661" i="1" s="1"/>
  <c r="Y653" i="1"/>
  <c r="Z653" i="1" s="1"/>
  <c r="AA653" i="1" s="1"/>
  <c r="Z656" i="1"/>
  <c r="AA656" i="1" s="1"/>
  <c r="Z648" i="1"/>
  <c r="AA648" i="1" s="1"/>
  <c r="Z632" i="1"/>
  <c r="AA632" i="1" s="1"/>
  <c r="Z598" i="1"/>
  <c r="AA598" i="1" s="1"/>
  <c r="Z592" i="1"/>
  <c r="AA592" i="1" s="1"/>
  <c r="Z582" i="1"/>
  <c r="AA582" i="1" s="1"/>
  <c r="Z576" i="1"/>
  <c r="AA576" i="1" s="1"/>
  <c r="Z568" i="1"/>
  <c r="AA568" i="1" s="1"/>
  <c r="Z560" i="1"/>
  <c r="AA560" i="1" s="1"/>
  <c r="Z552" i="1"/>
  <c r="AA552" i="1" s="1"/>
  <c r="Z544" i="1"/>
  <c r="AA544" i="1" s="1"/>
  <c r="Z536" i="1"/>
  <c r="AA536" i="1" s="1"/>
  <c r="Z498" i="1"/>
  <c r="AA498" i="1" s="1"/>
  <c r="Z429" i="1"/>
  <c r="AA429" i="1" s="1"/>
  <c r="Z692" i="1"/>
  <c r="AA692" i="1" s="1"/>
  <c r="Z664" i="1"/>
  <c r="AA664" i="1" s="1"/>
  <c r="Z638" i="1"/>
  <c r="AA638" i="1" s="1"/>
  <c r="Z380" i="1"/>
  <c r="AA380" i="1" s="1"/>
  <c r="Z315" i="1"/>
  <c r="AA315" i="1" s="1"/>
  <c r="Y645" i="1"/>
  <c r="Z645" i="1" s="1"/>
  <c r="AA645" i="1" s="1"/>
  <c r="Y637" i="1"/>
  <c r="Z637" i="1" s="1"/>
  <c r="AA637" i="1" s="1"/>
  <c r="Y629" i="1"/>
  <c r="Z629" i="1" s="1"/>
  <c r="AA629" i="1" s="1"/>
  <c r="Y621" i="1"/>
  <c r="Z621" i="1" s="1"/>
  <c r="AA621" i="1" s="1"/>
  <c r="Y613" i="1"/>
  <c r="Z613" i="1" s="1"/>
  <c r="AA613" i="1" s="1"/>
  <c r="Y605" i="1"/>
  <c r="Z605" i="1" s="1"/>
  <c r="AA605" i="1" s="1"/>
  <c r="Y597" i="1"/>
  <c r="Z597" i="1" s="1"/>
  <c r="AA597" i="1" s="1"/>
  <c r="Y589" i="1"/>
  <c r="Z589" i="1" s="1"/>
  <c r="AA589" i="1" s="1"/>
  <c r="Y581" i="1"/>
  <c r="Z581" i="1" s="1"/>
  <c r="AA581" i="1" s="1"/>
  <c r="Y573" i="1"/>
  <c r="Z573" i="1" s="1"/>
  <c r="AA573" i="1" s="1"/>
  <c r="Y565" i="1"/>
  <c r="Z565" i="1" s="1"/>
  <c r="AA565" i="1" s="1"/>
  <c r="Y557" i="1"/>
  <c r="Z557" i="1" s="1"/>
  <c r="AA557" i="1" s="1"/>
  <c r="Y549" i="1"/>
  <c r="Z549" i="1" s="1"/>
  <c r="AA549" i="1" s="1"/>
  <c r="Y541" i="1"/>
  <c r="Z541" i="1" s="1"/>
  <c r="AA541" i="1" s="1"/>
  <c r="Z213" i="1"/>
  <c r="AA213" i="1" s="1"/>
  <c r="Z640" i="1"/>
  <c r="AA640" i="1" s="1"/>
  <c r="Z600" i="1"/>
  <c r="AA600" i="1" s="1"/>
  <c r="Z590" i="1"/>
  <c r="AA590" i="1" s="1"/>
  <c r="Z584" i="1"/>
  <c r="AA584" i="1" s="1"/>
  <c r="Z574" i="1"/>
  <c r="AA574" i="1" s="1"/>
  <c r="Z566" i="1"/>
  <c r="AA566" i="1" s="1"/>
  <c r="Z558" i="1"/>
  <c r="AA558" i="1" s="1"/>
  <c r="Z550" i="1"/>
  <c r="AA550" i="1" s="1"/>
  <c r="Z542" i="1"/>
  <c r="AA542" i="1" s="1"/>
  <c r="Z527" i="1"/>
  <c r="AA527" i="1" s="1"/>
  <c r="Z487" i="1"/>
  <c r="AA487" i="1" s="1"/>
  <c r="Z460" i="1"/>
  <c r="AA460" i="1" s="1"/>
  <c r="Z672" i="1"/>
  <c r="AA672" i="1" s="1"/>
  <c r="Z646" i="1"/>
  <c r="AA646" i="1" s="1"/>
  <c r="Z392" i="1"/>
  <c r="AA392" i="1" s="1"/>
  <c r="Z358" i="1"/>
  <c r="AA358" i="1" s="1"/>
  <c r="Z309" i="1"/>
  <c r="AA309" i="1" s="1"/>
  <c r="Z401" i="1"/>
  <c r="AA401" i="1" s="1"/>
  <c r="Z87" i="1"/>
  <c r="AA87" i="1" s="1"/>
  <c r="Z260" i="1"/>
  <c r="AA260" i="1" s="1"/>
  <c r="Y8" i="1"/>
  <c r="Z8" i="1" s="1"/>
  <c r="AA8" i="1" s="1"/>
  <c r="Y67" i="1"/>
  <c r="Z67" i="1" s="1"/>
  <c r="AA67" i="1" s="1"/>
  <c r="Y124" i="1"/>
  <c r="Z124" i="1" s="1"/>
  <c r="AA124" i="1" s="1"/>
  <c r="Y104" i="1"/>
  <c r="Z104" i="1" s="1"/>
  <c r="AA104" i="1" s="1"/>
  <c r="Y98" i="1"/>
  <c r="Z98" i="1" s="1"/>
  <c r="AA98" i="1" s="1"/>
  <c r="Y84" i="1"/>
  <c r="Z84" i="1" s="1"/>
  <c r="AA84" i="1" s="1"/>
  <c r="Y82" i="1"/>
  <c r="Z82" i="1" s="1"/>
  <c r="AA82" i="1" s="1"/>
  <c r="Z232" i="1"/>
  <c r="AA232" i="1" s="1"/>
  <c r="Z215" i="1"/>
  <c r="AA215" i="1" s="1"/>
  <c r="Z266" i="1"/>
  <c r="AA266" i="1" s="1"/>
  <c r="Z262" i="1"/>
  <c r="AA262" i="1" s="1"/>
  <c r="Y120" i="1"/>
  <c r="Z120" i="1" s="1"/>
  <c r="AA120" i="1" s="1"/>
  <c r="Y129" i="1"/>
  <c r="Z129" i="1" s="1"/>
  <c r="AA129" i="1" s="1"/>
  <c r="Z217" i="1"/>
  <c r="AA217" i="1" s="1"/>
  <c r="Y122" i="1"/>
  <c r="Z122" i="1" s="1"/>
  <c r="AA122" i="1" s="1"/>
  <c r="Y62" i="1"/>
  <c r="Z62" i="1" s="1"/>
  <c r="AA62" i="1" s="1"/>
  <c r="AA205" i="1"/>
  <c r="Y240" i="1"/>
  <c r="Z240" i="1" s="1"/>
  <c r="AA240" i="1" s="1"/>
  <c r="Y102" i="1"/>
  <c r="Z102" i="1" s="1"/>
  <c r="AA102" i="1" s="1"/>
  <c r="Y100" i="1"/>
  <c r="Z100" i="1" s="1"/>
  <c r="AA100" i="1" s="1"/>
  <c r="Y56" i="1"/>
  <c r="Z56" i="1" s="1"/>
  <c r="AA56" i="1" s="1"/>
  <c r="Y54" i="1"/>
  <c r="Z54" i="1" s="1"/>
  <c r="AA54" i="1" s="1"/>
  <c r="Z453" i="1"/>
  <c r="AA453" i="1" s="1"/>
  <c r="Z308" i="1"/>
  <c r="AA308" i="1" s="1"/>
  <c r="Y221" i="1"/>
  <c r="Z221" i="1" s="1"/>
  <c r="AA221" i="1" s="1"/>
  <c r="AA400" i="1"/>
  <c r="Y219" i="1"/>
  <c r="Z219" i="1" s="1"/>
  <c r="AA219" i="1" s="1"/>
  <c r="Y167" i="1"/>
  <c r="Z167" i="1" s="1"/>
  <c r="AA167" i="1" s="1"/>
  <c r="Y163" i="1"/>
  <c r="Z163" i="1" s="1"/>
  <c r="AA163" i="1" s="1"/>
  <c r="Y161" i="1"/>
  <c r="Z161" i="1" s="1"/>
  <c r="AA161" i="1" s="1"/>
  <c r="Y61" i="1"/>
  <c r="Z61" i="1" s="1"/>
  <c r="AA61" i="1" s="1"/>
  <c r="Y59" i="1"/>
  <c r="Z59" i="1" s="1"/>
  <c r="AA59" i="1" s="1"/>
  <c r="Z185" i="1"/>
  <c r="AA185" i="1" s="1"/>
  <c r="Z92" i="1"/>
  <c r="AA92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35" i="1"/>
  <c r="Z535" i="1" s="1"/>
  <c r="AA535" i="1" s="1"/>
  <c r="Y533" i="1"/>
  <c r="Z533" i="1" s="1"/>
  <c r="AA533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X297" i="1"/>
  <c r="Y297" i="1" s="1"/>
  <c r="Y147" i="1"/>
  <c r="Z147" i="1" s="1"/>
  <c r="AA147" i="1" s="1"/>
  <c r="Y137" i="1"/>
  <c r="Z137" i="1" s="1"/>
  <c r="AA137" i="1" s="1"/>
  <c r="Y114" i="1"/>
  <c r="Z114" i="1" s="1"/>
  <c r="AA114" i="1" s="1"/>
  <c r="Y157" i="1"/>
  <c r="Z157" i="1" s="1"/>
  <c r="AA157" i="1" s="1"/>
  <c r="Y149" i="1"/>
  <c r="Z149" i="1" s="1"/>
  <c r="AA149" i="1" s="1"/>
  <c r="Y143" i="1"/>
  <c r="Z143" i="1" s="1"/>
  <c r="AA143" i="1" s="1"/>
  <c r="Y139" i="1"/>
  <c r="Z139" i="1" s="1"/>
  <c r="AA139" i="1" s="1"/>
  <c r="Y116" i="1"/>
  <c r="Z116" i="1" s="1"/>
  <c r="AA116" i="1" s="1"/>
  <c r="Y34" i="1"/>
  <c r="Z34" i="1" s="1"/>
  <c r="AA34" i="1" s="1"/>
  <c r="Y52" i="1"/>
  <c r="Z52" i="1" s="1"/>
  <c r="AA52" i="1" s="1"/>
  <c r="Z108" i="1"/>
  <c r="AA108" i="1" s="1"/>
  <c r="Z155" i="1"/>
  <c r="AA155" i="1" s="1"/>
  <c r="Z65" i="1"/>
  <c r="AA65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59" i="1"/>
  <c r="Z159" i="1" s="1"/>
  <c r="AA159" i="1" s="1"/>
  <c r="Y145" i="1"/>
  <c r="Z145" i="1" s="1"/>
  <c r="AA145" i="1" s="1"/>
  <c r="Y141" i="1"/>
  <c r="Z141" i="1" s="1"/>
  <c r="AA141" i="1" s="1"/>
  <c r="Y106" i="1"/>
  <c r="Z106" i="1" s="1"/>
  <c r="AA106" i="1" s="1"/>
  <c r="Y151" i="1"/>
  <c r="Z151" i="1" s="1"/>
  <c r="AA151" i="1" s="1"/>
  <c r="X133" i="1"/>
  <c r="Y133" i="1" s="1"/>
  <c r="Y28" i="1"/>
  <c r="Z28" i="1" s="1"/>
  <c r="AA28" i="1" s="1"/>
  <c r="Z64" i="1"/>
  <c r="AA64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522" i="1"/>
  <c r="Z522" i="1" s="1"/>
  <c r="AA522" i="1" s="1"/>
  <c r="Y507" i="1"/>
  <c r="Z507" i="1" s="1"/>
  <c r="AA507" i="1" s="1"/>
  <c r="Y503" i="1"/>
  <c r="Z503" i="1" s="1"/>
  <c r="AA503" i="1" s="1"/>
  <c r="Y494" i="1"/>
  <c r="Z494" i="1" s="1"/>
  <c r="AA494" i="1" s="1"/>
  <c r="Y490" i="1"/>
  <c r="Z490" i="1" s="1"/>
  <c r="AA490" i="1" s="1"/>
  <c r="Y472" i="1"/>
  <c r="Z472" i="1" s="1"/>
  <c r="AA472" i="1" s="1"/>
  <c r="Y468" i="1"/>
  <c r="Z468" i="1" s="1"/>
  <c r="AA468" i="1" s="1"/>
  <c r="Y412" i="1"/>
  <c r="Z412" i="1" s="1"/>
  <c r="AA412" i="1" s="1"/>
  <c r="Y395" i="1"/>
  <c r="Z395" i="1" s="1"/>
  <c r="AA395" i="1" s="1"/>
  <c r="Y389" i="1"/>
  <c r="Z389" i="1" s="1"/>
  <c r="AA389" i="1" s="1"/>
  <c r="Y385" i="1"/>
  <c r="Z385" i="1" s="1"/>
  <c r="AA385" i="1" s="1"/>
  <c r="Y383" i="1"/>
  <c r="Z383" i="1" s="1"/>
  <c r="AA383" i="1" s="1"/>
  <c r="Y377" i="1"/>
  <c r="Z377" i="1" s="1"/>
  <c r="AA377" i="1" s="1"/>
  <c r="Y373" i="1"/>
  <c r="Z373" i="1" s="1"/>
  <c r="AA373" i="1" s="1"/>
  <c r="Y367" i="1"/>
  <c r="Z367" i="1" s="1"/>
  <c r="AA367" i="1" s="1"/>
  <c r="Y361" i="1"/>
  <c r="Z361" i="1" s="1"/>
  <c r="AA361" i="1" s="1"/>
  <c r="Y351" i="1"/>
  <c r="Z351" i="1" s="1"/>
  <c r="AA351" i="1" s="1"/>
  <c r="Y347" i="1"/>
  <c r="Z347" i="1" s="1"/>
  <c r="AA347" i="1" s="1"/>
  <c r="Y341" i="1"/>
  <c r="Z341" i="1" s="1"/>
  <c r="AA341" i="1" s="1"/>
  <c r="Y337" i="1"/>
  <c r="Z337" i="1" s="1"/>
  <c r="AA337" i="1" s="1"/>
  <c r="Y335" i="1"/>
  <c r="Z335" i="1" s="1"/>
  <c r="AA335" i="1" s="1"/>
  <c r="Y331" i="1"/>
  <c r="Z331" i="1" s="1"/>
  <c r="AA331" i="1" s="1"/>
  <c r="Y329" i="1"/>
  <c r="Z329" i="1" s="1"/>
  <c r="AA329" i="1" s="1"/>
  <c r="Y320" i="1"/>
  <c r="Z320" i="1" s="1"/>
  <c r="AA320" i="1" s="1"/>
  <c r="Y316" i="1"/>
  <c r="Z316" i="1" s="1"/>
  <c r="AA316" i="1" s="1"/>
  <c r="Y256" i="1"/>
  <c r="Z256" i="1" s="1"/>
  <c r="AA256" i="1" s="1"/>
  <c r="Y250" i="1"/>
  <c r="Z250" i="1" s="1"/>
  <c r="AA250" i="1" s="1"/>
  <c r="Y248" i="1"/>
  <c r="Z248" i="1" s="1"/>
  <c r="AA248" i="1" s="1"/>
  <c r="Y244" i="1"/>
  <c r="Z244" i="1" s="1"/>
  <c r="AA244" i="1" s="1"/>
  <c r="Z210" i="1"/>
  <c r="AA210" i="1" s="1"/>
  <c r="Z208" i="1"/>
  <c r="AA208" i="1" s="1"/>
  <c r="Z206" i="1"/>
  <c r="AA206" i="1" s="1"/>
  <c r="Z197" i="1"/>
  <c r="AA197" i="1" s="1"/>
  <c r="Y135" i="1"/>
  <c r="Z135" i="1" s="1"/>
  <c r="AA135" i="1" s="1"/>
  <c r="Y32" i="1"/>
  <c r="Z32" i="1" s="1"/>
  <c r="AA32" i="1" s="1"/>
  <c r="Y36" i="1"/>
  <c r="Z36" i="1" s="1"/>
  <c r="AA36" i="1" s="1"/>
  <c r="Y153" i="1"/>
  <c r="Z153" i="1" s="1"/>
  <c r="AA153" i="1" s="1"/>
  <c r="Y131" i="1"/>
  <c r="Z131" i="1" s="1"/>
  <c r="AA131" i="1" s="1"/>
  <c r="Y118" i="1"/>
  <c r="Z118" i="1" s="1"/>
  <c r="AA118" i="1" s="1"/>
  <c r="Y112" i="1"/>
  <c r="Z112" i="1" s="1"/>
  <c r="AA112" i="1" s="1"/>
  <c r="Y110" i="1"/>
  <c r="Z110" i="1" s="1"/>
  <c r="AA110" i="1" s="1"/>
  <c r="Y96" i="1"/>
  <c r="Z96" i="1" s="1"/>
  <c r="AA96" i="1" s="1"/>
  <c r="Y86" i="1"/>
  <c r="Z86" i="1" s="1"/>
  <c r="AA86" i="1" s="1"/>
  <c r="Y76" i="1"/>
  <c r="Z76" i="1" s="1"/>
  <c r="AA76" i="1" s="1"/>
  <c r="Y72" i="1"/>
  <c r="Z72" i="1" s="1"/>
  <c r="AA72" i="1" s="1"/>
  <c r="Z165" i="1" l="1"/>
  <c r="AA165" i="1" s="1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K24" i="8" s="1"/>
  <c r="L24" i="8" s="1"/>
  <c r="M24" i="8" s="1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Z196" i="1"/>
  <c r="AA196" i="1" s="1"/>
  <c r="Z201" i="1"/>
  <c r="AA201" i="1" s="1"/>
  <c r="Z204" i="1"/>
  <c r="AA204" i="1" s="1"/>
  <c r="Y278" i="1"/>
  <c r="Z278" i="1" s="1"/>
  <c r="AA278" i="1" s="1"/>
  <c r="Z177" i="1"/>
  <c r="AA177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Z133" i="1"/>
  <c r="AA133" i="1" s="1"/>
  <c r="Z297" i="1"/>
  <c r="AA297" i="1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1" i="8" l="1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21" i="1" l="1"/>
  <c r="C139" i="1"/>
  <c r="C147" i="1"/>
  <c r="C192" i="1"/>
  <c r="C210" i="1"/>
  <c r="C231" i="1"/>
  <c r="C323" i="1"/>
  <c r="C457" i="1"/>
  <c r="C485" i="1"/>
  <c r="C517" i="1"/>
  <c r="C68" i="1"/>
  <c r="C78" i="1"/>
  <c r="C96" i="1"/>
  <c r="C145" i="1"/>
  <c r="C175" i="1"/>
  <c r="C206" i="1"/>
  <c r="C381" i="1"/>
  <c r="C418" i="1"/>
  <c r="C452" i="1"/>
  <c r="C483" i="1"/>
  <c r="C9" i="1"/>
  <c r="C72" i="1"/>
  <c r="C125" i="1"/>
  <c r="C163" i="1"/>
  <c r="C216" i="1"/>
  <c r="C254" i="1"/>
  <c r="C295" i="1"/>
  <c r="C331" i="1"/>
  <c r="C356" i="1"/>
  <c r="C405" i="1"/>
  <c r="C448" i="1"/>
  <c r="C475" i="1"/>
  <c r="C513" i="1"/>
  <c r="C519" i="1"/>
  <c r="C535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C70" i="1" l="1"/>
  <c r="C215" i="1"/>
  <c r="C227" i="1"/>
  <c r="C238" i="1"/>
  <c r="C244" i="1"/>
  <c r="C250" i="1"/>
  <c r="C253" i="1"/>
  <c r="C63" i="1"/>
  <c r="C88" i="1"/>
  <c r="C158" i="1"/>
  <c r="C217" i="1"/>
  <c r="AG397" i="1" l="1"/>
  <c r="AJ397" i="1" s="1"/>
  <c r="D397" i="1"/>
  <c r="AH397" i="1" l="1"/>
  <c r="AF397" i="1"/>
  <c r="D524" i="1" l="1"/>
  <c r="AG524" i="1"/>
  <c r="AJ524" i="1" s="1"/>
  <c r="AG529" i="1"/>
  <c r="AJ529" i="1" s="1"/>
  <c r="D529" i="1"/>
  <c r="AF529" i="1" l="1"/>
  <c r="AG532" i="1"/>
  <c r="AJ532" i="1" s="1"/>
  <c r="AH529" i="1"/>
  <c r="AF524" i="1"/>
  <c r="D532" i="1"/>
  <c r="D535" i="1"/>
  <c r="AG535" i="1"/>
  <c r="AJ535" i="1" s="1"/>
  <c r="D537" i="1"/>
  <c r="AG537" i="1"/>
  <c r="AJ537" i="1" s="1"/>
  <c r="D546" i="1"/>
  <c r="AG546" i="1"/>
  <c r="AJ546" i="1" s="1"/>
  <c r="D550" i="1"/>
  <c r="AG550" i="1"/>
  <c r="AJ550" i="1" s="1"/>
  <c r="AG552" i="1"/>
  <c r="AJ552" i="1" s="1"/>
  <c r="D552" i="1"/>
  <c r="D554" i="1"/>
  <c r="AG554" i="1"/>
  <c r="AJ554" i="1" s="1"/>
  <c r="AG556" i="1"/>
  <c r="AJ556" i="1" s="1"/>
  <c r="D556" i="1"/>
  <c r="AG563" i="1"/>
  <c r="AJ563" i="1" s="1"/>
  <c r="D563" i="1"/>
  <c r="D574" i="1"/>
  <c r="AG574" i="1"/>
  <c r="AJ574" i="1" s="1"/>
  <c r="AG595" i="1"/>
  <c r="AJ595" i="1" s="1"/>
  <c r="D595" i="1"/>
  <c r="AG599" i="1"/>
  <c r="AJ599" i="1" s="1"/>
  <c r="D599" i="1"/>
  <c r="AG600" i="1"/>
  <c r="AJ600" i="1" s="1"/>
  <c r="D600" i="1"/>
  <c r="D601" i="1"/>
  <c r="AG601" i="1"/>
  <c r="AJ601" i="1" s="1"/>
  <c r="D602" i="1"/>
  <c r="AG602" i="1"/>
  <c r="AJ602" i="1" s="1"/>
  <c r="AH599" i="1" l="1"/>
  <c r="AH574" i="1"/>
  <c r="AH552" i="1"/>
  <c r="AG603" i="1"/>
  <c r="AJ603" i="1" s="1"/>
  <c r="AF600" i="1"/>
  <c r="AF574" i="1"/>
  <c r="AF556" i="1"/>
  <c r="AF554" i="1"/>
  <c r="AF550" i="1"/>
  <c r="AF535" i="1"/>
  <c r="AH524" i="1"/>
  <c r="AF601" i="1"/>
  <c r="AF599" i="1"/>
  <c r="AF546" i="1"/>
  <c r="AH563" i="1"/>
  <c r="AH532" i="1"/>
  <c r="AF602" i="1"/>
  <c r="AH600" i="1"/>
  <c r="AF595" i="1"/>
  <c r="AF563" i="1"/>
  <c r="AH554" i="1"/>
  <c r="AF552" i="1"/>
  <c r="AF537" i="1"/>
  <c r="AF532" i="1"/>
  <c r="D603" i="1"/>
  <c r="D604" i="1"/>
  <c r="AG604" i="1" l="1"/>
  <c r="AJ604" i="1" s="1"/>
  <c r="AH601" i="1"/>
  <c r="AH595" i="1"/>
  <c r="AF603" i="1"/>
  <c r="AF604" i="1"/>
  <c r="AG605" i="1"/>
  <c r="AJ605" i="1" s="1"/>
  <c r="AH602" i="1" l="1"/>
  <c r="AH603" i="1" s="1"/>
  <c r="AH604" i="1"/>
  <c r="AH556" i="1"/>
  <c r="D605" i="1"/>
  <c r="D606" i="1"/>
  <c r="AF605" i="1" l="1"/>
  <c r="AF606" i="1"/>
  <c r="AG606" i="1"/>
  <c r="AJ606" i="1" s="1"/>
  <c r="AH605" i="1"/>
  <c r="AH546" i="1" l="1"/>
  <c r="AH606" i="1"/>
  <c r="AG608" i="1" l="1"/>
  <c r="AJ608" i="1" s="1"/>
  <c r="D608" i="1"/>
  <c r="AG609" i="1"/>
  <c r="AJ609" i="1" s="1"/>
  <c r="AH608" i="1" l="1"/>
  <c r="AF608" i="1"/>
  <c r="AG610" i="1"/>
  <c r="AJ610" i="1" s="1"/>
  <c r="D609" i="1"/>
  <c r="D610" i="1"/>
  <c r="AF609" i="1" l="1"/>
  <c r="AH609" i="1"/>
  <c r="AH610" i="1"/>
  <c r="AF610" i="1"/>
  <c r="AG611" i="1"/>
  <c r="AJ611" i="1" s="1"/>
  <c r="D611" i="1" l="1"/>
  <c r="AH550" i="1"/>
  <c r="AG612" i="1" l="1"/>
  <c r="AJ612" i="1" s="1"/>
  <c r="AF611" i="1"/>
  <c r="AH611" i="1"/>
  <c r="D612" i="1"/>
  <c r="AG84" i="1"/>
  <c r="D84" i="1"/>
  <c r="AJ84" i="1" l="1"/>
  <c r="AH84" i="1"/>
  <c r="AH612" i="1"/>
  <c r="AG614" i="1"/>
  <c r="AJ614" i="1" s="1"/>
  <c r="AF612" i="1"/>
  <c r="AF84" i="1"/>
  <c r="D614" i="1" l="1"/>
  <c r="AG615" i="1" l="1"/>
  <c r="AJ615" i="1" s="1"/>
  <c r="AH614" i="1"/>
  <c r="D615" i="1"/>
  <c r="AF614" i="1"/>
  <c r="D616" i="1"/>
  <c r="AH615" i="1" l="1"/>
  <c r="D617" i="1"/>
  <c r="AF615" i="1"/>
  <c r="AG616" i="1"/>
  <c r="AJ616" i="1" s="1"/>
  <c r="AF616" i="1"/>
  <c r="AG617" i="1" l="1"/>
  <c r="AJ617" i="1" s="1"/>
  <c r="AH616" i="1"/>
  <c r="AH617" i="1" s="1"/>
  <c r="AF617" i="1"/>
  <c r="D618" i="1" l="1"/>
  <c r="D619" i="1"/>
  <c r="AG619" i="1"/>
  <c r="AJ619" i="1" s="1"/>
  <c r="AG618" i="1"/>
  <c r="AJ618" i="1" s="1"/>
  <c r="AH618" i="1" l="1"/>
  <c r="AH619" i="1"/>
  <c r="AF619" i="1"/>
  <c r="AF618" i="1"/>
  <c r="D621" i="1" l="1"/>
  <c r="AG621" i="1"/>
  <c r="AJ621" i="1" s="1"/>
  <c r="D622" i="1"/>
  <c r="AG100" i="1"/>
  <c r="D100" i="1"/>
  <c r="AJ100" i="1" l="1"/>
  <c r="AH621" i="1"/>
  <c r="AG622" i="1"/>
  <c r="AJ622" i="1" s="1"/>
  <c r="AF621" i="1"/>
  <c r="AF622" i="1"/>
  <c r="AH622" i="1"/>
  <c r="AH100" i="1"/>
  <c r="AF100" i="1"/>
  <c r="D623" i="1" l="1"/>
  <c r="AG623" i="1"/>
  <c r="AJ623" i="1" s="1"/>
  <c r="D624" i="1"/>
  <c r="AG624" i="1"/>
  <c r="AJ624" i="1" s="1"/>
  <c r="AF623" i="1" l="1"/>
  <c r="AF624" i="1"/>
  <c r="AH623" i="1"/>
  <c r="AH624" i="1" s="1"/>
  <c r="D625" i="1"/>
  <c r="AF625" i="1" l="1"/>
  <c r="AG625" i="1"/>
  <c r="AJ625" i="1" s="1"/>
  <c r="D626" i="1"/>
  <c r="AH625" i="1"/>
  <c r="AG626" i="1"/>
  <c r="AJ626" i="1" s="1"/>
  <c r="D627" i="1" l="1"/>
  <c r="AF626" i="1"/>
  <c r="AG627" i="1"/>
  <c r="AJ627" i="1" s="1"/>
  <c r="AH626" i="1"/>
  <c r="AF627" i="1" l="1"/>
  <c r="D628" i="1"/>
  <c r="AH627" i="1"/>
  <c r="AG628" i="1" l="1"/>
  <c r="AJ628" i="1" s="1"/>
  <c r="AH628" i="1"/>
  <c r="AF628" i="1"/>
  <c r="D629" i="1"/>
  <c r="AG629" i="1" l="1"/>
  <c r="AJ629" i="1" s="1"/>
  <c r="AF629" i="1"/>
  <c r="AH629" i="1"/>
  <c r="D630" i="1"/>
  <c r="AG630" i="1" l="1"/>
  <c r="AJ630" i="1" s="1"/>
  <c r="AF630" i="1"/>
  <c r="AH630" i="1"/>
  <c r="D631" i="1" l="1"/>
  <c r="AG631" i="1"/>
  <c r="AJ631" i="1" s="1"/>
  <c r="AH631" i="1" l="1"/>
  <c r="AF631" i="1"/>
  <c r="D633" i="1"/>
  <c r="AJ122" i="1" l="1"/>
  <c r="AH633" i="1"/>
  <c r="AG633" i="1"/>
  <c r="AJ633" i="1" s="1"/>
  <c r="AF633" i="1"/>
  <c r="D634" i="1" l="1"/>
  <c r="AG634" i="1"/>
  <c r="AJ634" i="1" s="1"/>
  <c r="AG635" i="1"/>
  <c r="AJ635" i="1" s="1"/>
  <c r="D635" i="1" l="1"/>
  <c r="AF635" i="1" s="1"/>
  <c r="AF634" i="1"/>
  <c r="AH634" i="1"/>
  <c r="D636" i="1"/>
  <c r="AH635" i="1" l="1"/>
  <c r="AG636" i="1"/>
  <c r="AJ636" i="1" s="1"/>
  <c r="AH636" i="1"/>
  <c r="AF636" i="1"/>
  <c r="D637" i="1"/>
  <c r="AG637" i="1"/>
  <c r="AJ637" i="1" s="1"/>
  <c r="AG638" i="1" l="1"/>
  <c r="AJ638" i="1" s="1"/>
  <c r="AH637" i="1"/>
  <c r="AF637" i="1"/>
  <c r="D638" i="1"/>
  <c r="AF638" i="1" l="1"/>
  <c r="AH638" i="1"/>
  <c r="D639" i="1"/>
  <c r="AG639" i="1" l="1"/>
  <c r="AJ639" i="1" s="1"/>
  <c r="AF639" i="1"/>
  <c r="AH639" i="1"/>
  <c r="D640" i="1" l="1"/>
  <c r="AG640" i="1"/>
  <c r="AJ640" i="1" s="1"/>
  <c r="D641" i="1"/>
  <c r="AG641" i="1"/>
  <c r="AJ641" i="1" s="1"/>
  <c r="AF640" i="1" l="1"/>
  <c r="AF641" i="1"/>
  <c r="D642" i="1"/>
  <c r="AH640" i="1"/>
  <c r="AH641" i="1"/>
  <c r="AG642" i="1"/>
  <c r="AJ642" i="1" s="1"/>
  <c r="AH642" i="1" l="1"/>
  <c r="AF642" i="1"/>
  <c r="D644" i="1" l="1"/>
  <c r="D645" i="1"/>
  <c r="AG644" i="1"/>
  <c r="AJ644" i="1" s="1"/>
  <c r="AG645" i="1"/>
  <c r="AJ645" i="1" s="1"/>
  <c r="AH644" i="1" l="1"/>
  <c r="AF645" i="1"/>
  <c r="D646" i="1"/>
  <c r="AF644" i="1"/>
  <c r="AH645" i="1"/>
  <c r="AG646" i="1" l="1"/>
  <c r="AJ646" i="1" s="1"/>
  <c r="AF646" i="1"/>
  <c r="AH646" i="1"/>
  <c r="AG647" i="1" l="1"/>
  <c r="AJ647" i="1" s="1"/>
  <c r="D648" i="1"/>
  <c r="D647" i="1"/>
  <c r="AG648" i="1" l="1"/>
  <c r="AJ648" i="1" s="1"/>
  <c r="AH647" i="1"/>
  <c r="AH648" i="1" s="1"/>
  <c r="AF647" i="1"/>
  <c r="AF648" i="1"/>
  <c r="D650" i="1" l="1"/>
  <c r="AG650" i="1"/>
  <c r="AJ650" i="1" s="1"/>
  <c r="D651" i="1"/>
  <c r="AH650" i="1" l="1"/>
  <c r="AG651" i="1"/>
  <c r="AJ651" i="1" s="1"/>
  <c r="AF650" i="1"/>
  <c r="AH651" i="1"/>
  <c r="AF651" i="1"/>
  <c r="D652" i="1"/>
  <c r="AG652" i="1" l="1"/>
  <c r="AJ652" i="1" s="1"/>
  <c r="AF652" i="1"/>
  <c r="AH652" i="1"/>
  <c r="D653" i="1"/>
  <c r="AG653" i="1" l="1"/>
  <c r="AJ653" i="1" s="1"/>
  <c r="AF653" i="1"/>
  <c r="AH653" i="1"/>
  <c r="D654" i="1"/>
  <c r="AG654" i="1" l="1"/>
  <c r="AJ654" i="1" s="1"/>
  <c r="AH654" i="1"/>
  <c r="AF654" i="1"/>
  <c r="D655" i="1"/>
  <c r="AG655" i="1" l="1"/>
  <c r="AJ655" i="1" s="1"/>
  <c r="AH655" i="1"/>
  <c r="AF655" i="1"/>
  <c r="D656" i="1"/>
  <c r="AG656" i="1" l="1"/>
  <c r="AJ656" i="1" s="1"/>
  <c r="AF656" i="1"/>
  <c r="AH656" i="1"/>
  <c r="D658" i="1" l="1"/>
  <c r="AG658" i="1"/>
  <c r="AJ658" i="1" s="1"/>
  <c r="D659" i="1"/>
  <c r="AH658" i="1" l="1"/>
  <c r="AG659" i="1"/>
  <c r="AJ659" i="1" s="1"/>
  <c r="AH659" i="1"/>
  <c r="AF659" i="1"/>
  <c r="AF658" i="1"/>
  <c r="AG660" i="1"/>
  <c r="AJ660" i="1" s="1"/>
  <c r="D660" i="1"/>
  <c r="AH660" i="1" l="1"/>
  <c r="AF660" i="1"/>
  <c r="AG661" i="1"/>
  <c r="AJ661" i="1" s="1"/>
  <c r="D661" i="1" l="1"/>
  <c r="D662" i="1"/>
  <c r="AG662" i="1" l="1"/>
  <c r="AJ662" i="1" s="1"/>
  <c r="AH661" i="1"/>
  <c r="AF662" i="1"/>
  <c r="AF661" i="1"/>
  <c r="AH662" i="1"/>
  <c r="D664" i="1" l="1"/>
  <c r="AG664" i="1"/>
  <c r="AJ664" i="1" s="1"/>
  <c r="D665" i="1"/>
  <c r="AH664" i="1" l="1"/>
  <c r="AG665" i="1"/>
  <c r="AJ665" i="1" s="1"/>
  <c r="AF664" i="1"/>
  <c r="AH665" i="1"/>
  <c r="AF665" i="1"/>
  <c r="D666" i="1"/>
  <c r="AG666" i="1" l="1"/>
  <c r="AJ666" i="1" s="1"/>
  <c r="AF666" i="1"/>
  <c r="AH666" i="1"/>
  <c r="D667" i="1"/>
  <c r="AG667" i="1" l="1"/>
  <c r="AJ667" i="1" s="1"/>
  <c r="AH667" i="1"/>
  <c r="AF667" i="1"/>
  <c r="AG668" i="1"/>
  <c r="AJ668" i="1" s="1"/>
  <c r="D668" i="1"/>
  <c r="AH668" i="1" l="1"/>
  <c r="AF668" i="1"/>
  <c r="D669" i="1"/>
  <c r="AG669" i="1" l="1"/>
  <c r="AJ669" i="1" s="1"/>
  <c r="AF669" i="1"/>
  <c r="AH669" i="1"/>
  <c r="D671" i="1" l="1"/>
  <c r="AG671" i="1"/>
  <c r="AJ671" i="1" s="1"/>
  <c r="AH671" i="1" l="1"/>
  <c r="AF671" i="1"/>
  <c r="D673" i="1" l="1"/>
  <c r="AG673" i="1"/>
  <c r="AJ673" i="1" s="1"/>
  <c r="AH673" i="1" l="1"/>
  <c r="AF673" i="1"/>
  <c r="D675" i="1"/>
  <c r="AG675" i="1"/>
  <c r="AJ675" i="1" s="1"/>
  <c r="AH675" i="1" l="1"/>
  <c r="D676" i="1"/>
  <c r="AG676" i="1"/>
  <c r="AJ676" i="1" s="1"/>
  <c r="AF675" i="1"/>
  <c r="AH676" i="1" l="1"/>
  <c r="AF676" i="1"/>
  <c r="AG678" i="1"/>
  <c r="AJ678" i="1" s="1"/>
  <c r="D678" i="1" l="1"/>
  <c r="AH678" i="1" l="1"/>
  <c r="AF678" i="1"/>
  <c r="AG680" i="1"/>
  <c r="AJ680" i="1" s="1"/>
  <c r="D681" i="1"/>
  <c r="D680" i="1"/>
  <c r="AH680" i="1" l="1"/>
  <c r="AG681" i="1"/>
  <c r="AJ681" i="1" s="1"/>
  <c r="AF681" i="1"/>
  <c r="AH681" i="1"/>
  <c r="AF680" i="1"/>
  <c r="D683" i="1" l="1"/>
  <c r="AH683" i="1" l="1"/>
  <c r="AG683" i="1"/>
  <c r="AJ683" i="1" s="1"/>
  <c r="AF683" i="1"/>
  <c r="D684" i="1"/>
  <c r="AG684" i="1" l="1"/>
  <c r="AJ684" i="1" s="1"/>
  <c r="AH684" i="1"/>
  <c r="AF684" i="1"/>
  <c r="D685" i="1" l="1"/>
  <c r="AG686" i="1"/>
  <c r="AJ686" i="1" s="1"/>
  <c r="D686" i="1"/>
  <c r="AG685" i="1"/>
  <c r="AJ685" i="1" s="1"/>
  <c r="AF685" i="1" l="1"/>
  <c r="AH685" i="1"/>
  <c r="AH686" i="1" s="1"/>
  <c r="AF686" i="1"/>
  <c r="D688" i="1" l="1"/>
  <c r="AG688" i="1"/>
  <c r="AJ688" i="1" s="1"/>
  <c r="D689" i="1"/>
  <c r="AH688" i="1" l="1"/>
  <c r="AG689" i="1"/>
  <c r="AJ689" i="1" s="1"/>
  <c r="AF688" i="1"/>
  <c r="AF689" i="1"/>
  <c r="AH689" i="1"/>
  <c r="D691" i="1" l="1"/>
  <c r="D692" i="1"/>
  <c r="AG691" i="1"/>
  <c r="AJ691" i="1" s="1"/>
  <c r="AG692" i="1"/>
  <c r="AJ692" i="1" s="1"/>
  <c r="AH691" i="1" l="1"/>
  <c r="AH692" i="1"/>
  <c r="AF691" i="1"/>
  <c r="AF692" i="1"/>
  <c r="D693" i="1"/>
  <c r="AG693" i="1"/>
  <c r="AJ693" i="1" s="1"/>
  <c r="AH693" i="1" l="1"/>
  <c r="AF693" i="1"/>
  <c r="D695" i="1" l="1"/>
  <c r="AG695" i="1"/>
  <c r="AJ695" i="1" s="1"/>
  <c r="D696" i="1"/>
  <c r="AH695" i="1" l="1"/>
  <c r="AF695" i="1"/>
  <c r="AG696" i="1"/>
  <c r="AJ696" i="1" s="1"/>
  <c r="AF696" i="1"/>
  <c r="AH696" i="1"/>
  <c r="AG697" i="1"/>
  <c r="AJ697" i="1" s="1"/>
  <c r="D697" i="1" l="1"/>
  <c r="D698" i="1"/>
  <c r="AG698" i="1" l="1"/>
  <c r="AJ698" i="1" s="1"/>
  <c r="AF697" i="1"/>
  <c r="AF698" i="1"/>
  <c r="AH697" i="1"/>
  <c r="AH698" i="1"/>
  <c r="AG699" i="1"/>
  <c r="AJ699" i="1" s="1"/>
  <c r="D699" i="1" l="1"/>
  <c r="AG700" i="1"/>
  <c r="AJ700" i="1" s="1"/>
  <c r="AH699" i="1" l="1"/>
  <c r="AF699" i="1"/>
  <c r="D700" i="1"/>
  <c r="D701" i="1"/>
  <c r="AG701" i="1"/>
  <c r="AJ701" i="1" s="1"/>
  <c r="AH700" i="1" l="1"/>
  <c r="AH701" i="1"/>
  <c r="AF700" i="1"/>
  <c r="AF701" i="1"/>
  <c r="D703" i="1" l="1"/>
  <c r="AG703" i="1"/>
  <c r="AJ703" i="1" s="1"/>
  <c r="D705" i="1"/>
  <c r="AG705" i="1"/>
  <c r="AJ705" i="1" s="1"/>
  <c r="D706" i="1"/>
  <c r="AG706" i="1"/>
  <c r="AJ706" i="1" s="1"/>
  <c r="AH703" i="1" l="1"/>
  <c r="AH705" i="1"/>
  <c r="AF703" i="1"/>
  <c r="AF706" i="1"/>
  <c r="AH706" i="1"/>
  <c r="AF705" i="1"/>
  <c r="D707" i="1"/>
  <c r="AG707" i="1"/>
  <c r="AJ707" i="1" s="1"/>
  <c r="AF707" i="1" l="1"/>
  <c r="AH707" i="1"/>
  <c r="AG709" i="1"/>
  <c r="AJ709" i="1" s="1"/>
  <c r="AG710" i="1"/>
  <c r="AJ710" i="1" s="1"/>
  <c r="D710" i="1"/>
  <c r="D711" i="1" l="1"/>
  <c r="D709" i="1"/>
  <c r="AF710" i="1"/>
  <c r="AH709" i="1" l="1"/>
  <c r="AH710" i="1"/>
  <c r="AH711" i="1"/>
  <c r="AF709" i="1"/>
  <c r="AF711" i="1"/>
  <c r="AG711" i="1"/>
  <c r="AJ711" i="1" s="1"/>
  <c r="D713" i="1" l="1"/>
  <c r="AH713" i="1" l="1"/>
  <c r="AG713" i="1"/>
  <c r="AJ713" i="1" s="1"/>
  <c r="AF713" i="1"/>
  <c r="D714" i="1" l="1"/>
  <c r="AG714" i="1"/>
  <c r="AJ714" i="1" s="1"/>
  <c r="AH714" i="1" l="1"/>
  <c r="AF714" i="1"/>
  <c r="D715" i="1"/>
  <c r="AG715" i="1"/>
  <c r="AJ715" i="1" s="1"/>
  <c r="AG716" i="1" l="1"/>
  <c r="AJ716" i="1" s="1"/>
  <c r="AF715" i="1"/>
  <c r="AH715" i="1"/>
  <c r="D716" i="1"/>
  <c r="AG717" i="1"/>
  <c r="AJ717" i="1" s="1"/>
  <c r="D717" i="1" l="1"/>
  <c r="AF716" i="1"/>
  <c r="AH716" i="1"/>
  <c r="AH717" i="1" l="1"/>
  <c r="AF717" i="1"/>
  <c r="AG722" i="1" l="1"/>
  <c r="AJ722" i="1" s="1"/>
  <c r="D722" i="1"/>
  <c r="D719" i="1"/>
  <c r="AG719" i="1"/>
  <c r="AJ719" i="1" s="1"/>
  <c r="AG720" i="1"/>
  <c r="AJ720" i="1" s="1"/>
  <c r="D720" i="1"/>
  <c r="D721" i="1"/>
  <c r="AG721" i="1" l="1"/>
  <c r="AJ721" i="1" s="1"/>
  <c r="AH719" i="1"/>
  <c r="AB722" i="1"/>
  <c r="AF722" i="1"/>
  <c r="AC722" i="1"/>
  <c r="AF719" i="1"/>
  <c r="AF720" i="1"/>
  <c r="AH720" i="1"/>
  <c r="AF721" i="1"/>
  <c r="AG723" i="1"/>
  <c r="AJ723" i="1" s="1"/>
  <c r="D723" i="1" l="1"/>
  <c r="AH721" i="1"/>
  <c r="AG724" i="1"/>
  <c r="AJ724" i="1" s="1"/>
  <c r="D725" i="1"/>
  <c r="AG725" i="1"/>
  <c r="AJ725" i="1" s="1"/>
  <c r="D724" i="1"/>
  <c r="AH723" i="1" l="1"/>
  <c r="AH722" i="1"/>
  <c r="D726" i="1"/>
  <c r="AH724" i="1"/>
  <c r="AH725" i="1"/>
  <c r="D727" i="1"/>
  <c r="AF723" i="1"/>
  <c r="AF725" i="1"/>
  <c r="AG726" i="1"/>
  <c r="AJ726" i="1" s="1"/>
  <c r="AF724" i="1"/>
  <c r="AG727" i="1"/>
  <c r="AJ727" i="1" s="1"/>
  <c r="D728" i="1" l="1"/>
  <c r="AF726" i="1"/>
  <c r="AF727" i="1"/>
  <c r="AG728" i="1"/>
  <c r="AJ728" i="1" s="1"/>
  <c r="AG729" i="1"/>
  <c r="AJ729" i="1" s="1"/>
  <c r="D729" i="1"/>
  <c r="AH726" i="1"/>
  <c r="AH727" i="1"/>
  <c r="D731" i="1" l="1"/>
  <c r="AF728" i="1"/>
  <c r="AF729" i="1"/>
  <c r="AH728" i="1"/>
  <c r="AG731" i="1"/>
  <c r="AJ731" i="1" s="1"/>
  <c r="AG732" i="1"/>
  <c r="AJ732" i="1" s="1"/>
  <c r="D730" i="1"/>
  <c r="AG730" i="1"/>
  <c r="AJ730" i="1" s="1"/>
  <c r="D732" i="1"/>
  <c r="AG733" i="1" l="1"/>
  <c r="AJ733" i="1" s="1"/>
  <c r="AF731" i="1"/>
  <c r="AH729" i="1"/>
  <c r="AG734" i="1"/>
  <c r="AJ734" i="1" s="1"/>
  <c r="D734" i="1"/>
  <c r="AF730" i="1"/>
  <c r="AF732" i="1"/>
  <c r="D733" i="1"/>
  <c r="D735" i="1"/>
  <c r="AG735" i="1" l="1"/>
  <c r="AJ735" i="1" s="1"/>
  <c r="AH730" i="1"/>
  <c r="AF735" i="1"/>
  <c r="AF734" i="1"/>
  <c r="AF733" i="1"/>
  <c r="D736" i="1"/>
  <c r="AG736" i="1"/>
  <c r="AJ736" i="1" s="1"/>
  <c r="AF736" i="1" l="1"/>
  <c r="AH731" i="1"/>
  <c r="AH732" i="1" s="1"/>
  <c r="AG738" i="1"/>
  <c r="AJ738" i="1" s="1"/>
  <c r="AH733" i="1" l="1"/>
  <c r="AG740" i="1"/>
  <c r="AJ740" i="1" s="1"/>
  <c r="AH734" i="1"/>
  <c r="AH735" i="1" s="1"/>
  <c r="D738" i="1"/>
  <c r="D740" i="1"/>
  <c r="AH738" i="1" l="1"/>
  <c r="AH740" i="1"/>
  <c r="AF740" i="1"/>
  <c r="AF738" i="1"/>
  <c r="AH736" i="1"/>
  <c r="AG742" i="1"/>
  <c r="AJ742" i="1" s="1"/>
  <c r="D742" i="1"/>
  <c r="D743" i="1" l="1"/>
  <c r="AH742" i="1"/>
  <c r="AG743" i="1"/>
  <c r="AJ743" i="1" s="1"/>
  <c r="AG744" i="1"/>
  <c r="AJ744" i="1" s="1"/>
  <c r="AF742" i="1"/>
  <c r="D744" i="1"/>
  <c r="AF743" i="1" l="1"/>
  <c r="AH743" i="1"/>
  <c r="AG745" i="1"/>
  <c r="AJ745" i="1" s="1"/>
  <c r="AH744" i="1"/>
  <c r="D745" i="1"/>
  <c r="AF744" i="1"/>
  <c r="D746" i="1"/>
  <c r="AG746" i="1"/>
  <c r="AJ746" i="1" s="1"/>
  <c r="D747" i="1" l="1"/>
  <c r="AF745" i="1"/>
  <c r="AH745" i="1"/>
  <c r="AG749" i="1"/>
  <c r="AJ749" i="1" s="1"/>
  <c r="AG747" i="1"/>
  <c r="AJ747" i="1" s="1"/>
  <c r="AF746" i="1"/>
  <c r="D749" i="1" l="1"/>
  <c r="AF747" i="1"/>
  <c r="AG750" i="1"/>
  <c r="AJ750" i="1" s="1"/>
  <c r="AH746" i="1"/>
  <c r="D750" i="1"/>
  <c r="AH749" i="1" l="1"/>
  <c r="AF749" i="1"/>
  <c r="AG751" i="1"/>
  <c r="AJ751" i="1" s="1"/>
  <c r="AH747" i="1"/>
  <c r="AG752" i="1"/>
  <c r="AJ752" i="1" s="1"/>
  <c r="D751" i="1"/>
  <c r="AH750" i="1"/>
  <c r="AF750" i="1"/>
  <c r="D752" i="1"/>
  <c r="AG753" i="1"/>
  <c r="AJ753" i="1" s="1"/>
  <c r="AH751" i="1" l="1"/>
  <c r="AF751" i="1"/>
  <c r="D754" i="1"/>
  <c r="D753" i="1"/>
  <c r="AH752" i="1"/>
  <c r="AF752" i="1"/>
  <c r="AG754" i="1"/>
  <c r="AJ754" i="1" s="1"/>
  <c r="D755" i="1"/>
  <c r="AG755" i="1" l="1"/>
  <c r="AJ755" i="1" s="1"/>
  <c r="AF754" i="1"/>
  <c r="AF753" i="1"/>
  <c r="AH753" i="1"/>
  <c r="AG756" i="1"/>
  <c r="AJ756" i="1" s="1"/>
  <c r="AF755" i="1"/>
  <c r="D756" i="1"/>
  <c r="D757" i="1" l="1"/>
  <c r="AG757" i="1"/>
  <c r="AJ757" i="1" s="1"/>
  <c r="AG758" i="1"/>
  <c r="AJ758" i="1" s="1"/>
  <c r="AH754" i="1"/>
  <c r="AF756" i="1"/>
  <c r="D758" i="1"/>
  <c r="AH755" i="1"/>
  <c r="AF757" i="1" l="1"/>
  <c r="AG760" i="1"/>
  <c r="AJ760" i="1" s="1"/>
  <c r="AH756" i="1"/>
  <c r="AH757" i="1" s="1"/>
  <c r="AF758" i="1"/>
  <c r="D760" i="1" l="1"/>
  <c r="AH758" i="1"/>
  <c r="AG762" i="1"/>
  <c r="AJ762" i="1" s="1"/>
  <c r="D762" i="1"/>
  <c r="AG763" i="1" l="1"/>
  <c r="AJ763" i="1" s="1"/>
  <c r="AH760" i="1"/>
  <c r="AH762" i="1"/>
  <c r="AF760" i="1"/>
  <c r="AF762" i="1"/>
  <c r="D763" i="1"/>
  <c r="D764" i="1"/>
  <c r="AG764" i="1"/>
  <c r="AJ764" i="1" s="1"/>
  <c r="D765" i="1" l="1"/>
  <c r="AH763" i="1"/>
  <c r="D766" i="1"/>
  <c r="AH764" i="1"/>
  <c r="AF764" i="1"/>
  <c r="AG766" i="1"/>
  <c r="AJ766" i="1" s="1"/>
  <c r="AG765" i="1"/>
  <c r="AJ765" i="1" s="1"/>
  <c r="AF763" i="1"/>
  <c r="AG767" i="1"/>
  <c r="AJ767" i="1" s="1"/>
  <c r="D767" i="1" l="1"/>
  <c r="AH765" i="1"/>
  <c r="AF766" i="1"/>
  <c r="AF765" i="1"/>
  <c r="AF767" i="1" l="1"/>
  <c r="AH766" i="1"/>
  <c r="D769" i="1"/>
  <c r="AG770" i="1"/>
  <c r="AJ770" i="1" s="1"/>
  <c r="AH767" i="1"/>
  <c r="D770" i="1"/>
  <c r="AG771" i="1"/>
  <c r="AJ771" i="1" s="1"/>
  <c r="D771" i="1"/>
  <c r="AG769" i="1" l="1"/>
  <c r="AJ769" i="1" s="1"/>
  <c r="AH769" i="1"/>
  <c r="AF769" i="1"/>
  <c r="AF770" i="1"/>
  <c r="D772" i="1"/>
  <c r="AF771" i="1"/>
  <c r="AH770" i="1"/>
  <c r="AG772" i="1"/>
  <c r="AJ772" i="1" s="1"/>
  <c r="AG773" i="1" l="1"/>
  <c r="AJ773" i="1" s="1"/>
  <c r="D773" i="1"/>
  <c r="AG774" i="1"/>
  <c r="AJ774" i="1" s="1"/>
  <c r="AH771" i="1"/>
  <c r="AF772" i="1"/>
  <c r="D774" i="1"/>
  <c r="AH772" i="1"/>
  <c r="D775" i="1"/>
  <c r="AF773" i="1" l="1"/>
  <c r="AH773" i="1"/>
  <c r="AF775" i="1"/>
  <c r="AG775" i="1"/>
  <c r="AJ775" i="1" s="1"/>
  <c r="AF774" i="1"/>
  <c r="D776" i="1"/>
  <c r="AG776" i="1"/>
  <c r="AJ776" i="1" s="1"/>
  <c r="AG777" i="1" l="1"/>
  <c r="AJ777" i="1" s="1"/>
  <c r="AH774" i="1"/>
  <c r="AH775" i="1"/>
  <c r="D777" i="1"/>
  <c r="AF776" i="1"/>
  <c r="D778" i="1"/>
  <c r="AG778" i="1"/>
  <c r="AJ778" i="1" s="1"/>
  <c r="D780" i="1" l="1"/>
  <c r="AF778" i="1"/>
  <c r="AH776" i="1"/>
  <c r="AH777" i="1" s="1"/>
  <c r="AG780" i="1"/>
  <c r="AJ780" i="1" s="1"/>
  <c r="AF777" i="1"/>
  <c r="AH780" i="1" l="1"/>
  <c r="AH778" i="1"/>
  <c r="AF780" i="1"/>
  <c r="AG782" i="1"/>
  <c r="AJ782" i="1" s="1"/>
  <c r="D782" i="1" l="1"/>
  <c r="D784" i="1"/>
  <c r="AG784" i="1" l="1"/>
  <c r="AJ784" i="1" s="1"/>
  <c r="AH782" i="1"/>
  <c r="AH784" i="1"/>
  <c r="AF782" i="1"/>
  <c r="AF784" i="1"/>
  <c r="AG785" i="1"/>
  <c r="AJ785" i="1" s="1"/>
  <c r="D785" i="1"/>
  <c r="AH785" i="1" l="1"/>
  <c r="AF785" i="1"/>
  <c r="D787" i="1"/>
  <c r="AG787" i="1"/>
  <c r="AJ787" i="1" s="1"/>
  <c r="D788" i="1"/>
  <c r="AG788" i="1"/>
  <c r="AJ788" i="1" s="1"/>
  <c r="AG789" i="1"/>
  <c r="AJ789" i="1" s="1"/>
  <c r="D789" i="1"/>
  <c r="AH787" i="1" l="1"/>
  <c r="AF787" i="1"/>
  <c r="AF788" i="1"/>
  <c r="AH788" i="1"/>
  <c r="AF789" i="1"/>
  <c r="D790" i="1"/>
  <c r="AG790" i="1"/>
  <c r="AJ790" i="1" s="1"/>
  <c r="D791" i="1"/>
  <c r="AG791" i="1"/>
  <c r="AJ791" i="1" s="1"/>
  <c r="AG792" i="1"/>
  <c r="AJ792" i="1" s="1"/>
  <c r="D792" i="1"/>
  <c r="AF792" i="1" l="1"/>
  <c r="AF791" i="1"/>
  <c r="D795" i="1"/>
  <c r="AH789" i="1"/>
  <c r="AF790" i="1"/>
  <c r="AG794" i="1"/>
  <c r="AJ794" i="1" s="1"/>
  <c r="AH790" i="1"/>
  <c r="D794" i="1"/>
  <c r="AH794" i="1" l="1"/>
  <c r="AG795" i="1"/>
  <c r="AJ795" i="1" s="1"/>
  <c r="AF794" i="1"/>
  <c r="AF795" i="1"/>
  <c r="AH791" i="1"/>
  <c r="AH795" i="1"/>
  <c r="D797" i="1"/>
  <c r="D796" i="1"/>
  <c r="AG796" i="1"/>
  <c r="AJ796" i="1" s="1"/>
  <c r="AG797" i="1" l="1"/>
  <c r="AJ797" i="1" s="1"/>
  <c r="AF797" i="1"/>
  <c r="AF796" i="1"/>
  <c r="AH792" i="1"/>
  <c r="AH796" i="1"/>
  <c r="AG798" i="1"/>
  <c r="AJ798" i="1" s="1"/>
  <c r="D798" i="1"/>
  <c r="AG799" i="1"/>
  <c r="AJ799" i="1" s="1"/>
  <c r="D799" i="1"/>
  <c r="AH797" i="1" l="1"/>
  <c r="AH798" i="1"/>
  <c r="AG800" i="1"/>
  <c r="AJ800" i="1" s="1"/>
  <c r="D800" i="1"/>
  <c r="AF799" i="1"/>
  <c r="AF798" i="1"/>
  <c r="AF800" i="1" l="1"/>
  <c r="AH799" i="1"/>
  <c r="AH800" i="1"/>
  <c r="D802" i="1"/>
  <c r="AG802" i="1"/>
  <c r="AJ802" i="1" s="1"/>
  <c r="AG803" i="1"/>
  <c r="AJ803" i="1" s="1"/>
  <c r="AH802" i="1" l="1"/>
  <c r="D803" i="1"/>
  <c r="AF802" i="1"/>
  <c r="D804" i="1"/>
  <c r="AG804" i="1"/>
  <c r="AJ804" i="1" s="1"/>
  <c r="AG805" i="1"/>
  <c r="AJ805" i="1" s="1"/>
  <c r="D805" i="1"/>
  <c r="AP719" i="1" l="1"/>
  <c r="AP720" i="1"/>
  <c r="AP721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8" i="1"/>
  <c r="AP740" i="1"/>
  <c r="AP742" i="1"/>
  <c r="AP743" i="1"/>
  <c r="AP744" i="1"/>
  <c r="AP745" i="1"/>
  <c r="AP746" i="1"/>
  <c r="AP747" i="1"/>
  <c r="AP749" i="1"/>
  <c r="AP750" i="1"/>
  <c r="AP751" i="1"/>
  <c r="AP752" i="1"/>
  <c r="AP753" i="1"/>
  <c r="AP754" i="1"/>
  <c r="AP755" i="1"/>
  <c r="AP756" i="1"/>
  <c r="AP757" i="1"/>
  <c r="AP758" i="1"/>
  <c r="AP760" i="1"/>
  <c r="AP762" i="1"/>
  <c r="AP763" i="1"/>
  <c r="AP764" i="1"/>
  <c r="AP765" i="1"/>
  <c r="AP766" i="1"/>
  <c r="AP767" i="1"/>
  <c r="AP769" i="1"/>
  <c r="AP770" i="1"/>
  <c r="AP771" i="1"/>
  <c r="AP772" i="1"/>
  <c r="AP773" i="1"/>
  <c r="AP774" i="1"/>
  <c r="AP775" i="1"/>
  <c r="AP776" i="1"/>
  <c r="AP777" i="1"/>
  <c r="AP778" i="1"/>
  <c r="AP780" i="1"/>
  <c r="AP782" i="1"/>
  <c r="AP784" i="1"/>
  <c r="AP785" i="1"/>
  <c r="AP717" i="1"/>
  <c r="AP713" i="1"/>
  <c r="AP709" i="1"/>
  <c r="AP701" i="1"/>
  <c r="AP697" i="1"/>
  <c r="AP693" i="1"/>
  <c r="AP689" i="1"/>
  <c r="AP685" i="1"/>
  <c r="AP681" i="1"/>
  <c r="AP706" i="1"/>
  <c r="AP716" i="1"/>
  <c r="AP710" i="1"/>
  <c r="AP698" i="1"/>
  <c r="AP686" i="1"/>
  <c r="AP707" i="1"/>
  <c r="AP678" i="1"/>
  <c r="AP714" i="1"/>
  <c r="AP715" i="1"/>
  <c r="AP711" i="1"/>
  <c r="AP703" i="1"/>
  <c r="AP699" i="1"/>
  <c r="AP695" i="1"/>
  <c r="AP691" i="1"/>
  <c r="AP683" i="1"/>
  <c r="AP700" i="1"/>
  <c r="AP696" i="1"/>
  <c r="AP692" i="1"/>
  <c r="AP688" i="1"/>
  <c r="AP684" i="1"/>
  <c r="AP680" i="1"/>
  <c r="AP705" i="1"/>
  <c r="AP653" i="1"/>
  <c r="AP633" i="1"/>
  <c r="AP617" i="1"/>
  <c r="AP597" i="1"/>
  <c r="AP581" i="1"/>
  <c r="AP549" i="1"/>
  <c r="AP533" i="1"/>
  <c r="AP656" i="1"/>
  <c r="AP640" i="1"/>
  <c r="AP616" i="1"/>
  <c r="AP600" i="1"/>
  <c r="AP556" i="1"/>
  <c r="AP540" i="1"/>
  <c r="AP524" i="1"/>
  <c r="AP504" i="1"/>
  <c r="AP662" i="1"/>
  <c r="AP646" i="1"/>
  <c r="AP659" i="1"/>
  <c r="AP639" i="1"/>
  <c r="AP623" i="1"/>
  <c r="AP603" i="1"/>
  <c r="AP587" i="1"/>
  <c r="AP567" i="1"/>
  <c r="AP547" i="1"/>
  <c r="AP622" i="1"/>
  <c r="AP570" i="1"/>
  <c r="AP542" i="1"/>
  <c r="AP606" i="1"/>
  <c r="AP574" i="1"/>
  <c r="AP538" i="1"/>
  <c r="AP488" i="1"/>
  <c r="AP669" i="1"/>
  <c r="AP645" i="1"/>
  <c r="AP629" i="1"/>
  <c r="AP609" i="1"/>
  <c r="AP593" i="1"/>
  <c r="AP577" i="1"/>
  <c r="AP545" i="1"/>
  <c r="AP529" i="1"/>
  <c r="AP668" i="1"/>
  <c r="AP652" i="1"/>
  <c r="AP636" i="1"/>
  <c r="AP612" i="1"/>
  <c r="AP572" i="1"/>
  <c r="AP552" i="1"/>
  <c r="AP536" i="1"/>
  <c r="AP658" i="1"/>
  <c r="AP642" i="1"/>
  <c r="AP655" i="1"/>
  <c r="AP635" i="1"/>
  <c r="AP619" i="1"/>
  <c r="AP599" i="1"/>
  <c r="AP583" i="1"/>
  <c r="AP563" i="1"/>
  <c r="AP543" i="1"/>
  <c r="AP618" i="1"/>
  <c r="AP566" i="1"/>
  <c r="AP534" i="1"/>
  <c r="AP638" i="1"/>
  <c r="AP594" i="1"/>
  <c r="AP562" i="1"/>
  <c r="AP641" i="1"/>
  <c r="AP605" i="1"/>
  <c r="AP569" i="1"/>
  <c r="AP525" i="1"/>
  <c r="AP664" i="1"/>
  <c r="AP628" i="1"/>
  <c r="AP564" i="1"/>
  <c r="AP532" i="1"/>
  <c r="AP535" i="1"/>
  <c r="AP671" i="1"/>
  <c r="AP631" i="1"/>
  <c r="AP595" i="1"/>
  <c r="AP559" i="1"/>
  <c r="AP610" i="1"/>
  <c r="AP526" i="1"/>
  <c r="AP586" i="1"/>
  <c r="AP520" i="1"/>
  <c r="AP661" i="1"/>
  <c r="AP621" i="1"/>
  <c r="AP585" i="1"/>
  <c r="AP537" i="1"/>
  <c r="AP644" i="1"/>
  <c r="AP604" i="1"/>
  <c r="AP544" i="1"/>
  <c r="AP650" i="1"/>
  <c r="AP647" i="1"/>
  <c r="AP611" i="1"/>
  <c r="AP575" i="1"/>
  <c r="AP630" i="1"/>
  <c r="AP550" i="1"/>
  <c r="AP614" i="1"/>
  <c r="AP546" i="1"/>
  <c r="AP473" i="1"/>
  <c r="AP186" i="1"/>
  <c r="AP410" i="1"/>
  <c r="AP93" i="1"/>
  <c r="AP673" i="1"/>
  <c r="AP676" i="1"/>
  <c r="AP665" i="1"/>
  <c r="AP625" i="1"/>
  <c r="AP589" i="1"/>
  <c r="AP541" i="1"/>
  <c r="AP502" i="1"/>
  <c r="AP648" i="1"/>
  <c r="AP608" i="1"/>
  <c r="AP548" i="1"/>
  <c r="AP517" i="1"/>
  <c r="AP654" i="1"/>
  <c r="AP651" i="1"/>
  <c r="AP615" i="1"/>
  <c r="AP579" i="1"/>
  <c r="AP634" i="1"/>
  <c r="AP558" i="1"/>
  <c r="AP626" i="1"/>
  <c r="AP554" i="1"/>
  <c r="AP453" i="1"/>
  <c r="AP392" i="1"/>
  <c r="AP637" i="1"/>
  <c r="AP601" i="1"/>
  <c r="AP553" i="1"/>
  <c r="AP660" i="1"/>
  <c r="AP624" i="1"/>
  <c r="AP560" i="1"/>
  <c r="AP528" i="1"/>
  <c r="AP531" i="1"/>
  <c r="AP666" i="1"/>
  <c r="AP667" i="1"/>
  <c r="AP627" i="1"/>
  <c r="AP591" i="1"/>
  <c r="AP555" i="1"/>
  <c r="AP602" i="1"/>
  <c r="AP578" i="1"/>
  <c r="AP111" i="1"/>
  <c r="AP292" i="1"/>
  <c r="AP397" i="1"/>
  <c r="AP675" i="1"/>
  <c r="AH803" i="1"/>
  <c r="AF805" i="1"/>
  <c r="AH804" i="1"/>
  <c r="AF804" i="1"/>
  <c r="D806" i="1"/>
  <c r="AF803" i="1"/>
  <c r="AG806" i="1"/>
  <c r="AJ806" i="1" s="1"/>
  <c r="D807" i="1"/>
  <c r="AG807" i="1"/>
  <c r="AJ807" i="1" s="1"/>
  <c r="AF807" i="1" l="1"/>
  <c r="AH805" i="1"/>
  <c r="AF806" i="1"/>
  <c r="D808" i="1"/>
  <c r="AH806" i="1"/>
  <c r="AG808" i="1"/>
  <c r="AJ808" i="1" s="1"/>
  <c r="AH807" i="1" l="1"/>
  <c r="AH808" i="1" s="1"/>
  <c r="AF808" i="1"/>
  <c r="D810" i="1"/>
  <c r="AG810" i="1"/>
  <c r="AJ810" i="1" s="1"/>
  <c r="D811" i="1"/>
  <c r="AH810" i="1" l="1"/>
  <c r="AG811" i="1"/>
  <c r="AJ811" i="1" s="1"/>
  <c r="AF810" i="1"/>
  <c r="D812" i="1"/>
  <c r="AH811" i="1"/>
  <c r="AF811" i="1"/>
  <c r="AG812" i="1"/>
  <c r="AJ812" i="1" s="1"/>
  <c r="AG813" i="1"/>
  <c r="AJ813" i="1" s="1"/>
  <c r="D813" i="1"/>
  <c r="D814" i="1"/>
  <c r="AG814" i="1"/>
  <c r="AJ814" i="1" s="1"/>
  <c r="AG815" i="1"/>
  <c r="AJ815" i="1" s="1"/>
  <c r="D815" i="1"/>
  <c r="AF814" i="1" l="1"/>
  <c r="AF815" i="1"/>
  <c r="AH812" i="1"/>
  <c r="D816" i="1"/>
  <c r="AF812" i="1"/>
  <c r="AG816" i="1"/>
  <c r="AJ816" i="1" s="1"/>
  <c r="AF813" i="1"/>
  <c r="AG817" i="1"/>
  <c r="AJ817" i="1" s="1"/>
  <c r="D818" i="1"/>
  <c r="AG819" i="1"/>
  <c r="AJ819" i="1" s="1"/>
  <c r="AG821" i="1"/>
  <c r="AJ821" i="1" s="1"/>
  <c r="AG822" i="1"/>
  <c r="AJ822" i="1" s="1"/>
  <c r="AG823" i="1"/>
  <c r="AJ823" i="1" s="1"/>
  <c r="AG824" i="1"/>
  <c r="AJ824" i="1" s="1"/>
  <c r="D824" i="1"/>
  <c r="D823" i="1"/>
  <c r="D822" i="1"/>
  <c r="D821" i="1"/>
  <c r="D819" i="1"/>
  <c r="AG818" i="1"/>
  <c r="AJ818" i="1" s="1"/>
  <c r="D817" i="1"/>
  <c r="AH821" i="1" l="1"/>
  <c r="AC726" i="1"/>
  <c r="AC667" i="1"/>
  <c r="AB732" i="1"/>
  <c r="AC782" i="1"/>
  <c r="AB655" i="1"/>
  <c r="AC757" i="1"/>
  <c r="AB647" i="1"/>
  <c r="AC744" i="1"/>
  <c r="AB731" i="1"/>
  <c r="AC648" i="1"/>
  <c r="AB685" i="1"/>
  <c r="AB671" i="1"/>
  <c r="AC808" i="1"/>
  <c r="AC615" i="1"/>
  <c r="AC730" i="1"/>
  <c r="AB711" i="1"/>
  <c r="AB552" i="1"/>
  <c r="AC685" i="1"/>
  <c r="AC716" i="1"/>
  <c r="AC754" i="1"/>
  <c r="AB524" i="1"/>
  <c r="AB614" i="1"/>
  <c r="AB721" i="1"/>
  <c r="AB633" i="1"/>
  <c r="AB749" i="1"/>
  <c r="AC633" i="1"/>
  <c r="AB668" i="1"/>
  <c r="AB621" i="1"/>
  <c r="AC680" i="1"/>
  <c r="AB532" i="1"/>
  <c r="AC770" i="1"/>
  <c r="AC639" i="1"/>
  <c r="AB700" i="1"/>
  <c r="AB686" i="1"/>
  <c r="AB771" i="1"/>
  <c r="AB742" i="1"/>
  <c r="AC625" i="1"/>
  <c r="AC546" i="1"/>
  <c r="AC750" i="1"/>
  <c r="AB546" i="1"/>
  <c r="AC780" i="1"/>
  <c r="AC535" i="1"/>
  <c r="AH813" i="1"/>
  <c r="AB824" i="1"/>
  <c r="AH822" i="1"/>
  <c r="AF821" i="1"/>
  <c r="AC819" i="1"/>
  <c r="AF818" i="1"/>
  <c r="AF816" i="1"/>
  <c r="AB574" i="1"/>
  <c r="AB634" i="1"/>
  <c r="AC824" i="1"/>
  <c r="AC822" i="1"/>
  <c r="AC818" i="1"/>
  <c r="AC816" i="1"/>
  <c r="AF823" i="1"/>
  <c r="AF817" i="1"/>
  <c r="AB808" i="1"/>
  <c r="AF822" i="1"/>
  <c r="AC817" i="1"/>
  <c r="AC742" i="1"/>
  <c r="AB797" i="1"/>
  <c r="AB691" i="1"/>
  <c r="AC733" i="1"/>
  <c r="AC774" i="1"/>
  <c r="AC574" i="1"/>
  <c r="AC746" i="1"/>
  <c r="AC740" i="1"/>
  <c r="AB769" i="1"/>
  <c r="AB673" i="1"/>
  <c r="AC794" i="1"/>
  <c r="AB799" i="1"/>
  <c r="AB688" i="1"/>
  <c r="AB659" i="1"/>
  <c r="AB641" i="1"/>
  <c r="AC771" i="1"/>
  <c r="AB678" i="1"/>
  <c r="AC769" i="1"/>
  <c r="AB734" i="1"/>
  <c r="AC612" i="1"/>
  <c r="AB750" i="1"/>
  <c r="AB608" i="1"/>
  <c r="AC653" i="1"/>
  <c r="AC749" i="1"/>
  <c r="AC710" i="1"/>
  <c r="AB756" i="1"/>
  <c r="AC563" i="1"/>
  <c r="AC656" i="1"/>
  <c r="AB601" i="1"/>
  <c r="AC665" i="1"/>
  <c r="AB775" i="1"/>
  <c r="AC720" i="1"/>
  <c r="AB629" i="1"/>
  <c r="AB697" i="1"/>
  <c r="AB652" i="1"/>
  <c r="AB619" i="1"/>
  <c r="AB778" i="1"/>
  <c r="AB595" i="1"/>
  <c r="AB755" i="1"/>
  <c r="AB624" i="1"/>
  <c r="AB729" i="1"/>
  <c r="AB563" i="1"/>
  <c r="AC626" i="1"/>
  <c r="AC603" i="1"/>
  <c r="AC753" i="1"/>
  <c r="AB765" i="1"/>
  <c r="AB692" i="1"/>
  <c r="AB715" i="1"/>
  <c r="AC676" i="1"/>
  <c r="AB693" i="1"/>
  <c r="AB550" i="1"/>
  <c r="AB743" i="1"/>
  <c r="AC689" i="1"/>
  <c r="AB603" i="1"/>
  <c r="AC698" i="1"/>
  <c r="AC669" i="1"/>
  <c r="AB556" i="1"/>
  <c r="AC735" i="1"/>
  <c r="AC703" i="1"/>
  <c r="AC756" i="1"/>
  <c r="AC678" i="1"/>
  <c r="AB727" i="1"/>
  <c r="AF824" i="1"/>
  <c r="AC823" i="1"/>
  <c r="AB822" i="1"/>
  <c r="AC821" i="1"/>
  <c r="AB818" i="1"/>
  <c r="AB816" i="1"/>
  <c r="AB817" i="1"/>
  <c r="AB823" i="1"/>
  <c r="AF819" i="1"/>
  <c r="AB821" i="1"/>
  <c r="AB819" i="1"/>
  <c r="AC645" i="1"/>
  <c r="AC671" i="1"/>
  <c r="AC775" i="1"/>
  <c r="AC524" i="1"/>
  <c r="AC734" i="1"/>
  <c r="AC706" i="1"/>
  <c r="AC763" i="1"/>
  <c r="AC604" i="1"/>
  <c r="AC600" i="1"/>
  <c r="AB724" i="1"/>
  <c r="AC537" i="1"/>
  <c r="AB796" i="1"/>
  <c r="AC723" i="1"/>
  <c r="AC688" i="1"/>
  <c r="AB782" i="1"/>
  <c r="AC693" i="1"/>
  <c r="AC630" i="1"/>
  <c r="AC666" i="1"/>
  <c r="AC640" i="1"/>
  <c r="AC642" i="1"/>
  <c r="AB747" i="1"/>
  <c r="AC776" i="1"/>
  <c r="AC795" i="1"/>
  <c r="AC799" i="1"/>
  <c r="AB653" i="1"/>
  <c r="AB716" i="1"/>
  <c r="AC709" i="1"/>
  <c r="AB763" i="1"/>
  <c r="AB703" i="1"/>
  <c r="AC664" i="1"/>
  <c r="AC618" i="1"/>
  <c r="AC784" i="1"/>
  <c r="AB631" i="1"/>
  <c r="AB626" i="1"/>
  <c r="AB699" i="1"/>
  <c r="AB810" i="1"/>
  <c r="AB617" i="1"/>
  <c r="AB680" i="1"/>
  <c r="AB689" i="1"/>
  <c r="AB720" i="1"/>
  <c r="AB651" i="1"/>
  <c r="AC692" i="1"/>
  <c r="AB757" i="1"/>
  <c r="AC758" i="1"/>
  <c r="AB791" i="1"/>
  <c r="AC789" i="1"/>
  <c r="AB753" i="1"/>
  <c r="AC634" i="1"/>
  <c r="AC652" i="1"/>
  <c r="AC660" i="1"/>
  <c r="AB600" i="1"/>
  <c r="AB599" i="1"/>
  <c r="AC675" i="1"/>
  <c r="AC800" i="1"/>
  <c r="AB804" i="1"/>
  <c r="AC815" i="1"/>
  <c r="AB717" i="1"/>
  <c r="AB639" i="1"/>
  <c r="AC714" i="1"/>
  <c r="AC610" i="1"/>
  <c r="AB615" i="1"/>
  <c r="AB681" i="1"/>
  <c r="AB618" i="1"/>
  <c r="AC617" i="1"/>
  <c r="AB754" i="1"/>
  <c r="AC777" i="1"/>
  <c r="AC790" i="1"/>
  <c r="AC762" i="1"/>
  <c r="AC556" i="1"/>
  <c r="AC738" i="1"/>
  <c r="AC599" i="1"/>
  <c r="AB709" i="1"/>
  <c r="AC691" i="1"/>
  <c r="AC802" i="1"/>
  <c r="AC806" i="1"/>
  <c r="AB813" i="1"/>
  <c r="AC638" i="1"/>
  <c r="AC745" i="1"/>
  <c r="AC601" i="1"/>
  <c r="AC715" i="1"/>
  <c r="AC773" i="1"/>
  <c r="AC654" i="1"/>
  <c r="AC727" i="1"/>
  <c r="AB698" i="1"/>
  <c r="AC772" i="1"/>
  <c r="AC651" i="1"/>
  <c r="AC636" i="1"/>
  <c r="AB612" i="1"/>
  <c r="AC650" i="1"/>
  <c r="AB733" i="1"/>
  <c r="AB654" i="1"/>
  <c r="AB777" i="1"/>
  <c r="AB725" i="1"/>
  <c r="AB780" i="1"/>
  <c r="AC532" i="1"/>
  <c r="AC705" i="1"/>
  <c r="AC695" i="1"/>
  <c r="AB767" i="1"/>
  <c r="AC647" i="1"/>
  <c r="AC798" i="1"/>
  <c r="AB752" i="1"/>
  <c r="AB707" i="1"/>
  <c r="AB622" i="1"/>
  <c r="AB669" i="1"/>
  <c r="AB696" i="1"/>
  <c r="AB667" i="1"/>
  <c r="AC658" i="1"/>
  <c r="AC631" i="1"/>
  <c r="AC760" i="1"/>
  <c r="AB666" i="1"/>
  <c r="AC696" i="1"/>
  <c r="AC554" i="1"/>
  <c r="AB706" i="1"/>
  <c r="AC686" i="1"/>
  <c r="AC767" i="1"/>
  <c r="AB609" i="1"/>
  <c r="AB675" i="1"/>
  <c r="AB644" i="1"/>
  <c r="AC731" i="1"/>
  <c r="AC751" i="1"/>
  <c r="AB611" i="1"/>
  <c r="AB683" i="1"/>
  <c r="AC729" i="1"/>
  <c r="AC627" i="1"/>
  <c r="AB719" i="1"/>
  <c r="AC792" i="1"/>
  <c r="AB788" i="1"/>
  <c r="AB628" i="1"/>
  <c r="AB766" i="1"/>
  <c r="AC644" i="1"/>
  <c r="AB604" i="1"/>
  <c r="AC805" i="1"/>
  <c r="AC814" i="1"/>
  <c r="AC609" i="1"/>
  <c r="AB710" i="1"/>
  <c r="AC765" i="1"/>
  <c r="AB605" i="1"/>
  <c r="AC622" i="1"/>
  <c r="AB735" i="1"/>
  <c r="AB660" i="1"/>
  <c r="AC810" i="1"/>
  <c r="AB637" i="1"/>
  <c r="AC550" i="1"/>
  <c r="AB758" i="1"/>
  <c r="AC791" i="1"/>
  <c r="AB789" i="1"/>
  <c r="AB554" i="1"/>
  <c r="AB701" i="1"/>
  <c r="AB705" i="1"/>
  <c r="AC397" i="1"/>
  <c r="AB723" i="1"/>
  <c r="AB646" i="1"/>
  <c r="AB807" i="1"/>
  <c r="AB736" i="1"/>
  <c r="AC595" i="1"/>
  <c r="AC717" i="1"/>
  <c r="AC743" i="1"/>
  <c r="AC684" i="1"/>
  <c r="AB784" i="1"/>
  <c r="AB751" i="1"/>
  <c r="AB738" i="1"/>
  <c r="AC552" i="1"/>
  <c r="AC724" i="1"/>
  <c r="AC752" i="1"/>
  <c r="AB616" i="1"/>
  <c r="AB730" i="1"/>
  <c r="AB397" i="1"/>
  <c r="AC619" i="1"/>
  <c r="AB636" i="1"/>
  <c r="AB744" i="1"/>
  <c r="AB787" i="1"/>
  <c r="AC616" i="1"/>
  <c r="AC623" i="1"/>
  <c r="AB640" i="1"/>
  <c r="AB623" i="1"/>
  <c r="AC529" i="1"/>
  <c r="AB802" i="1"/>
  <c r="AB806" i="1"/>
  <c r="AC813" i="1"/>
  <c r="AC673" i="1"/>
  <c r="AC711" i="1"/>
  <c r="AB772" i="1"/>
  <c r="AC755" i="1"/>
  <c r="AC778" i="1"/>
  <c r="AB746" i="1"/>
  <c r="AC641" i="1"/>
  <c r="AC683" i="1"/>
  <c r="AB792" i="1"/>
  <c r="AC788" i="1"/>
  <c r="AB662" i="1"/>
  <c r="AC747" i="1"/>
  <c r="AC624" i="1"/>
  <c r="AC736" i="1"/>
  <c r="AB762" i="1"/>
  <c r="AB656" i="1"/>
  <c r="AB745" i="1"/>
  <c r="AC713" i="1"/>
  <c r="AB800" i="1"/>
  <c r="AC804" i="1"/>
  <c r="AB815" i="1"/>
  <c r="AC796" i="1"/>
  <c r="AB770" i="1"/>
  <c r="AB537" i="1"/>
  <c r="AB695" i="1"/>
  <c r="AC785" i="1"/>
  <c r="AB795" i="1"/>
  <c r="AB798" i="1"/>
  <c r="AB535" i="1"/>
  <c r="AB726" i="1"/>
  <c r="AC797" i="1"/>
  <c r="AC700" i="1"/>
  <c r="AC699" i="1"/>
  <c r="AC621" i="1"/>
  <c r="AC659" i="1"/>
  <c r="AB776" i="1"/>
  <c r="AB794" i="1"/>
  <c r="AB610" i="1"/>
  <c r="AB650" i="1"/>
  <c r="AB602" i="1"/>
  <c r="AC661" i="1"/>
  <c r="AC668" i="1"/>
  <c r="AB638" i="1"/>
  <c r="AC721" i="1"/>
  <c r="AC611" i="1"/>
  <c r="AC606" i="1"/>
  <c r="AB529" i="1"/>
  <c r="AC637" i="1"/>
  <c r="AB627" i="1"/>
  <c r="AC614" i="1"/>
  <c r="AB714" i="1"/>
  <c r="AB642" i="1"/>
  <c r="AB713" i="1"/>
  <c r="AC628" i="1"/>
  <c r="AB760" i="1"/>
  <c r="AC728" i="1"/>
  <c r="AC662" i="1"/>
  <c r="AB740" i="1"/>
  <c r="AC811" i="1"/>
  <c r="AB635" i="1"/>
  <c r="AC732" i="1"/>
  <c r="AB764" i="1"/>
  <c r="AC605" i="1"/>
  <c r="AC646" i="1"/>
  <c r="AB661" i="1"/>
  <c r="AB811" i="1"/>
  <c r="AC608" i="1"/>
  <c r="AC725" i="1"/>
  <c r="AC697" i="1"/>
  <c r="AB773" i="1"/>
  <c r="AB790" i="1"/>
  <c r="AC766" i="1"/>
  <c r="AB676" i="1"/>
  <c r="AB645" i="1"/>
  <c r="AB648" i="1"/>
  <c r="AC655" i="1"/>
  <c r="AB665" i="1"/>
  <c r="AC803" i="1"/>
  <c r="AC807" i="1"/>
  <c r="AB812" i="1"/>
  <c r="AB774" i="1"/>
  <c r="AC629" i="1"/>
  <c r="AB658" i="1"/>
  <c r="AB664" i="1"/>
  <c r="AB630" i="1"/>
  <c r="AC764" i="1"/>
  <c r="AC719" i="1"/>
  <c r="AC635" i="1"/>
  <c r="AB785" i="1"/>
  <c r="AC787" i="1"/>
  <c r="AB684" i="1"/>
  <c r="AB728" i="1"/>
  <c r="AC602" i="1"/>
  <c r="AC707" i="1"/>
  <c r="AC681" i="1"/>
  <c r="AC701" i="1"/>
  <c r="AB625" i="1"/>
  <c r="AB805" i="1"/>
  <c r="AB814" i="1"/>
  <c r="AB606" i="1"/>
  <c r="AB803" i="1"/>
  <c r="AC812" i="1"/>
  <c r="AH823" i="1" l="1"/>
  <c r="AH814" i="1"/>
  <c r="C821" i="1" l="1"/>
  <c r="AH815" i="1"/>
  <c r="AH824" i="1"/>
  <c r="AH816" i="1" l="1"/>
  <c r="AH817" i="1"/>
  <c r="AH818" i="1" l="1"/>
  <c r="AH819" i="1" l="1"/>
  <c r="D400" i="1" l="1"/>
  <c r="AH400" i="1" l="1"/>
  <c r="AG400" i="1"/>
  <c r="AF400" i="1"/>
  <c r="AJ400" i="1" l="1"/>
  <c r="AG434" i="1" l="1"/>
  <c r="D434" i="1"/>
  <c r="B7" i="7" l="1"/>
  <c r="AF434" i="1"/>
  <c r="D7" i="7" l="1"/>
  <c r="E7" i="7"/>
  <c r="F7" i="7"/>
  <c r="C7" i="7"/>
  <c r="G7" i="7"/>
  <c r="H7" i="7"/>
  <c r="J7" i="7" l="1"/>
  <c r="I7" i="7"/>
  <c r="AH434" i="1"/>
  <c r="K7" i="7" l="1"/>
  <c r="L7" i="7" s="1"/>
  <c r="M7" i="7" s="1"/>
  <c r="B28" i="5" l="1"/>
  <c r="B30" i="4"/>
  <c r="A62" i="2"/>
  <c r="A63" i="2"/>
  <c r="A61" i="2"/>
  <c r="A60" i="2"/>
  <c r="A64" i="2"/>
  <c r="A65" i="2"/>
  <c r="A67" i="2"/>
  <c r="A66" i="2"/>
  <c r="A68" i="2"/>
  <c r="A69" i="2"/>
  <c r="A70" i="2"/>
  <c r="A78" i="2"/>
  <c r="A77" i="2"/>
  <c r="A81" i="2"/>
  <c r="A79" i="2"/>
  <c r="A76" i="2"/>
  <c r="A80" i="2"/>
  <c r="A73" i="2"/>
  <c r="A72" i="2"/>
  <c r="A71" i="2"/>
  <c r="A75" i="2"/>
  <c r="A74" i="2"/>
  <c r="A86" i="2"/>
  <c r="A83" i="2"/>
  <c r="J64" i="2"/>
  <c r="J83" i="2"/>
  <c r="J72" i="2"/>
  <c r="J81" i="2"/>
  <c r="J86" i="2"/>
  <c r="J62" i="2"/>
  <c r="J69" i="2"/>
  <c r="J65" i="2"/>
  <c r="J66" i="2"/>
  <c r="J60" i="2"/>
  <c r="J63" i="2"/>
  <c r="J71" i="2"/>
  <c r="J78" i="2"/>
  <c r="J79" i="2"/>
  <c r="J73" i="2"/>
  <c r="J74" i="2"/>
  <c r="J67" i="2"/>
  <c r="J80" i="2"/>
  <c r="J68" i="2"/>
  <c r="J61" i="2"/>
  <c r="J70" i="2"/>
  <c r="J75" i="2"/>
  <c r="J76" i="2"/>
  <c r="J77" i="2"/>
  <c r="G83" i="2" l="1"/>
  <c r="R83" i="2"/>
  <c r="R86" i="2"/>
  <c r="G86" i="2"/>
  <c r="G74" i="2"/>
  <c r="R74" i="2"/>
  <c r="R75" i="2"/>
  <c r="G75" i="2"/>
  <c r="G71" i="2"/>
  <c r="R71" i="2"/>
  <c r="R72" i="2"/>
  <c r="G72" i="2"/>
  <c r="G73" i="2"/>
  <c r="R73" i="2"/>
  <c r="R80" i="2"/>
  <c r="G80" i="2"/>
  <c r="G76" i="2"/>
  <c r="R76" i="2"/>
  <c r="G79" i="2"/>
  <c r="R79" i="2"/>
  <c r="R81" i="2"/>
  <c r="G81" i="2"/>
  <c r="G77" i="2"/>
  <c r="R77" i="2"/>
  <c r="R78" i="2"/>
  <c r="G78" i="2"/>
  <c r="R70" i="2"/>
  <c r="G70" i="2"/>
  <c r="G69" i="2"/>
  <c r="R69" i="2"/>
  <c r="G68" i="2"/>
  <c r="R68" i="2"/>
  <c r="G66" i="2"/>
  <c r="R66" i="2"/>
  <c r="G67" i="2"/>
  <c r="R67" i="2"/>
  <c r="R65" i="2"/>
  <c r="G65" i="2"/>
  <c r="R64" i="2"/>
  <c r="G64" i="2"/>
  <c r="G60" i="2"/>
  <c r="R60" i="2"/>
  <c r="G61" i="2"/>
  <c r="R61" i="2"/>
  <c r="R63" i="2"/>
  <c r="G63" i="2"/>
  <c r="R62" i="2"/>
  <c r="G62" i="2"/>
  <c r="J28" i="5"/>
  <c r="I28" i="5"/>
  <c r="H30" i="4"/>
  <c r="J30" i="4"/>
  <c r="G30" i="4"/>
  <c r="D30" i="4"/>
  <c r="F28" i="5"/>
  <c r="D28" i="5"/>
  <c r="H28" i="5"/>
  <c r="B31" i="4"/>
  <c r="E30" i="4"/>
  <c r="I30" i="4"/>
  <c r="F30" i="4"/>
  <c r="C30" i="4"/>
  <c r="B29" i="5"/>
  <c r="C28" i="5"/>
  <c r="G28" i="5"/>
  <c r="E28" i="5"/>
  <c r="B32" i="4"/>
  <c r="B33" i="4"/>
  <c r="H83" i="2"/>
  <c r="C83" i="2"/>
  <c r="F83" i="2"/>
  <c r="F86" i="2"/>
  <c r="H86" i="2"/>
  <c r="B86" i="2"/>
  <c r="I74" i="2"/>
  <c r="H74" i="2"/>
  <c r="C74" i="2"/>
  <c r="H75" i="2"/>
  <c r="B83" i="2"/>
  <c r="I83" i="2"/>
  <c r="C86" i="2"/>
  <c r="I86" i="2"/>
  <c r="F74" i="2"/>
  <c r="B74" i="2"/>
  <c r="B75" i="2"/>
  <c r="F75" i="2"/>
  <c r="B71" i="2"/>
  <c r="C71" i="2"/>
  <c r="F72" i="2"/>
  <c r="I72" i="2"/>
  <c r="F73" i="2"/>
  <c r="B73" i="2"/>
  <c r="C80" i="2"/>
  <c r="H80" i="2"/>
  <c r="B76" i="2"/>
  <c r="H76" i="2"/>
  <c r="B79" i="2"/>
  <c r="F79" i="2"/>
  <c r="F81" i="2"/>
  <c r="C81" i="2"/>
  <c r="B77" i="2"/>
  <c r="F77" i="2"/>
  <c r="B78" i="2"/>
  <c r="I78" i="2"/>
  <c r="C70" i="2"/>
  <c r="I70" i="2"/>
  <c r="C69" i="2"/>
  <c r="I69" i="2"/>
  <c r="F68" i="2"/>
  <c r="B68" i="2"/>
  <c r="C66" i="2"/>
  <c r="I66" i="2"/>
  <c r="C67" i="2"/>
  <c r="B67" i="2"/>
  <c r="F65" i="2"/>
  <c r="B65" i="2"/>
  <c r="F64" i="2"/>
  <c r="C64" i="2"/>
  <c r="C60" i="2"/>
  <c r="B60" i="2"/>
  <c r="H61" i="2"/>
  <c r="I63" i="2"/>
  <c r="C63" i="2"/>
  <c r="H63" i="2"/>
  <c r="H62" i="2"/>
  <c r="C62" i="2"/>
  <c r="I75" i="2"/>
  <c r="C75" i="2"/>
  <c r="F71" i="2"/>
  <c r="I71" i="2"/>
  <c r="H71" i="2"/>
  <c r="H72" i="2"/>
  <c r="C72" i="2"/>
  <c r="B72" i="2"/>
  <c r="C73" i="2"/>
  <c r="I73" i="2"/>
  <c r="H73" i="2"/>
  <c r="I80" i="2"/>
  <c r="B80" i="2"/>
  <c r="F80" i="2"/>
  <c r="I76" i="2"/>
  <c r="F76" i="2"/>
  <c r="C76" i="2"/>
  <c r="C79" i="2"/>
  <c r="I79" i="2"/>
  <c r="H79" i="2"/>
  <c r="I81" i="2"/>
  <c r="B81" i="2"/>
  <c r="H81" i="2"/>
  <c r="C77" i="2"/>
  <c r="I77" i="2"/>
  <c r="H77" i="2"/>
  <c r="F78" i="2"/>
  <c r="C78" i="2"/>
  <c r="H78" i="2"/>
  <c r="F70" i="2"/>
  <c r="B70" i="2"/>
  <c r="H70" i="2"/>
  <c r="H69" i="2"/>
  <c r="F69" i="2"/>
  <c r="B69" i="2"/>
  <c r="H68" i="2"/>
  <c r="I68" i="2"/>
  <c r="C68" i="2"/>
  <c r="H66" i="2"/>
  <c r="F66" i="2"/>
  <c r="B66" i="2"/>
  <c r="I67" i="2"/>
  <c r="F67" i="2"/>
  <c r="H67" i="2"/>
  <c r="I65" i="2"/>
  <c r="H65" i="2"/>
  <c r="C65" i="2"/>
  <c r="B64" i="2"/>
  <c r="H64" i="2"/>
  <c r="I64" i="2"/>
  <c r="F60" i="2"/>
  <c r="H60" i="2"/>
  <c r="I60" i="2"/>
  <c r="I61" i="2"/>
  <c r="B61" i="2"/>
  <c r="F61" i="2"/>
  <c r="C61" i="2"/>
  <c r="F63" i="2"/>
  <c r="B63" i="2"/>
  <c r="I62" i="2"/>
  <c r="F62" i="2"/>
  <c r="B62" i="2"/>
  <c r="E62" i="2" l="1"/>
  <c r="K62" i="2"/>
  <c r="L62" i="2"/>
  <c r="K63" i="2"/>
  <c r="E63" i="2"/>
  <c r="L63" i="2"/>
  <c r="E61" i="2"/>
  <c r="L61" i="2"/>
  <c r="K61" i="2"/>
  <c r="E64" i="2"/>
  <c r="K64" i="2"/>
  <c r="L64" i="2"/>
  <c r="E66" i="2"/>
  <c r="K66" i="2"/>
  <c r="L66" i="2"/>
  <c r="E69" i="2"/>
  <c r="K69" i="2"/>
  <c r="L69" i="2"/>
  <c r="E70" i="2"/>
  <c r="L70" i="2"/>
  <c r="K70" i="2"/>
  <c r="E81" i="2"/>
  <c r="K81" i="2"/>
  <c r="L81" i="2"/>
  <c r="E80" i="2"/>
  <c r="K80" i="2"/>
  <c r="L80" i="2"/>
  <c r="E72" i="2"/>
  <c r="K72" i="2"/>
  <c r="L72" i="2"/>
  <c r="E60" i="2"/>
  <c r="L60" i="2"/>
  <c r="K60" i="2"/>
  <c r="E65" i="2"/>
  <c r="K65" i="2"/>
  <c r="L65" i="2"/>
  <c r="E67" i="2"/>
  <c r="K67" i="2"/>
  <c r="L67" i="2"/>
  <c r="E68" i="2"/>
  <c r="K68" i="2"/>
  <c r="L68" i="2"/>
  <c r="E78" i="2"/>
  <c r="L78" i="2"/>
  <c r="K78" i="2"/>
  <c r="E77" i="2"/>
  <c r="L77" i="2"/>
  <c r="K77" i="2"/>
  <c r="E79" i="2"/>
  <c r="K79" i="2"/>
  <c r="L79" i="2"/>
  <c r="E76" i="2"/>
  <c r="L76" i="2"/>
  <c r="K76" i="2"/>
  <c r="E73" i="2"/>
  <c r="K73" i="2"/>
  <c r="L73" i="2"/>
  <c r="E71" i="2"/>
  <c r="L71" i="2"/>
  <c r="K71" i="2"/>
  <c r="E75" i="2"/>
  <c r="K75" i="2"/>
  <c r="L75" i="2"/>
  <c r="E74" i="2"/>
  <c r="K74" i="2"/>
  <c r="L74" i="2"/>
  <c r="E83" i="2"/>
  <c r="L83" i="2"/>
  <c r="K83" i="2"/>
  <c r="E86" i="2"/>
  <c r="K86" i="2"/>
  <c r="L86" i="2"/>
  <c r="K28" i="5"/>
  <c r="L28" i="5" s="1"/>
  <c r="M28" i="5" s="1"/>
  <c r="J29" i="5"/>
  <c r="I29" i="5"/>
  <c r="K30" i="4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N63" i="2"/>
  <c r="N62" i="2"/>
  <c r="N61" i="2"/>
  <c r="N64" i="2"/>
  <c r="N66" i="2"/>
  <c r="N69" i="2"/>
  <c r="N70" i="2"/>
  <c r="N81" i="2"/>
  <c r="N80" i="2"/>
  <c r="N72" i="2"/>
  <c r="N60" i="2"/>
  <c r="N65" i="2"/>
  <c r="N67" i="2"/>
  <c r="N68" i="2"/>
  <c r="N78" i="2"/>
  <c r="N77" i="2"/>
  <c r="N79" i="2"/>
  <c r="N76" i="2"/>
  <c r="N73" i="2"/>
  <c r="N71" i="2"/>
  <c r="N75" i="2"/>
  <c r="N74" i="2"/>
  <c r="N83" i="2"/>
  <c r="N86" i="2"/>
  <c r="M61" i="2" l="1"/>
  <c r="O61" i="2" s="1"/>
  <c r="P61" i="2" s="1"/>
  <c r="Q61" i="2" s="1"/>
  <c r="M63" i="2"/>
  <c r="O63" i="2" s="1"/>
  <c r="P63" i="2" s="1"/>
  <c r="Q63" i="2" s="1"/>
  <c r="M62" i="2"/>
  <c r="M83" i="2"/>
  <c r="O83" i="2" s="1"/>
  <c r="P83" i="2" s="1"/>
  <c r="Q83" i="2" s="1"/>
  <c r="M71" i="2"/>
  <c r="O71" i="2" s="1"/>
  <c r="P71" i="2" s="1"/>
  <c r="Q71" i="2" s="1"/>
  <c r="M76" i="2"/>
  <c r="O76" i="2" s="1"/>
  <c r="P76" i="2" s="1"/>
  <c r="Q76" i="2" s="1"/>
  <c r="M77" i="2"/>
  <c r="O77" i="2" s="1"/>
  <c r="P77" i="2" s="1"/>
  <c r="Q77" i="2" s="1"/>
  <c r="M78" i="2"/>
  <c r="O78" i="2" s="1"/>
  <c r="P78" i="2" s="1"/>
  <c r="Q78" i="2" s="1"/>
  <c r="M60" i="2"/>
  <c r="O60" i="2" s="1"/>
  <c r="P60" i="2" s="1"/>
  <c r="Q60" i="2" s="1"/>
  <c r="M70" i="2"/>
  <c r="O70" i="2" s="1"/>
  <c r="P70" i="2" s="1"/>
  <c r="Q70" i="2" s="1"/>
  <c r="O62" i="2"/>
  <c r="P62" i="2" s="1"/>
  <c r="Q62" i="2" s="1"/>
  <c r="M86" i="2"/>
  <c r="O86" i="2" s="1"/>
  <c r="P86" i="2" s="1"/>
  <c r="Q86" i="2" s="1"/>
  <c r="M74" i="2"/>
  <c r="O74" i="2" s="1"/>
  <c r="P74" i="2" s="1"/>
  <c r="Q74" i="2" s="1"/>
  <c r="M75" i="2"/>
  <c r="O75" i="2" s="1"/>
  <c r="P75" i="2" s="1"/>
  <c r="Q75" i="2" s="1"/>
  <c r="M73" i="2"/>
  <c r="O73" i="2" s="1"/>
  <c r="P73" i="2" s="1"/>
  <c r="Q73" i="2" s="1"/>
  <c r="M79" i="2"/>
  <c r="O79" i="2" s="1"/>
  <c r="P79" i="2" s="1"/>
  <c r="Q79" i="2" s="1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72" i="2"/>
  <c r="O72" i="2" s="1"/>
  <c r="P72" i="2" s="1"/>
  <c r="Q72" i="2" s="1"/>
  <c r="M80" i="2"/>
  <c r="O80" i="2" s="1"/>
  <c r="P80" i="2" s="1"/>
  <c r="Q80" i="2" s="1"/>
  <c r="M81" i="2"/>
  <c r="O81" i="2" s="1"/>
  <c r="P81" i="2" s="1"/>
  <c r="Q81" i="2" s="1"/>
  <c r="M69" i="2"/>
  <c r="O69" i="2" s="1"/>
  <c r="P69" i="2" s="1"/>
  <c r="Q69" i="2" s="1"/>
  <c r="M66" i="2"/>
  <c r="O66" i="2" s="1"/>
  <c r="P66" i="2" s="1"/>
  <c r="Q66" i="2" s="1"/>
  <c r="M64" i="2"/>
  <c r="O64" i="2" s="1"/>
  <c r="P64" i="2" s="1"/>
  <c r="Q64" i="2" s="1"/>
  <c r="K29" i="5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G506" i="1" l="1"/>
  <c r="AJ506" i="1" l="1"/>
  <c r="D506" i="1"/>
  <c r="AH506" i="1" l="1"/>
  <c r="AF506" i="1"/>
  <c r="D517" i="1" l="1"/>
  <c r="AG517" i="1"/>
  <c r="AJ517" i="1" l="1"/>
  <c r="AF517" i="1"/>
  <c r="AH517" i="1"/>
  <c r="AP406" i="1" l="1"/>
  <c r="AP436" i="1"/>
  <c r="AP418" i="1"/>
  <c r="AP402" i="1"/>
  <c r="AP463" i="1"/>
  <c r="AP470" i="1"/>
  <c r="AP445" i="1"/>
  <c r="AP434" i="1"/>
  <c r="AP424" i="1"/>
  <c r="AP465" i="1"/>
  <c r="AP390" i="1"/>
  <c r="AP338" i="1"/>
  <c r="AP286" i="1"/>
  <c r="AP100" i="1"/>
  <c r="AP400" i="1"/>
  <c r="AP388" i="1"/>
  <c r="AP84" i="1"/>
  <c r="AP382" i="1"/>
  <c r="AC517" i="1" l="1"/>
  <c r="AC84" i="1"/>
  <c r="AB84" i="1"/>
  <c r="AB517" i="1"/>
  <c r="AC100" i="1"/>
  <c r="AB400" i="1"/>
  <c r="AC400" i="1"/>
  <c r="AB100" i="1"/>
  <c r="AC506" i="1"/>
  <c r="AB506" i="1"/>
  <c r="AB434" i="1"/>
  <c r="AC434" i="1"/>
  <c r="B522" i="1" l="1"/>
  <c r="C522" i="1" s="1"/>
  <c r="A3" i="1"/>
  <c r="C810" i="1" l="1"/>
  <c r="C802" i="1"/>
  <c r="C794" i="1"/>
  <c r="C787" i="1"/>
  <c r="C784" i="1"/>
  <c r="C782" i="1"/>
  <c r="C780" i="1"/>
  <c r="C769" i="1"/>
  <c r="C762" i="1"/>
  <c r="C760" i="1"/>
  <c r="C749" i="1"/>
  <c r="C742" i="1"/>
  <c r="C740" i="1"/>
  <c r="C738" i="1"/>
  <c r="C723" i="1"/>
  <c r="C719" i="1"/>
  <c r="C713" i="1"/>
  <c r="C709" i="1"/>
  <c r="C705" i="1"/>
  <c r="C703" i="1"/>
  <c r="C695" i="1"/>
  <c r="C691" i="1"/>
  <c r="C688" i="1"/>
  <c r="C683" i="1"/>
  <c r="C680" i="1"/>
  <c r="C678" i="1"/>
  <c r="C675" i="1"/>
  <c r="C673" i="1"/>
  <c r="C671" i="1"/>
  <c r="C664" i="1"/>
  <c r="C658" i="1"/>
  <c r="C650" i="1"/>
  <c r="C644" i="1"/>
  <c r="C633" i="1"/>
  <c r="C621" i="1"/>
  <c r="C614" i="1"/>
  <c r="C608" i="1"/>
  <c r="C599" i="1"/>
  <c r="C597" i="1"/>
  <c r="C591" i="1"/>
  <c r="C589" i="1"/>
  <c r="C585" i="1"/>
  <c r="C583" i="1"/>
  <c r="C574" i="1"/>
  <c r="C572" i="1"/>
  <c r="C577" i="1"/>
  <c r="C569" i="1"/>
  <c r="C566" i="1"/>
  <c r="C558" i="1"/>
  <c r="C552" i="1"/>
  <c r="C531" i="1"/>
  <c r="C528" i="1"/>
  <c r="B516" i="1"/>
  <c r="C516" i="1" s="1"/>
  <c r="C512" i="1"/>
  <c r="B506" i="1"/>
  <c r="C506" i="1" s="1"/>
  <c r="B133" i="1"/>
  <c r="C133" i="1" s="1"/>
  <c r="B499" i="1"/>
  <c r="C499" i="1" s="1"/>
  <c r="B463" i="1"/>
  <c r="C463" i="1" s="1"/>
  <c r="B400" i="1"/>
  <c r="C400" i="1" s="1"/>
  <c r="B324" i="1"/>
  <c r="C324" i="1" s="1"/>
  <c r="B178" i="1"/>
  <c r="C178" i="1" s="1"/>
  <c r="B166" i="1"/>
  <c r="C166" i="1" s="1"/>
  <c r="B326" i="1"/>
  <c r="C326" i="1" s="1"/>
  <c r="B135" i="1"/>
  <c r="C135" i="1" s="1"/>
  <c r="B213" i="1"/>
  <c r="C213" i="1" s="1"/>
  <c r="B492" i="1"/>
  <c r="C492" i="1" s="1"/>
  <c r="C491" i="1"/>
  <c r="B481" i="1"/>
  <c r="C481" i="1" s="1"/>
  <c r="C477" i="1"/>
  <c r="B473" i="1"/>
  <c r="C473" i="1" s="1"/>
  <c r="C469" i="1"/>
  <c r="B456" i="1"/>
  <c r="C456" i="1" s="1"/>
  <c r="B451" i="1"/>
  <c r="C451" i="1" s="1"/>
  <c r="B444" i="1"/>
  <c r="C444" i="1" s="1"/>
  <c r="B441" i="1"/>
  <c r="C441" i="1" s="1"/>
  <c r="B439" i="1"/>
  <c r="C439" i="1" s="1"/>
  <c r="C434" i="1"/>
  <c r="B431" i="1"/>
  <c r="C431" i="1" s="1"/>
  <c r="C427" i="1"/>
  <c r="B422" i="1"/>
  <c r="C422" i="1" s="1"/>
  <c r="C415" i="1"/>
  <c r="C412" i="1"/>
  <c r="B409" i="1"/>
  <c r="C409" i="1" s="1"/>
  <c r="B406" i="1"/>
  <c r="C406" i="1" s="1"/>
  <c r="B404" i="1"/>
  <c r="C404" i="1" s="1"/>
  <c r="B402" i="1"/>
  <c r="C402" i="1" s="1"/>
  <c r="C399" i="1"/>
  <c r="C397" i="1"/>
  <c r="C394" i="1"/>
  <c r="B384" i="1"/>
  <c r="C384" i="1" s="1"/>
  <c r="C316" i="1"/>
  <c r="C335" i="1"/>
  <c r="C285" i="1"/>
  <c r="C345" i="1"/>
  <c r="C245" i="1"/>
  <c r="C153" i="1"/>
  <c r="C261" i="1"/>
  <c r="C352" i="1"/>
  <c r="B349" i="1"/>
  <c r="C349" i="1" s="1"/>
  <c r="C340" i="1"/>
  <c r="B337" i="1"/>
  <c r="C337" i="1" s="1"/>
  <c r="C333" i="1"/>
  <c r="B309" i="1"/>
  <c r="C309" i="1" s="1"/>
  <c r="C306" i="1"/>
  <c r="C294" i="1"/>
  <c r="C292" i="1"/>
  <c r="C283" i="1"/>
  <c r="B281" i="1"/>
  <c r="C281" i="1" s="1"/>
  <c r="B276" i="1"/>
  <c r="C276" i="1" s="1"/>
  <c r="C269" i="1"/>
  <c r="B259" i="1"/>
  <c r="C259" i="1" s="1"/>
  <c r="C257" i="1"/>
  <c r="B235" i="1"/>
  <c r="C235" i="1" s="1"/>
  <c r="C234" i="1"/>
  <c r="C225" i="1"/>
  <c r="C214" i="1"/>
  <c r="B208" i="1"/>
  <c r="C208" i="1" s="1"/>
  <c r="B197" i="1"/>
  <c r="C197" i="1" s="1"/>
  <c r="B195" i="1"/>
  <c r="C195" i="1" s="1"/>
  <c r="B183" i="1"/>
  <c r="C183" i="1" s="1"/>
  <c r="C174" i="1"/>
  <c r="B151" i="1"/>
  <c r="C151" i="1" s="1"/>
  <c r="C142" i="1"/>
  <c r="B140" i="1"/>
  <c r="C140" i="1" s="1"/>
  <c r="C138" i="1"/>
  <c r="B137" i="1"/>
  <c r="C137" i="1" s="1"/>
  <c r="C118" i="1"/>
  <c r="C105" i="1"/>
  <c r="D3" i="1"/>
  <c r="C100" i="1" l="1"/>
  <c r="B91" i="1"/>
  <c r="C91" i="1" s="1"/>
  <c r="B84" i="1"/>
  <c r="C84" i="1" s="1"/>
  <c r="B76" i="1"/>
  <c r="C76" i="1" s="1"/>
  <c r="C75" i="1"/>
  <c r="C79" i="1"/>
  <c r="B67" i="1"/>
  <c r="C67" i="1" s="1"/>
  <c r="B71" i="1"/>
  <c r="C71" i="1" s="1"/>
  <c r="AH3" i="1"/>
  <c r="B8" i="1"/>
  <c r="C8" i="1" s="1"/>
  <c r="B55" i="1"/>
  <c r="C55" i="1" s="1"/>
  <c r="AG3" i="1"/>
  <c r="AF3" i="1"/>
  <c r="AJ3" i="1" l="1"/>
  <c r="B219" i="1" l="1"/>
  <c r="C219" i="1" s="1"/>
  <c r="D382" i="1" l="1"/>
  <c r="AG382" i="1"/>
  <c r="AB382" i="1" l="1"/>
  <c r="AF382" i="1"/>
  <c r="AC382" i="1"/>
  <c r="AH382" i="1" l="1"/>
  <c r="A4" i="1"/>
  <c r="AI4" i="1" l="1"/>
  <c r="D4" i="1"/>
  <c r="AG4" i="1"/>
  <c r="AJ4" i="1" l="1"/>
  <c r="AO525" i="1"/>
  <c r="AO521" i="1"/>
  <c r="AO498" i="1"/>
  <c r="AO494" i="1"/>
  <c r="AO474" i="1"/>
  <c r="AO437" i="1"/>
  <c r="AO425" i="1"/>
  <c r="AO398" i="1"/>
  <c r="AO351" i="1"/>
  <c r="AO321" i="1"/>
  <c r="AO305" i="1"/>
  <c r="AO291" i="1"/>
  <c r="AO287" i="1"/>
  <c r="AO249" i="1"/>
  <c r="AO239" i="1"/>
  <c r="AO201" i="1"/>
  <c r="AO187" i="1"/>
  <c r="AO155" i="1"/>
  <c r="AO104" i="1"/>
  <c r="AO82" i="1"/>
  <c r="AO54" i="1"/>
  <c r="AO514" i="1"/>
  <c r="AO505" i="1"/>
  <c r="AO489" i="1"/>
  <c r="AO466" i="1"/>
  <c r="AO454" i="1"/>
  <c r="AO411" i="1"/>
  <c r="AO403" i="1"/>
  <c r="AO393" i="1"/>
  <c r="AO389" i="1"/>
  <c r="AO369" i="1"/>
  <c r="AO334" i="1"/>
  <c r="AO314" i="1"/>
  <c r="AO298" i="1"/>
  <c r="AO282" i="1"/>
  <c r="AO270" i="1"/>
  <c r="AO260" i="1"/>
  <c r="AO230" i="1"/>
  <c r="AO212" i="1"/>
  <c r="AO177" i="1"/>
  <c r="AO148" i="1"/>
  <c r="AO144" i="1"/>
  <c r="AO123" i="1"/>
  <c r="AO89" i="1"/>
  <c r="AO31" i="1"/>
  <c r="AO59" i="1"/>
  <c r="AO3" i="1"/>
  <c r="AO523" i="1"/>
  <c r="AO500" i="1"/>
  <c r="AO496" i="1"/>
  <c r="AO482" i="1"/>
  <c r="AO468" i="1"/>
  <c r="AO435" i="1"/>
  <c r="AO419" i="1"/>
  <c r="AO372" i="1"/>
  <c r="AO339" i="1"/>
  <c r="AO311" i="1"/>
  <c r="AO293" i="1"/>
  <c r="AO289" i="1"/>
  <c r="AO251" i="1"/>
  <c r="AO241" i="1"/>
  <c r="AO223" i="1"/>
  <c r="AO189" i="1"/>
  <c r="AO172" i="1"/>
  <c r="AO112" i="1"/>
  <c r="AO94" i="1"/>
  <c r="AO65" i="1"/>
  <c r="AO36" i="1"/>
  <c r="AO6" i="1"/>
  <c r="AO518" i="1"/>
  <c r="AO507" i="1"/>
  <c r="AO503" i="1"/>
  <c r="AO471" i="1"/>
  <c r="AO464" i="1"/>
  <c r="AO446" i="1"/>
  <c r="AO407" i="1"/>
  <c r="AO401" i="1"/>
  <c r="AO391" i="1"/>
  <c r="AO383" i="1"/>
  <c r="AO366" i="1"/>
  <c r="AO300" i="1"/>
  <c r="AO296" i="1"/>
  <c r="AO280" i="1"/>
  <c r="AO262" i="1"/>
  <c r="AO256" i="1"/>
  <c r="AO218" i="1"/>
  <c r="AO184" i="1"/>
  <c r="AO150" i="1"/>
  <c r="AO146" i="1"/>
  <c r="AO134" i="1"/>
  <c r="AO101" i="1"/>
  <c r="AO85" i="1"/>
  <c r="AO33" i="1"/>
  <c r="AO57" i="1"/>
  <c r="AF4" i="1"/>
  <c r="AH4" i="1"/>
  <c r="AP523" i="1" l="1"/>
  <c r="AP503" i="1"/>
  <c r="AP515" i="1"/>
  <c r="AP508" i="1"/>
  <c r="AP501" i="1"/>
  <c r="AP514" i="1"/>
  <c r="AP430" i="1"/>
  <c r="AP485" i="1"/>
  <c r="AP474" i="1"/>
  <c r="AP419" i="1"/>
  <c r="AP449" i="1"/>
  <c r="AP407" i="1"/>
  <c r="AP442" i="1"/>
  <c r="AP414" i="1"/>
  <c r="AP458" i="1"/>
  <c r="AP155" i="1"/>
  <c r="AP106" i="1"/>
  <c r="AP384" i="1"/>
  <c r="AP129" i="1"/>
  <c r="AP135" i="1"/>
  <c r="AP374" i="1"/>
  <c r="AP57" i="1"/>
  <c r="AP79" i="1"/>
  <c r="AP118" i="1"/>
  <c r="AP440" i="1"/>
  <c r="AP461" i="1"/>
  <c r="AP437" i="1"/>
  <c r="AP413" i="1"/>
  <c r="AP370" i="1"/>
  <c r="AP125" i="1"/>
  <c r="AP511" i="1"/>
  <c r="AP518" i="1"/>
  <c r="AP516" i="1"/>
  <c r="AP500" i="1"/>
  <c r="AP512" i="1"/>
  <c r="AP491" i="1"/>
  <c r="AP479" i="1"/>
  <c r="AP403" i="1"/>
  <c r="AP482" i="1"/>
  <c r="AP439" i="1"/>
  <c r="AP447" i="1"/>
  <c r="AP422" i="1"/>
  <c r="AP429" i="1"/>
  <c r="AP448" i="1"/>
  <c r="AP393" i="1"/>
  <c r="AP68" i="1"/>
  <c r="AP375" i="1"/>
  <c r="AP318" i="1"/>
  <c r="AP193" i="1"/>
  <c r="AP398" i="1"/>
  <c r="AP140" i="1"/>
  <c r="AP29" i="1"/>
  <c r="AP376" i="1"/>
  <c r="AP36" i="1"/>
  <c r="AP408" i="1"/>
  <c r="AP492" i="1"/>
  <c r="AP472" i="1"/>
  <c r="AP455" i="1"/>
  <c r="AP452" i="1"/>
  <c r="AP460" i="1"/>
  <c r="AP412" i="1"/>
  <c r="AP425" i="1"/>
  <c r="AP456" i="1"/>
  <c r="AP98" i="1"/>
  <c r="AP151" i="1"/>
  <c r="AP91" i="1"/>
  <c r="AP380" i="1"/>
  <c r="AP387" i="1"/>
  <c r="AP263" i="1"/>
  <c r="AP372" i="1"/>
  <c r="AP389" i="1"/>
  <c r="AP180" i="1"/>
  <c r="AP377" i="1"/>
  <c r="AP378" i="1"/>
  <c r="AP121" i="1"/>
  <c r="AP446" i="1"/>
  <c r="AP477" i="1"/>
  <c r="AP451" i="1"/>
  <c r="AP469" i="1"/>
  <c r="AP471" i="1"/>
  <c r="AP266" i="1"/>
  <c r="AP82" i="1"/>
  <c r="AP399" i="1"/>
  <c r="AP251" i="1"/>
  <c r="AP76" i="1"/>
  <c r="AP395" i="1"/>
  <c r="AP385" i="1"/>
  <c r="AP394" i="1"/>
  <c r="AP86" i="1"/>
  <c r="AP379" i="1"/>
  <c r="AP494" i="1"/>
  <c r="AP521" i="1"/>
  <c r="AP519" i="1"/>
  <c r="AP498" i="1"/>
  <c r="AP476" i="1"/>
  <c r="AP478" i="1"/>
  <c r="AP484" i="1"/>
  <c r="AP421" i="1"/>
  <c r="AP417" i="1"/>
  <c r="AP457" i="1"/>
  <c r="AP415" i="1"/>
  <c r="AP431" i="1"/>
  <c r="AP428" i="1"/>
  <c r="AP454" i="1"/>
  <c r="AP278" i="1"/>
  <c r="AP246" i="1"/>
  <c r="AP391" i="1"/>
  <c r="AP314" i="1"/>
  <c r="AP346" i="1"/>
  <c r="AP89" i="1"/>
  <c r="AP381" i="1"/>
  <c r="AP356" i="1"/>
  <c r="AP489" i="1"/>
  <c r="AP462" i="1"/>
  <c r="AP416" i="1"/>
  <c r="AP444" i="1"/>
  <c r="AP31" i="1"/>
  <c r="AP108" i="1"/>
  <c r="AP242" i="1"/>
  <c r="AP184" i="1"/>
  <c r="AP509" i="1"/>
  <c r="AP505" i="1"/>
  <c r="AP496" i="1"/>
  <c r="AP507" i="1"/>
  <c r="AP510" i="1"/>
  <c r="AP450" i="1"/>
  <c r="AP475" i="1"/>
  <c r="AP486" i="1"/>
  <c r="AP483" i="1"/>
  <c r="AP426" i="1"/>
  <c r="AP435" i="1"/>
  <c r="AP427" i="1"/>
  <c r="AP433" i="1"/>
  <c r="AP404" i="1"/>
  <c r="AP466" i="1"/>
  <c r="AP289" i="1"/>
  <c r="AP396" i="1"/>
  <c r="AP401" i="1"/>
  <c r="AP386" i="1"/>
  <c r="AP201" i="1"/>
  <c r="AP158" i="1"/>
  <c r="AP438" i="1"/>
  <c r="AP480" i="1"/>
  <c r="AP405" i="1"/>
  <c r="AP487" i="1"/>
  <c r="AP468" i="1"/>
  <c r="AP459" i="1"/>
  <c r="AP441" i="1"/>
  <c r="AP420" i="1"/>
  <c r="AP409" i="1"/>
  <c r="AP432" i="1"/>
  <c r="AP208" i="1"/>
  <c r="AP232" i="1"/>
  <c r="AP73" i="1"/>
  <c r="AP220" i="1"/>
  <c r="AP312" i="1"/>
  <c r="AP316" i="1"/>
  <c r="AP189" i="1"/>
  <c r="AP199" i="1"/>
  <c r="AP296" i="1"/>
  <c r="AP490" i="1"/>
  <c r="AP464" i="1"/>
  <c r="AP443" i="1"/>
  <c r="AP423" i="1"/>
  <c r="AP411" i="1"/>
  <c r="AP116" i="1"/>
  <c r="AP326" i="1"/>
  <c r="AP383" i="1"/>
  <c r="AP163" i="1"/>
  <c r="AP114" i="1"/>
  <c r="AP358" i="1"/>
  <c r="AP303" i="1"/>
  <c r="D29" i="1" l="1"/>
  <c r="D98" i="1"/>
  <c r="D108" i="1"/>
  <c r="AG108" i="1"/>
  <c r="D118" i="1"/>
  <c r="D135" i="1"/>
  <c r="D151" i="1"/>
  <c r="D242" i="1"/>
  <c r="D266" i="1"/>
  <c r="D278" i="1"/>
  <c r="D312" i="1"/>
  <c r="D358" i="1"/>
  <c r="D377" i="1"/>
  <c r="AG407" i="1"/>
  <c r="D407" i="1"/>
  <c r="AF407" i="1" s="1"/>
  <c r="D416" i="1"/>
  <c r="D419" i="1"/>
  <c r="AF419" i="1" s="1"/>
  <c r="AG419" i="1"/>
  <c r="D429" i="1"/>
  <c r="AG446" i="1"/>
  <c r="D446" i="1"/>
  <c r="AF446" i="1" s="1"/>
  <c r="D459" i="1"/>
  <c r="D461" i="1"/>
  <c r="D464" i="1"/>
  <c r="AF464" i="1" s="1"/>
  <c r="AG464" i="1"/>
  <c r="AG466" i="1"/>
  <c r="D466" i="1"/>
  <c r="AF466" i="1" s="1"/>
  <c r="D477" i="1"/>
  <c r="D483" i="1"/>
  <c r="D485" i="1"/>
  <c r="D487" i="1"/>
  <c r="D489" i="1"/>
  <c r="AF489" i="1" s="1"/>
  <c r="AG489" i="1"/>
  <c r="D492" i="1"/>
  <c r="D494" i="1"/>
  <c r="AF494" i="1" s="1"/>
  <c r="AG494" i="1"/>
  <c r="AG496" i="1"/>
  <c r="D496" i="1"/>
  <c r="AF496" i="1" s="1"/>
  <c r="D501" i="1"/>
  <c r="AG503" i="1"/>
  <c r="D503" i="1"/>
  <c r="AF503" i="1" s="1"/>
  <c r="D509" i="1"/>
  <c r="A5" i="1"/>
  <c r="D5" i="1"/>
  <c r="A6" i="1"/>
  <c r="AJ503" i="1" l="1"/>
  <c r="AJ496" i="1"/>
  <c r="AJ494" i="1"/>
  <c r="AJ489" i="1"/>
  <c r="AJ466" i="1"/>
  <c r="AJ464" i="1"/>
  <c r="AJ446" i="1"/>
  <c r="AJ419" i="1"/>
  <c r="AJ407" i="1"/>
  <c r="AH503" i="1"/>
  <c r="AH496" i="1"/>
  <c r="AH494" i="1"/>
  <c r="AH489" i="1"/>
  <c r="AH466" i="1"/>
  <c r="AH464" i="1"/>
  <c r="AH446" i="1"/>
  <c r="AH419" i="1"/>
  <c r="AH407" i="1"/>
  <c r="AG12" i="1"/>
  <c r="D12" i="1"/>
  <c r="AG25" i="1"/>
  <c r="D25" i="1"/>
  <c r="AH5" i="1"/>
  <c r="AG6" i="1"/>
  <c r="A7" i="1"/>
  <c r="A8" i="1"/>
  <c r="AG5" i="1"/>
  <c r="D6" i="1"/>
  <c r="AF5" i="1"/>
  <c r="AG7" i="1"/>
  <c r="AJ5" i="1" l="1"/>
  <c r="AJ6" i="1" s="1"/>
  <c r="AJ7" i="1" s="1"/>
  <c r="AI8" i="1"/>
  <c r="AJ12" i="1"/>
  <c r="AJ13" i="1" s="1"/>
  <c r="AH535" i="1"/>
  <c r="AH12" i="1"/>
  <c r="AF25" i="1"/>
  <c r="AF12" i="1"/>
  <c r="D31" i="1"/>
  <c r="AG31" i="1"/>
  <c r="AG36" i="1"/>
  <c r="D36" i="1"/>
  <c r="D38" i="1"/>
  <c r="AG38" i="1"/>
  <c r="AG40" i="1"/>
  <c r="D40" i="1"/>
  <c r="D43" i="1"/>
  <c r="AC43" i="1" s="1"/>
  <c r="AG43" i="1"/>
  <c r="AG57" i="1"/>
  <c r="D57" i="1"/>
  <c r="D68" i="1"/>
  <c r="D73" i="1"/>
  <c r="D76" i="1"/>
  <c r="D79" i="1"/>
  <c r="D82" i="1"/>
  <c r="AG82" i="1"/>
  <c r="D86" i="1"/>
  <c r="D89" i="1"/>
  <c r="AG89" i="1"/>
  <c r="D91" i="1"/>
  <c r="AG93" i="1"/>
  <c r="D93" i="1"/>
  <c r="D106" i="1"/>
  <c r="D111" i="1"/>
  <c r="AG111" i="1"/>
  <c r="D114" i="1"/>
  <c r="D116" i="1"/>
  <c r="D121" i="1"/>
  <c r="D125" i="1"/>
  <c r="D129" i="1"/>
  <c r="D140" i="1"/>
  <c r="D155" i="1"/>
  <c r="AG155" i="1"/>
  <c r="D158" i="1"/>
  <c r="D163" i="1"/>
  <c r="D171" i="1"/>
  <c r="AG171" i="1"/>
  <c r="D180" i="1"/>
  <c r="D184" i="1"/>
  <c r="AG184" i="1"/>
  <c r="AG186" i="1"/>
  <c r="D186" i="1"/>
  <c r="AG189" i="1"/>
  <c r="D189" i="1"/>
  <c r="D193" i="1"/>
  <c r="D199" i="1"/>
  <c r="AG201" i="1"/>
  <c r="D201" i="1"/>
  <c r="D208" i="1"/>
  <c r="D220" i="1"/>
  <c r="D232" i="1"/>
  <c r="D246" i="1"/>
  <c r="D251" i="1"/>
  <c r="AG251" i="1"/>
  <c r="D263" i="1"/>
  <c r="AG286" i="1"/>
  <c r="D286" i="1"/>
  <c r="D289" i="1"/>
  <c r="AG289" i="1"/>
  <c r="AG292" i="1"/>
  <c r="D292" i="1"/>
  <c r="D296" i="1"/>
  <c r="D303" i="1"/>
  <c r="D314" i="1"/>
  <c r="AG314" i="1"/>
  <c r="D316" i="1"/>
  <c r="D318" i="1"/>
  <c r="D326" i="1"/>
  <c r="D338" i="1"/>
  <c r="AG338" i="1"/>
  <c r="D346" i="1"/>
  <c r="D356" i="1"/>
  <c r="D370" i="1"/>
  <c r="AG372" i="1"/>
  <c r="D372" i="1"/>
  <c r="D374" i="1"/>
  <c r="D387" i="1"/>
  <c r="D393" i="1"/>
  <c r="AG393" i="1"/>
  <c r="D394" i="1"/>
  <c r="D395" i="1"/>
  <c r="D396" i="1"/>
  <c r="D398" i="1"/>
  <c r="AG398" i="1"/>
  <c r="D399" i="1"/>
  <c r="AG401" i="1"/>
  <c r="D401" i="1"/>
  <c r="D402" i="1"/>
  <c r="AG402" i="1"/>
  <c r="AG403" i="1"/>
  <c r="D403" i="1"/>
  <c r="D404" i="1"/>
  <c r="D405" i="1"/>
  <c r="AG406" i="1"/>
  <c r="D406" i="1"/>
  <c r="D408" i="1"/>
  <c r="D409" i="1"/>
  <c r="D410" i="1"/>
  <c r="AG410" i="1"/>
  <c r="AG411" i="1"/>
  <c r="D411" i="1"/>
  <c r="D412" i="1"/>
  <c r="D413" i="1"/>
  <c r="D414" i="1"/>
  <c r="D415" i="1"/>
  <c r="D417" i="1"/>
  <c r="AG418" i="1"/>
  <c r="D418" i="1"/>
  <c r="D420" i="1"/>
  <c r="D421" i="1"/>
  <c r="D422" i="1"/>
  <c r="D423" i="1"/>
  <c r="D424" i="1"/>
  <c r="AG424" i="1"/>
  <c r="AG425" i="1"/>
  <c r="D425" i="1"/>
  <c r="D426" i="1"/>
  <c r="D427" i="1"/>
  <c r="D428" i="1"/>
  <c r="D430" i="1"/>
  <c r="D431" i="1"/>
  <c r="D432" i="1"/>
  <c r="D433" i="1"/>
  <c r="AG435" i="1"/>
  <c r="D435" i="1"/>
  <c r="AG436" i="1"/>
  <c r="D436" i="1"/>
  <c r="D437" i="1"/>
  <c r="AG437" i="1"/>
  <c r="D438" i="1"/>
  <c r="D439" i="1"/>
  <c r="D440" i="1"/>
  <c r="D441" i="1"/>
  <c r="D442" i="1"/>
  <c r="D443" i="1"/>
  <c r="D444" i="1"/>
  <c r="D445" i="1"/>
  <c r="AG445" i="1"/>
  <c r="D447" i="1"/>
  <c r="D448" i="1"/>
  <c r="D449" i="1"/>
  <c r="D450" i="1"/>
  <c r="D451" i="1"/>
  <c r="D452" i="1"/>
  <c r="D453" i="1"/>
  <c r="AG453" i="1"/>
  <c r="D454" i="1"/>
  <c r="AG454" i="1"/>
  <c r="D455" i="1"/>
  <c r="D456" i="1"/>
  <c r="D457" i="1"/>
  <c r="D458" i="1"/>
  <c r="D460" i="1"/>
  <c r="D462" i="1"/>
  <c r="D463" i="1"/>
  <c r="AG463" i="1"/>
  <c r="AG465" i="1"/>
  <c r="D465" i="1"/>
  <c r="AG467" i="1"/>
  <c r="D467" i="1"/>
  <c r="AG468" i="1"/>
  <c r="D468" i="1"/>
  <c r="D469" i="1"/>
  <c r="AG470" i="1"/>
  <c r="D470" i="1"/>
  <c r="AG471" i="1"/>
  <c r="D471" i="1"/>
  <c r="D472" i="1"/>
  <c r="AG473" i="1"/>
  <c r="D473" i="1"/>
  <c r="AG474" i="1"/>
  <c r="D474" i="1"/>
  <c r="D475" i="1"/>
  <c r="D476" i="1"/>
  <c r="D478" i="1"/>
  <c r="D479" i="1"/>
  <c r="D480" i="1"/>
  <c r="D481" i="1"/>
  <c r="AG481" i="1"/>
  <c r="AG482" i="1"/>
  <c r="D482" i="1"/>
  <c r="D484" i="1"/>
  <c r="D486" i="1"/>
  <c r="D488" i="1"/>
  <c r="AG488" i="1"/>
  <c r="D490" i="1"/>
  <c r="D491" i="1"/>
  <c r="AG493" i="1"/>
  <c r="D493" i="1"/>
  <c r="D495" i="1"/>
  <c r="AG495" i="1"/>
  <c r="D497" i="1"/>
  <c r="AG497" i="1"/>
  <c r="D498" i="1"/>
  <c r="AG498" i="1"/>
  <c r="D499" i="1"/>
  <c r="AG499" i="1"/>
  <c r="D500" i="1"/>
  <c r="AG500" i="1"/>
  <c r="AG502" i="1"/>
  <c r="D502" i="1"/>
  <c r="D504" i="1"/>
  <c r="AG504" i="1"/>
  <c r="AG505" i="1"/>
  <c r="D505" i="1"/>
  <c r="D507" i="1"/>
  <c r="AG507" i="1"/>
  <c r="D508" i="1"/>
  <c r="D510" i="1"/>
  <c r="D511" i="1"/>
  <c r="D512" i="1"/>
  <c r="D513" i="1"/>
  <c r="AG513" i="1"/>
  <c r="AG514" i="1"/>
  <c r="D514" i="1"/>
  <c r="D515" i="1"/>
  <c r="D516" i="1"/>
  <c r="AG518" i="1"/>
  <c r="D518" i="1"/>
  <c r="D519" i="1"/>
  <c r="D520" i="1"/>
  <c r="AG520" i="1"/>
  <c r="D521" i="1"/>
  <c r="AG521" i="1"/>
  <c r="D522" i="1"/>
  <c r="AG522" i="1"/>
  <c r="D523" i="1"/>
  <c r="AG525" i="1"/>
  <c r="D525" i="1"/>
  <c r="AG526" i="1"/>
  <c r="D526" i="1"/>
  <c r="D527" i="1"/>
  <c r="AG527" i="1"/>
  <c r="AG528" i="1"/>
  <c r="D528" i="1"/>
  <c r="AG530" i="1"/>
  <c r="D530" i="1"/>
  <c r="AG531" i="1"/>
  <c r="D531" i="1"/>
  <c r="AG533" i="1"/>
  <c r="D533" i="1"/>
  <c r="D534" i="1"/>
  <c r="AG534" i="1"/>
  <c r="D536" i="1"/>
  <c r="AG536" i="1"/>
  <c r="D538" i="1"/>
  <c r="AG538" i="1"/>
  <c r="D540" i="1"/>
  <c r="AG540" i="1"/>
  <c r="D541" i="1"/>
  <c r="AG541" i="1"/>
  <c r="AG542" i="1"/>
  <c r="D542" i="1"/>
  <c r="D543" i="1"/>
  <c r="AG543" i="1"/>
  <c r="D544" i="1"/>
  <c r="AG544" i="1"/>
  <c r="AG545" i="1"/>
  <c r="D545" i="1"/>
  <c r="D547" i="1"/>
  <c r="AG547" i="1"/>
  <c r="AG548" i="1"/>
  <c r="D548" i="1"/>
  <c r="D549" i="1"/>
  <c r="AG549" i="1"/>
  <c r="D551" i="1"/>
  <c r="AG551" i="1"/>
  <c r="D553" i="1"/>
  <c r="AG553" i="1"/>
  <c r="AG555" i="1"/>
  <c r="D555" i="1"/>
  <c r="D7" i="1"/>
  <c r="AG8" i="1"/>
  <c r="D8" i="1"/>
  <c r="AF6" i="1"/>
  <c r="AH6" i="1"/>
  <c r="A9" i="1"/>
  <c r="A10" i="1"/>
  <c r="D9" i="1"/>
  <c r="AG10" i="1"/>
  <c r="AG9" i="1"/>
  <c r="AJ8" i="1" l="1"/>
  <c r="AJ9" i="1" s="1"/>
  <c r="AJ10" i="1" s="1"/>
  <c r="AI9" i="1"/>
  <c r="AI10" i="1"/>
  <c r="AJ555" i="1"/>
  <c r="AJ553" i="1"/>
  <c r="AJ551" i="1"/>
  <c r="AJ547" i="1"/>
  <c r="AJ540" i="1"/>
  <c r="AJ538" i="1"/>
  <c r="AJ536" i="1"/>
  <c r="AJ533" i="1"/>
  <c r="AJ530" i="1"/>
  <c r="AJ525" i="1"/>
  <c r="AJ518" i="1"/>
  <c r="AJ507" i="1"/>
  <c r="AJ504" i="1"/>
  <c r="AJ502" i="1"/>
  <c r="AJ497" i="1"/>
  <c r="AJ495" i="1"/>
  <c r="AJ493" i="1"/>
  <c r="AJ488" i="1"/>
  <c r="AJ467" i="1"/>
  <c r="AJ465" i="1"/>
  <c r="AJ401" i="1"/>
  <c r="AJ398" i="1"/>
  <c r="AJ279" i="1"/>
  <c r="AJ184" i="1"/>
  <c r="AJ101" i="1"/>
  <c r="AJ89" i="1"/>
  <c r="AJ85" i="1"/>
  <c r="AJ38" i="1"/>
  <c r="AJ36" i="1"/>
  <c r="AJ30" i="1"/>
  <c r="AH555" i="1"/>
  <c r="AH553" i="1"/>
  <c r="AH551" i="1"/>
  <c r="AJ548" i="1"/>
  <c r="AJ549" i="1" s="1"/>
  <c r="AH547" i="1"/>
  <c r="AJ541" i="1"/>
  <c r="AJ542" i="1" s="1"/>
  <c r="AJ543" i="1" s="1"/>
  <c r="AJ544" i="1" s="1"/>
  <c r="AJ545" i="1" s="1"/>
  <c r="AH540" i="1"/>
  <c r="AH538" i="1"/>
  <c r="AH536" i="1"/>
  <c r="AH537" i="1" s="1"/>
  <c r="AJ534" i="1"/>
  <c r="AH533" i="1"/>
  <c r="AJ531" i="1"/>
  <c r="AH530" i="1"/>
  <c r="AJ526" i="1"/>
  <c r="AJ527" i="1" s="1"/>
  <c r="AJ528" i="1" s="1"/>
  <c r="AH525" i="1"/>
  <c r="AH518" i="1"/>
  <c r="AH507" i="1"/>
  <c r="AJ505" i="1"/>
  <c r="AH504" i="1"/>
  <c r="AH502" i="1"/>
  <c r="AJ498" i="1"/>
  <c r="AJ499" i="1" s="1"/>
  <c r="AJ500" i="1" s="1"/>
  <c r="AH497" i="1"/>
  <c r="AH495" i="1"/>
  <c r="AH493" i="1"/>
  <c r="AH488" i="1"/>
  <c r="AJ468" i="1"/>
  <c r="AH467" i="1"/>
  <c r="AH465" i="1"/>
  <c r="AH435" i="1"/>
  <c r="AJ402" i="1"/>
  <c r="AJ403" i="1" s="1"/>
  <c r="AH401" i="1"/>
  <c r="AH398" i="1"/>
  <c r="AJ393" i="1"/>
  <c r="AJ297" i="1"/>
  <c r="AH189" i="1"/>
  <c r="AJ189" i="1"/>
  <c r="AH184" i="1"/>
  <c r="AJ172" i="1"/>
  <c r="AJ155" i="1"/>
  <c r="AH89" i="1"/>
  <c r="AJ82" i="1"/>
  <c r="AJ39" i="1"/>
  <c r="AH38" i="1"/>
  <c r="AH36" i="1"/>
  <c r="AJ31" i="1"/>
  <c r="AI6" i="1"/>
  <c r="B6" i="1" s="1"/>
  <c r="AF551" i="1"/>
  <c r="AF548" i="1"/>
  <c r="AF545" i="1"/>
  <c r="AF543" i="1"/>
  <c r="AF542" i="1"/>
  <c r="AH541" i="1"/>
  <c r="AF536" i="1"/>
  <c r="AH534" i="1"/>
  <c r="AF533" i="1"/>
  <c r="AH531" i="1"/>
  <c r="AF528" i="1"/>
  <c r="AH526" i="1"/>
  <c r="AF521" i="1"/>
  <c r="AF518" i="1"/>
  <c r="AF514" i="1"/>
  <c r="AF513" i="1"/>
  <c r="AF507" i="1"/>
  <c r="AF505" i="1"/>
  <c r="AF502" i="1"/>
  <c r="AF499" i="1"/>
  <c r="AH498" i="1"/>
  <c r="AF481" i="1"/>
  <c r="AF470" i="1"/>
  <c r="AH468" i="1"/>
  <c r="AF465" i="1"/>
  <c r="AF463" i="1"/>
  <c r="AF453" i="1"/>
  <c r="AF437" i="1"/>
  <c r="AH436" i="1"/>
  <c r="AF435" i="1"/>
  <c r="AF425" i="1"/>
  <c r="AF418" i="1"/>
  <c r="AF410" i="1"/>
  <c r="AF406" i="1"/>
  <c r="AF403" i="1"/>
  <c r="AF402" i="1"/>
  <c r="AF393" i="1"/>
  <c r="AF372" i="1"/>
  <c r="AH314" i="1"/>
  <c r="AF289" i="1"/>
  <c r="AF286" i="1"/>
  <c r="AF186" i="1"/>
  <c r="AH155" i="1"/>
  <c r="AF93" i="1"/>
  <c r="AF82" i="1"/>
  <c r="AF57" i="1"/>
  <c r="AF43" i="1"/>
  <c r="AF40" i="1"/>
  <c r="AF38" i="1"/>
  <c r="AF31" i="1"/>
  <c r="AF555" i="1"/>
  <c r="AF553" i="1"/>
  <c r="AF549" i="1"/>
  <c r="AH548" i="1"/>
  <c r="AF547" i="1"/>
  <c r="AF544" i="1"/>
  <c r="AH542" i="1"/>
  <c r="AF541" i="1"/>
  <c r="AF540" i="1"/>
  <c r="AF538" i="1"/>
  <c r="AF534" i="1"/>
  <c r="AF531" i="1"/>
  <c r="AF530" i="1"/>
  <c r="AH527" i="1"/>
  <c r="AH528" i="1" s="1"/>
  <c r="AF527" i="1"/>
  <c r="AF526" i="1"/>
  <c r="AF525" i="1"/>
  <c r="AF522" i="1"/>
  <c r="AF520" i="1"/>
  <c r="AH505" i="1"/>
  <c r="AF504" i="1"/>
  <c r="AF500" i="1"/>
  <c r="AF498" i="1"/>
  <c r="AF497" i="1"/>
  <c r="AF495" i="1"/>
  <c r="AF493" i="1"/>
  <c r="AF488" i="1"/>
  <c r="AF482" i="1"/>
  <c r="AF474" i="1"/>
  <c r="AF473" i="1"/>
  <c r="AF471" i="1"/>
  <c r="AF468" i="1"/>
  <c r="AF467" i="1"/>
  <c r="AF454" i="1"/>
  <c r="AF445" i="1"/>
  <c r="AH437" i="1"/>
  <c r="AF436" i="1"/>
  <c r="AF424" i="1"/>
  <c r="AF411" i="1"/>
  <c r="AH402" i="1"/>
  <c r="AH403" i="1" s="1"/>
  <c r="AF401" i="1"/>
  <c r="AF398" i="1"/>
  <c r="AH393" i="1"/>
  <c r="AF338" i="1"/>
  <c r="AF314" i="1"/>
  <c r="AF292" i="1"/>
  <c r="AF251" i="1"/>
  <c r="AF201" i="1"/>
  <c r="AF189" i="1"/>
  <c r="AF184" i="1"/>
  <c r="AF171" i="1"/>
  <c r="AF155" i="1"/>
  <c r="AF111" i="1"/>
  <c r="AF89" i="1"/>
  <c r="AH82" i="1"/>
  <c r="AF36" i="1"/>
  <c r="AH31" i="1"/>
  <c r="AF523" i="1"/>
  <c r="AG557" i="1"/>
  <c r="D557" i="1"/>
  <c r="A11" i="1"/>
  <c r="AF7" i="1"/>
  <c r="AF9" i="1"/>
  <c r="A12" i="1"/>
  <c r="AG11" i="1"/>
  <c r="D11" i="1"/>
  <c r="D10" i="1"/>
  <c r="AH7" i="1"/>
  <c r="AF8" i="1"/>
  <c r="AJ11" i="1" l="1"/>
  <c r="AI12" i="1"/>
  <c r="AJ557" i="1"/>
  <c r="AH557" i="1"/>
  <c r="AF557" i="1"/>
  <c r="AH549" i="1"/>
  <c r="AH543" i="1"/>
  <c r="AH40" i="1"/>
  <c r="AH499" i="1"/>
  <c r="AH500" i="1" s="1"/>
  <c r="D558" i="1"/>
  <c r="AG558" i="1"/>
  <c r="A13" i="1"/>
  <c r="AF10" i="1"/>
  <c r="AF11" i="1"/>
  <c r="A14" i="1"/>
  <c r="AH8" i="1"/>
  <c r="AI14" i="1" l="1"/>
  <c r="AJ558" i="1"/>
  <c r="AF558" i="1"/>
  <c r="AH251" i="1"/>
  <c r="AH544" i="1"/>
  <c r="AH545" i="1" s="1"/>
  <c r="AH558" i="1"/>
  <c r="D559" i="1"/>
  <c r="AG559" i="1"/>
  <c r="AG14" i="1"/>
  <c r="A15" i="1"/>
  <c r="D13" i="1"/>
  <c r="AG15" i="1"/>
  <c r="D14" i="1"/>
  <c r="AH9" i="1"/>
  <c r="AG13" i="1"/>
  <c r="A16" i="1"/>
  <c r="D15" i="1"/>
  <c r="AG16" i="1"/>
  <c r="A17" i="1"/>
  <c r="D16" i="1"/>
  <c r="AG17" i="1"/>
  <c r="AJ14" i="1" l="1"/>
  <c r="AJ15" i="1" s="1"/>
  <c r="AJ16" i="1" s="1"/>
  <c r="AJ17" i="1" s="1"/>
  <c r="AH13" i="1"/>
  <c r="AI17" i="1"/>
  <c r="AI16" i="1"/>
  <c r="AJ559" i="1"/>
  <c r="AG461" i="1"/>
  <c r="AG459" i="1"/>
  <c r="AF559" i="1"/>
  <c r="AG457" i="1"/>
  <c r="AG458" i="1"/>
  <c r="AG456" i="1"/>
  <c r="AG106" i="1"/>
  <c r="AF296" i="1"/>
  <c r="AG455" i="1"/>
  <c r="AG462" i="1"/>
  <c r="AG460" i="1"/>
  <c r="AH559" i="1"/>
  <c r="D560" i="1"/>
  <c r="AG560" i="1"/>
  <c r="D17" i="1"/>
  <c r="AF15" i="1"/>
  <c r="AH10" i="1"/>
  <c r="AH11" i="1"/>
  <c r="AF14" i="1"/>
  <c r="AH14" i="1"/>
  <c r="A18" i="1"/>
  <c r="D18" i="1" s="1"/>
  <c r="AG18" i="1"/>
  <c r="A19" i="1"/>
  <c r="AF16" i="1"/>
  <c r="AF13" i="1"/>
  <c r="AJ18" i="1" l="1"/>
  <c r="AI19" i="1"/>
  <c r="AI18" i="1"/>
  <c r="AJ560" i="1"/>
  <c r="AG492" i="1"/>
  <c r="AG266" i="1"/>
  <c r="AG377" i="1"/>
  <c r="AG490" i="1"/>
  <c r="AG491" i="1"/>
  <c r="AG199" i="1"/>
  <c r="AG439" i="1"/>
  <c r="AG263" i="1"/>
  <c r="AF560" i="1"/>
  <c r="AH560" i="1"/>
  <c r="AG469" i="1"/>
  <c r="AG193" i="1"/>
  <c r="AG374" i="1"/>
  <c r="AH43" i="1"/>
  <c r="AF17" i="1"/>
  <c r="AH15" i="1"/>
  <c r="AF18" i="1"/>
  <c r="A20" i="1"/>
  <c r="D19" i="1"/>
  <c r="AG19" i="1"/>
  <c r="AJ19" i="1" l="1"/>
  <c r="AI20" i="1"/>
  <c r="AG429" i="1"/>
  <c r="AG29" i="1"/>
  <c r="AG135" i="1"/>
  <c r="AG485" i="1"/>
  <c r="AG483" i="1"/>
  <c r="AG477" i="1"/>
  <c r="AG246" i="1"/>
  <c r="AG430" i="1"/>
  <c r="AG428" i="1"/>
  <c r="AG427" i="1"/>
  <c r="AG479" i="1"/>
  <c r="AG326" i="1"/>
  <c r="AG125" i="1"/>
  <c r="AG316" i="1"/>
  <c r="AG415" i="1"/>
  <c r="AG486" i="1"/>
  <c r="AG476" i="1"/>
  <c r="AG180" i="1"/>
  <c r="AG452" i="1"/>
  <c r="AG370" i="1"/>
  <c r="AG431" i="1"/>
  <c r="AG484" i="1"/>
  <c r="AG421" i="1"/>
  <c r="AG451" i="1"/>
  <c r="AG442" i="1"/>
  <c r="D562" i="1"/>
  <c r="AG562" i="1"/>
  <c r="D20" i="1"/>
  <c r="A21" i="1"/>
  <c r="AH16" i="1"/>
  <c r="AH17" i="1" s="1"/>
  <c r="AG20" i="1"/>
  <c r="AF19" i="1"/>
  <c r="D21" i="1"/>
  <c r="A22" i="1"/>
  <c r="AG21" i="1"/>
  <c r="AI21" i="1" l="1"/>
  <c r="AJ20" i="1"/>
  <c r="AJ21" i="1" s="1"/>
  <c r="AI22" i="1"/>
  <c r="AJ562" i="1"/>
  <c r="AH562" i="1"/>
  <c r="AG358" i="1"/>
  <c r="AG118" i="1"/>
  <c r="B27" i="5"/>
  <c r="AG356" i="1"/>
  <c r="AG449" i="1"/>
  <c r="AG208" i="1"/>
  <c r="AF562" i="1"/>
  <c r="AG440" i="1"/>
  <c r="AG450" i="1"/>
  <c r="AG116" i="1"/>
  <c r="AG22" i="1"/>
  <c r="AF21" i="1"/>
  <c r="AF20" i="1"/>
  <c r="A23" i="1"/>
  <c r="D22" i="1"/>
  <c r="A24" i="1"/>
  <c r="D24" i="1" s="1"/>
  <c r="A25" i="1"/>
  <c r="AH18" i="1"/>
  <c r="AJ22" i="1" l="1"/>
  <c r="AJ25" i="1" s="1"/>
  <c r="AI23" i="1"/>
  <c r="AI25" i="1"/>
  <c r="AH24" i="1"/>
  <c r="AH25" i="1"/>
  <c r="I27" i="5"/>
  <c r="J27" i="5"/>
  <c r="F27" i="5"/>
  <c r="C27" i="5"/>
  <c r="E27" i="5"/>
  <c r="G27" i="5"/>
  <c r="D27" i="5"/>
  <c r="H27" i="5"/>
  <c r="AG564" i="1"/>
  <c r="D564" i="1"/>
  <c r="A26" i="1"/>
  <c r="AH19" i="1"/>
  <c r="AF22" i="1"/>
  <c r="A27" i="1"/>
  <c r="AG24" i="1"/>
  <c r="D26" i="1"/>
  <c r="AF24" i="1"/>
  <c r="AH26" i="1" l="1"/>
  <c r="AI27" i="1"/>
  <c r="AJ564" i="1"/>
  <c r="AH564" i="1"/>
  <c r="K27" i="5"/>
  <c r="L27" i="5" s="1"/>
  <c r="M27" i="5" s="1"/>
  <c r="AF564" i="1"/>
  <c r="AG565" i="1"/>
  <c r="D565" i="1"/>
  <c r="AH20" i="1"/>
  <c r="AF26" i="1"/>
  <c r="AG26" i="1"/>
  <c r="AH21" i="1"/>
  <c r="A28" i="1"/>
  <c r="A29" i="1" s="1"/>
  <c r="D28" i="1"/>
  <c r="AJ26" i="1" l="1"/>
  <c r="AJ565" i="1"/>
  <c r="AF565" i="1"/>
  <c r="AH565" i="1"/>
  <c r="AG566" i="1"/>
  <c r="D566" i="1"/>
  <c r="AH22" i="1"/>
  <c r="A30" i="1"/>
  <c r="D30" i="1"/>
  <c r="A31" i="1"/>
  <c r="AG30" i="1"/>
  <c r="A32" i="1"/>
  <c r="D32" i="1"/>
  <c r="AG32" i="1"/>
  <c r="AJ32" i="1" l="1"/>
  <c r="AH32" i="1"/>
  <c r="AH30" i="1"/>
  <c r="AI31" i="1"/>
  <c r="B31" i="1" s="1"/>
  <c r="AJ566" i="1"/>
  <c r="AF566" i="1"/>
  <c r="AH566" i="1"/>
  <c r="D567" i="1"/>
  <c r="AG567" i="1"/>
  <c r="A33" i="1"/>
  <c r="AF30" i="1"/>
  <c r="AF32" i="1"/>
  <c r="AJ567" i="1" l="1"/>
  <c r="AH567" i="1"/>
  <c r="AF567" i="1"/>
  <c r="D568" i="1"/>
  <c r="AG568" i="1"/>
  <c r="D33" i="1"/>
  <c r="A34" i="1"/>
  <c r="AG33" i="1"/>
  <c r="AJ568" i="1" l="1"/>
  <c r="AF568" i="1"/>
  <c r="AH568" i="1"/>
  <c r="D569" i="1"/>
  <c r="AG569" i="1"/>
  <c r="AG34" i="1"/>
  <c r="AH33" i="1"/>
  <c r="AF33" i="1"/>
  <c r="A35" i="1"/>
  <c r="D35" i="1"/>
  <c r="D34" i="1"/>
  <c r="AG35" i="1"/>
  <c r="A36" i="1"/>
  <c r="AJ569" i="1" l="1"/>
  <c r="AF569" i="1"/>
  <c r="AH569" i="1"/>
  <c r="D570" i="1"/>
  <c r="AG570" i="1"/>
  <c r="A37" i="1"/>
  <c r="AF35" i="1"/>
  <c r="AJ37" i="1" l="1"/>
  <c r="AJ570" i="1"/>
  <c r="AF570" i="1"/>
  <c r="AH570" i="1"/>
  <c r="AG571" i="1"/>
  <c r="D571" i="1"/>
  <c r="D37" i="1"/>
  <c r="A38" i="1"/>
  <c r="AG37" i="1"/>
  <c r="A39" i="1"/>
  <c r="AG39" i="1" s="1"/>
  <c r="AH37" i="1" l="1"/>
  <c r="AJ571" i="1"/>
  <c r="AF571" i="1"/>
  <c r="AH571" i="1"/>
  <c r="AG572" i="1"/>
  <c r="D572" i="1"/>
  <c r="D39" i="1"/>
  <c r="A40" i="1"/>
  <c r="A41" i="1"/>
  <c r="AF37" i="1"/>
  <c r="AH39" i="1" l="1"/>
  <c r="AI40" i="1"/>
  <c r="AJ572" i="1"/>
  <c r="AF572" i="1"/>
  <c r="AH572" i="1"/>
  <c r="AG573" i="1"/>
  <c r="D573" i="1"/>
  <c r="D41" i="1"/>
  <c r="A42" i="1"/>
  <c r="A43" i="1"/>
  <c r="AG42" i="1"/>
  <c r="AG41" i="1"/>
  <c r="AF39" i="1"/>
  <c r="D42" i="1"/>
  <c r="AH41" i="1" l="1"/>
  <c r="AI43" i="1"/>
  <c r="AI42" i="1"/>
  <c r="AJ573" i="1"/>
  <c r="AH573" i="1"/>
  <c r="AF573" i="1"/>
  <c r="A44" i="1"/>
  <c r="AF41" i="1"/>
  <c r="AH42" i="1"/>
  <c r="AF42" i="1"/>
  <c r="D44" i="1"/>
  <c r="AG44" i="1"/>
  <c r="A45" i="1"/>
  <c r="AG45" i="1"/>
  <c r="D45" i="1"/>
  <c r="A46" i="1"/>
  <c r="D46" i="1"/>
  <c r="AG46" i="1"/>
  <c r="A47" i="1"/>
  <c r="D47" i="1"/>
  <c r="A48" i="1"/>
  <c r="AI45" i="1" l="1"/>
  <c r="AH44" i="1"/>
  <c r="AI47" i="1"/>
  <c r="AI48" i="1"/>
  <c r="AB466" i="1"/>
  <c r="AC466" i="1"/>
  <c r="AG575" i="1"/>
  <c r="D575" i="1"/>
  <c r="AF45" i="1"/>
  <c r="AF44" i="1"/>
  <c r="AF47" i="1"/>
  <c r="A49" i="1"/>
  <c r="D49" i="1"/>
  <c r="AG47" i="1"/>
  <c r="AH45" i="1"/>
  <c r="D48" i="1"/>
  <c r="AF46" i="1"/>
  <c r="AG48" i="1"/>
  <c r="AH46" i="1"/>
  <c r="A50" i="1"/>
  <c r="AG49" i="1"/>
  <c r="AI49" i="1" l="1"/>
  <c r="AI50" i="1"/>
  <c r="AJ575" i="1"/>
  <c r="AH575" i="1"/>
  <c r="AF575" i="1"/>
  <c r="D576" i="1"/>
  <c r="AG576" i="1"/>
  <c r="AH47" i="1"/>
  <c r="AH48" i="1"/>
  <c r="AF48" i="1"/>
  <c r="D50" i="1"/>
  <c r="AF49" i="1"/>
  <c r="A51" i="1"/>
  <c r="AG50" i="1"/>
  <c r="AI51" i="1" l="1"/>
  <c r="AJ576" i="1"/>
  <c r="AF576" i="1"/>
  <c r="AH576" i="1"/>
  <c r="AG577" i="1"/>
  <c r="D577" i="1"/>
  <c r="AF50" i="1"/>
  <c r="A52" i="1"/>
  <c r="AH49" i="1"/>
  <c r="AJ577" i="1" l="1"/>
  <c r="AF577" i="1"/>
  <c r="AH577" i="1"/>
  <c r="D578" i="1"/>
  <c r="AG578" i="1"/>
  <c r="AH50" i="1"/>
  <c r="D52" i="1"/>
  <c r="A53" i="1"/>
  <c r="D53" i="1"/>
  <c r="A54" i="1"/>
  <c r="AG54" i="1" s="1"/>
  <c r="AI54" i="1" l="1"/>
  <c r="B54" i="1" s="1"/>
  <c r="AJ578" i="1"/>
  <c r="AC464" i="1"/>
  <c r="AF578" i="1"/>
  <c r="AH578" i="1"/>
  <c r="D579" i="1"/>
  <c r="AG579" i="1"/>
  <c r="AG53" i="1"/>
  <c r="AF53" i="1"/>
  <c r="A55" i="1"/>
  <c r="D54" i="1"/>
  <c r="AJ579" i="1" l="1"/>
  <c r="AF579" i="1"/>
  <c r="AH579" i="1"/>
  <c r="AF54" i="1"/>
  <c r="D55" i="1"/>
  <c r="A56" i="1"/>
  <c r="D56" i="1"/>
  <c r="AG56" i="1"/>
  <c r="A57" i="1"/>
  <c r="AI57" i="1" l="1"/>
  <c r="B57" i="1" s="1"/>
  <c r="AG581" i="1"/>
  <c r="D581" i="1"/>
  <c r="A58" i="1"/>
  <c r="D58" i="1"/>
  <c r="AG58" i="1"/>
  <c r="AF56" i="1"/>
  <c r="A59" i="1"/>
  <c r="AI59" i="1" l="1"/>
  <c r="B59" i="1" s="1"/>
  <c r="AJ581" i="1"/>
  <c r="AH581" i="1"/>
  <c r="AF581" i="1"/>
  <c r="D582" i="1"/>
  <c r="AG582" i="1"/>
  <c r="AG59" i="1"/>
  <c r="AF58" i="1"/>
  <c r="D59" i="1"/>
  <c r="A60" i="1"/>
  <c r="D60" i="1"/>
  <c r="AJ582" i="1" l="1"/>
  <c r="AH582" i="1"/>
  <c r="AF582" i="1"/>
  <c r="D583" i="1"/>
  <c r="AG583" i="1"/>
  <c r="A61" i="1"/>
  <c r="A62" i="1"/>
  <c r="AF59" i="1"/>
  <c r="D61" i="1"/>
  <c r="AJ583" i="1" l="1"/>
  <c r="AG509" i="1"/>
  <c r="AH583" i="1"/>
  <c r="AG508" i="1"/>
  <c r="AF583" i="1"/>
  <c r="AG584" i="1"/>
  <c r="D584" i="1"/>
  <c r="A63" i="1"/>
  <c r="D62" i="1"/>
  <c r="AJ584" i="1" l="1"/>
  <c r="AJ508" i="1"/>
  <c r="AJ509" i="1" s="1"/>
  <c r="AF584" i="1"/>
  <c r="AH584" i="1"/>
  <c r="D585" i="1"/>
  <c r="AG585" i="1"/>
  <c r="D63" i="1"/>
  <c r="A64" i="1"/>
  <c r="A65" i="1"/>
  <c r="AG65" i="1"/>
  <c r="D65" i="1"/>
  <c r="D64" i="1"/>
  <c r="AG64" i="1"/>
  <c r="AI65" i="1" l="1"/>
  <c r="B65" i="1" s="1"/>
  <c r="AJ585" i="1"/>
  <c r="AF585" i="1"/>
  <c r="AH585" i="1"/>
  <c r="AG586" i="1"/>
  <c r="D586" i="1"/>
  <c r="A66" i="1"/>
  <c r="AF64" i="1"/>
  <c r="AF65" i="1"/>
  <c r="A67" i="1"/>
  <c r="D66" i="1"/>
  <c r="AJ586" i="1" l="1"/>
  <c r="AF586" i="1"/>
  <c r="AH586" i="1"/>
  <c r="AG587" i="1"/>
  <c r="D587" i="1"/>
  <c r="A68" i="1"/>
  <c r="D67" i="1"/>
  <c r="AJ587" i="1" l="1"/>
  <c r="AG98" i="1"/>
  <c r="AF587" i="1"/>
  <c r="AH587" i="1"/>
  <c r="D588" i="1"/>
  <c r="AG588" i="1"/>
  <c r="A69" i="1"/>
  <c r="A70" i="1"/>
  <c r="D69" i="1"/>
  <c r="AJ588" i="1" l="1"/>
  <c r="AF588" i="1"/>
  <c r="AH588" i="1"/>
  <c r="D589" i="1"/>
  <c r="AG589" i="1"/>
  <c r="A71" i="1"/>
  <c r="D70" i="1"/>
  <c r="AJ589" i="1" l="1"/>
  <c r="AH266" i="1"/>
  <c r="AC266" i="1"/>
  <c r="AB266" i="1"/>
  <c r="AF266" i="1"/>
  <c r="AH278" i="1"/>
  <c r="AB278" i="1"/>
  <c r="AC278" i="1"/>
  <c r="AF278" i="1"/>
  <c r="AB312" i="1"/>
  <c r="AF312" i="1"/>
  <c r="AC312" i="1"/>
  <c r="AH358" i="1"/>
  <c r="AB358" i="1"/>
  <c r="AC358" i="1"/>
  <c r="AF358" i="1"/>
  <c r="AH374" i="1"/>
  <c r="AH377" i="1"/>
  <c r="AB377" i="1"/>
  <c r="AC377" i="1"/>
  <c r="AF377" i="1"/>
  <c r="AH387" i="1"/>
  <c r="AH408" i="1"/>
  <c r="AH416" i="1"/>
  <c r="AH417" i="1"/>
  <c r="AF416" i="1"/>
  <c r="AB416" i="1"/>
  <c r="AC416" i="1"/>
  <c r="AH420" i="1"/>
  <c r="AH429" i="1"/>
  <c r="AH430" i="1"/>
  <c r="AC429" i="1"/>
  <c r="AB429" i="1"/>
  <c r="AF429" i="1"/>
  <c r="AH447" i="1"/>
  <c r="AH459" i="1"/>
  <c r="AH460" i="1"/>
  <c r="AH461" i="1"/>
  <c r="AH462" i="1"/>
  <c r="AF459" i="1"/>
  <c r="AC459" i="1"/>
  <c r="AB459" i="1"/>
  <c r="AC461" i="1"/>
  <c r="AF461" i="1"/>
  <c r="AB461" i="1"/>
  <c r="AH477" i="1"/>
  <c r="AH478" i="1"/>
  <c r="AB477" i="1"/>
  <c r="AF477" i="1"/>
  <c r="AC477" i="1"/>
  <c r="AC483" i="1"/>
  <c r="AF483" i="1"/>
  <c r="AH483" i="1"/>
  <c r="AB483" i="1"/>
  <c r="AH484" i="1"/>
  <c r="AH485" i="1"/>
  <c r="AH486" i="1"/>
  <c r="AH487" i="1"/>
  <c r="AF485" i="1"/>
  <c r="AB485" i="1"/>
  <c r="AC485" i="1"/>
  <c r="AC487" i="1"/>
  <c r="AF487" i="1"/>
  <c r="AB487" i="1"/>
  <c r="AH490" i="1"/>
  <c r="AH492" i="1"/>
  <c r="AC492" i="1"/>
  <c r="AB492" i="1"/>
  <c r="AF492" i="1"/>
  <c r="AH501" i="1"/>
  <c r="AC501" i="1"/>
  <c r="AF501" i="1"/>
  <c r="AB501" i="1"/>
  <c r="AH509" i="1"/>
  <c r="AH510" i="1"/>
  <c r="AF509" i="1"/>
  <c r="AC509" i="1"/>
  <c r="AB509" i="1"/>
  <c r="AH589" i="1"/>
  <c r="AF326" i="1"/>
  <c r="AF346" i="1"/>
  <c r="AH370" i="1"/>
  <c r="AF387" i="1"/>
  <c r="AH394" i="1"/>
  <c r="AH399" i="1"/>
  <c r="AF404" i="1"/>
  <c r="AH404" i="1"/>
  <c r="AF405" i="1"/>
  <c r="AF408" i="1"/>
  <c r="AF409" i="1"/>
  <c r="AF413" i="1"/>
  <c r="AF414" i="1"/>
  <c r="AF415" i="1"/>
  <c r="AF417" i="1"/>
  <c r="AH421" i="1"/>
  <c r="AF422" i="1"/>
  <c r="AF423" i="1"/>
  <c r="AF427" i="1"/>
  <c r="AF428" i="1"/>
  <c r="AF433" i="1"/>
  <c r="AF439" i="1"/>
  <c r="AF440" i="1"/>
  <c r="AF441" i="1"/>
  <c r="AF442" i="1"/>
  <c r="AF443" i="1"/>
  <c r="AF444" i="1"/>
  <c r="AF447" i="1"/>
  <c r="AH448" i="1"/>
  <c r="AF449" i="1"/>
  <c r="AF450" i="1"/>
  <c r="AF452" i="1"/>
  <c r="AF457" i="1"/>
  <c r="AF458" i="1"/>
  <c r="AH469" i="1"/>
  <c r="AF472" i="1"/>
  <c r="AH479" i="1"/>
  <c r="AF475" i="1"/>
  <c r="AF478" i="1"/>
  <c r="AF480" i="1"/>
  <c r="AF486" i="1"/>
  <c r="AF490" i="1"/>
  <c r="AH511" i="1"/>
  <c r="AF511" i="1"/>
  <c r="AF512" i="1"/>
  <c r="AF515" i="1"/>
  <c r="AF516" i="1"/>
  <c r="AF519" i="1"/>
  <c r="AF508" i="1"/>
  <c r="AF510" i="1"/>
  <c r="AH512" i="1"/>
  <c r="AH519" i="1"/>
  <c r="AF589" i="1"/>
  <c r="AF263" i="1"/>
  <c r="AF303" i="1"/>
  <c r="AH316" i="1"/>
  <c r="AH318" i="1"/>
  <c r="AF316" i="1"/>
  <c r="AF318" i="1"/>
  <c r="AH346" i="1"/>
  <c r="AF356" i="1"/>
  <c r="AF370" i="1"/>
  <c r="AF374" i="1"/>
  <c r="AF394" i="1"/>
  <c r="AH395" i="1"/>
  <c r="AH396" i="1" s="1"/>
  <c r="AF395" i="1"/>
  <c r="AF396" i="1"/>
  <c r="AF399" i="1"/>
  <c r="AH405" i="1"/>
  <c r="AH409" i="1"/>
  <c r="AF412" i="1"/>
  <c r="AH418" i="1"/>
  <c r="AH422" i="1"/>
  <c r="AF420" i="1"/>
  <c r="AF421" i="1"/>
  <c r="AH423" i="1"/>
  <c r="AF426" i="1"/>
  <c r="AH431" i="1"/>
  <c r="AH432" i="1" s="1"/>
  <c r="AH433" i="1"/>
  <c r="AF430" i="1"/>
  <c r="AF431" i="1"/>
  <c r="AF432" i="1"/>
  <c r="AH438" i="1"/>
  <c r="AH439" i="1" s="1"/>
  <c r="AF438" i="1"/>
  <c r="AH440" i="1"/>
  <c r="AH441" i="1"/>
  <c r="AH442" i="1"/>
  <c r="AH443" i="1" s="1"/>
  <c r="AH444" i="1"/>
  <c r="AF448" i="1"/>
  <c r="AH449" i="1"/>
  <c r="AH450" i="1"/>
  <c r="AH451" i="1" s="1"/>
  <c r="AH452" i="1"/>
  <c r="AF451" i="1"/>
  <c r="AF455" i="1"/>
  <c r="AF456" i="1"/>
  <c r="AH463" i="1"/>
  <c r="AF460" i="1"/>
  <c r="AF462" i="1"/>
  <c r="AF469" i="1"/>
  <c r="AH480" i="1"/>
  <c r="AF476" i="1"/>
  <c r="AF479" i="1"/>
  <c r="AF484" i="1"/>
  <c r="AH491" i="1"/>
  <c r="AF491" i="1"/>
  <c r="AH508" i="1"/>
  <c r="D590" i="1"/>
  <c r="AG590" i="1"/>
  <c r="D71" i="1"/>
  <c r="A72" i="1"/>
  <c r="AJ590" i="1" l="1"/>
  <c r="AJ252" i="1"/>
  <c r="AF590" i="1"/>
  <c r="AH481" i="1"/>
  <c r="AH445" i="1"/>
  <c r="AH410" i="1"/>
  <c r="AH513" i="1"/>
  <c r="AH590" i="1"/>
  <c r="AH453" i="1"/>
  <c r="AH424" i="1"/>
  <c r="AH406" i="1"/>
  <c r="AH520" i="1"/>
  <c r="AH470" i="1"/>
  <c r="AH338" i="1"/>
  <c r="AH286" i="1"/>
  <c r="D591" i="1"/>
  <c r="AG591" i="1"/>
  <c r="D72" i="1"/>
  <c r="A73" i="1"/>
  <c r="AJ591" i="1" l="1"/>
  <c r="AF591" i="1"/>
  <c r="AH471" i="1"/>
  <c r="AH472" i="1" s="1"/>
  <c r="AH425" i="1"/>
  <c r="AH426" i="1" s="1"/>
  <c r="AH427" i="1" s="1"/>
  <c r="AH428" i="1" s="1"/>
  <c r="AH591" i="1"/>
  <c r="AH372" i="1"/>
  <c r="AH482" i="1"/>
  <c r="AH521" i="1"/>
  <c r="AH454" i="1"/>
  <c r="AH455" i="1" s="1"/>
  <c r="AH456" i="1" s="1"/>
  <c r="AH457" i="1" s="1"/>
  <c r="AH458" i="1" s="1"/>
  <c r="AH514" i="1"/>
  <c r="AH515" i="1" s="1"/>
  <c r="AH516" i="1" s="1"/>
  <c r="AH411" i="1"/>
  <c r="AH412" i="1" s="1"/>
  <c r="AH413" i="1" s="1"/>
  <c r="AH414" i="1" s="1"/>
  <c r="AH415" i="1" s="1"/>
  <c r="A74" i="1"/>
  <c r="AH473" i="1" l="1"/>
  <c r="AH522" i="1"/>
  <c r="D593" i="1"/>
  <c r="AG593" i="1"/>
  <c r="D74" i="1"/>
  <c r="A75" i="1"/>
  <c r="AJ593" i="1" l="1"/>
  <c r="AH593" i="1"/>
  <c r="AF593" i="1"/>
  <c r="AH289" i="1"/>
  <c r="AH474" i="1"/>
  <c r="AH475" i="1" s="1"/>
  <c r="AH476" i="1" s="1"/>
  <c r="D594" i="1"/>
  <c r="AG594" i="1"/>
  <c r="A76" i="1"/>
  <c r="D75" i="1"/>
  <c r="AJ594" i="1" l="1"/>
  <c r="AF594" i="1"/>
  <c r="AH594" i="1"/>
  <c r="A77" i="1"/>
  <c r="AG596" i="1" l="1"/>
  <c r="D596" i="1"/>
  <c r="D77" i="1"/>
  <c r="A78" i="1"/>
  <c r="AJ596" i="1" l="1"/>
  <c r="AH596" i="1"/>
  <c r="AG312" i="1"/>
  <c r="AJ313" i="1"/>
  <c r="AJ314" i="1" s="1"/>
  <c r="AJ382" i="1"/>
  <c r="AH292" i="1"/>
  <c r="AG387" i="1"/>
  <c r="AF596" i="1"/>
  <c r="AG394" i="1"/>
  <c r="AG395" i="1"/>
  <c r="AG396" i="1"/>
  <c r="AG408" i="1"/>
  <c r="AG409" i="1"/>
  <c r="D597" i="1"/>
  <c r="AG597" i="1"/>
  <c r="A79" i="1"/>
  <c r="D78" i="1"/>
  <c r="AJ408" i="1" l="1"/>
  <c r="AJ387" i="1"/>
  <c r="AJ597" i="1"/>
  <c r="AI15" i="1"/>
  <c r="B15" i="1" s="1"/>
  <c r="C15" i="1" s="1"/>
  <c r="AI7" i="1"/>
  <c r="B7" i="1" s="1"/>
  <c r="C7" i="1" s="1"/>
  <c r="AI5" i="1"/>
  <c r="B5" i="1" s="1"/>
  <c r="C5" i="1" s="1"/>
  <c r="AI11" i="1"/>
  <c r="B11" i="1" s="1"/>
  <c r="AI38" i="1"/>
  <c r="B38" i="1" s="1"/>
  <c r="C38" i="1" s="1"/>
  <c r="AI46" i="1"/>
  <c r="B46" i="1" s="1"/>
  <c r="C46" i="1" s="1"/>
  <c r="AI36" i="1"/>
  <c r="B36" i="1" s="1"/>
  <c r="AI33" i="1"/>
  <c r="B33" i="1" s="1"/>
  <c r="AJ394" i="1"/>
  <c r="AJ395" i="1" s="1"/>
  <c r="AJ396" i="1" s="1"/>
  <c r="AJ409" i="1"/>
  <c r="AJ410" i="1" s="1"/>
  <c r="AJ411" i="1" s="1"/>
  <c r="AJ421" i="1"/>
  <c r="AC597" i="1"/>
  <c r="AH597" i="1"/>
  <c r="AB12" i="1"/>
  <c r="AB25" i="1"/>
  <c r="AC555" i="1"/>
  <c r="AC493" i="1"/>
  <c r="AB292" i="1"/>
  <c r="AB463" i="1"/>
  <c r="AC286" i="1"/>
  <c r="AC40" i="1"/>
  <c r="AB534" i="1"/>
  <c r="AC551" i="1"/>
  <c r="AC453" i="1"/>
  <c r="AB520" i="1"/>
  <c r="AB538" i="1"/>
  <c r="AB543" i="1"/>
  <c r="AB445" i="1"/>
  <c r="AB481" i="1"/>
  <c r="AC292" i="1"/>
  <c r="AB502" i="1"/>
  <c r="AC534" i="1"/>
  <c r="AC541" i="1"/>
  <c r="AC424" i="1"/>
  <c r="AB467" i="1"/>
  <c r="AC527" i="1"/>
  <c r="AC543" i="1"/>
  <c r="AB410" i="1"/>
  <c r="AB547" i="1"/>
  <c r="AB470" i="1"/>
  <c r="AB43" i="1"/>
  <c r="AB465" i="1"/>
  <c r="AB286" i="1"/>
  <c r="AC526" i="1"/>
  <c r="AB541" i="1"/>
  <c r="AB406" i="1"/>
  <c r="AC171" i="1"/>
  <c r="AB545" i="1"/>
  <c r="AC463" i="1"/>
  <c r="AC499" i="1"/>
  <c r="AC533" i="1"/>
  <c r="AC186" i="1"/>
  <c r="AC549" i="1"/>
  <c r="AC445" i="1"/>
  <c r="AC38" i="1"/>
  <c r="AB531" i="1"/>
  <c r="AB171" i="1"/>
  <c r="AB548" i="1"/>
  <c r="AB436" i="1"/>
  <c r="AB530" i="1"/>
  <c r="AC545" i="1"/>
  <c r="AB424" i="1"/>
  <c r="AB549" i="1"/>
  <c r="AB473" i="1"/>
  <c r="AC513" i="1"/>
  <c r="AB495" i="1"/>
  <c r="AC531" i="1"/>
  <c r="AB111" i="1"/>
  <c r="AC538" i="1"/>
  <c r="AC410" i="1"/>
  <c r="AC542" i="1"/>
  <c r="AC406" i="1"/>
  <c r="AB186" i="1"/>
  <c r="AC557" i="1"/>
  <c r="AB558" i="1"/>
  <c r="AC559" i="1"/>
  <c r="AB560" i="1"/>
  <c r="AC560" i="1"/>
  <c r="AC562" i="1"/>
  <c r="AC523" i="1"/>
  <c r="AC564" i="1"/>
  <c r="AC565" i="1"/>
  <c r="AC566" i="1"/>
  <c r="AB567" i="1"/>
  <c r="AC568" i="1"/>
  <c r="AB569" i="1"/>
  <c r="AB570" i="1"/>
  <c r="AC571" i="1"/>
  <c r="AB572" i="1"/>
  <c r="AB573" i="1"/>
  <c r="AC31" i="1"/>
  <c r="AB576" i="1"/>
  <c r="AB577" i="1"/>
  <c r="AC578" i="1"/>
  <c r="AC579" i="1"/>
  <c r="AC435" i="1"/>
  <c r="AC581" i="1"/>
  <c r="AC582" i="1"/>
  <c r="AB583" i="1"/>
  <c r="AC584" i="1"/>
  <c r="AC585" i="1"/>
  <c r="AC586" i="1"/>
  <c r="AC587" i="1"/>
  <c r="AB588" i="1"/>
  <c r="AB589" i="1"/>
  <c r="AC589" i="1"/>
  <c r="AC594" i="1"/>
  <c r="AB476" i="1"/>
  <c r="AB491" i="1"/>
  <c r="AC484" i="1"/>
  <c r="AB484" i="1"/>
  <c r="AC409" i="1"/>
  <c r="AB441" i="1"/>
  <c r="AC430" i="1"/>
  <c r="AC318" i="1"/>
  <c r="AC431" i="1"/>
  <c r="AB414" i="1"/>
  <c r="AC326" i="1"/>
  <c r="AB439" i="1"/>
  <c r="AC441" i="1"/>
  <c r="AC511" i="1"/>
  <c r="AC356" i="1"/>
  <c r="AC478" i="1"/>
  <c r="AB356" i="1"/>
  <c r="AB387" i="1"/>
  <c r="AB515" i="1"/>
  <c r="AC374" i="1"/>
  <c r="AC591" i="1"/>
  <c r="AC510" i="1"/>
  <c r="AB421" i="1"/>
  <c r="AC408" i="1"/>
  <c r="AC486" i="1"/>
  <c r="AB448" i="1"/>
  <c r="AC432" i="1"/>
  <c r="AC452" i="1"/>
  <c r="AB443" i="1"/>
  <c r="AB462" i="1"/>
  <c r="AC451" i="1"/>
  <c r="AC476" i="1"/>
  <c r="AC490" i="1"/>
  <c r="AC417" i="1"/>
  <c r="AB413" i="1"/>
  <c r="AB433" i="1"/>
  <c r="AC303" i="1"/>
  <c r="AB423" i="1"/>
  <c r="AB596" i="1"/>
  <c r="AB449" i="1"/>
  <c r="AC316" i="1"/>
  <c r="AC438" i="1"/>
  <c r="AC455" i="1"/>
  <c r="AB326" i="1"/>
  <c r="AB444" i="1"/>
  <c r="AB591" i="1"/>
  <c r="AB370" i="1"/>
  <c r="AC491" i="1"/>
  <c r="AB420" i="1"/>
  <c r="AC405" i="1"/>
  <c r="AB399" i="1"/>
  <c r="AB508" i="1"/>
  <c r="AB451" i="1"/>
  <c r="AC449" i="1"/>
  <c r="AC472" i="1"/>
  <c r="AB594" i="1"/>
  <c r="AB422" i="1"/>
  <c r="AB408" i="1"/>
  <c r="AB430" i="1"/>
  <c r="AC428" i="1"/>
  <c r="AB450" i="1"/>
  <c r="AC512" i="1"/>
  <c r="AB472" i="1"/>
  <c r="AG420" i="1"/>
  <c r="AB597" i="1"/>
  <c r="AF597" i="1"/>
  <c r="AC25" i="1"/>
  <c r="AC12" i="1"/>
  <c r="AC536" i="1"/>
  <c r="AB402" i="1"/>
  <c r="AB528" i="1"/>
  <c r="AB338" i="1"/>
  <c r="AB93" i="1"/>
  <c r="AB555" i="1"/>
  <c r="AB493" i="1"/>
  <c r="AB526" i="1"/>
  <c r="AC544" i="1"/>
  <c r="AB453" i="1"/>
  <c r="AB40" i="1"/>
  <c r="AB497" i="1"/>
  <c r="AB504" i="1"/>
  <c r="AC93" i="1"/>
  <c r="AB536" i="1"/>
  <c r="AB542" i="1"/>
  <c r="AC436" i="1"/>
  <c r="AB38" i="1"/>
  <c r="AC470" i="1"/>
  <c r="AC497" i="1"/>
  <c r="AB533" i="1"/>
  <c r="AC548" i="1"/>
  <c r="AC473" i="1"/>
  <c r="AC504" i="1"/>
  <c r="AB527" i="1"/>
  <c r="AC338" i="1"/>
  <c r="AC530" i="1"/>
  <c r="AC547" i="1"/>
  <c r="AC467" i="1"/>
  <c r="AB499" i="1"/>
  <c r="AC522" i="1"/>
  <c r="AC111" i="1"/>
  <c r="AB540" i="1"/>
  <c r="AC402" i="1"/>
  <c r="AB553" i="1"/>
  <c r="AB488" i="1"/>
  <c r="AB522" i="1"/>
  <c r="AC553" i="1"/>
  <c r="AC488" i="1"/>
  <c r="AC520" i="1"/>
  <c r="AB551" i="1"/>
  <c r="AC481" i="1"/>
  <c r="AB513" i="1"/>
  <c r="AC528" i="1"/>
  <c r="AB544" i="1"/>
  <c r="AB418" i="1"/>
  <c r="AC540" i="1"/>
  <c r="AC418" i="1"/>
  <c r="AC465" i="1"/>
  <c r="AC495" i="1"/>
  <c r="AC502" i="1"/>
  <c r="AB557" i="1"/>
  <c r="AC558" i="1"/>
  <c r="AB559" i="1"/>
  <c r="AB562" i="1"/>
  <c r="AB564" i="1"/>
  <c r="AB565" i="1"/>
  <c r="AB566" i="1"/>
  <c r="AC567" i="1"/>
  <c r="AB568" i="1"/>
  <c r="AC569" i="1"/>
  <c r="AC570" i="1"/>
  <c r="AB571" i="1"/>
  <c r="AC572" i="1"/>
  <c r="AC573" i="1"/>
  <c r="AB575" i="1"/>
  <c r="AC36" i="1"/>
  <c r="AC575" i="1"/>
  <c r="AC576" i="1"/>
  <c r="AC577" i="1"/>
  <c r="AB578" i="1"/>
  <c r="AB579" i="1"/>
  <c r="AB581" i="1"/>
  <c r="AB435" i="1"/>
  <c r="AB582" i="1"/>
  <c r="AC583" i="1"/>
  <c r="AB584" i="1"/>
  <c r="AB585" i="1"/>
  <c r="AB586" i="1"/>
  <c r="AB587" i="1"/>
  <c r="AC588" i="1"/>
  <c r="AC596" i="1"/>
  <c r="AB426" i="1"/>
  <c r="AB409" i="1"/>
  <c r="AB431" i="1"/>
  <c r="AC421" i="1"/>
  <c r="AB457" i="1"/>
  <c r="AC456" i="1"/>
  <c r="AC443" i="1"/>
  <c r="AC516" i="1"/>
  <c r="AC593" i="1"/>
  <c r="AB480" i="1"/>
  <c r="AB346" i="1"/>
  <c r="AB590" i="1"/>
  <c r="AB511" i="1"/>
  <c r="AC469" i="1"/>
  <c r="AB316" i="1"/>
  <c r="AB428" i="1"/>
  <c r="AC426" i="1"/>
  <c r="AC448" i="1"/>
  <c r="AC439" i="1"/>
  <c r="AB438" i="1"/>
  <c r="AC422" i="1"/>
  <c r="AC462" i="1"/>
  <c r="AB458" i="1"/>
  <c r="AB512" i="1"/>
  <c r="AB396" i="1"/>
  <c r="AC420" i="1"/>
  <c r="AC404" i="1"/>
  <c r="AB427" i="1"/>
  <c r="AC427" i="1"/>
  <c r="AC475" i="1"/>
  <c r="AC346" i="1"/>
  <c r="AC460" i="1"/>
  <c r="AB516" i="1"/>
  <c r="AB374" i="1"/>
  <c r="AC508" i="1"/>
  <c r="AC394" i="1"/>
  <c r="AB519" i="1"/>
  <c r="AC370" i="1"/>
  <c r="AB405" i="1"/>
  <c r="AC387" i="1"/>
  <c r="AB478" i="1"/>
  <c r="AB432" i="1"/>
  <c r="AB417" i="1"/>
  <c r="AB460" i="1"/>
  <c r="AB479" i="1"/>
  <c r="AB455" i="1"/>
  <c r="AB442" i="1"/>
  <c r="AC458" i="1"/>
  <c r="AB475" i="1"/>
  <c r="AB263" i="1"/>
  <c r="AC396" i="1"/>
  <c r="AC399" i="1"/>
  <c r="AB303" i="1"/>
  <c r="AC423" i="1"/>
  <c r="AB412" i="1"/>
  <c r="AC414" i="1"/>
  <c r="AC263" i="1"/>
  <c r="AB394" i="1"/>
  <c r="AC444" i="1"/>
  <c r="AC433" i="1"/>
  <c r="AB486" i="1"/>
  <c r="AB469" i="1"/>
  <c r="AC480" i="1"/>
  <c r="AC479" i="1"/>
  <c r="AB593" i="1"/>
  <c r="AC519" i="1"/>
  <c r="AC395" i="1"/>
  <c r="AB404" i="1"/>
  <c r="AB490" i="1"/>
  <c r="AC440" i="1"/>
  <c r="AB318" i="1"/>
  <c r="AB440" i="1"/>
  <c r="AB456" i="1"/>
  <c r="AB447" i="1"/>
  <c r="AG422" i="1"/>
  <c r="AB415" i="1"/>
  <c r="AC413" i="1"/>
  <c r="AC457" i="1"/>
  <c r="AC447" i="1"/>
  <c r="AB510" i="1"/>
  <c r="AC515" i="1"/>
  <c r="AC415" i="1"/>
  <c r="AC442" i="1"/>
  <c r="AC450" i="1"/>
  <c r="AC590" i="1"/>
  <c r="AC412" i="1"/>
  <c r="AB395" i="1"/>
  <c r="AB452" i="1"/>
  <c r="A80" i="1"/>
  <c r="AJ420" i="1" l="1"/>
  <c r="C11" i="1"/>
  <c r="AJ422" i="1"/>
  <c r="AG423" i="1"/>
  <c r="D80" i="1"/>
  <c r="A81" i="1"/>
  <c r="AJ423" i="1" l="1"/>
  <c r="AJ424" i="1" s="1"/>
  <c r="AJ425" i="1" s="1"/>
  <c r="AG278" i="1"/>
  <c r="AH296" i="1"/>
  <c r="AC296" i="1"/>
  <c r="AB296" i="1"/>
  <c r="A82" i="1"/>
  <c r="A83" i="1"/>
  <c r="A84" i="1"/>
  <c r="AG81" i="1"/>
  <c r="D81" i="1"/>
  <c r="D83" i="1"/>
  <c r="A85" i="1"/>
  <c r="AG85" i="1"/>
  <c r="A86" i="1"/>
  <c r="D85" i="1"/>
  <c r="AI82" i="1" l="1"/>
  <c r="B82" i="1" s="1"/>
  <c r="AH85" i="1"/>
  <c r="AG303" i="1"/>
  <c r="AF81" i="1"/>
  <c r="A87" i="1"/>
  <c r="AF85" i="1"/>
  <c r="AJ303" i="1" l="1"/>
  <c r="AJ304" i="1" s="1"/>
  <c r="D87" i="1"/>
  <c r="A88" i="1"/>
  <c r="AG399" i="1" l="1"/>
  <c r="AG404" i="1"/>
  <c r="D88" i="1"/>
  <c r="A89" i="1"/>
  <c r="AG88" i="1"/>
  <c r="AI89" i="1" l="1"/>
  <c r="B89" i="1" s="1"/>
  <c r="AJ399" i="1"/>
  <c r="AJ404" i="1"/>
  <c r="AG405" i="1"/>
  <c r="AG412" i="1"/>
  <c r="AF88" i="1"/>
  <c r="A90" i="1"/>
  <c r="AJ405" i="1" l="1"/>
  <c r="AJ406" i="1" s="1"/>
  <c r="AJ412" i="1"/>
  <c r="AG413" i="1"/>
  <c r="D90" i="1"/>
  <c r="A91" i="1"/>
  <c r="AJ413" i="1" l="1"/>
  <c r="AG414" i="1"/>
  <c r="AH303" i="1"/>
  <c r="A92" i="1"/>
  <c r="D92" i="1"/>
  <c r="AJ414" i="1" l="1"/>
  <c r="AJ415" i="1" s="1"/>
  <c r="AG416" i="1"/>
  <c r="A93" i="1"/>
  <c r="A94" i="1"/>
  <c r="D94" i="1"/>
  <c r="AG94" i="1"/>
  <c r="A95" i="1"/>
  <c r="D95" i="1"/>
  <c r="A96" i="1"/>
  <c r="AG96" i="1"/>
  <c r="D96" i="1"/>
  <c r="A97" i="1"/>
  <c r="AG97" i="1" s="1"/>
  <c r="AJ416" i="1" l="1"/>
  <c r="AJ418" i="1" s="1"/>
  <c r="AG447" i="1"/>
  <c r="AG417" i="1"/>
  <c r="AG95" i="1"/>
  <c r="AF94" i="1"/>
  <c r="D97" i="1"/>
  <c r="A98" i="1"/>
  <c r="AJ417" i="1" l="1"/>
  <c r="AJ447" i="1"/>
  <c r="AG448" i="1"/>
  <c r="A99" i="1"/>
  <c r="D99" i="1" s="1"/>
  <c r="A100" i="1"/>
  <c r="A101" i="1"/>
  <c r="AG101" i="1"/>
  <c r="AG99" i="1"/>
  <c r="D101" i="1"/>
  <c r="AH101" i="1" l="1"/>
  <c r="AJ448" i="1"/>
  <c r="AJ449" i="1" s="1"/>
  <c r="AJ450" i="1" s="1"/>
  <c r="AJ451" i="1" s="1"/>
  <c r="AJ452" i="1" s="1"/>
  <c r="AJ453" i="1" s="1"/>
  <c r="AJ454" i="1" s="1"/>
  <c r="AG478" i="1"/>
  <c r="AG510" i="1"/>
  <c r="AG511" i="1"/>
  <c r="AG475" i="1"/>
  <c r="AG480" i="1"/>
  <c r="AG512" i="1"/>
  <c r="A102" i="1"/>
  <c r="AF101" i="1"/>
  <c r="D102" i="1"/>
  <c r="A103" i="1"/>
  <c r="AG102" i="1"/>
  <c r="A104" i="1"/>
  <c r="AG103" i="1"/>
  <c r="D103" i="1"/>
  <c r="AJ102" i="1" l="1"/>
  <c r="AJ103" i="1" s="1"/>
  <c r="AI104" i="1"/>
  <c r="B104" i="1" s="1"/>
  <c r="AJ510" i="1"/>
  <c r="AJ511" i="1"/>
  <c r="AJ512" i="1"/>
  <c r="AJ513" i="1" s="1"/>
  <c r="AJ514" i="1" s="1"/>
  <c r="D104" i="1"/>
  <c r="A105" i="1"/>
  <c r="AF103" i="1"/>
  <c r="AG104" i="1"/>
  <c r="A106" i="1"/>
  <c r="AG105" i="1"/>
  <c r="AJ104" i="1" l="1"/>
  <c r="AJ455" i="1"/>
  <c r="AJ456" i="1" s="1"/>
  <c r="AJ457" i="1" s="1"/>
  <c r="AJ458" i="1" s="1"/>
  <c r="AJ459" i="1" s="1"/>
  <c r="AJ460" i="1" s="1"/>
  <c r="AJ461" i="1" s="1"/>
  <c r="AJ462" i="1" s="1"/>
  <c r="AJ463" i="1" s="1"/>
  <c r="AG426" i="1"/>
  <c r="AG432" i="1"/>
  <c r="AG433" i="1"/>
  <c r="AF104" i="1"/>
  <c r="A107" i="1"/>
  <c r="D107" i="1"/>
  <c r="A108" i="1"/>
  <c r="AG107" i="1"/>
  <c r="D105" i="1"/>
  <c r="AH312" i="1" l="1"/>
  <c r="AJ426" i="1"/>
  <c r="AJ427" i="1" s="1"/>
  <c r="AJ428" i="1" s="1"/>
  <c r="AJ429" i="1" s="1"/>
  <c r="AJ430" i="1" s="1"/>
  <c r="AJ431" i="1" s="1"/>
  <c r="AJ432" i="1" s="1"/>
  <c r="AJ433" i="1" s="1"/>
  <c r="AJ434" i="1"/>
  <c r="AJ435" i="1"/>
  <c r="AJ436" i="1"/>
  <c r="AJ437" i="1" s="1"/>
  <c r="AG438" i="1"/>
  <c r="AG441" i="1"/>
  <c r="A109" i="1"/>
  <c r="AJ438" i="1" l="1"/>
  <c r="AJ439" i="1" s="1"/>
  <c r="AJ440" i="1" s="1"/>
  <c r="AJ441" i="1" s="1"/>
  <c r="AJ442" i="1" s="1"/>
  <c r="AG443" i="1"/>
  <c r="D109" i="1"/>
  <c r="A110" i="1"/>
  <c r="A111" i="1"/>
  <c r="D110" i="1"/>
  <c r="AG109" i="1"/>
  <c r="AJ443" i="1" l="1"/>
  <c r="AG444" i="1"/>
  <c r="A112" i="1"/>
  <c r="AG112" i="1"/>
  <c r="D112" i="1"/>
  <c r="A113" i="1"/>
  <c r="D113" i="1"/>
  <c r="A114" i="1"/>
  <c r="AG113" i="1"/>
  <c r="AJ444" i="1" l="1"/>
  <c r="AJ445" i="1" s="1"/>
  <c r="AG501" i="1"/>
  <c r="AJ501" i="1" s="1"/>
  <c r="AG472" i="1"/>
  <c r="AG515" i="1"/>
  <c r="A115" i="1"/>
  <c r="AG115" i="1"/>
  <c r="AF112" i="1"/>
  <c r="A116" i="1"/>
  <c r="D115" i="1"/>
  <c r="AJ515" i="1" l="1"/>
  <c r="AG516" i="1"/>
  <c r="A117" i="1"/>
  <c r="D117" i="1"/>
  <c r="AG117" i="1"/>
  <c r="AJ516" i="1" l="1"/>
  <c r="AG519" i="1"/>
  <c r="A118" i="1"/>
  <c r="A119" i="1"/>
  <c r="AG119" i="1"/>
  <c r="A120" i="1"/>
  <c r="D119" i="1"/>
  <c r="D120" i="1"/>
  <c r="AG120" i="1"/>
  <c r="AJ519" i="1" l="1"/>
  <c r="AJ520" i="1" s="1"/>
  <c r="AJ521" i="1" s="1"/>
  <c r="AJ522" i="1" s="1"/>
  <c r="AJ263" i="1"/>
  <c r="AJ264" i="1" s="1"/>
  <c r="AJ315" i="1"/>
  <c r="AJ316" i="1" s="1"/>
  <c r="AJ317" i="1" s="1"/>
  <c r="AB523" i="1"/>
  <c r="AH523" i="1"/>
  <c r="AG318" i="1"/>
  <c r="A121" i="1"/>
  <c r="AJ318" i="1" l="1"/>
  <c r="AJ319" i="1"/>
  <c r="A122" i="1"/>
  <c r="D122" i="1"/>
  <c r="AG122" i="1"/>
  <c r="AH122" i="1" l="1"/>
  <c r="A123" i="1"/>
  <c r="AF122" i="1"/>
  <c r="AG123" i="1"/>
  <c r="AJ123" i="1" l="1"/>
  <c r="AI123" i="1"/>
  <c r="B123" i="1" s="1"/>
  <c r="D123" i="1"/>
  <c r="A124" i="1"/>
  <c r="AG124" i="1" s="1"/>
  <c r="A125" i="1"/>
  <c r="AJ370" i="1" l="1"/>
  <c r="AJ371" i="1" s="1"/>
  <c r="AJ372" i="1" s="1"/>
  <c r="AJ373" i="1"/>
  <c r="AJ374" i="1" s="1"/>
  <c r="AJ469" i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G487" i="1"/>
  <c r="AJ487" i="1" s="1"/>
  <c r="AJ490" i="1"/>
  <c r="AJ491" i="1" s="1"/>
  <c r="AJ492" i="1" s="1"/>
  <c r="AG346" i="1"/>
  <c r="A126" i="1"/>
  <c r="A127" i="1" s="1"/>
  <c r="AH123" i="1"/>
  <c r="AF123" i="1"/>
  <c r="D124" i="1"/>
  <c r="AG126" i="1"/>
  <c r="AJ346" i="1" l="1"/>
  <c r="AJ347" i="1" s="1"/>
  <c r="AH242" i="1"/>
  <c r="AG242" i="1"/>
  <c r="AG127" i="1"/>
  <c r="D126" i="1"/>
  <c r="D127" i="1"/>
  <c r="A128" i="1"/>
  <c r="AB242" i="1" l="1"/>
  <c r="AC242" i="1"/>
  <c r="AF242" i="1"/>
  <c r="AB246" i="1"/>
  <c r="AG129" i="1"/>
  <c r="AC246" i="1"/>
  <c r="AF246" i="1"/>
  <c r="A129" i="1"/>
  <c r="D128" i="1"/>
  <c r="AG128" i="1"/>
  <c r="AJ124" i="1" l="1"/>
  <c r="AJ125" i="1" s="1"/>
  <c r="AJ126" i="1" s="1"/>
  <c r="AJ127" i="1" s="1"/>
  <c r="AJ129" i="1" s="1"/>
  <c r="AJ130" i="1" s="1"/>
  <c r="AG232" i="1"/>
  <c r="A130" i="1"/>
  <c r="A131" i="1"/>
  <c r="D130" i="1"/>
  <c r="AG130" i="1"/>
  <c r="AH129" i="1" l="1"/>
  <c r="AH130" i="1"/>
  <c r="AH151" i="1"/>
  <c r="AH180" i="1"/>
  <c r="AB29" i="1"/>
  <c r="AC29" i="1"/>
  <c r="AF29" i="1"/>
  <c r="AH73" i="1"/>
  <c r="AH80" i="1"/>
  <c r="AB98" i="1"/>
  <c r="AC98" i="1"/>
  <c r="AH98" i="1"/>
  <c r="AF98" i="1"/>
  <c r="AH99" i="1"/>
  <c r="AH108" i="1"/>
  <c r="AH109" i="1"/>
  <c r="AC108" i="1"/>
  <c r="AB108" i="1"/>
  <c r="AF108" i="1"/>
  <c r="AH114" i="1"/>
  <c r="AH115" i="1"/>
  <c r="AH116" i="1"/>
  <c r="AH118" i="1"/>
  <c r="AH119" i="1"/>
  <c r="AC118" i="1"/>
  <c r="AB118" i="1"/>
  <c r="AF118" i="1"/>
  <c r="AC135" i="1"/>
  <c r="AB135" i="1"/>
  <c r="AF135" i="1"/>
  <c r="AH135" i="1"/>
  <c r="AC151" i="1"/>
  <c r="AB151" i="1"/>
  <c r="AF151" i="1"/>
  <c r="AH199" i="1"/>
  <c r="AG163" i="1"/>
  <c r="AB68" i="1"/>
  <c r="AF68" i="1"/>
  <c r="AC73" i="1"/>
  <c r="AF73" i="1"/>
  <c r="AC79" i="1"/>
  <c r="AF79" i="1"/>
  <c r="AB125" i="1"/>
  <c r="AB129" i="1"/>
  <c r="AC163" i="1"/>
  <c r="AB193" i="1"/>
  <c r="AC208" i="1"/>
  <c r="AC220" i="1"/>
  <c r="AC76" i="1"/>
  <c r="AH83" i="1"/>
  <c r="AB86" i="1"/>
  <c r="AF86" i="1"/>
  <c r="AB91" i="1"/>
  <c r="AB106" i="1"/>
  <c r="AH106" i="1"/>
  <c r="AH117" i="1"/>
  <c r="AC114" i="1"/>
  <c r="AB116" i="1"/>
  <c r="AF116" i="1"/>
  <c r="AC121" i="1"/>
  <c r="AF121" i="1"/>
  <c r="AB140" i="1"/>
  <c r="AF140" i="1"/>
  <c r="AC158" i="1"/>
  <c r="AB180" i="1"/>
  <c r="AF180" i="1"/>
  <c r="AB199" i="1"/>
  <c r="AC232" i="1"/>
  <c r="AF232" i="1"/>
  <c r="AG158" i="1"/>
  <c r="AC68" i="1"/>
  <c r="AH68" i="1"/>
  <c r="AH69" i="1"/>
  <c r="AB73" i="1"/>
  <c r="AB79" i="1"/>
  <c r="AC125" i="1"/>
  <c r="AH125" i="1"/>
  <c r="AH126" i="1" s="1"/>
  <c r="AF125" i="1"/>
  <c r="AC129" i="1"/>
  <c r="AF129" i="1"/>
  <c r="AB163" i="1"/>
  <c r="AF163" i="1"/>
  <c r="AC193" i="1"/>
  <c r="AF193" i="1"/>
  <c r="AH193" i="1"/>
  <c r="AB208" i="1"/>
  <c r="AF208" i="1"/>
  <c r="AB220" i="1"/>
  <c r="AF220" i="1"/>
  <c r="AH220" i="1"/>
  <c r="AH74" i="1"/>
  <c r="AB76" i="1"/>
  <c r="AH77" i="1"/>
  <c r="AH79" i="1"/>
  <c r="AF76" i="1"/>
  <c r="AC86" i="1"/>
  <c r="AH86" i="1"/>
  <c r="AH87" i="1" s="1"/>
  <c r="AH90" i="1"/>
  <c r="AC91" i="1"/>
  <c r="AH91" i="1"/>
  <c r="AH92" i="1" s="1"/>
  <c r="AF91" i="1"/>
  <c r="AC106" i="1"/>
  <c r="AH107" i="1"/>
  <c r="AF106" i="1"/>
  <c r="AB114" i="1"/>
  <c r="AF114" i="1"/>
  <c r="AC116" i="1"/>
  <c r="AB121" i="1"/>
  <c r="AH121" i="1"/>
  <c r="AH140" i="1"/>
  <c r="AC140" i="1"/>
  <c r="AB158" i="1"/>
  <c r="AH163" i="1"/>
  <c r="AF158" i="1"/>
  <c r="AC180" i="1"/>
  <c r="AC199" i="1"/>
  <c r="AF199" i="1"/>
  <c r="AH208" i="1"/>
  <c r="AB232" i="1"/>
  <c r="AH232" i="1"/>
  <c r="AH52" i="1"/>
  <c r="AF117" i="1"/>
  <c r="AH81" i="1"/>
  <c r="AH53" i="1"/>
  <c r="AF71" i="1"/>
  <c r="AF87" i="1"/>
  <c r="AF67" i="1"/>
  <c r="AF130" i="1"/>
  <c r="AF97" i="1"/>
  <c r="AF120" i="1"/>
  <c r="AH110" i="1"/>
  <c r="AF74" i="1"/>
  <c r="AF90" i="1"/>
  <c r="AF119" i="1"/>
  <c r="AH70" i="1"/>
  <c r="AF70" i="1"/>
  <c r="AF52" i="1"/>
  <c r="AF115" i="1"/>
  <c r="AF62" i="1"/>
  <c r="AH120" i="1"/>
  <c r="AF63" i="1"/>
  <c r="AF126" i="1"/>
  <c r="AF75" i="1"/>
  <c r="AH127" i="1"/>
  <c r="AF92" i="1"/>
  <c r="AF109" i="1"/>
  <c r="AF113" i="1"/>
  <c r="D131" i="1"/>
  <c r="AF107" i="1"/>
  <c r="AF99" i="1"/>
  <c r="AF96" i="1"/>
  <c r="AF110" i="1"/>
  <c r="A132" i="1"/>
  <c r="AF80" i="1"/>
  <c r="AH78" i="1"/>
  <c r="AF78" i="1"/>
  <c r="AF127" i="1"/>
  <c r="AH34" i="1"/>
  <c r="AF124" i="1"/>
  <c r="AH88" i="1"/>
  <c r="AH102" i="1"/>
  <c r="AF83" i="1"/>
  <c r="AF34" i="1"/>
  <c r="AF28" i="1"/>
  <c r="AF105" i="1"/>
  <c r="AF95" i="1"/>
  <c r="AH75" i="1"/>
  <c r="AF69" i="1"/>
  <c r="A133" i="1"/>
  <c r="A134" i="1" s="1"/>
  <c r="AG131" i="1"/>
  <c r="AF55" i="1"/>
  <c r="AH124" i="1"/>
  <c r="D133" i="1"/>
  <c r="AF128" i="1"/>
  <c r="AF60" i="1"/>
  <c r="AF102" i="1"/>
  <c r="AF61" i="1"/>
  <c r="AF77" i="1"/>
  <c r="AF66" i="1"/>
  <c r="AF72" i="1"/>
  <c r="AG133" i="1"/>
  <c r="D132" i="1"/>
  <c r="AG132" i="1"/>
  <c r="AJ131" i="1" l="1"/>
  <c r="AJ132" i="1" s="1"/>
  <c r="AJ133" i="1" s="1"/>
  <c r="AH76" i="1"/>
  <c r="AI134" i="1"/>
  <c r="B134" i="1" s="1"/>
  <c r="AJ156" i="1"/>
  <c r="AH171" i="1"/>
  <c r="AH201" i="1"/>
  <c r="AH186" i="1"/>
  <c r="AH93" i="1"/>
  <c r="AH111" i="1"/>
  <c r="AG134" i="1"/>
  <c r="AF133" i="1"/>
  <c r="AH54" i="1"/>
  <c r="A135" i="1"/>
  <c r="D134" i="1"/>
  <c r="AH128" i="1"/>
  <c r="AF132" i="1"/>
  <c r="AH35" i="1"/>
  <c r="AH103" i="1"/>
  <c r="AH71" i="1"/>
  <c r="AF131" i="1"/>
  <c r="AH131" i="1"/>
  <c r="AG52" i="1"/>
  <c r="AJ134" i="1" l="1"/>
  <c r="AJ52" i="1"/>
  <c r="AJ53" i="1" s="1"/>
  <c r="AJ54" i="1" s="1"/>
  <c r="AH112" i="1"/>
  <c r="AH94" i="1"/>
  <c r="AH132" i="1"/>
  <c r="AH72" i="1"/>
  <c r="AH95" i="1"/>
  <c r="AF134" i="1"/>
  <c r="AH113" i="1"/>
  <c r="AH104" i="1"/>
  <c r="A136" i="1"/>
  <c r="AG55" i="1"/>
  <c r="A137" i="1"/>
  <c r="AH55" i="1"/>
  <c r="D136" i="1"/>
  <c r="AG136" i="1"/>
  <c r="D137" i="1"/>
  <c r="AH136" i="1" l="1"/>
  <c r="AJ55" i="1"/>
  <c r="AJ56" i="1" s="1"/>
  <c r="AJ57" i="1" s="1"/>
  <c r="AJ58" i="1" s="1"/>
  <c r="AJ59" i="1" s="1"/>
  <c r="AH57" i="1"/>
  <c r="AG60" i="1"/>
  <c r="A138" i="1"/>
  <c r="AH56" i="1"/>
  <c r="AH133" i="1"/>
  <c r="AF136" i="1"/>
  <c r="AF137" i="1"/>
  <c r="AH105" i="1"/>
  <c r="AH137" i="1"/>
  <c r="AH96" i="1"/>
  <c r="AJ60" i="1" l="1"/>
  <c r="AH58" i="1"/>
  <c r="AG138" i="1"/>
  <c r="AH134" i="1"/>
  <c r="D138" i="1"/>
  <c r="AG62" i="1"/>
  <c r="AH97" i="1"/>
  <c r="AG61" i="1"/>
  <c r="A139" i="1"/>
  <c r="AJ61" i="1" l="1"/>
  <c r="AJ62" i="1" s="1"/>
  <c r="AH59" i="1"/>
  <c r="D139" i="1"/>
  <c r="AG63" i="1"/>
  <c r="AH138" i="1"/>
  <c r="AF138" i="1"/>
  <c r="AG83" i="1"/>
  <c r="A140" i="1"/>
  <c r="AJ63" i="1" l="1"/>
  <c r="AJ64" i="1" s="1"/>
  <c r="AJ33" i="1" s="1"/>
  <c r="AJ83" i="1"/>
  <c r="AG86" i="1"/>
  <c r="AH60" i="1"/>
  <c r="AH139" i="1"/>
  <c r="A141" i="1"/>
  <c r="AF139" i="1"/>
  <c r="D141" i="1"/>
  <c r="AH141" i="1" l="1"/>
  <c r="AJ86" i="1"/>
  <c r="AG141" i="1"/>
  <c r="AF141" i="1"/>
  <c r="A142" i="1"/>
  <c r="AH61" i="1"/>
  <c r="AG87" i="1"/>
  <c r="AJ87" i="1" l="1"/>
  <c r="AJ88" i="1" s="1"/>
  <c r="AG28" i="1"/>
  <c r="D142" i="1"/>
  <c r="A143" i="1"/>
  <c r="AH62" i="1"/>
  <c r="AG143" i="1"/>
  <c r="AJ65" i="1" l="1"/>
  <c r="AG121" i="1"/>
  <c r="AG114" i="1"/>
  <c r="AH142" i="1"/>
  <c r="A144" i="1"/>
  <c r="D143" i="1"/>
  <c r="AH63" i="1"/>
  <c r="AF142" i="1"/>
  <c r="AI144" i="1" l="1"/>
  <c r="B144" i="1" s="1"/>
  <c r="AJ135" i="1"/>
  <c r="AJ136" i="1" s="1"/>
  <c r="AH64" i="1"/>
  <c r="AH143" i="1"/>
  <c r="AF143" i="1"/>
  <c r="A145" i="1"/>
  <c r="D145" i="1" s="1"/>
  <c r="AG137" i="1"/>
  <c r="D144" i="1"/>
  <c r="A146" i="1"/>
  <c r="AI146" i="1" l="1"/>
  <c r="B146" i="1" s="1"/>
  <c r="AJ137" i="1"/>
  <c r="AJ138" i="1" s="1"/>
  <c r="AF145" i="1"/>
  <c r="D146" i="1"/>
  <c r="A147" i="1"/>
  <c r="AG145" i="1"/>
  <c r="AG139" i="1"/>
  <c r="AH65" i="1"/>
  <c r="AG147" i="1"/>
  <c r="AF144" i="1"/>
  <c r="A148" i="1"/>
  <c r="D147" i="1"/>
  <c r="AG148" i="1"/>
  <c r="D148" i="1"/>
  <c r="A149" i="1"/>
  <c r="AI148" i="1" l="1"/>
  <c r="B148" i="1" s="1"/>
  <c r="AJ139" i="1"/>
  <c r="AG140" i="1"/>
  <c r="D149" i="1"/>
  <c r="AF147" i="1"/>
  <c r="AH66" i="1"/>
  <c r="A150" i="1"/>
  <c r="AF146" i="1"/>
  <c r="AG149" i="1"/>
  <c r="AF148" i="1"/>
  <c r="AI150" i="1" l="1"/>
  <c r="B150" i="1" s="1"/>
  <c r="AJ140" i="1"/>
  <c r="AJ141" i="1" s="1"/>
  <c r="D150" i="1"/>
  <c r="AF149" i="1"/>
  <c r="AH67" i="1"/>
  <c r="AG150" i="1"/>
  <c r="A151" i="1"/>
  <c r="AG142" i="1"/>
  <c r="AJ142" i="1" l="1"/>
  <c r="AJ143" i="1" s="1"/>
  <c r="A152" i="1"/>
  <c r="AF150" i="1"/>
  <c r="A153" i="1"/>
  <c r="D152" i="1"/>
  <c r="AH152" i="1" l="1"/>
  <c r="AG220" i="1"/>
  <c r="D153" i="1"/>
  <c r="A154" i="1"/>
  <c r="AF152" i="1"/>
  <c r="A155" i="1"/>
  <c r="AG154" i="1"/>
  <c r="D154" i="1"/>
  <c r="AI155" i="1" l="1"/>
  <c r="B155" i="1" s="1"/>
  <c r="AJ220" i="1"/>
  <c r="A156" i="1"/>
  <c r="A157" i="1"/>
  <c r="AH153" i="1"/>
  <c r="AF153" i="1"/>
  <c r="AH154" i="1"/>
  <c r="AF154" i="1"/>
  <c r="AG156" i="1"/>
  <c r="D156" i="1"/>
  <c r="AH156" i="1" l="1"/>
  <c r="AJ221" i="1"/>
  <c r="D157" i="1"/>
  <c r="AG66" i="1"/>
  <c r="AF156" i="1"/>
  <c r="A158" i="1"/>
  <c r="AG157" i="1"/>
  <c r="AJ157" i="1" l="1"/>
  <c r="AJ158" i="1" s="1"/>
  <c r="AJ159" i="1" s="1"/>
  <c r="AH158" i="1"/>
  <c r="AJ66" i="1"/>
  <c r="AJ40" i="1" s="1"/>
  <c r="AJ41" i="1" s="1"/>
  <c r="AJ42" i="1" s="1"/>
  <c r="AJ43" i="1" s="1"/>
  <c r="AH157" i="1"/>
  <c r="AF157" i="1"/>
  <c r="A159" i="1"/>
  <c r="AG69" i="1"/>
  <c r="AG70" i="1"/>
  <c r="AG72" i="1"/>
  <c r="AG71" i="1"/>
  <c r="AJ69" i="1" l="1"/>
  <c r="AJ70" i="1" s="1"/>
  <c r="AJ71" i="1" s="1"/>
  <c r="AJ72" i="1" s="1"/>
  <c r="AG159" i="1"/>
  <c r="AG67" i="1"/>
  <c r="A160" i="1"/>
  <c r="D160" i="1"/>
  <c r="D159" i="1"/>
  <c r="AH159" i="1" l="1"/>
  <c r="AJ67" i="1"/>
  <c r="AG68" i="1"/>
  <c r="A161" i="1"/>
  <c r="AH160" i="1"/>
  <c r="AG160" i="1"/>
  <c r="AF160" i="1"/>
  <c r="AF159" i="1"/>
  <c r="AJ160" i="1" l="1"/>
  <c r="AJ68" i="1"/>
  <c r="AG73" i="1"/>
  <c r="AG161" i="1"/>
  <c r="D161" i="1"/>
  <c r="A162" i="1"/>
  <c r="A163" i="1"/>
  <c r="D162" i="1"/>
  <c r="AJ161" i="1" l="1"/>
  <c r="AJ73" i="1"/>
  <c r="AG162" i="1"/>
  <c r="AH161" i="1"/>
  <c r="A164" i="1"/>
  <c r="D164" i="1"/>
  <c r="AG74" i="1"/>
  <c r="AF161" i="1"/>
  <c r="AF162" i="1"/>
  <c r="AJ162" i="1" l="1"/>
  <c r="AJ163" i="1" s="1"/>
  <c r="AJ164" i="1" s="1"/>
  <c r="AH164" i="1"/>
  <c r="AJ74" i="1"/>
  <c r="A165" i="1"/>
  <c r="A166" i="1"/>
  <c r="AG75" i="1"/>
  <c r="AF164" i="1"/>
  <c r="AG165" i="1"/>
  <c r="AH162" i="1"/>
  <c r="D165" i="1"/>
  <c r="AG164" i="1"/>
  <c r="AJ165" i="1" l="1"/>
  <c r="AJ75" i="1"/>
  <c r="AG76" i="1"/>
  <c r="A167" i="1"/>
  <c r="AG166" i="1"/>
  <c r="AH165" i="1"/>
  <c r="AF165" i="1"/>
  <c r="D166" i="1"/>
  <c r="AJ166" i="1" l="1"/>
  <c r="AJ76" i="1"/>
  <c r="A168" i="1"/>
  <c r="D167" i="1"/>
  <c r="AH166" i="1"/>
  <c r="AG77" i="1"/>
  <c r="AG167" i="1"/>
  <c r="AF166" i="1"/>
  <c r="AJ167" i="1" l="1"/>
  <c r="AJ77" i="1"/>
  <c r="AG78" i="1"/>
  <c r="A169" i="1"/>
  <c r="AF167" i="1"/>
  <c r="AH167" i="1"/>
  <c r="D168" i="1"/>
  <c r="AG168" i="1"/>
  <c r="AJ168" i="1" l="1"/>
  <c r="AJ78" i="1"/>
  <c r="AG79" i="1"/>
  <c r="AG169" i="1"/>
  <c r="A170" i="1"/>
  <c r="AH168" i="1"/>
  <c r="AF168" i="1"/>
  <c r="D169" i="1"/>
  <c r="AJ169" i="1" l="1"/>
  <c r="AJ79" i="1"/>
  <c r="AG80" i="1"/>
  <c r="A171" i="1"/>
  <c r="AF169" i="1"/>
  <c r="AG170" i="1"/>
  <c r="AH169" i="1"/>
  <c r="AG90" i="1"/>
  <c r="D170" i="1"/>
  <c r="AJ170" i="1" l="1"/>
  <c r="AJ171" i="1" s="1"/>
  <c r="AJ80" i="1"/>
  <c r="AJ81" i="1" s="1"/>
  <c r="AJ90" i="1"/>
  <c r="AG91" i="1"/>
  <c r="AH170" i="1"/>
  <c r="A172" i="1"/>
  <c r="AG172" i="1"/>
  <c r="AF170" i="1"/>
  <c r="A173" i="1"/>
  <c r="AJ91" i="1" l="1"/>
  <c r="D172" i="1"/>
  <c r="AG92" i="1"/>
  <c r="AG173" i="1"/>
  <c r="D173" i="1"/>
  <c r="A174" i="1"/>
  <c r="AG174" i="1"/>
  <c r="AH172" i="1" l="1"/>
  <c r="AJ92" i="1"/>
  <c r="AJ93" i="1" s="1"/>
  <c r="AJ94" i="1" s="1"/>
  <c r="AJ95" i="1" s="1"/>
  <c r="AJ96" i="1" s="1"/>
  <c r="AJ97" i="1" s="1"/>
  <c r="AJ98" i="1" s="1"/>
  <c r="AJ99" i="1" s="1"/>
  <c r="AJ105" i="1"/>
  <c r="AJ106" i="1" s="1"/>
  <c r="AJ107" i="1" s="1"/>
  <c r="AJ108" i="1" s="1"/>
  <c r="AJ109" i="1" s="1"/>
  <c r="AG151" i="1"/>
  <c r="AJ151" i="1" s="1"/>
  <c r="AJ190" i="1"/>
  <c r="AJ34" i="1"/>
  <c r="AJ35" i="1" s="1"/>
  <c r="AJ128" i="1"/>
  <c r="AJ173" i="1"/>
  <c r="AJ174" i="1" s="1"/>
  <c r="AF173" i="1"/>
  <c r="AG152" i="1"/>
  <c r="AG110" i="1"/>
  <c r="AF172" i="1"/>
  <c r="D174" i="1"/>
  <c r="AG153" i="1"/>
  <c r="A175" i="1"/>
  <c r="AH173" i="1"/>
  <c r="AH144" i="1"/>
  <c r="AJ152" i="1" l="1"/>
  <c r="AJ153" i="1" s="1"/>
  <c r="AJ154" i="1" s="1"/>
  <c r="AJ185" i="1"/>
  <c r="AJ186" i="1" s="1"/>
  <c r="AJ187" i="1" s="1"/>
  <c r="AJ110" i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202" i="1"/>
  <c r="AF174" i="1"/>
  <c r="AH174" i="1"/>
  <c r="AH145" i="1"/>
  <c r="A176" i="1"/>
  <c r="AG175" i="1"/>
  <c r="D175" i="1"/>
  <c r="AJ175" i="1" l="1"/>
  <c r="C146" i="1"/>
  <c r="AI176" i="1"/>
  <c r="AI175" i="1"/>
  <c r="AI174" i="1"/>
  <c r="AI173" i="1"/>
  <c r="AI171" i="1"/>
  <c r="AI170" i="1"/>
  <c r="AI169" i="1"/>
  <c r="AI168" i="1"/>
  <c r="AI167" i="1"/>
  <c r="AI166" i="1"/>
  <c r="AI165" i="1"/>
  <c r="AI163" i="1"/>
  <c r="AI162" i="1"/>
  <c r="AI161" i="1"/>
  <c r="AI160" i="1"/>
  <c r="B160" i="1" s="1"/>
  <c r="C160" i="1" s="1"/>
  <c r="AI158" i="1"/>
  <c r="AI157" i="1"/>
  <c r="AI154" i="1"/>
  <c r="B154" i="1" s="1"/>
  <c r="C154" i="1" s="1"/>
  <c r="AI153" i="1"/>
  <c r="AI151" i="1"/>
  <c r="AI149" i="1"/>
  <c r="B149" i="1" s="1"/>
  <c r="C149" i="1" s="1"/>
  <c r="AI147" i="1"/>
  <c r="AI145" i="1"/>
  <c r="C144" i="1"/>
  <c r="AI143" i="1"/>
  <c r="B143" i="1" s="1"/>
  <c r="C143" i="1" s="1"/>
  <c r="AI142" i="1"/>
  <c r="AI140" i="1"/>
  <c r="AI139" i="1"/>
  <c r="AI138" i="1"/>
  <c r="AI137" i="1"/>
  <c r="AI135" i="1"/>
  <c r="AI133" i="1"/>
  <c r="AI132" i="1"/>
  <c r="AI131" i="1"/>
  <c r="B131" i="1" s="1"/>
  <c r="AI129" i="1"/>
  <c r="B129" i="1" s="1"/>
  <c r="AI128" i="1"/>
  <c r="AI127" i="1"/>
  <c r="AI125" i="1"/>
  <c r="AI124" i="1"/>
  <c r="AI121" i="1"/>
  <c r="AI120" i="1"/>
  <c r="AI118" i="1"/>
  <c r="AI116" i="1"/>
  <c r="B116" i="1" s="1"/>
  <c r="C116" i="1" s="1"/>
  <c r="AI114" i="1"/>
  <c r="B114" i="1" s="1"/>
  <c r="C114" i="1" s="1"/>
  <c r="AI113" i="1"/>
  <c r="AI111" i="1"/>
  <c r="C111" i="1"/>
  <c r="AI110" i="1"/>
  <c r="AI108" i="1"/>
  <c r="AI106" i="1"/>
  <c r="AI105" i="1"/>
  <c r="AI103" i="1"/>
  <c r="B103" i="1" s="1"/>
  <c r="AI102" i="1"/>
  <c r="AI100" i="1"/>
  <c r="AI98" i="1"/>
  <c r="AI97" i="1"/>
  <c r="C97" i="1"/>
  <c r="AI96" i="1"/>
  <c r="AI95" i="1"/>
  <c r="AI93" i="1"/>
  <c r="AI91" i="1"/>
  <c r="AI88" i="1"/>
  <c r="AI86" i="1"/>
  <c r="AI84" i="1"/>
  <c r="AI81" i="1"/>
  <c r="B81" i="1" s="1"/>
  <c r="AI79" i="1"/>
  <c r="AI78" i="1"/>
  <c r="AI76" i="1"/>
  <c r="AI75" i="1"/>
  <c r="AI73" i="1"/>
  <c r="B73" i="1" s="1"/>
  <c r="AI72" i="1"/>
  <c r="AI71" i="1"/>
  <c r="AI70" i="1"/>
  <c r="AI68" i="1"/>
  <c r="AI67" i="1"/>
  <c r="AI66" i="1"/>
  <c r="AI64" i="1"/>
  <c r="B64" i="1" s="1"/>
  <c r="AI63" i="1"/>
  <c r="AI62" i="1"/>
  <c r="B62" i="1" s="1"/>
  <c r="AI61" i="1"/>
  <c r="AI60" i="1"/>
  <c r="AI56" i="1"/>
  <c r="AI55" i="1"/>
  <c r="AI53" i="1"/>
  <c r="AI35" i="1"/>
  <c r="AI34" i="1"/>
  <c r="AI29" i="1"/>
  <c r="AH146" i="1"/>
  <c r="AH175" i="1"/>
  <c r="D176" i="1"/>
  <c r="AG176" i="1"/>
  <c r="A177" i="1"/>
  <c r="AF175" i="1"/>
  <c r="D177" i="1"/>
  <c r="A178" i="1"/>
  <c r="AG177" i="1"/>
  <c r="AI178" i="1" l="1"/>
  <c r="AI177" i="1"/>
  <c r="B177" i="1" s="1"/>
  <c r="AJ176" i="1"/>
  <c r="AJ177" i="1" s="1"/>
  <c r="C129" i="1"/>
  <c r="C131" i="1"/>
  <c r="C62" i="1"/>
  <c r="C64" i="1"/>
  <c r="C73" i="1"/>
  <c r="C81" i="1"/>
  <c r="C103" i="1"/>
  <c r="AJ28" i="1"/>
  <c r="AJ29" i="1" s="1"/>
  <c r="AJ44" i="1" s="1"/>
  <c r="AJ45" i="1" s="1"/>
  <c r="AJ46" i="1" s="1"/>
  <c r="AJ47" i="1" s="1"/>
  <c r="AJ48" i="1" s="1"/>
  <c r="AJ49" i="1" s="1"/>
  <c r="AJ50" i="1" s="1"/>
  <c r="AB407" i="1"/>
  <c r="AB446" i="1"/>
  <c r="AC446" i="1"/>
  <c r="AC489" i="1"/>
  <c r="AB496" i="1"/>
  <c r="AC503" i="1"/>
  <c r="AC407" i="1"/>
  <c r="AC419" i="1"/>
  <c r="AB419" i="1"/>
  <c r="AB464" i="1"/>
  <c r="AB489" i="1"/>
  <c r="AB494" i="1"/>
  <c r="AC494" i="1"/>
  <c r="AC496" i="1"/>
  <c r="AB503" i="1"/>
  <c r="AC184" i="1"/>
  <c r="AC89" i="1"/>
  <c r="AB36" i="1"/>
  <c r="AC251" i="1"/>
  <c r="AB31" i="1"/>
  <c r="AB82" i="1"/>
  <c r="AB189" i="1"/>
  <c r="AC201" i="1"/>
  <c r="AB289" i="1"/>
  <c r="AC314" i="1"/>
  <c r="AB372" i="1"/>
  <c r="AC393" i="1"/>
  <c r="AC437" i="1"/>
  <c r="AC468" i="1"/>
  <c r="AB474" i="1"/>
  <c r="AB500" i="1"/>
  <c r="AC505" i="1"/>
  <c r="AC518" i="1"/>
  <c r="AB521" i="1"/>
  <c r="AC155" i="1"/>
  <c r="AC57" i="1"/>
  <c r="AB251" i="1"/>
  <c r="AB201" i="1"/>
  <c r="AB398" i="1"/>
  <c r="AC401" i="1"/>
  <c r="AB403" i="1"/>
  <c r="AC411" i="1"/>
  <c r="AB425" i="1"/>
  <c r="AB454" i="1"/>
  <c r="AC474" i="1"/>
  <c r="AB498" i="1"/>
  <c r="AC500" i="1"/>
  <c r="AC507" i="1"/>
  <c r="AB525" i="1"/>
  <c r="AC82" i="1"/>
  <c r="AB155" i="1"/>
  <c r="AB57" i="1"/>
  <c r="AB184" i="1"/>
  <c r="AC189" i="1"/>
  <c r="AC289" i="1"/>
  <c r="AB314" i="1"/>
  <c r="AB393" i="1"/>
  <c r="AC398" i="1"/>
  <c r="AC425" i="1"/>
  <c r="AB468" i="1"/>
  <c r="AB471" i="1"/>
  <c r="AB482" i="1"/>
  <c r="AB514" i="1"/>
  <c r="AB518" i="1"/>
  <c r="AB89" i="1"/>
  <c r="AC372" i="1"/>
  <c r="AB401" i="1"/>
  <c r="AC403" i="1"/>
  <c r="AB411" i="1"/>
  <c r="AB437" i="1"/>
  <c r="AC454" i="1"/>
  <c r="AC471" i="1"/>
  <c r="AC482" i="1"/>
  <c r="AC498" i="1"/>
  <c r="AB507" i="1"/>
  <c r="AC514" i="1"/>
  <c r="AC525" i="1"/>
  <c r="AB505" i="1"/>
  <c r="AC521" i="1"/>
  <c r="D178" i="1"/>
  <c r="A179" i="1"/>
  <c r="D179" i="1"/>
  <c r="AF177" i="1"/>
  <c r="AG178" i="1"/>
  <c r="AH147" i="1"/>
  <c r="AG179" i="1"/>
  <c r="A180" i="1"/>
  <c r="AH176" i="1"/>
  <c r="AF176" i="1"/>
  <c r="AI179" i="1" l="1"/>
  <c r="AJ178" i="1"/>
  <c r="AJ179" i="1" s="1"/>
  <c r="AJ180" i="1" s="1"/>
  <c r="AJ181" i="1" s="1"/>
  <c r="AI180" i="1"/>
  <c r="B180" i="1" s="1"/>
  <c r="C180" i="1" s="1"/>
  <c r="C134" i="1"/>
  <c r="C57" i="1"/>
  <c r="C33" i="1"/>
  <c r="C123" i="1"/>
  <c r="C177" i="1"/>
  <c r="C104" i="1"/>
  <c r="C54" i="1"/>
  <c r="C59" i="1"/>
  <c r="C36" i="1"/>
  <c r="C148" i="1"/>
  <c r="C82" i="1"/>
  <c r="C65" i="1"/>
  <c r="C155" i="1"/>
  <c r="C6" i="1"/>
  <c r="C89" i="1"/>
  <c r="C150" i="1"/>
  <c r="C31" i="1"/>
  <c r="AH28" i="1"/>
  <c r="AH29" i="1" s="1"/>
  <c r="AG296" i="1"/>
  <c r="AG523" i="1"/>
  <c r="AH148" i="1"/>
  <c r="AH149" i="1"/>
  <c r="AF179" i="1"/>
  <c r="AG146" i="1"/>
  <c r="AF178" i="1"/>
  <c r="AG144" i="1"/>
  <c r="AH177" i="1"/>
  <c r="A181" i="1"/>
  <c r="AJ296" i="1" l="1"/>
  <c r="AJ523" i="1"/>
  <c r="AJ144" i="1"/>
  <c r="AJ145" i="1" s="1"/>
  <c r="AJ146" i="1" s="1"/>
  <c r="AJ147" i="1" s="1"/>
  <c r="AJ148" i="1" s="1"/>
  <c r="AJ149" i="1" s="1"/>
  <c r="AJ150" i="1" s="1"/>
  <c r="A51" i="4"/>
  <c r="A23" i="7"/>
  <c r="A14" i="7"/>
  <c r="A28" i="5"/>
  <c r="A26" i="7"/>
  <c r="A29" i="7"/>
  <c r="A17" i="7"/>
  <c r="A15" i="9"/>
  <c r="A14" i="9"/>
  <c r="A18" i="7"/>
  <c r="A12" i="7"/>
  <c r="A28" i="7"/>
  <c r="A7" i="8"/>
  <c r="A7" i="12"/>
  <c r="A20" i="7"/>
  <c r="A44" i="5"/>
  <c r="A41" i="5"/>
  <c r="A8" i="7"/>
  <c r="A30" i="7"/>
  <c r="A36" i="5"/>
  <c r="A23" i="9"/>
  <c r="A37" i="5"/>
  <c r="A21" i="9"/>
  <c r="A49" i="4"/>
  <c r="A22" i="9"/>
  <c r="A16" i="7"/>
  <c r="A40" i="5"/>
  <c r="A38" i="4"/>
  <c r="A6" i="8"/>
  <c r="A11" i="8"/>
  <c r="A3" i="12"/>
  <c r="A34" i="5"/>
  <c r="A19" i="7"/>
  <c r="A47" i="4"/>
  <c r="A9" i="9"/>
  <c r="A33" i="4"/>
  <c r="A10" i="8"/>
  <c r="A12" i="6"/>
  <c r="A50" i="4"/>
  <c r="A11" i="6"/>
  <c r="A18" i="9"/>
  <c r="A19" i="8"/>
  <c r="A15" i="7"/>
  <c r="A16" i="9"/>
  <c r="A20" i="8"/>
  <c r="A31" i="4"/>
  <c r="A43" i="4"/>
  <c r="A32" i="7"/>
  <c r="A18" i="6"/>
  <c r="A32" i="4"/>
  <c r="A48" i="5"/>
  <c r="A39" i="4"/>
  <c r="A20" i="9"/>
  <c r="A19" i="9"/>
  <c r="A22" i="7"/>
  <c r="A35" i="5"/>
  <c r="A8" i="8"/>
  <c r="A30" i="4"/>
  <c r="A13" i="8"/>
  <c r="A43" i="5"/>
  <c r="A27" i="7"/>
  <c r="A9" i="7"/>
  <c r="A36" i="4"/>
  <c r="A47" i="5"/>
  <c r="A25" i="9"/>
  <c r="A16" i="6"/>
  <c r="A42" i="5"/>
  <c r="A11" i="9"/>
  <c r="A10" i="6"/>
  <c r="A9" i="8"/>
  <c r="A7" i="9"/>
  <c r="A8" i="9"/>
  <c r="A37" i="4"/>
  <c r="A31" i="7"/>
  <c r="A38" i="5"/>
  <c r="A32" i="5"/>
  <c r="A50" i="5"/>
  <c r="A19" i="6"/>
  <c r="A6" i="9"/>
  <c r="A34" i="4"/>
  <c r="A44" i="4"/>
  <c r="A42" i="4"/>
  <c r="A22" i="6"/>
  <c r="A17" i="6"/>
  <c r="A13" i="9"/>
  <c r="A31" i="5"/>
  <c r="A7" i="7"/>
  <c r="A15" i="6"/>
  <c r="A25" i="8"/>
  <c r="A12" i="8"/>
  <c r="A49" i="5"/>
  <c r="A45" i="5"/>
  <c r="A29" i="5"/>
  <c r="A4" i="12"/>
  <c r="A11" i="7"/>
  <c r="A13" i="6"/>
  <c r="A17" i="9"/>
  <c r="A16" i="8"/>
  <c r="A8" i="6"/>
  <c r="A14" i="8"/>
  <c r="A5" i="9"/>
  <c r="A13" i="7"/>
  <c r="A30" i="5"/>
  <c r="A45" i="4"/>
  <c r="A5" i="8"/>
  <c r="A52" i="4"/>
  <c r="A14" i="6"/>
  <c r="A18" i="8"/>
  <c r="A6" i="12"/>
  <c r="A27" i="5"/>
  <c r="A5" i="11"/>
  <c r="A46" i="4"/>
  <c r="A48" i="4"/>
  <c r="A15" i="8"/>
  <c r="A22" i="8"/>
  <c r="A25" i="7"/>
  <c r="A8" i="12"/>
  <c r="A17" i="8"/>
  <c r="A6" i="11"/>
  <c r="A21" i="6"/>
  <c r="A39" i="5"/>
  <c r="A9" i="6"/>
  <c r="A20" i="6"/>
  <c r="A21" i="8"/>
  <c r="A40" i="4"/>
  <c r="A24" i="8"/>
  <c r="A41" i="4"/>
  <c r="A24" i="9"/>
  <c r="A24" i="7"/>
  <c r="A33" i="5"/>
  <c r="A5" i="12"/>
  <c r="A46" i="5"/>
  <c r="A10" i="9"/>
  <c r="A10" i="7"/>
  <c r="A12" i="9"/>
  <c r="A35" i="4"/>
  <c r="A21" i="7"/>
  <c r="A23" i="8"/>
  <c r="AH178" i="1"/>
  <c r="AH150" i="1"/>
  <c r="AH179" i="1"/>
  <c r="AG181" i="1"/>
  <c r="D181" i="1"/>
  <c r="A182" i="1"/>
  <c r="AH181" i="1" l="1"/>
  <c r="AI182" i="1"/>
  <c r="AG182" i="1"/>
  <c r="A183" i="1"/>
  <c r="D182" i="1"/>
  <c r="AF181" i="1"/>
  <c r="AJ182" i="1" l="1"/>
  <c r="AI183" i="1"/>
  <c r="D183" i="1"/>
  <c r="AG183" i="1"/>
  <c r="AF182" i="1"/>
  <c r="AH182" i="1"/>
  <c r="A184" i="1"/>
  <c r="AJ183" i="1" l="1"/>
  <c r="AI184" i="1"/>
  <c r="B184" i="1" s="1"/>
  <c r="C184" i="1" s="1"/>
  <c r="AF183" i="1"/>
  <c r="AH183" i="1"/>
  <c r="A185" i="1"/>
  <c r="AG185" i="1"/>
  <c r="D185" i="1"/>
  <c r="A186" i="1"/>
  <c r="AH185" i="1" l="1"/>
  <c r="AI186" i="1"/>
  <c r="A187" i="1"/>
  <c r="AF185" i="1"/>
  <c r="AH246" i="1" l="1"/>
  <c r="A188" i="1"/>
  <c r="D187" i="1"/>
  <c r="AG187" i="1"/>
  <c r="AI188" i="1" l="1"/>
  <c r="AH187" i="1"/>
  <c r="A189" i="1"/>
  <c r="A190" i="1"/>
  <c r="D188" i="1"/>
  <c r="D190" i="1"/>
  <c r="AG188" i="1"/>
  <c r="AF187" i="1"/>
  <c r="AI189" i="1" l="1"/>
  <c r="B189" i="1" s="1"/>
  <c r="C189" i="1" s="1"/>
  <c r="AJ188" i="1"/>
  <c r="AH190" i="1"/>
  <c r="AG190" i="1"/>
  <c r="AF190" i="1"/>
  <c r="A191" i="1"/>
  <c r="D191" i="1"/>
  <c r="AF188" i="1"/>
  <c r="AH188" i="1"/>
  <c r="AI191" i="1" l="1"/>
  <c r="AG191" i="1"/>
  <c r="A192" i="1"/>
  <c r="A193" i="1"/>
  <c r="AH191" i="1"/>
  <c r="D192" i="1"/>
  <c r="AF191" i="1"/>
  <c r="AJ191" i="1" l="1"/>
  <c r="AI193" i="1"/>
  <c r="AI192" i="1"/>
  <c r="A194" i="1"/>
  <c r="AH192" i="1"/>
  <c r="AG194" i="1"/>
  <c r="AF192" i="1"/>
  <c r="AG192" i="1"/>
  <c r="D194" i="1"/>
  <c r="AJ192" i="1" l="1"/>
  <c r="AJ193" i="1" s="1"/>
  <c r="AJ194" i="1" s="1"/>
  <c r="AH194" i="1"/>
  <c r="AH263" i="1"/>
  <c r="A195" i="1"/>
  <c r="AF194" i="1"/>
  <c r="AG195" i="1"/>
  <c r="D195" i="1"/>
  <c r="A196" i="1"/>
  <c r="D196" i="1"/>
  <c r="AG196" i="1"/>
  <c r="AI195" i="1" l="1"/>
  <c r="AJ195" i="1"/>
  <c r="AJ196" i="1" s="1"/>
  <c r="AI196" i="1"/>
  <c r="B196" i="1" s="1"/>
  <c r="C196" i="1" s="1"/>
  <c r="AF195" i="1"/>
  <c r="AH195" i="1"/>
  <c r="A197" i="1"/>
  <c r="AF196" i="1"/>
  <c r="A198" i="1"/>
  <c r="A199" i="1"/>
  <c r="AG197" i="1"/>
  <c r="D198" i="1"/>
  <c r="D197" i="1"/>
  <c r="AI197" i="1" l="1"/>
  <c r="AJ197" i="1"/>
  <c r="AI199" i="1"/>
  <c r="B199" i="1" s="1"/>
  <c r="C199" i="1" s="1"/>
  <c r="AI198" i="1"/>
  <c r="AH196" i="1"/>
  <c r="A200" i="1"/>
  <c r="D200" i="1"/>
  <c r="AG200" i="1"/>
  <c r="AH197" i="1"/>
  <c r="AG198" i="1"/>
  <c r="AF198" i="1"/>
  <c r="AF197" i="1"/>
  <c r="AJ198" i="1" l="1"/>
  <c r="AJ199" i="1" s="1"/>
  <c r="AJ200" i="1" s="1"/>
  <c r="AJ201" i="1" s="1"/>
  <c r="AH200" i="1"/>
  <c r="A201" i="1"/>
  <c r="AH198" i="1"/>
  <c r="AF200" i="1"/>
  <c r="A202" i="1"/>
  <c r="AI201" i="1" l="1"/>
  <c r="B201" i="1" s="1"/>
  <c r="C201" i="1" s="1"/>
  <c r="A203" i="1"/>
  <c r="AG202" i="1"/>
  <c r="A204" i="1"/>
  <c r="D202" i="1"/>
  <c r="AG203" i="1"/>
  <c r="D203" i="1"/>
  <c r="AH202" i="1" l="1"/>
  <c r="AI204" i="1"/>
  <c r="AJ203" i="1"/>
  <c r="AI203" i="1"/>
  <c r="AF202" i="1"/>
  <c r="AH203" i="1"/>
  <c r="AG204" i="1"/>
  <c r="AF203" i="1"/>
  <c r="A205" i="1"/>
  <c r="AG205" i="1" s="1"/>
  <c r="D205" i="1"/>
  <c r="D204" i="1"/>
  <c r="A206" i="1"/>
  <c r="AJ204" i="1" l="1"/>
  <c r="AJ205" i="1" s="1"/>
  <c r="AI206" i="1"/>
  <c r="AI205" i="1"/>
  <c r="AF205" i="1"/>
  <c r="AG206" i="1"/>
  <c r="AF204" i="1"/>
  <c r="A207" i="1"/>
  <c r="A208" i="1" s="1"/>
  <c r="AH204" i="1"/>
  <c r="D207" i="1"/>
  <c r="D206" i="1"/>
  <c r="AJ206" i="1" l="1"/>
  <c r="AI208" i="1"/>
  <c r="AI207" i="1"/>
  <c r="B207" i="1" s="1"/>
  <c r="C207" i="1" s="1"/>
  <c r="AF206" i="1"/>
  <c r="AH205" i="1"/>
  <c r="AG207" i="1"/>
  <c r="A209" i="1"/>
  <c r="AF207" i="1"/>
  <c r="AG209" i="1"/>
  <c r="A210" i="1"/>
  <c r="D209" i="1"/>
  <c r="AG210" i="1"/>
  <c r="D210" i="1"/>
  <c r="AJ207" i="1" l="1"/>
  <c r="AJ208" i="1" s="1"/>
  <c r="AJ209" i="1" s="1"/>
  <c r="AJ210" i="1"/>
  <c r="AI210" i="1"/>
  <c r="AH209" i="1"/>
  <c r="AH206" i="1"/>
  <c r="A211" i="1"/>
  <c r="AF209" i="1"/>
  <c r="AG211" i="1"/>
  <c r="A212" i="1"/>
  <c r="AH207" i="1"/>
  <c r="D211" i="1"/>
  <c r="AH210" i="1"/>
  <c r="AF210" i="1"/>
  <c r="AI212" i="1" l="1"/>
  <c r="B212" i="1" s="1"/>
  <c r="C212" i="1" s="1"/>
  <c r="AI211" i="1"/>
  <c r="AJ211" i="1"/>
  <c r="AH211" i="1"/>
  <c r="D212" i="1"/>
  <c r="A213" i="1"/>
  <c r="AF211" i="1"/>
  <c r="AG212" i="1"/>
  <c r="AG213" i="1"/>
  <c r="A214" i="1"/>
  <c r="D213" i="1"/>
  <c r="AJ212" i="1" l="1"/>
  <c r="AJ213" i="1" s="1"/>
  <c r="AI214" i="1"/>
  <c r="AI213" i="1"/>
  <c r="A215" i="1"/>
  <c r="AH212" i="1"/>
  <c r="D214" i="1"/>
  <c r="A216" i="1"/>
  <c r="D215" i="1"/>
  <c r="AF212" i="1"/>
  <c r="AF213" i="1"/>
  <c r="AG215" i="1"/>
  <c r="AG214" i="1"/>
  <c r="AG216" i="1"/>
  <c r="AJ214" i="1" l="1"/>
  <c r="AJ215" i="1" s="1"/>
  <c r="AJ216" i="1" s="1"/>
  <c r="AI216" i="1"/>
  <c r="AI215" i="1"/>
  <c r="D216" i="1"/>
  <c r="A217" i="1"/>
  <c r="AF215" i="1"/>
  <c r="D217" i="1"/>
  <c r="AH213" i="1"/>
  <c r="AF214" i="1"/>
  <c r="AG217" i="1"/>
  <c r="AH214" i="1"/>
  <c r="A218" i="1"/>
  <c r="AG218" i="1"/>
  <c r="AI218" i="1" l="1"/>
  <c r="B218" i="1" s="1"/>
  <c r="C218" i="1" s="1"/>
  <c r="AI217" i="1"/>
  <c r="AJ217" i="1"/>
  <c r="AJ218" i="1" s="1"/>
  <c r="D218" i="1"/>
  <c r="AH215" i="1"/>
  <c r="AH216" i="1"/>
  <c r="AF216" i="1"/>
  <c r="A219" i="1"/>
  <c r="AF217" i="1"/>
  <c r="AI219" i="1" l="1"/>
  <c r="D219" i="1"/>
  <c r="AG219" i="1"/>
  <c r="AF218" i="1"/>
  <c r="AH217" i="1"/>
  <c r="AH218" i="1" s="1"/>
  <c r="A220" i="1"/>
  <c r="AJ219" i="1" l="1"/>
  <c r="AI220" i="1"/>
  <c r="AF219" i="1"/>
  <c r="AH219" i="1"/>
  <c r="A221" i="1"/>
  <c r="A222" i="1"/>
  <c r="D221" i="1"/>
  <c r="A223" i="1"/>
  <c r="D222" i="1"/>
  <c r="D223" i="1"/>
  <c r="AG223" i="1"/>
  <c r="AG222" i="1"/>
  <c r="AG221" i="1"/>
  <c r="AH221" i="1" l="1"/>
  <c r="AI223" i="1"/>
  <c r="B223" i="1" s="1"/>
  <c r="C223" i="1" s="1"/>
  <c r="AJ222" i="1"/>
  <c r="AJ223" i="1" s="1"/>
  <c r="AI222" i="1"/>
  <c r="A224" i="1"/>
  <c r="AH222" i="1"/>
  <c r="AF223" i="1"/>
  <c r="AG224" i="1"/>
  <c r="AF222" i="1"/>
  <c r="AF221" i="1"/>
  <c r="D224" i="1"/>
  <c r="AI224" i="1" l="1"/>
  <c r="AJ224" i="1"/>
  <c r="B280" i="1"/>
  <c r="C280" i="1" s="1"/>
  <c r="A225" i="1"/>
  <c r="D225" i="1"/>
  <c r="A226" i="1"/>
  <c r="D226" i="1"/>
  <c r="AF224" i="1"/>
  <c r="AH223" i="1"/>
  <c r="AG225" i="1"/>
  <c r="AG226" i="1"/>
  <c r="AI226" i="1" l="1"/>
  <c r="AI225" i="1"/>
  <c r="AJ225" i="1"/>
  <c r="AJ226" i="1" s="1"/>
  <c r="A227" i="1"/>
  <c r="AH224" i="1"/>
  <c r="AG227" i="1"/>
  <c r="AF226" i="1"/>
  <c r="AF225" i="1"/>
  <c r="D227" i="1"/>
  <c r="A228" i="1"/>
  <c r="AG228" i="1"/>
  <c r="D228" i="1"/>
  <c r="AI228" i="1" l="1"/>
  <c r="AI227" i="1"/>
  <c r="AJ227" i="1"/>
  <c r="AJ228" i="1" s="1"/>
  <c r="A229" i="1"/>
  <c r="AH225" i="1"/>
  <c r="D229" i="1"/>
  <c r="AF228" i="1"/>
  <c r="AF227" i="1"/>
  <c r="AG229" i="1"/>
  <c r="A230" i="1"/>
  <c r="D230" i="1"/>
  <c r="AG230" i="1"/>
  <c r="AI230" i="1" l="1"/>
  <c r="B230" i="1" s="1"/>
  <c r="C230" i="1" s="1"/>
  <c r="AI229" i="1"/>
  <c r="B229" i="1" s="1"/>
  <c r="C229" i="1" s="1"/>
  <c r="AJ229" i="1"/>
  <c r="AJ230" i="1" s="1"/>
  <c r="A231" i="1"/>
  <c r="AH226" i="1"/>
  <c r="D231" i="1"/>
  <c r="AF230" i="1"/>
  <c r="AF229" i="1"/>
  <c r="AG231" i="1"/>
  <c r="AI231" i="1" l="1"/>
  <c r="AJ231" i="1"/>
  <c r="AJ232" i="1" s="1"/>
  <c r="AJ233" i="1" s="1"/>
  <c r="AH227" i="1"/>
  <c r="AH228" i="1"/>
  <c r="AF231" i="1"/>
  <c r="A232" i="1"/>
  <c r="A233" i="1"/>
  <c r="AG233" i="1"/>
  <c r="D233" i="1"/>
  <c r="AH233" i="1" l="1"/>
  <c r="AI232" i="1"/>
  <c r="A234" i="1"/>
  <c r="AH229" i="1"/>
  <c r="D234" i="1"/>
  <c r="AF233" i="1"/>
  <c r="AG234" i="1"/>
  <c r="A235" i="1"/>
  <c r="AG235" i="1" s="1"/>
  <c r="D235" i="1"/>
  <c r="AI235" i="1" l="1"/>
  <c r="AJ234" i="1"/>
  <c r="AJ235" i="1" s="1"/>
  <c r="AI234" i="1"/>
  <c r="A236" i="1"/>
  <c r="AH234" i="1"/>
  <c r="D236" i="1"/>
  <c r="A237" i="1"/>
  <c r="D237" i="1" s="1"/>
  <c r="AF235" i="1"/>
  <c r="AF234" i="1"/>
  <c r="AH230" i="1"/>
  <c r="AH231" i="1" s="1"/>
  <c r="AG236" i="1"/>
  <c r="AG237" i="1"/>
  <c r="AI237" i="1" l="1"/>
  <c r="AI236" i="1"/>
  <c r="AJ236" i="1"/>
  <c r="AJ237" i="1" s="1"/>
  <c r="AH235" i="1"/>
  <c r="AF237" i="1"/>
  <c r="AF236" i="1"/>
  <c r="A238" i="1"/>
  <c r="AH236" i="1"/>
  <c r="AG238" i="1"/>
  <c r="A239" i="1"/>
  <c r="D238" i="1"/>
  <c r="AG239" i="1"/>
  <c r="D239" i="1"/>
  <c r="AI239" i="1" l="1"/>
  <c r="B239" i="1" s="1"/>
  <c r="C239" i="1" s="1"/>
  <c r="AI238" i="1"/>
  <c r="AJ238" i="1"/>
  <c r="AJ239" i="1" s="1"/>
  <c r="AH237" i="1"/>
  <c r="AF239" i="1"/>
  <c r="A240" i="1"/>
  <c r="D240" i="1"/>
  <c r="A241" i="1"/>
  <c r="D241" i="1"/>
  <c r="AH238" i="1"/>
  <c r="AF238" i="1"/>
  <c r="AG240" i="1"/>
  <c r="AG241" i="1"/>
  <c r="AI241" i="1" l="1"/>
  <c r="B241" i="1" s="1"/>
  <c r="C241" i="1" s="1"/>
  <c r="AI240" i="1"/>
  <c r="AJ240" i="1"/>
  <c r="AJ241" i="1" s="1"/>
  <c r="AJ242" i="1" s="1"/>
  <c r="AJ243" i="1" s="1"/>
  <c r="AH239" i="1"/>
  <c r="AF241" i="1"/>
  <c r="AF240" i="1"/>
  <c r="A242" i="1"/>
  <c r="AH240" i="1"/>
  <c r="A243" i="1"/>
  <c r="AG243" i="1"/>
  <c r="A244" i="1"/>
  <c r="D243" i="1"/>
  <c r="D244" i="1"/>
  <c r="A245" i="1"/>
  <c r="D245" i="1"/>
  <c r="AG245" i="1"/>
  <c r="A246" i="1"/>
  <c r="A247" i="1"/>
  <c r="AG247" i="1"/>
  <c r="D247" i="1"/>
  <c r="A248" i="1"/>
  <c r="D248" i="1"/>
  <c r="AG248" i="1"/>
  <c r="A249" i="1"/>
  <c r="AG249" i="1"/>
  <c r="D249" i="1"/>
  <c r="A250" i="1"/>
  <c r="D250" i="1"/>
  <c r="AG250" i="1"/>
  <c r="A251" i="1"/>
  <c r="A252" i="1"/>
  <c r="D252" i="1"/>
  <c r="AG252" i="1"/>
  <c r="A253" i="1"/>
  <c r="D253" i="1"/>
  <c r="AG253" i="1"/>
  <c r="A254" i="1"/>
  <c r="D254" i="1"/>
  <c r="AG254" i="1"/>
  <c r="A255" i="1"/>
  <c r="D255" i="1"/>
  <c r="AG255" i="1"/>
  <c r="A256" i="1"/>
  <c r="D256" i="1"/>
  <c r="AG256" i="1"/>
  <c r="A257" i="1"/>
  <c r="D257" i="1"/>
  <c r="AG257" i="1"/>
  <c r="A258" i="1"/>
  <c r="AG258" i="1"/>
  <c r="D258" i="1"/>
  <c r="A259" i="1"/>
  <c r="D259" i="1"/>
  <c r="AG259" i="1"/>
  <c r="A260" i="1"/>
  <c r="AG260" i="1"/>
  <c r="D260" i="1"/>
  <c r="A261" i="1"/>
  <c r="AG261" i="1"/>
  <c r="D261" i="1"/>
  <c r="A262" i="1"/>
  <c r="D262" i="1"/>
  <c r="A263" i="1"/>
  <c r="A264" i="1"/>
  <c r="D264" i="1"/>
  <c r="AG264" i="1"/>
  <c r="A265" i="1"/>
  <c r="D265" i="1"/>
  <c r="AG265" i="1"/>
  <c r="A266" i="1"/>
  <c r="AI263" i="1" l="1"/>
  <c r="AI262" i="1"/>
  <c r="B262" i="1" s="1"/>
  <c r="C262" i="1" s="1"/>
  <c r="AI261" i="1"/>
  <c r="AI260" i="1"/>
  <c r="B260" i="1" s="1"/>
  <c r="C260" i="1" s="1"/>
  <c r="AI259" i="1"/>
  <c r="AI258" i="1"/>
  <c r="AI257" i="1"/>
  <c r="AI256" i="1"/>
  <c r="B256" i="1" s="1"/>
  <c r="C256" i="1" s="1"/>
  <c r="AI255" i="1"/>
  <c r="AI254" i="1"/>
  <c r="AJ253" i="1"/>
  <c r="AJ254" i="1" s="1"/>
  <c r="AJ255" i="1" s="1"/>
  <c r="AJ256" i="1" s="1"/>
  <c r="AJ257" i="1" s="1"/>
  <c r="AJ258" i="1" s="1"/>
  <c r="AJ259" i="1" s="1"/>
  <c r="AJ260" i="1" s="1"/>
  <c r="AJ261" i="1" s="1"/>
  <c r="AI253" i="1"/>
  <c r="AH252" i="1"/>
  <c r="AI251" i="1"/>
  <c r="B251" i="1" s="1"/>
  <c r="C251" i="1" s="1"/>
  <c r="AI250" i="1"/>
  <c r="AI249" i="1"/>
  <c r="B249" i="1" s="1"/>
  <c r="C249" i="1" s="1"/>
  <c r="AJ248" i="1"/>
  <c r="AJ249" i="1" s="1"/>
  <c r="AJ250" i="1" s="1"/>
  <c r="AJ251" i="1" s="1"/>
  <c r="AI248" i="1"/>
  <c r="B248" i="1" s="1"/>
  <c r="C248" i="1" s="1"/>
  <c r="AH247" i="1"/>
  <c r="AI246" i="1"/>
  <c r="AI245" i="1"/>
  <c r="AI244" i="1"/>
  <c r="AH243" i="1"/>
  <c r="AI242" i="1"/>
  <c r="AH264" i="1"/>
  <c r="AI266" i="1"/>
  <c r="AJ265" i="1"/>
  <c r="AJ266" i="1" s="1"/>
  <c r="AJ267" i="1" s="1"/>
  <c r="AI265" i="1"/>
  <c r="B265" i="1" s="1"/>
  <c r="C265" i="1" s="1"/>
  <c r="AH241" i="1"/>
  <c r="AF261" i="1"/>
  <c r="AF260" i="1"/>
  <c r="AF257" i="1"/>
  <c r="AF253" i="1"/>
  <c r="AF249" i="1"/>
  <c r="AH244" i="1"/>
  <c r="AF243" i="1"/>
  <c r="AF264" i="1"/>
  <c r="AF256" i="1"/>
  <c r="AH253" i="1"/>
  <c r="AH248" i="1"/>
  <c r="AF245" i="1"/>
  <c r="AH265" i="1"/>
  <c r="AG262" i="1"/>
  <c r="AF262" i="1"/>
  <c r="AF259" i="1"/>
  <c r="AF254" i="1"/>
  <c r="AF252" i="1"/>
  <c r="AF248" i="1"/>
  <c r="AG244" i="1"/>
  <c r="AF265" i="1"/>
  <c r="AF258" i="1"/>
  <c r="AF255" i="1"/>
  <c r="AF250" i="1"/>
  <c r="AF247" i="1"/>
  <c r="AF244" i="1"/>
  <c r="A267" i="1"/>
  <c r="AG267" i="1"/>
  <c r="AJ244" i="1" l="1"/>
  <c r="AJ245" i="1" s="1"/>
  <c r="AJ246" i="1" s="1"/>
  <c r="AJ247" i="1" s="1"/>
  <c r="AJ262" i="1"/>
  <c r="A268" i="1"/>
  <c r="AH254" i="1"/>
  <c r="D268" i="1"/>
  <c r="AH249" i="1"/>
  <c r="AH245" i="1"/>
  <c r="D267" i="1"/>
  <c r="A269" i="1"/>
  <c r="A270" i="1" s="1"/>
  <c r="AG268" i="1"/>
  <c r="D269" i="1"/>
  <c r="AI268" i="1" l="1"/>
  <c r="AH267" i="1"/>
  <c r="AJ268" i="1"/>
  <c r="AI270" i="1"/>
  <c r="B270" i="1" s="1"/>
  <c r="C270" i="1" s="1"/>
  <c r="AI269" i="1"/>
  <c r="AH250" i="1"/>
  <c r="AF267" i="1"/>
  <c r="AF269" i="1"/>
  <c r="AF268" i="1"/>
  <c r="AH255" i="1"/>
  <c r="D270" i="1"/>
  <c r="AH268" i="1"/>
  <c r="A271" i="1"/>
  <c r="AG269" i="1"/>
  <c r="AG270" i="1"/>
  <c r="A272" i="1"/>
  <c r="D272" i="1"/>
  <c r="AG272" i="1"/>
  <c r="AG271" i="1"/>
  <c r="D271" i="1"/>
  <c r="AJ269" i="1" l="1"/>
  <c r="AJ270" i="1" s="1"/>
  <c r="AJ271" i="1" s="1"/>
  <c r="AJ272" i="1" s="1"/>
  <c r="AI272" i="1"/>
  <c r="B272" i="1" s="1"/>
  <c r="C272" i="1" s="1"/>
  <c r="AI271" i="1"/>
  <c r="AH256" i="1"/>
  <c r="AF270" i="1"/>
  <c r="A273" i="1"/>
  <c r="D273" i="1"/>
  <c r="AG273" i="1"/>
  <c r="A274" i="1"/>
  <c r="AH269" i="1"/>
  <c r="AH270" i="1"/>
  <c r="AF271" i="1"/>
  <c r="AF272" i="1"/>
  <c r="AG274" i="1"/>
  <c r="AI274" i="1" l="1"/>
  <c r="AI273" i="1"/>
  <c r="AJ273" i="1"/>
  <c r="AJ274" i="1" s="1"/>
  <c r="AH257" i="1"/>
  <c r="D274" i="1"/>
  <c r="AF273" i="1"/>
  <c r="A275" i="1"/>
  <c r="AG275" i="1"/>
  <c r="AH271" i="1"/>
  <c r="AH272" i="1"/>
  <c r="D275" i="1"/>
  <c r="A276" i="1"/>
  <c r="A277" i="1"/>
  <c r="D276" i="1"/>
  <c r="AI275" i="1" l="1"/>
  <c r="AJ275" i="1"/>
  <c r="AI277" i="1"/>
  <c r="AI276" i="1"/>
  <c r="AG277" i="1"/>
  <c r="AF274" i="1"/>
  <c r="AH273" i="1"/>
  <c r="AG276" i="1"/>
  <c r="AH258" i="1"/>
  <c r="AF276" i="1"/>
  <c r="AF275" i="1"/>
  <c r="D277" i="1"/>
  <c r="A278" i="1"/>
  <c r="AJ276" i="1" l="1"/>
  <c r="AJ277" i="1" s="1"/>
  <c r="AJ278" i="1" s="1"/>
  <c r="AI278" i="1"/>
  <c r="AH259" i="1"/>
  <c r="A279" i="1"/>
  <c r="D279" i="1"/>
  <c r="AF277" i="1"/>
  <c r="AH274" i="1"/>
  <c r="A280" i="1"/>
  <c r="D280" i="1" s="1"/>
  <c r="AG280" i="1"/>
  <c r="A281" i="1"/>
  <c r="D281" i="1"/>
  <c r="AG279" i="1"/>
  <c r="AH279" i="1" l="1"/>
  <c r="AI281" i="1"/>
  <c r="AJ280" i="1"/>
  <c r="AI280" i="1"/>
  <c r="AG281" i="1"/>
  <c r="AH275" i="1"/>
  <c r="AF280" i="1"/>
  <c r="AH260" i="1"/>
  <c r="AH261" i="1" s="1"/>
  <c r="AH262" i="1" s="1"/>
  <c r="AF281" i="1"/>
  <c r="AF279" i="1"/>
  <c r="AH280" i="1"/>
  <c r="A282" i="1"/>
  <c r="D282" i="1"/>
  <c r="A283" i="1"/>
  <c r="AG282" i="1"/>
  <c r="AJ281" i="1" l="1"/>
  <c r="AJ282" i="1" s="1"/>
  <c r="AI283" i="1"/>
  <c r="AI282" i="1"/>
  <c r="B282" i="1" s="1"/>
  <c r="C282" i="1" s="1"/>
  <c r="AG283" i="1"/>
  <c r="A284" i="1"/>
  <c r="A285" i="1"/>
  <c r="A286" i="1"/>
  <c r="D283" i="1"/>
  <c r="D285" i="1"/>
  <c r="AH276" i="1"/>
  <c r="AG284" i="1"/>
  <c r="AH281" i="1"/>
  <c r="A287" i="1"/>
  <c r="D287" i="1" s="1"/>
  <c r="AG285" i="1"/>
  <c r="AF282" i="1"/>
  <c r="D284" i="1"/>
  <c r="AG287" i="1"/>
  <c r="AJ283" i="1" l="1"/>
  <c r="AI284" i="1"/>
  <c r="B284" i="1" s="1"/>
  <c r="C284" i="1" s="1"/>
  <c r="AJ284" i="1"/>
  <c r="AJ285" i="1" s="1"/>
  <c r="AJ286" i="1" s="1"/>
  <c r="AJ287" i="1" s="1"/>
  <c r="AH287" i="1"/>
  <c r="AI286" i="1"/>
  <c r="AI285" i="1"/>
  <c r="AH277" i="1"/>
  <c r="AF283" i="1"/>
  <c r="A288" i="1"/>
  <c r="AH282" i="1"/>
  <c r="AF284" i="1"/>
  <c r="AF287" i="1"/>
  <c r="AF285" i="1"/>
  <c r="D288" i="1"/>
  <c r="A289" i="1"/>
  <c r="AI289" i="1" l="1"/>
  <c r="B289" i="1" s="1"/>
  <c r="C289" i="1" s="1"/>
  <c r="AI288" i="1"/>
  <c r="B3" i="7"/>
  <c r="A3" i="10"/>
  <c r="B3" i="6"/>
  <c r="B3" i="8"/>
  <c r="B4" i="11"/>
  <c r="B4" i="7"/>
  <c r="B4" i="6"/>
  <c r="B4" i="8"/>
  <c r="B5" i="6"/>
  <c r="B6" i="6"/>
  <c r="B25" i="4"/>
  <c r="AG288" i="1"/>
  <c r="A290" i="1"/>
  <c r="D290" i="1"/>
  <c r="AF288" i="1"/>
  <c r="AG290" i="1"/>
  <c r="AH288" i="1"/>
  <c r="A291" i="1"/>
  <c r="AG291" i="1" s="1"/>
  <c r="D291" i="1"/>
  <c r="AH283" i="1"/>
  <c r="A292" i="1"/>
  <c r="AJ288" i="1" l="1"/>
  <c r="AJ289" i="1" s="1"/>
  <c r="AJ290" i="1" s="1"/>
  <c r="AI292" i="1"/>
  <c r="AJ291" i="1"/>
  <c r="AJ292" i="1" s="1"/>
  <c r="AJ293" i="1" s="1"/>
  <c r="AI291" i="1"/>
  <c r="B291" i="1" s="1"/>
  <c r="C291" i="1" s="1"/>
  <c r="AH290" i="1"/>
  <c r="I25" i="4"/>
  <c r="F25" i="4"/>
  <c r="G25" i="4"/>
  <c r="E25" i="4"/>
  <c r="D6" i="6"/>
  <c r="F6" i="6"/>
  <c r="E6" i="6"/>
  <c r="C5" i="6"/>
  <c r="G5" i="6"/>
  <c r="J4" i="8"/>
  <c r="D4" i="8"/>
  <c r="F4" i="8"/>
  <c r="E4" i="8"/>
  <c r="H4" i="6"/>
  <c r="G4" i="6"/>
  <c r="C4" i="7"/>
  <c r="D4" i="7"/>
  <c r="C4" i="11"/>
  <c r="D4" i="11"/>
  <c r="H4" i="11"/>
  <c r="J3" i="8"/>
  <c r="G3" i="8"/>
  <c r="H3" i="8"/>
  <c r="E3" i="8"/>
  <c r="F3" i="6"/>
  <c r="G3" i="6"/>
  <c r="E3" i="6"/>
  <c r="C3" i="10"/>
  <c r="E3" i="10"/>
  <c r="D3" i="10"/>
  <c r="D3" i="7"/>
  <c r="F3" i="7"/>
  <c r="E3" i="7"/>
  <c r="H5" i="6"/>
  <c r="H4" i="7"/>
  <c r="C25" i="4"/>
  <c r="J25" i="4"/>
  <c r="D25" i="4"/>
  <c r="H25" i="4"/>
  <c r="C6" i="6"/>
  <c r="H6" i="6"/>
  <c r="G6" i="6"/>
  <c r="D5" i="6"/>
  <c r="E5" i="6"/>
  <c r="C4" i="8"/>
  <c r="I4" i="8"/>
  <c r="G4" i="8"/>
  <c r="H4" i="8"/>
  <c r="C4" i="6"/>
  <c r="D4" i="6"/>
  <c r="F4" i="6"/>
  <c r="E4" i="6"/>
  <c r="G4" i="7"/>
  <c r="E4" i="7"/>
  <c r="G4" i="11"/>
  <c r="F4" i="11"/>
  <c r="E4" i="11"/>
  <c r="C3" i="8"/>
  <c r="I3" i="8"/>
  <c r="D3" i="8"/>
  <c r="F3" i="8"/>
  <c r="C3" i="6"/>
  <c r="D3" i="6"/>
  <c r="H3" i="6"/>
  <c r="B3" i="10"/>
  <c r="F3" i="10"/>
  <c r="G3" i="10"/>
  <c r="C3" i="7"/>
  <c r="G3" i="7"/>
  <c r="H3" i="7"/>
  <c r="F5" i="6"/>
  <c r="F4" i="7"/>
  <c r="B5" i="7"/>
  <c r="B26" i="4"/>
  <c r="B7" i="6"/>
  <c r="AH284" i="1"/>
  <c r="AH285" i="1"/>
  <c r="AF290" i="1"/>
  <c r="AF291" i="1"/>
  <c r="A293" i="1"/>
  <c r="A294" i="1" s="1"/>
  <c r="AH291" i="1"/>
  <c r="D293" i="1"/>
  <c r="AG294" i="1"/>
  <c r="AG293" i="1"/>
  <c r="AI294" i="1" l="1"/>
  <c r="AH293" i="1"/>
  <c r="AJ294" i="1"/>
  <c r="M3" i="10"/>
  <c r="I7" i="6"/>
  <c r="J7" i="6"/>
  <c r="F7" i="6"/>
  <c r="E7" i="6"/>
  <c r="C7" i="6"/>
  <c r="A7" i="6" s="1"/>
  <c r="D7" i="6"/>
  <c r="G7" i="6"/>
  <c r="H7" i="6"/>
  <c r="J6" i="6"/>
  <c r="J4" i="6"/>
  <c r="N3" i="10"/>
  <c r="I3" i="10" s="1"/>
  <c r="K1" i="10" s="1"/>
  <c r="J4" i="11"/>
  <c r="J5" i="6"/>
  <c r="A3" i="7"/>
  <c r="A3" i="6"/>
  <c r="K3" i="8"/>
  <c r="L3" i="8" s="1"/>
  <c r="M3" i="8" s="1"/>
  <c r="A3" i="8"/>
  <c r="A4" i="6"/>
  <c r="K4" i="8"/>
  <c r="L4" i="8" s="1"/>
  <c r="M4" i="8" s="1"/>
  <c r="A4" i="8"/>
  <c r="A6" i="6"/>
  <c r="A25" i="4"/>
  <c r="J3" i="6"/>
  <c r="J4" i="7"/>
  <c r="J3" i="7"/>
  <c r="A4" i="11"/>
  <c r="A4" i="7"/>
  <c r="A5" i="6"/>
  <c r="K25" i="4"/>
  <c r="I5" i="6"/>
  <c r="I4" i="7"/>
  <c r="H3" i="10"/>
  <c r="G26" i="4"/>
  <c r="J26" i="4"/>
  <c r="I26" i="4"/>
  <c r="F26" i="4"/>
  <c r="C5" i="7"/>
  <c r="E5" i="7"/>
  <c r="H26" i="4"/>
  <c r="C26" i="4"/>
  <c r="E26" i="4"/>
  <c r="D26" i="4"/>
  <c r="B6" i="7"/>
  <c r="F5" i="7"/>
  <c r="G5" i="7"/>
  <c r="D5" i="7"/>
  <c r="H5" i="7"/>
  <c r="D294" i="1"/>
  <c r="A295" i="1"/>
  <c r="AG295" i="1"/>
  <c r="D295" i="1"/>
  <c r="AF293" i="1"/>
  <c r="A296" i="1"/>
  <c r="AI296" i="1" l="1"/>
  <c r="B296" i="1" s="1"/>
  <c r="C296" i="1" s="1"/>
  <c r="AI295" i="1"/>
  <c r="AJ295" i="1"/>
  <c r="K7" i="6"/>
  <c r="L7" i="6" s="1"/>
  <c r="M7" i="6" s="1"/>
  <c r="K4" i="7"/>
  <c r="L4" i="7" s="1"/>
  <c r="M4" i="7" s="1"/>
  <c r="J3" i="10"/>
  <c r="K3" i="10" s="1"/>
  <c r="L3" i="10" s="1"/>
  <c r="J5" i="7"/>
  <c r="J6" i="7"/>
  <c r="I6" i="7"/>
  <c r="A26" i="4"/>
  <c r="A5" i="7"/>
  <c r="K26" i="4"/>
  <c r="L26" i="4" s="1"/>
  <c r="M26" i="4" s="1"/>
  <c r="I6" i="6"/>
  <c r="K6" i="6" s="1"/>
  <c r="L6" i="6" s="1"/>
  <c r="M6" i="6" s="1"/>
  <c r="I4" i="11"/>
  <c r="K4" i="11" s="1"/>
  <c r="L4" i="11" s="1"/>
  <c r="M4" i="11" s="1"/>
  <c r="I3" i="6"/>
  <c r="K3" i="6" s="1"/>
  <c r="L3" i="6" s="1"/>
  <c r="M3" i="6" s="1"/>
  <c r="I4" i="6"/>
  <c r="K4" i="6" s="1"/>
  <c r="L4" i="6" s="1"/>
  <c r="M4" i="6" s="1"/>
  <c r="L25" i="4"/>
  <c r="M25" i="4" s="1"/>
  <c r="K5" i="6"/>
  <c r="L5" i="6" s="1"/>
  <c r="M5" i="6" s="1"/>
  <c r="G6" i="7"/>
  <c r="F6" i="7"/>
  <c r="H6" i="7"/>
  <c r="D6" i="7"/>
  <c r="E6" i="7"/>
  <c r="C6" i="7"/>
  <c r="AF294" i="1"/>
  <c r="A297" i="1"/>
  <c r="D297" i="1"/>
  <c r="AF295" i="1"/>
  <c r="AH294" i="1"/>
  <c r="AH295" i="1"/>
  <c r="AG297" i="1"/>
  <c r="AH297" i="1" l="1"/>
  <c r="K6" i="7"/>
  <c r="L6" i="7" s="1"/>
  <c r="M6" i="7" s="1"/>
  <c r="A6" i="7"/>
  <c r="I5" i="7"/>
  <c r="K5" i="7" s="1"/>
  <c r="L5" i="7" s="1"/>
  <c r="M5" i="7" s="1"/>
  <c r="A298" i="1"/>
  <c r="A299" i="1"/>
  <c r="D299" i="1"/>
  <c r="D298" i="1"/>
  <c r="AG298" i="1"/>
  <c r="AG299" i="1"/>
  <c r="AF297" i="1"/>
  <c r="AI299" i="1" l="1"/>
  <c r="AJ298" i="1"/>
  <c r="AJ299" i="1" s="1"/>
  <c r="AI298" i="1"/>
  <c r="B298" i="1" s="1"/>
  <c r="C298" i="1" s="1"/>
  <c r="AH298" i="1"/>
  <c r="AF299" i="1"/>
  <c r="A300" i="1"/>
  <c r="AG300" i="1"/>
  <c r="AF298" i="1"/>
  <c r="A301" i="1"/>
  <c r="AG301" i="1"/>
  <c r="D301" i="1"/>
  <c r="D300" i="1"/>
  <c r="AI301" i="1" l="1"/>
  <c r="AI300" i="1"/>
  <c r="B300" i="1" s="1"/>
  <c r="C300" i="1" s="1"/>
  <c r="AJ300" i="1"/>
  <c r="AJ301" i="1" s="1"/>
  <c r="AH299" i="1"/>
  <c r="AF300" i="1"/>
  <c r="AH300" i="1"/>
  <c r="AF301" i="1"/>
  <c r="A302" i="1"/>
  <c r="D302" i="1"/>
  <c r="AG302" i="1"/>
  <c r="AI302" i="1" l="1"/>
  <c r="AJ302" i="1"/>
  <c r="AH326" i="1"/>
  <c r="A303" i="1"/>
  <c r="AF302" i="1"/>
  <c r="AH301" i="1"/>
  <c r="AH302" i="1" s="1"/>
  <c r="A304" i="1"/>
  <c r="AG304" i="1"/>
  <c r="AI303" i="1" l="1"/>
  <c r="AJ327" i="1"/>
  <c r="D304" i="1"/>
  <c r="A305" i="1"/>
  <c r="A306" i="1"/>
  <c r="D305" i="1"/>
  <c r="AG306" i="1"/>
  <c r="AG305" i="1"/>
  <c r="AH304" i="1" l="1"/>
  <c r="AI306" i="1"/>
  <c r="AJ305" i="1"/>
  <c r="AJ306" i="1" s="1"/>
  <c r="AI305" i="1"/>
  <c r="B305" i="1" s="1"/>
  <c r="C305" i="1" s="1"/>
  <c r="D306" i="1"/>
  <c r="AF304" i="1"/>
  <c r="A307" i="1"/>
  <c r="AG307" i="1"/>
  <c r="AF305" i="1"/>
  <c r="AH305" i="1"/>
  <c r="D307" i="1"/>
  <c r="AJ307" i="1" l="1"/>
  <c r="AI307" i="1"/>
  <c r="B307" i="1" s="1"/>
  <c r="C307" i="1" s="1"/>
  <c r="AF306" i="1"/>
  <c r="AF307" i="1"/>
  <c r="A308" i="1"/>
  <c r="A309" i="1"/>
  <c r="AG309" i="1"/>
  <c r="AH306" i="1"/>
  <c r="AH307" i="1"/>
  <c r="AG308" i="1"/>
  <c r="D308" i="1"/>
  <c r="D309" i="1"/>
  <c r="AI309" i="1" l="1"/>
  <c r="AI308" i="1"/>
  <c r="AJ308" i="1"/>
  <c r="AJ309" i="1" s="1"/>
  <c r="AF308" i="1"/>
  <c r="AF309" i="1"/>
  <c r="A310" i="1"/>
  <c r="AG310" i="1" s="1"/>
  <c r="D310" i="1"/>
  <c r="AH308" i="1"/>
  <c r="AI310" i="1" l="1"/>
  <c r="AJ310" i="1"/>
  <c r="AH309" i="1"/>
  <c r="A311" i="1"/>
  <c r="A312" i="1"/>
  <c r="AF310" i="1"/>
  <c r="AH310" i="1"/>
  <c r="D311" i="1"/>
  <c r="AG311" i="1"/>
  <c r="AI312" i="1" l="1"/>
  <c r="AI311" i="1"/>
  <c r="B311" i="1" s="1"/>
  <c r="C311" i="1" s="1"/>
  <c r="AJ311" i="1"/>
  <c r="AJ312" i="1" s="1"/>
  <c r="A313" i="1"/>
  <c r="D313" i="1"/>
  <c r="AG313" i="1"/>
  <c r="AF311" i="1"/>
  <c r="AH311" i="1"/>
  <c r="A314" i="1"/>
  <c r="A315" i="1"/>
  <c r="A316" i="1" s="1"/>
  <c r="AG315" i="1"/>
  <c r="A317" i="1"/>
  <c r="A318" i="1" s="1"/>
  <c r="AG317" i="1"/>
  <c r="A319" i="1"/>
  <c r="A320" i="1" s="1"/>
  <c r="A321" i="1" s="1"/>
  <c r="AG319" i="1"/>
  <c r="D320" i="1"/>
  <c r="AG321" i="1"/>
  <c r="A322" i="1"/>
  <c r="A323" i="1"/>
  <c r="A324" i="1" s="1"/>
  <c r="D323" i="1"/>
  <c r="AG324" i="1"/>
  <c r="A325" i="1"/>
  <c r="A326" i="1" s="1"/>
  <c r="D325" i="1"/>
  <c r="A327" i="1"/>
  <c r="A328" i="1" s="1"/>
  <c r="AG327" i="1"/>
  <c r="AG328" i="1"/>
  <c r="A329" i="1"/>
  <c r="A330" i="1" s="1"/>
  <c r="D329" i="1"/>
  <c r="D330" i="1"/>
  <c r="A331" i="1"/>
  <c r="A332" i="1" s="1"/>
  <c r="A333" i="1" s="1"/>
  <c r="AG331" i="1"/>
  <c r="AG332" i="1"/>
  <c r="D333" i="1"/>
  <c r="A334" i="1"/>
  <c r="A335" i="1" s="1"/>
  <c r="AG334" i="1"/>
  <c r="AG335" i="1"/>
  <c r="A336" i="1"/>
  <c r="A337" i="1"/>
  <c r="A338" i="1" s="1"/>
  <c r="D337" i="1"/>
  <c r="A339" i="1"/>
  <c r="A340" i="1" s="1"/>
  <c r="D339" i="1"/>
  <c r="AG340" i="1"/>
  <c r="A341" i="1"/>
  <c r="A342" i="1" s="1"/>
  <c r="AG341" i="1"/>
  <c r="AG342" i="1"/>
  <c r="A343" i="1"/>
  <c r="A344" i="1" s="1"/>
  <c r="D343" i="1"/>
  <c r="D344" i="1"/>
  <c r="A345" i="1"/>
  <c r="A346" i="1" s="1"/>
  <c r="D345" i="1"/>
  <c r="A347" i="1"/>
  <c r="A348" i="1" s="1"/>
  <c r="AG347" i="1"/>
  <c r="D348" i="1"/>
  <c r="AG348" i="1"/>
  <c r="D347" i="1"/>
  <c r="AG345" i="1"/>
  <c r="AG344" i="1"/>
  <c r="AG343" i="1"/>
  <c r="D342" i="1"/>
  <c r="D341" i="1"/>
  <c r="D340" i="1"/>
  <c r="AG339" i="1"/>
  <c r="AG337" i="1"/>
  <c r="AG336" i="1"/>
  <c r="D335" i="1"/>
  <c r="D334" i="1"/>
  <c r="AG333" i="1"/>
  <c r="D331" i="1"/>
  <c r="AG330" i="1"/>
  <c r="AG329" i="1"/>
  <c r="D328" i="1"/>
  <c r="D327" i="1"/>
  <c r="AG325" i="1"/>
  <c r="D324" i="1"/>
  <c r="AG323" i="1"/>
  <c r="D322" i="1"/>
  <c r="D321" i="1"/>
  <c r="D319" i="1"/>
  <c r="D317" i="1"/>
  <c r="D315" i="1"/>
  <c r="AI338" i="1" l="1"/>
  <c r="AI337" i="1"/>
  <c r="AI336" i="1"/>
  <c r="B336" i="1" s="1"/>
  <c r="C336" i="1" s="1"/>
  <c r="AI335" i="1"/>
  <c r="AI334" i="1"/>
  <c r="B334" i="1" s="1"/>
  <c r="C334" i="1" s="1"/>
  <c r="AI333" i="1"/>
  <c r="AI332" i="1"/>
  <c r="B332" i="1" s="1"/>
  <c r="C332" i="1" s="1"/>
  <c r="AI331" i="1"/>
  <c r="AI330" i="1"/>
  <c r="B330" i="1" s="1"/>
  <c r="C330" i="1" s="1"/>
  <c r="AI329" i="1"/>
  <c r="AJ328" i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I328" i="1"/>
  <c r="B328" i="1" s="1"/>
  <c r="C328" i="1" s="1"/>
  <c r="AH327" i="1"/>
  <c r="AI326" i="1"/>
  <c r="AI325" i="1"/>
  <c r="AI324" i="1"/>
  <c r="AI323" i="1"/>
  <c r="AI322" i="1"/>
  <c r="AI321" i="1"/>
  <c r="B321" i="1" s="1"/>
  <c r="C321" i="1" s="1"/>
  <c r="AI320" i="1"/>
  <c r="B320" i="1" s="1"/>
  <c r="C320" i="1" s="1"/>
  <c r="AH319" i="1"/>
  <c r="AI318" i="1"/>
  <c r="AH317" i="1"/>
  <c r="AI316" i="1"/>
  <c r="AH315" i="1"/>
  <c r="AI314" i="1"/>
  <c r="B314" i="1" s="1"/>
  <c r="C314" i="1" s="1"/>
  <c r="AH313" i="1"/>
  <c r="AI344" i="1"/>
  <c r="B344" i="1" s="1"/>
  <c r="C344" i="1" s="1"/>
  <c r="AI343" i="1"/>
  <c r="AI342" i="1"/>
  <c r="AI341" i="1"/>
  <c r="AJ340" i="1"/>
  <c r="AJ341" i="1" s="1"/>
  <c r="AJ342" i="1" s="1"/>
  <c r="AJ343" i="1" s="1"/>
  <c r="AJ344" i="1" s="1"/>
  <c r="AJ345" i="1" s="1"/>
  <c r="AI340" i="1"/>
  <c r="AH339" i="1"/>
  <c r="AI345" i="1"/>
  <c r="AJ348" i="1"/>
  <c r="AH347" i="1"/>
  <c r="AI348" i="1"/>
  <c r="AI346" i="1"/>
  <c r="AF333" i="1"/>
  <c r="AF327" i="1"/>
  <c r="AH320" i="1"/>
  <c r="AH348" i="1"/>
  <c r="AF315" i="1"/>
  <c r="AH340" i="1"/>
  <c r="AF335" i="1"/>
  <c r="AF328" i="1"/>
  <c r="AG322" i="1"/>
  <c r="AF313" i="1"/>
  <c r="AF323" i="1"/>
  <c r="AF343" i="1"/>
  <c r="AF334" i="1"/>
  <c r="AF341" i="1"/>
  <c r="D336" i="1"/>
  <c r="AF329" i="1"/>
  <c r="AF322" i="1"/>
  <c r="AF317" i="1"/>
  <c r="AF331" i="1"/>
  <c r="AF342" i="1"/>
  <c r="AF337" i="1"/>
  <c r="AF330" i="1"/>
  <c r="AF324" i="1"/>
  <c r="AG320" i="1"/>
  <c r="AF348" i="1"/>
  <c r="AH328" i="1"/>
  <c r="AF321" i="1"/>
  <c r="AF344" i="1"/>
  <c r="AF340" i="1"/>
  <c r="AF339" i="1"/>
  <c r="AF325" i="1"/>
  <c r="AF345" i="1"/>
  <c r="A349" i="1"/>
  <c r="A350" i="1" s="1"/>
  <c r="D349" i="1"/>
  <c r="D332" i="1"/>
  <c r="AF319" i="1"/>
  <c r="AF347" i="1"/>
  <c r="AF320" i="1"/>
  <c r="AG349" i="1"/>
  <c r="AJ320" i="1" l="1"/>
  <c r="AJ321" i="1" s="1"/>
  <c r="AJ322" i="1" s="1"/>
  <c r="AJ323" i="1" s="1"/>
  <c r="AJ324" i="1" s="1"/>
  <c r="AJ325" i="1" s="1"/>
  <c r="AJ326" i="1" s="1"/>
  <c r="AJ349" i="1"/>
  <c r="AI350" i="1"/>
  <c r="AI349" i="1"/>
  <c r="AF332" i="1"/>
  <c r="AH321" i="1"/>
  <c r="AH349" i="1"/>
  <c r="AG350" i="1"/>
  <c r="AH341" i="1"/>
  <c r="A351" i="1"/>
  <c r="AH329" i="1"/>
  <c r="D350" i="1"/>
  <c r="AF349" i="1"/>
  <c r="AH342" i="1"/>
  <c r="AF336" i="1"/>
  <c r="AJ350" i="1" l="1"/>
  <c r="AI351" i="1"/>
  <c r="B351" i="1" s="1"/>
  <c r="C351" i="1" s="1"/>
  <c r="AH322" i="1"/>
  <c r="D351" i="1"/>
  <c r="AG351" i="1"/>
  <c r="A352" i="1"/>
  <c r="AH323" i="1"/>
  <c r="AH350" i="1"/>
  <c r="AH330" i="1"/>
  <c r="AH343" i="1"/>
  <c r="AF350" i="1"/>
  <c r="AJ351" i="1" l="1"/>
  <c r="AI352" i="1"/>
  <c r="AH324" i="1"/>
  <c r="AH331" i="1"/>
  <c r="D352" i="1"/>
  <c r="A353" i="1"/>
  <c r="AH344" i="1"/>
  <c r="AG353" i="1"/>
  <c r="AG352" i="1"/>
  <c r="AF351" i="1"/>
  <c r="AH325" i="1"/>
  <c r="A354" i="1"/>
  <c r="AH351" i="1"/>
  <c r="D354" i="1"/>
  <c r="AJ352" i="1" l="1"/>
  <c r="AJ353" i="1" s="1"/>
  <c r="AI354" i="1"/>
  <c r="B354" i="1" s="1"/>
  <c r="C354" i="1" s="1"/>
  <c r="AI353" i="1"/>
  <c r="D353" i="1"/>
  <c r="AF352" i="1"/>
  <c r="A355" i="1"/>
  <c r="AG354" i="1"/>
  <c r="AH332" i="1"/>
  <c r="AH333" i="1" s="1"/>
  <c r="AH345" i="1"/>
  <c r="AH352" i="1"/>
  <c r="AF354" i="1"/>
  <c r="A356" i="1"/>
  <c r="AG355" i="1"/>
  <c r="AJ354" i="1" l="1"/>
  <c r="AJ355" i="1" s="1"/>
  <c r="AJ356" i="1" s="1"/>
  <c r="AJ357" i="1" s="1"/>
  <c r="AJ358" i="1" s="1"/>
  <c r="AJ359" i="1" s="1"/>
  <c r="AI356" i="1"/>
  <c r="AI355" i="1"/>
  <c r="D355" i="1"/>
  <c r="AF353" i="1"/>
  <c r="AH334" i="1"/>
  <c r="AH353" i="1"/>
  <c r="AH356" i="1" l="1"/>
  <c r="AH335" i="1"/>
  <c r="A82" i="2" l="1"/>
  <c r="A85" i="2" s="1"/>
  <c r="H85" i="2" s="1"/>
  <c r="A84" i="2"/>
  <c r="B84" i="2" s="1"/>
  <c r="A87" i="2"/>
  <c r="H87" i="2" s="1"/>
  <c r="A90" i="2"/>
  <c r="A91" i="2" s="1"/>
  <c r="A88" i="2" s="1"/>
  <c r="A89" i="2" s="1"/>
  <c r="A92" i="2" s="1"/>
  <c r="A93" i="2" s="1"/>
  <c r="AH336" i="1"/>
  <c r="AH337" i="1" s="1"/>
  <c r="C84" i="2" l="1"/>
  <c r="C85" i="2"/>
  <c r="B87" i="2"/>
  <c r="E87" i="2" s="1"/>
  <c r="F85" i="2"/>
  <c r="H84" i="2"/>
  <c r="I85" i="2"/>
  <c r="B85" i="2"/>
  <c r="E85" i="2" s="1"/>
  <c r="I87" i="2"/>
  <c r="C87" i="2"/>
  <c r="F87" i="2"/>
  <c r="I84" i="2"/>
  <c r="F84" i="2"/>
  <c r="E84" i="2"/>
  <c r="G87" i="2"/>
  <c r="R87" i="2"/>
  <c r="R84" i="2"/>
  <c r="G84" i="2"/>
  <c r="K84" i="2"/>
  <c r="L84" i="2"/>
  <c r="R85" i="2"/>
  <c r="G85" i="2"/>
  <c r="G93" i="2"/>
  <c r="R93" i="2"/>
  <c r="R92" i="2"/>
  <c r="G92" i="2"/>
  <c r="R88" i="2"/>
  <c r="G88" i="2"/>
  <c r="R89" i="2"/>
  <c r="G89" i="2"/>
  <c r="G91" i="2"/>
  <c r="R91" i="2"/>
  <c r="R90" i="2"/>
  <c r="G90" i="2"/>
  <c r="K87" i="2"/>
  <c r="L87" i="2"/>
  <c r="L85" i="2"/>
  <c r="K85" i="2"/>
  <c r="R82" i="2"/>
  <c r="G82" i="2"/>
  <c r="N84" i="2"/>
  <c r="H93" i="2"/>
  <c r="C93" i="2"/>
  <c r="F92" i="2"/>
  <c r="H92" i="2"/>
  <c r="H88" i="2"/>
  <c r="B88" i="2"/>
  <c r="I88" i="2"/>
  <c r="H89" i="2"/>
  <c r="B89" i="2"/>
  <c r="C89" i="2"/>
  <c r="I91" i="2"/>
  <c r="C91" i="2"/>
  <c r="H91" i="2"/>
  <c r="F91" i="2"/>
  <c r="H90" i="2"/>
  <c r="F90" i="2"/>
  <c r="I90" i="2"/>
  <c r="N87" i="2"/>
  <c r="I93" i="2"/>
  <c r="F93" i="2"/>
  <c r="B93" i="2"/>
  <c r="I92" i="2"/>
  <c r="C92" i="2"/>
  <c r="B92" i="2"/>
  <c r="C88" i="2"/>
  <c r="F88" i="2"/>
  <c r="I89" i="2"/>
  <c r="F89" i="2"/>
  <c r="B91" i="2"/>
  <c r="B90" i="2"/>
  <c r="C90" i="2"/>
  <c r="F82" i="2"/>
  <c r="H82" i="2"/>
  <c r="N85" i="2"/>
  <c r="I82" i="2"/>
  <c r="C82" i="2"/>
  <c r="B82" i="2"/>
  <c r="J90" i="2"/>
  <c r="AH354" i="1"/>
  <c r="J84" i="2"/>
  <c r="J82" i="2"/>
  <c r="A357" i="1"/>
  <c r="AH355" i="1"/>
  <c r="J92" i="2"/>
  <c r="AG357" i="1"/>
  <c r="D357" i="1"/>
  <c r="J89" i="2"/>
  <c r="AF355" i="1"/>
  <c r="J87" i="2"/>
  <c r="J93" i="2"/>
  <c r="A2" i="2"/>
  <c r="A358" i="1"/>
  <c r="A359" i="1" s="1"/>
  <c r="J85" i="2"/>
  <c r="J91" i="2"/>
  <c r="J88" i="2"/>
  <c r="D359" i="1"/>
  <c r="AH359" i="1" l="1"/>
  <c r="AH357" i="1"/>
  <c r="AI358" i="1"/>
  <c r="R2" i="2"/>
  <c r="G2" i="2"/>
  <c r="M84" i="2"/>
  <c r="O84" i="2" s="1"/>
  <c r="P84" i="2" s="1"/>
  <c r="Q84" i="2" s="1"/>
  <c r="E82" i="2"/>
  <c r="K82" i="2"/>
  <c r="L82" i="2"/>
  <c r="E90" i="2"/>
  <c r="L90" i="2"/>
  <c r="K90" i="2"/>
  <c r="E91" i="2"/>
  <c r="K91" i="2"/>
  <c r="L91" i="2"/>
  <c r="E92" i="2"/>
  <c r="K92" i="2"/>
  <c r="L92" i="2"/>
  <c r="E93" i="2"/>
  <c r="K93" i="2"/>
  <c r="L93" i="2"/>
  <c r="E89" i="2"/>
  <c r="K89" i="2"/>
  <c r="L89" i="2"/>
  <c r="E88" i="2"/>
  <c r="K88" i="2"/>
  <c r="L88" i="2"/>
  <c r="M85" i="2"/>
  <c r="O85" i="2" s="1"/>
  <c r="P85" i="2" s="1"/>
  <c r="Q85" i="2" s="1"/>
  <c r="M87" i="2"/>
  <c r="O87" i="2" s="1"/>
  <c r="P87" i="2" s="1"/>
  <c r="Q87" i="2" s="1"/>
  <c r="N82" i="2"/>
  <c r="N91" i="2"/>
  <c r="N92" i="2"/>
  <c r="N90" i="2"/>
  <c r="N93" i="2"/>
  <c r="N89" i="2"/>
  <c r="N88" i="2"/>
  <c r="A53" i="2"/>
  <c r="A50" i="2"/>
  <c r="A49" i="2"/>
  <c r="A52" i="2"/>
  <c r="A51" i="2"/>
  <c r="A56" i="2"/>
  <c r="A57" i="2"/>
  <c r="A54" i="2"/>
  <c r="A55" i="2"/>
  <c r="A58" i="2"/>
  <c r="A59" i="2"/>
  <c r="J51" i="2"/>
  <c r="AF357" i="1"/>
  <c r="J2" i="2"/>
  <c r="J50" i="2"/>
  <c r="J58" i="2"/>
  <c r="A360" i="1"/>
  <c r="D360" i="1"/>
  <c r="H2" i="2"/>
  <c r="I2" i="2"/>
  <c r="F2" i="2"/>
  <c r="J54" i="2"/>
  <c r="AG359" i="1"/>
  <c r="B2" i="2"/>
  <c r="J56" i="2"/>
  <c r="J57" i="2"/>
  <c r="J49" i="2"/>
  <c r="AF359" i="1"/>
  <c r="J59" i="2"/>
  <c r="A361" i="1"/>
  <c r="J53" i="2"/>
  <c r="J52" i="2"/>
  <c r="A362" i="1"/>
  <c r="A363" i="1" s="1"/>
  <c r="AG361" i="1"/>
  <c r="AG360" i="1"/>
  <c r="AG362" i="1"/>
  <c r="A364" i="1"/>
  <c r="D364" i="1"/>
  <c r="A365" i="1"/>
  <c r="D365" i="1"/>
  <c r="AG364" i="1"/>
  <c r="A366" i="1"/>
  <c r="D366" i="1"/>
  <c r="J55" i="2"/>
  <c r="AG365" i="1"/>
  <c r="D363" i="1"/>
  <c r="AG363" i="1"/>
  <c r="D361" i="1"/>
  <c r="D362" i="1"/>
  <c r="A367" i="1"/>
  <c r="AG366" i="1"/>
  <c r="D367" i="1"/>
  <c r="AG367" i="1"/>
  <c r="AI361" i="1" l="1"/>
  <c r="B361" i="1" s="1"/>
  <c r="C361" i="1" s="1"/>
  <c r="AJ360" i="1"/>
  <c r="AJ361" i="1" s="1"/>
  <c r="AJ362" i="1" s="1"/>
  <c r="AI360" i="1"/>
  <c r="AI365" i="1"/>
  <c r="AI364" i="1"/>
  <c r="AI363" i="1"/>
  <c r="AI362" i="1"/>
  <c r="AI367" i="1"/>
  <c r="AI366" i="1"/>
  <c r="B366" i="1" s="1"/>
  <c r="C366" i="1" s="1"/>
  <c r="G59" i="2"/>
  <c r="R59" i="2"/>
  <c r="G58" i="2"/>
  <c r="R58" i="2"/>
  <c r="G55" i="2"/>
  <c r="R55" i="2"/>
  <c r="R54" i="2"/>
  <c r="G54" i="2"/>
  <c r="G57" i="2"/>
  <c r="R57" i="2"/>
  <c r="R56" i="2"/>
  <c r="G56" i="2"/>
  <c r="G51" i="2"/>
  <c r="R51" i="2"/>
  <c r="G52" i="2"/>
  <c r="R52" i="2"/>
  <c r="G49" i="2"/>
  <c r="R49" i="2"/>
  <c r="G50" i="2"/>
  <c r="R50" i="2"/>
  <c r="R53" i="2"/>
  <c r="G53" i="2"/>
  <c r="M88" i="2"/>
  <c r="O88" i="2" s="1"/>
  <c r="P88" i="2" s="1"/>
  <c r="Q88" i="2" s="1"/>
  <c r="M89" i="2"/>
  <c r="O89" i="2" s="1"/>
  <c r="P89" i="2" s="1"/>
  <c r="Q89" i="2" s="1"/>
  <c r="M93" i="2"/>
  <c r="O93" i="2" s="1"/>
  <c r="P93" i="2" s="1"/>
  <c r="Q93" i="2" s="1"/>
  <c r="M91" i="2"/>
  <c r="O91" i="2" s="1"/>
  <c r="P91" i="2" s="1"/>
  <c r="Q91" i="2" s="1"/>
  <c r="M90" i="2"/>
  <c r="O90" i="2" s="1"/>
  <c r="P90" i="2" s="1"/>
  <c r="Q90" i="2" s="1"/>
  <c r="M92" i="2"/>
  <c r="O92" i="2" s="1"/>
  <c r="P92" i="2" s="1"/>
  <c r="Q92" i="2" s="1"/>
  <c r="M82" i="2"/>
  <c r="I59" i="2"/>
  <c r="H59" i="2"/>
  <c r="B59" i="2"/>
  <c r="I58" i="2"/>
  <c r="H58" i="2"/>
  <c r="B58" i="2"/>
  <c r="I55" i="2"/>
  <c r="C55" i="2"/>
  <c r="H55" i="2"/>
  <c r="I54" i="2"/>
  <c r="F54" i="2"/>
  <c r="H54" i="2"/>
  <c r="C54" i="2"/>
  <c r="I57" i="2"/>
  <c r="B57" i="2"/>
  <c r="C57" i="2"/>
  <c r="I56" i="2"/>
  <c r="H56" i="2"/>
  <c r="C56" i="2"/>
  <c r="I51" i="2"/>
  <c r="F51" i="2"/>
  <c r="B51" i="2"/>
  <c r="B52" i="2"/>
  <c r="I52" i="2"/>
  <c r="C52" i="2"/>
  <c r="H49" i="2"/>
  <c r="I49" i="2"/>
  <c r="B49" i="2"/>
  <c r="I50" i="2"/>
  <c r="H50" i="2"/>
  <c r="F50" i="2"/>
  <c r="F53" i="2"/>
  <c r="H53" i="2"/>
  <c r="C53" i="2"/>
  <c r="C59" i="2"/>
  <c r="F59" i="2"/>
  <c r="F58" i="2"/>
  <c r="C58" i="2"/>
  <c r="F55" i="2"/>
  <c r="B55" i="2"/>
  <c r="B54" i="2"/>
  <c r="H57" i="2"/>
  <c r="F57" i="2"/>
  <c r="F56" i="2"/>
  <c r="B56" i="2"/>
  <c r="H51" i="2"/>
  <c r="C51" i="2"/>
  <c r="H52" i="2"/>
  <c r="F52" i="2"/>
  <c r="F49" i="2"/>
  <c r="C49" i="2"/>
  <c r="B50" i="2"/>
  <c r="C50" i="2"/>
  <c r="B53" i="2"/>
  <c r="I53" i="2"/>
  <c r="AF363" i="1"/>
  <c r="A368" i="1"/>
  <c r="AG368" i="1"/>
  <c r="AF361" i="1"/>
  <c r="AF362" i="1"/>
  <c r="AF360" i="1"/>
  <c r="AF367" i="1"/>
  <c r="B3" i="4"/>
  <c r="AF365" i="1"/>
  <c r="D368" i="1"/>
  <c r="A369" i="1"/>
  <c r="AH360" i="1"/>
  <c r="AF364" i="1"/>
  <c r="AF366" i="1"/>
  <c r="AH361" i="1"/>
  <c r="AJ363" i="1" l="1"/>
  <c r="AJ365" i="1" s="1"/>
  <c r="AJ366" i="1" s="1"/>
  <c r="AJ367" i="1" s="1"/>
  <c r="AJ368" i="1" s="1"/>
  <c r="AI369" i="1"/>
  <c r="B369" i="1" s="1"/>
  <c r="C369" i="1" s="1"/>
  <c r="AI368" i="1"/>
  <c r="E53" i="2"/>
  <c r="L53" i="2"/>
  <c r="K53" i="2"/>
  <c r="E50" i="2"/>
  <c r="K50" i="2"/>
  <c r="L50" i="2"/>
  <c r="B27" i="4"/>
  <c r="E56" i="2"/>
  <c r="L56" i="2"/>
  <c r="K56" i="2"/>
  <c r="B28" i="4"/>
  <c r="E54" i="2"/>
  <c r="K54" i="2"/>
  <c r="L54" i="2"/>
  <c r="E55" i="2"/>
  <c r="L55" i="2"/>
  <c r="K55" i="2"/>
  <c r="B29" i="4"/>
  <c r="E49" i="2"/>
  <c r="K49" i="2"/>
  <c r="L49" i="2"/>
  <c r="E52" i="2"/>
  <c r="K52" i="2"/>
  <c r="L52" i="2"/>
  <c r="E51" i="2"/>
  <c r="L51" i="2"/>
  <c r="K51" i="2"/>
  <c r="E57" i="2"/>
  <c r="K57" i="2"/>
  <c r="L57" i="2"/>
  <c r="E58" i="2"/>
  <c r="K58" i="2"/>
  <c r="L58" i="2"/>
  <c r="E59" i="2"/>
  <c r="K59" i="2"/>
  <c r="L59" i="2"/>
  <c r="O82" i="2"/>
  <c r="P82" i="2" s="1"/>
  <c r="Q82" i="2" s="1"/>
  <c r="N53" i="2"/>
  <c r="N50" i="2"/>
  <c r="N54" i="2"/>
  <c r="N55" i="2"/>
  <c r="N49" i="2"/>
  <c r="N52" i="2"/>
  <c r="N51" i="2"/>
  <c r="N57" i="2"/>
  <c r="N58" i="2"/>
  <c r="N59" i="2"/>
  <c r="N56" i="2"/>
  <c r="AG369" i="1"/>
  <c r="D369" i="1"/>
  <c r="AJ369" i="1" l="1"/>
  <c r="AJ364" i="1"/>
  <c r="M51" i="2"/>
  <c r="O51" i="2" s="1"/>
  <c r="P51" i="2" s="1"/>
  <c r="Q51" i="2" s="1"/>
  <c r="M55" i="2"/>
  <c r="O55" i="2" s="1"/>
  <c r="P55" i="2" s="1"/>
  <c r="Q55" i="2" s="1"/>
  <c r="M53" i="2"/>
  <c r="O53" i="2" s="1"/>
  <c r="P53" i="2" s="1"/>
  <c r="Q53" i="2" s="1"/>
  <c r="M59" i="2"/>
  <c r="O59" i="2" s="1"/>
  <c r="P59" i="2" s="1"/>
  <c r="Q59" i="2" s="1"/>
  <c r="M58" i="2"/>
  <c r="O58" i="2" s="1"/>
  <c r="P58" i="2" s="1"/>
  <c r="Q58" i="2" s="1"/>
  <c r="M57" i="2"/>
  <c r="O57" i="2" s="1"/>
  <c r="P57" i="2" s="1"/>
  <c r="Q57" i="2" s="1"/>
  <c r="M52" i="2"/>
  <c r="O52" i="2" s="1"/>
  <c r="P52" i="2" s="1"/>
  <c r="Q52" i="2" s="1"/>
  <c r="M49" i="2"/>
  <c r="O49" i="2" s="1"/>
  <c r="P49" i="2" s="1"/>
  <c r="Q49" i="2" s="1"/>
  <c r="F29" i="4"/>
  <c r="I29" i="4"/>
  <c r="D29" i="4"/>
  <c r="C29" i="4"/>
  <c r="J29" i="4"/>
  <c r="G29" i="4"/>
  <c r="H29" i="4"/>
  <c r="E29" i="4"/>
  <c r="M54" i="2"/>
  <c r="O54" i="2" s="1"/>
  <c r="P54" i="2" s="1"/>
  <c r="Q54" i="2" s="1"/>
  <c r="M56" i="2"/>
  <c r="O56" i="2" s="1"/>
  <c r="P56" i="2" s="1"/>
  <c r="Q56" i="2" s="1"/>
  <c r="C27" i="4"/>
  <c r="E27" i="4"/>
  <c r="J27" i="4"/>
  <c r="D27" i="4"/>
  <c r="H27" i="4"/>
  <c r="F27" i="4"/>
  <c r="I27" i="4"/>
  <c r="G27" i="4"/>
  <c r="M50" i="2"/>
  <c r="O50" i="2" s="1"/>
  <c r="P50" i="2" s="1"/>
  <c r="Q50" i="2" s="1"/>
  <c r="F28" i="4"/>
  <c r="C28" i="4"/>
  <c r="H28" i="4"/>
  <c r="G28" i="4"/>
  <c r="D28" i="4"/>
  <c r="I28" i="4"/>
  <c r="J28" i="4"/>
  <c r="E28" i="4"/>
  <c r="F3" i="4"/>
  <c r="AF368" i="1"/>
  <c r="AF369" i="1"/>
  <c r="H3" i="4"/>
  <c r="G3" i="4"/>
  <c r="A370" i="1"/>
  <c r="E3" i="4"/>
  <c r="D3" i="4"/>
  <c r="A371" i="1"/>
  <c r="AH362" i="1"/>
  <c r="C3" i="4"/>
  <c r="D371" i="1"/>
  <c r="AH371" i="1" l="1"/>
  <c r="A3" i="4"/>
  <c r="AI370" i="1"/>
  <c r="K27" i="4"/>
  <c r="L27" i="4" s="1"/>
  <c r="M27" i="4" s="1"/>
  <c r="K28" i="4"/>
  <c r="L28" i="4" s="1"/>
  <c r="M28" i="4" s="1"/>
  <c r="A29" i="4"/>
  <c r="K29" i="4"/>
  <c r="L29" i="4" s="1"/>
  <c r="M29" i="4" s="1"/>
  <c r="A28" i="4"/>
  <c r="A27" i="4"/>
  <c r="I3" i="7"/>
  <c r="K3" i="7" s="1"/>
  <c r="L3" i="7" s="1"/>
  <c r="M3" i="7" s="1"/>
  <c r="D375" i="1"/>
  <c r="AG375" i="1"/>
  <c r="D376" i="1"/>
  <c r="AG376" i="1"/>
  <c r="AG371" i="1"/>
  <c r="AF371" i="1"/>
  <c r="A372" i="1"/>
  <c r="A373" i="1" s="1"/>
  <c r="AH363" i="1"/>
  <c r="D373" i="1"/>
  <c r="AH373" i="1" l="1"/>
  <c r="AI372" i="1"/>
  <c r="B372" i="1" s="1"/>
  <c r="C372" i="1" s="1"/>
  <c r="AJ375" i="1"/>
  <c r="AJ376" i="1"/>
  <c r="AJ377" i="1" s="1"/>
  <c r="AH375" i="1"/>
  <c r="AF376" i="1"/>
  <c r="AH376" i="1"/>
  <c r="AF375" i="1"/>
  <c r="AG378" i="1"/>
  <c r="D378" i="1"/>
  <c r="AG379" i="1"/>
  <c r="D379" i="1"/>
  <c r="AG373" i="1"/>
  <c r="AF373" i="1"/>
  <c r="AH364" i="1"/>
  <c r="A374" i="1"/>
  <c r="A375" i="1"/>
  <c r="AI374" i="1" l="1"/>
  <c r="B374" i="1" s="1"/>
  <c r="C374" i="1" s="1"/>
  <c r="AJ378" i="1"/>
  <c r="AJ379" i="1"/>
  <c r="AH378" i="1"/>
  <c r="AH379" i="1"/>
  <c r="AF379" i="1"/>
  <c r="AF378" i="1"/>
  <c r="D380" i="1"/>
  <c r="AG380" i="1"/>
  <c r="D381" i="1"/>
  <c r="AG381" i="1"/>
  <c r="AG383" i="1"/>
  <c r="D383" i="1"/>
  <c r="A376" i="1"/>
  <c r="AH365" i="1"/>
  <c r="AI376" i="1" l="1"/>
  <c r="AJ383" i="1"/>
  <c r="AH383" i="1"/>
  <c r="AJ380" i="1"/>
  <c r="AJ381" i="1" s="1"/>
  <c r="AF383" i="1"/>
  <c r="AF381" i="1"/>
  <c r="AH380" i="1"/>
  <c r="AH381" i="1" s="1"/>
  <c r="AF380" i="1"/>
  <c r="AG384" i="1"/>
  <c r="D384" i="1"/>
  <c r="A377" i="1"/>
  <c r="AH366" i="1"/>
  <c r="AH367" i="1"/>
  <c r="A378" i="1"/>
  <c r="AI377" i="1" l="1"/>
  <c r="AJ384" i="1"/>
  <c r="AF384" i="1"/>
  <c r="AH384" i="1"/>
  <c r="D385" i="1"/>
  <c r="AG385" i="1"/>
  <c r="A379" i="1"/>
  <c r="A380" i="1"/>
  <c r="A381" i="1"/>
  <c r="AH368" i="1"/>
  <c r="AI380" i="1" l="1"/>
  <c r="B380" i="1" s="1"/>
  <c r="C380" i="1" s="1"/>
  <c r="AI379" i="1"/>
  <c r="AI381" i="1"/>
  <c r="AJ385" i="1"/>
  <c r="AH385" i="1"/>
  <c r="AF385" i="1"/>
  <c r="AG386" i="1"/>
  <c r="D386" i="1"/>
  <c r="A382" i="1"/>
  <c r="AH369" i="1"/>
  <c r="AI382" i="1" l="1"/>
  <c r="AJ386" i="1"/>
  <c r="AF386" i="1"/>
  <c r="AH386" i="1"/>
  <c r="AG388" i="1"/>
  <c r="D388" i="1"/>
  <c r="AG389" i="1"/>
  <c r="D389" i="1"/>
  <c r="AG390" i="1"/>
  <c r="D390" i="1"/>
  <c r="AG391" i="1"/>
  <c r="D391" i="1"/>
  <c r="AG392" i="1"/>
  <c r="D392" i="1"/>
  <c r="AC386" i="1"/>
  <c r="AB386" i="1"/>
  <c r="AC384" i="1"/>
  <c r="AB384" i="1"/>
  <c r="AC378" i="1"/>
  <c r="AB378" i="1"/>
  <c r="AB379" i="1"/>
  <c r="AC379" i="1"/>
  <c r="AC375" i="1"/>
  <c r="AB375" i="1"/>
  <c r="AB376" i="1"/>
  <c r="AC376" i="1"/>
  <c r="AB383" i="1"/>
  <c r="AC383" i="1"/>
  <c r="AB381" i="1"/>
  <c r="AC381" i="1"/>
  <c r="AC380" i="1"/>
  <c r="AB380" i="1"/>
  <c r="AC385" i="1"/>
  <c r="AB385" i="1"/>
  <c r="A383" i="1"/>
  <c r="A384" i="1" s="1"/>
  <c r="A385" i="1"/>
  <c r="AI385" i="1" l="1"/>
  <c r="B385" i="1" s="1"/>
  <c r="C385" i="1" s="1"/>
  <c r="AI384" i="1"/>
  <c r="AJ388" i="1"/>
  <c r="AJ389" i="1"/>
  <c r="AJ390" i="1" s="1"/>
  <c r="AJ391" i="1" s="1"/>
  <c r="AJ392" i="1" s="1"/>
  <c r="AH388" i="1"/>
  <c r="AI90" i="1"/>
  <c r="B90" i="1" s="1"/>
  <c r="C90" i="1" s="1"/>
  <c r="AI44" i="1"/>
  <c r="B44" i="1" s="1"/>
  <c r="C44" i="1" s="1"/>
  <c r="AI172" i="1"/>
  <c r="B172" i="1" s="1"/>
  <c r="C172" i="1" s="1"/>
  <c r="AI373" i="1"/>
  <c r="B373" i="1" s="1"/>
  <c r="C373" i="1" s="1"/>
  <c r="AI243" i="1"/>
  <c r="B243" i="1" s="1"/>
  <c r="C243" i="1" s="1"/>
  <c r="AI85" i="1"/>
  <c r="B85" i="1" s="1"/>
  <c r="C85" i="1" s="1"/>
  <c r="AI101" i="1"/>
  <c r="B101" i="1" s="1"/>
  <c r="C101" i="1" s="1"/>
  <c r="AI156" i="1"/>
  <c r="B156" i="1" s="1"/>
  <c r="C156" i="1" s="1"/>
  <c r="AI375" i="1"/>
  <c r="B375" i="1" s="1"/>
  <c r="C375" i="1" s="1"/>
  <c r="AI159" i="1"/>
  <c r="B159" i="1" s="1"/>
  <c r="C159" i="1" s="1"/>
  <c r="AI221" i="1"/>
  <c r="B221" i="1" s="1"/>
  <c r="C221" i="1" s="1"/>
  <c r="AI117" i="1"/>
  <c r="B117" i="1" s="1"/>
  <c r="C117" i="1" s="1"/>
  <c r="AI130" i="1"/>
  <c r="B130" i="1" s="1"/>
  <c r="C130" i="1" s="1"/>
  <c r="AI359" i="1"/>
  <c r="B359" i="1" s="1"/>
  <c r="C359" i="1" s="1"/>
  <c r="AI187" i="1"/>
  <c r="B187" i="1" s="1"/>
  <c r="C187" i="1" s="1"/>
  <c r="AI185" i="1"/>
  <c r="B185" i="1" s="1"/>
  <c r="C185" i="1" s="1"/>
  <c r="AI94" i="1"/>
  <c r="B94" i="1" s="1"/>
  <c r="C94" i="1" s="1"/>
  <c r="AI247" i="1"/>
  <c r="B247" i="1" s="1"/>
  <c r="C247" i="1" s="1"/>
  <c r="AI41" i="1"/>
  <c r="B41" i="1" s="1"/>
  <c r="C41" i="1" s="1"/>
  <c r="AI26" i="1"/>
  <c r="B26" i="1" s="1"/>
  <c r="C26" i="1" s="1"/>
  <c r="AI297" i="1"/>
  <c r="B297" i="1" s="1"/>
  <c r="C297" i="1" s="1"/>
  <c r="AI87" i="1"/>
  <c r="B87" i="1" s="1"/>
  <c r="C87" i="1" s="1"/>
  <c r="K2" i="2"/>
  <c r="AI32" i="1"/>
  <c r="B32" i="1" s="1"/>
  <c r="C32" i="1" s="1"/>
  <c r="AI107" i="1"/>
  <c r="B107" i="1" s="1"/>
  <c r="C107" i="1" s="1"/>
  <c r="AI264" i="1"/>
  <c r="B264" i="1" s="1"/>
  <c r="C264" i="1" s="1"/>
  <c r="AI290" i="1"/>
  <c r="B290" i="1" s="1"/>
  <c r="C290" i="1" s="1"/>
  <c r="AI141" i="1"/>
  <c r="B141" i="1" s="1"/>
  <c r="C141" i="1" s="1"/>
  <c r="AI152" i="1"/>
  <c r="B152" i="1" s="1"/>
  <c r="C152" i="1" s="1"/>
  <c r="AI378" i="1"/>
  <c r="B378" i="1" s="1"/>
  <c r="C378" i="1" s="1"/>
  <c r="AI293" i="1"/>
  <c r="B293" i="1" s="1"/>
  <c r="C293" i="1" s="1"/>
  <c r="AI136" i="1"/>
  <c r="B136" i="1" s="1"/>
  <c r="C136" i="1" s="1"/>
  <c r="AI357" i="1"/>
  <c r="B357" i="1" s="1"/>
  <c r="C357" i="1" s="1"/>
  <c r="AI77" i="1"/>
  <c r="B77" i="1" s="1"/>
  <c r="C77" i="1" s="1"/>
  <c r="AI69" i="1"/>
  <c r="B69" i="1" s="1"/>
  <c r="C69" i="1" s="1"/>
  <c r="AI122" i="1"/>
  <c r="B122" i="1" s="1"/>
  <c r="C122" i="1" s="1"/>
  <c r="AI319" i="1"/>
  <c r="B319" i="1" s="1"/>
  <c r="C319" i="1" s="1"/>
  <c r="AI347" i="1"/>
  <c r="B347" i="1" s="1"/>
  <c r="C347" i="1" s="1"/>
  <c r="AI115" i="1"/>
  <c r="B115" i="1" s="1"/>
  <c r="C115" i="1" s="1"/>
  <c r="AI99" i="1"/>
  <c r="B99" i="1" s="1"/>
  <c r="C99" i="1" s="1"/>
  <c r="AI279" i="1"/>
  <c r="B279" i="1" s="1"/>
  <c r="C279" i="1" s="1"/>
  <c r="AI92" i="1"/>
  <c r="B92" i="1" s="1"/>
  <c r="C92" i="1" s="1"/>
  <c r="AI28" i="1"/>
  <c r="B28" i="1" s="1"/>
  <c r="C28" i="1" s="1"/>
  <c r="AI52" i="1"/>
  <c r="B52" i="1" s="1"/>
  <c r="C52" i="1" s="1"/>
  <c r="AI74" i="1"/>
  <c r="B74" i="1" s="1"/>
  <c r="C74" i="1" s="1"/>
  <c r="AI3" i="1"/>
  <c r="B3" i="1" s="1"/>
  <c r="AI109" i="1"/>
  <c r="B109" i="1" s="1"/>
  <c r="C109" i="1" s="1"/>
  <c r="AI126" i="1"/>
  <c r="B126" i="1" s="1"/>
  <c r="C126" i="1" s="1"/>
  <c r="L2" i="2"/>
  <c r="AI164" i="1"/>
  <c r="B164" i="1" s="1"/>
  <c r="C164" i="1" s="1"/>
  <c r="AI287" i="1"/>
  <c r="B287" i="1" s="1"/>
  <c r="C287" i="1" s="1"/>
  <c r="AI200" i="1"/>
  <c r="B200" i="1" s="1"/>
  <c r="C200" i="1" s="1"/>
  <c r="AI37" i="1"/>
  <c r="B37" i="1" s="1"/>
  <c r="C37" i="1" s="1"/>
  <c r="AI313" i="1"/>
  <c r="B313" i="1" s="1"/>
  <c r="C313" i="1" s="1"/>
  <c r="AI233" i="1"/>
  <c r="B233" i="1" s="1"/>
  <c r="C233" i="1" s="1"/>
  <c r="AI39" i="1"/>
  <c r="B39" i="1" s="1"/>
  <c r="C39" i="1" s="1"/>
  <c r="AI83" i="1"/>
  <c r="B83" i="1" s="1"/>
  <c r="C83" i="1" s="1"/>
  <c r="AI119" i="1"/>
  <c r="B119" i="1" s="1"/>
  <c r="C119" i="1" s="1"/>
  <c r="AI190" i="1"/>
  <c r="B190" i="1" s="1"/>
  <c r="C190" i="1" s="1"/>
  <c r="AI58" i="1"/>
  <c r="B58" i="1" s="1"/>
  <c r="C58" i="1" s="1"/>
  <c r="AI339" i="1"/>
  <c r="B339" i="1" s="1"/>
  <c r="C339" i="1" s="1"/>
  <c r="AI112" i="1"/>
  <c r="B112" i="1" s="1"/>
  <c r="C112" i="1" s="1"/>
  <c r="AI371" i="1"/>
  <c r="B371" i="1" s="1"/>
  <c r="C371" i="1" s="1"/>
  <c r="AI267" i="1"/>
  <c r="B267" i="1" s="1"/>
  <c r="C267" i="1" s="1"/>
  <c r="AI315" i="1"/>
  <c r="B315" i="1" s="1"/>
  <c r="C315" i="1" s="1"/>
  <c r="AI80" i="1"/>
  <c r="B80" i="1" s="1"/>
  <c r="C80" i="1" s="1"/>
  <c r="AI30" i="1"/>
  <c r="B30" i="1" s="1"/>
  <c r="C30" i="1" s="1"/>
  <c r="AI383" i="1"/>
  <c r="B383" i="1" s="1"/>
  <c r="C383" i="1" s="1"/>
  <c r="AI181" i="1"/>
  <c r="B181" i="1" s="1"/>
  <c r="C181" i="1" s="1"/>
  <c r="AI13" i="1"/>
  <c r="B13" i="1" s="1"/>
  <c r="C13" i="1" s="1"/>
  <c r="AI252" i="1"/>
  <c r="B252" i="1" s="1"/>
  <c r="C252" i="1" s="1"/>
  <c r="AI194" i="1"/>
  <c r="B194" i="1" s="1"/>
  <c r="C194" i="1" s="1"/>
  <c r="AI24" i="1"/>
  <c r="B24" i="1" s="1"/>
  <c r="C24" i="1" s="1"/>
  <c r="AI202" i="1"/>
  <c r="B202" i="1" s="1"/>
  <c r="C202" i="1" s="1"/>
  <c r="E2" i="2"/>
  <c r="AI327" i="1"/>
  <c r="B327" i="1" s="1"/>
  <c r="C327" i="1" s="1"/>
  <c r="AI317" i="1"/>
  <c r="B317" i="1" s="1"/>
  <c r="C317" i="1" s="1"/>
  <c r="AI209" i="1"/>
  <c r="B209" i="1" s="1"/>
  <c r="C209" i="1" s="1"/>
  <c r="AI304" i="1"/>
  <c r="B304" i="1" s="1"/>
  <c r="C304" i="1" s="1"/>
  <c r="C3" i="1"/>
  <c r="M2" i="2"/>
  <c r="AC392" i="1"/>
  <c r="AF392" i="1"/>
  <c r="AB392" i="1"/>
  <c r="AF391" i="1"/>
  <c r="AB391" i="1"/>
  <c r="AC391" i="1"/>
  <c r="AF390" i="1"/>
  <c r="AC390" i="1"/>
  <c r="AB390" i="1"/>
  <c r="AF389" i="1"/>
  <c r="AC389" i="1"/>
  <c r="AH389" i="1"/>
  <c r="AH390" i="1" s="1"/>
  <c r="AH391" i="1" s="1"/>
  <c r="AH392" i="1" s="1"/>
  <c r="AB389" i="1"/>
  <c r="AF388" i="1"/>
  <c r="AB388" i="1"/>
  <c r="AC388" i="1"/>
  <c r="A386" i="1"/>
  <c r="A387" i="1"/>
  <c r="AI387" i="1" l="1"/>
  <c r="B387" i="1" s="1"/>
  <c r="C387" i="1" s="1"/>
  <c r="AI386" i="1"/>
  <c r="B388" i="1"/>
  <c r="C388" i="1" s="1"/>
  <c r="B24" i="4" l="1"/>
  <c r="AC270" i="1"/>
  <c r="AC55" i="1"/>
  <c r="AC63" i="1"/>
  <c r="AC94" i="1"/>
  <c r="AB262" i="1"/>
  <c r="AB272" i="1"/>
  <c r="AC95" i="1"/>
  <c r="AC226" i="1"/>
  <c r="AB87" i="1"/>
  <c r="AB96" i="1"/>
  <c r="AB37" i="1"/>
  <c r="AB245" i="1"/>
  <c r="AC124" i="1"/>
  <c r="AC174" i="1"/>
  <c r="AC196" i="1"/>
  <c r="AC252" i="1"/>
  <c r="AB56" i="1"/>
  <c r="AB323" i="1"/>
  <c r="AB273" i="1"/>
  <c r="AC61" i="1"/>
  <c r="AC345" i="1"/>
  <c r="AB152" i="1"/>
  <c r="AC234" i="1"/>
  <c r="AB59" i="1"/>
  <c r="AB280" i="1"/>
  <c r="AB24" i="1"/>
  <c r="AC225" i="1"/>
  <c r="AB55" i="1"/>
  <c r="AC302" i="1"/>
  <c r="AC185" i="1"/>
  <c r="AB302" i="1"/>
  <c r="AB288" i="1"/>
  <c r="AB70" i="1"/>
  <c r="AC191" i="1"/>
  <c r="AC136" i="1"/>
  <c r="AC77" i="1"/>
  <c r="AB48" i="1"/>
  <c r="AC139" i="1"/>
  <c r="AB66" i="1"/>
  <c r="AC138" i="1"/>
  <c r="AC21" i="1"/>
  <c r="AB127" i="1"/>
  <c r="AC147" i="1"/>
  <c r="AC295" i="1"/>
  <c r="AC299" i="1"/>
  <c r="AB215" i="1"/>
  <c r="AC279" i="1"/>
  <c r="AB252" i="1"/>
  <c r="AB227" i="1"/>
  <c r="AB216" i="1"/>
  <c r="AB112" i="1"/>
  <c r="AB352" i="1"/>
  <c r="AB309" i="1"/>
  <c r="AB241" i="1"/>
  <c r="AC311" i="1"/>
  <c r="AC298" i="1"/>
  <c r="AB315" i="1"/>
  <c r="AB339" i="1"/>
  <c r="AB365" i="1"/>
  <c r="AC172" i="1"/>
  <c r="AB130" i="1"/>
  <c r="AC347" i="1"/>
  <c r="AC273" i="1"/>
  <c r="AB160" i="1"/>
  <c r="AC119" i="1"/>
  <c r="AC307" i="1"/>
  <c r="AB30" i="1"/>
  <c r="AB71" i="1"/>
  <c r="AC153" i="1"/>
  <c r="AC49" i="1"/>
  <c r="AB293" i="1"/>
  <c r="AC190" i="1"/>
  <c r="AB133" i="1"/>
  <c r="AC257" i="1"/>
  <c r="AC160" i="1"/>
  <c r="AC268" i="1"/>
  <c r="AB329" i="1"/>
  <c r="AC369" i="1"/>
  <c r="AC165" i="1"/>
  <c r="AB209" i="1"/>
  <c r="AC45" i="1"/>
  <c r="AB234" i="1"/>
  <c r="AC210" i="1"/>
  <c r="AB328" i="1"/>
  <c r="AB276" i="1"/>
  <c r="AB182" i="1"/>
  <c r="AB300" i="1"/>
  <c r="AB178" i="1"/>
  <c r="AC46" i="1"/>
  <c r="AC288" i="1"/>
  <c r="AC290" i="1"/>
  <c r="AC222" i="1"/>
  <c r="AB291" i="1"/>
  <c r="AB117" i="1"/>
  <c r="AC22" i="1"/>
  <c r="AC212" i="1"/>
  <c r="AB159" i="1"/>
  <c r="AC41" i="1"/>
  <c r="AB185" i="1"/>
  <c r="AB361" i="1"/>
  <c r="AC99" i="1"/>
  <c r="AB364" i="1"/>
  <c r="AB85" i="1"/>
  <c r="AB223" i="1"/>
  <c r="AB136" i="1"/>
  <c r="AC321" i="1"/>
  <c r="AB204" i="1"/>
  <c r="AC19" i="1"/>
  <c r="AC37" i="1"/>
  <c r="AC70" i="1"/>
  <c r="AC284" i="1"/>
  <c r="AC291" i="1"/>
  <c r="AC16" i="1"/>
  <c r="AC348" i="1"/>
  <c r="AC362" i="1"/>
  <c r="AB176" i="1"/>
  <c r="AC337" i="1"/>
  <c r="AC306" i="1"/>
  <c r="AC130" i="1"/>
  <c r="AC327" i="1"/>
  <c r="AB317" i="1"/>
  <c r="AB244" i="1"/>
  <c r="AB229" i="1"/>
  <c r="AB282" i="1"/>
  <c r="AB285" i="1"/>
  <c r="AC355" i="1"/>
  <c r="AC244" i="1"/>
  <c r="AB19" i="1"/>
  <c r="AB156" i="1"/>
  <c r="AB333" i="1"/>
  <c r="AB238" i="1"/>
  <c r="AC256" i="1"/>
  <c r="AB257" i="1"/>
  <c r="AB92" i="1"/>
  <c r="AB187" i="1"/>
  <c r="AC218" i="1"/>
  <c r="AB60" i="1"/>
  <c r="AB179" i="1"/>
  <c r="AB67" i="1"/>
  <c r="AB342" i="1"/>
  <c r="AB298" i="1"/>
  <c r="AB144" i="1"/>
  <c r="AC181" i="1"/>
  <c r="AC128" i="1"/>
  <c r="AB255" i="1"/>
  <c r="AB110" i="1"/>
  <c r="AC35" i="1"/>
  <c r="AB88" i="1"/>
  <c r="AC361" i="1"/>
  <c r="AC173" i="1"/>
  <c r="AB16" i="1"/>
  <c r="AC206" i="1"/>
  <c r="AC235" i="1"/>
  <c r="AC132" i="1"/>
  <c r="AB34" i="1"/>
  <c r="AC15" i="1"/>
  <c r="AC366" i="1"/>
  <c r="AB235" i="1"/>
  <c r="AB7" i="1"/>
  <c r="AC198" i="1"/>
  <c r="AC56" i="1"/>
  <c r="AC42" i="1"/>
  <c r="AC168" i="1"/>
  <c r="AB221" i="1"/>
  <c r="AC17" i="1"/>
  <c r="AC154" i="1"/>
  <c r="AB50" i="1"/>
  <c r="AB320" i="1"/>
  <c r="AB348" i="1"/>
  <c r="AC123" i="1"/>
  <c r="AC287" i="1"/>
  <c r="AB32" i="1"/>
  <c r="AC122" i="1"/>
  <c r="AB191" i="1"/>
  <c r="AC120" i="1"/>
  <c r="AB174" i="1"/>
  <c r="AB99" i="1"/>
  <c r="AB10" i="1"/>
  <c r="AB226" i="1"/>
  <c r="AB102" i="1"/>
  <c r="AB337" i="1"/>
  <c r="AB101" i="1"/>
  <c r="AB228" i="1"/>
  <c r="AC343" i="1"/>
  <c r="AC325" i="1"/>
  <c r="AB211" i="1"/>
  <c r="AC250" i="1"/>
  <c r="AC162" i="1"/>
  <c r="AC144" i="1"/>
  <c r="AC344" i="1"/>
  <c r="AB206" i="1"/>
  <c r="AB26" i="1"/>
  <c r="A388" i="1"/>
  <c r="AB165" i="1"/>
  <c r="AB141" i="1"/>
  <c r="AC102" i="1"/>
  <c r="AC209" i="1"/>
  <c r="AB124" i="1"/>
  <c r="AC237" i="1"/>
  <c r="AC78" i="1"/>
  <c r="AC80" i="1"/>
  <c r="AB35" i="1"/>
  <c r="AC219" i="1"/>
  <c r="AC126" i="1"/>
  <c r="AC205" i="1"/>
  <c r="AC150" i="1"/>
  <c r="AB194" i="1"/>
  <c r="AB236" i="1"/>
  <c r="AC300" i="1"/>
  <c r="AC203" i="1"/>
  <c r="AC207" i="1"/>
  <c r="AB198" i="1"/>
  <c r="AC359" i="1"/>
  <c r="AC142" i="1"/>
  <c r="AB72" i="1"/>
  <c r="AB42" i="1"/>
  <c r="AC310" i="1"/>
  <c r="AB259" i="1"/>
  <c r="AB258" i="1"/>
  <c r="AB170" i="1"/>
  <c r="AC240" i="1"/>
  <c r="AC71" i="1"/>
  <c r="AB94" i="1"/>
  <c r="AB177" i="1"/>
  <c r="AC176" i="1"/>
  <c r="AC309" i="1"/>
  <c r="AB103" i="1"/>
  <c r="AC275" i="1"/>
  <c r="AC183" i="1"/>
  <c r="AC272" i="1"/>
  <c r="AC281" i="1"/>
  <c r="AB351" i="1"/>
  <c r="AB15" i="1"/>
  <c r="AC9" i="1"/>
  <c r="AC233" i="1"/>
  <c r="AC217" i="1"/>
  <c r="AB5" i="1"/>
  <c r="AC363" i="1"/>
  <c r="AB290" i="1"/>
  <c r="AB360" i="1"/>
  <c r="AC202" i="1"/>
  <c r="AC341" i="1"/>
  <c r="AB120" i="1"/>
  <c r="AB214" i="1"/>
  <c r="AC319" i="1"/>
  <c r="AC247" i="1"/>
  <c r="AB261" i="1"/>
  <c r="AC367" i="1"/>
  <c r="AC83" i="1"/>
  <c r="AC24" i="1"/>
  <c r="AB61" i="1"/>
  <c r="AB341" i="1"/>
  <c r="AB218" i="1"/>
  <c r="AC249" i="1"/>
  <c r="AB150" i="1"/>
  <c r="AC157" i="1"/>
  <c r="AC131" i="1"/>
  <c r="AB301" i="1"/>
  <c r="AB268" i="1"/>
  <c r="AC271" i="1"/>
  <c r="AB319" i="1"/>
  <c r="AC18" i="1"/>
  <c r="AB183" i="1"/>
  <c r="AC192" i="1"/>
  <c r="AB17" i="1"/>
  <c r="AC69" i="1"/>
  <c r="AC216" i="1"/>
  <c r="AC285" i="1"/>
  <c r="AC301" i="1"/>
  <c r="AC101" i="1"/>
  <c r="AC245" i="1"/>
  <c r="AB157" i="1"/>
  <c r="AC74" i="1"/>
  <c r="AC260" i="1"/>
  <c r="AB330" i="1"/>
  <c r="AC39" i="1"/>
  <c r="AB137" i="1"/>
  <c r="AB243" i="1"/>
  <c r="AB54" i="1"/>
  <c r="AC7" i="1"/>
  <c r="AB161" i="1"/>
  <c r="AB172" i="1"/>
  <c r="AB277" i="1"/>
  <c r="AB362" i="1"/>
  <c r="AB267" i="1"/>
  <c r="AC159" i="1"/>
  <c r="AC331" i="1"/>
  <c r="AC223" i="1"/>
  <c r="AC365" i="1"/>
  <c r="AC227" i="1"/>
  <c r="AC182" i="1"/>
  <c r="AB75" i="1"/>
  <c r="AC293" i="1"/>
  <c r="AB299" i="1"/>
  <c r="AC113" i="1"/>
  <c r="AC323" i="1"/>
  <c r="AB283" i="1"/>
  <c r="AB265" i="1"/>
  <c r="AB368" i="1"/>
  <c r="AC357" i="1"/>
  <c r="AC297" i="1"/>
  <c r="AC304" i="1"/>
  <c r="AC239" i="1"/>
  <c r="AC330" i="1"/>
  <c r="AC75" i="1"/>
  <c r="AB310" i="1"/>
  <c r="AC259" i="1"/>
  <c r="AB52" i="1"/>
  <c r="AC277" i="1"/>
  <c r="AC352" i="1"/>
  <c r="AC241" i="1"/>
  <c r="AC66" i="1"/>
  <c r="AB269" i="1"/>
  <c r="AC148" i="1"/>
  <c r="AC262" i="1"/>
  <c r="AC305" i="1"/>
  <c r="AC373" i="1"/>
  <c r="AC58" i="1"/>
  <c r="AB146" i="1"/>
  <c r="AC339" i="1"/>
  <c r="AB62" i="1"/>
  <c r="AB230" i="1"/>
  <c r="AC67" i="1"/>
  <c r="AB83" i="1"/>
  <c r="AB260" i="1"/>
  <c r="AC194" i="1"/>
  <c r="AB65" i="1"/>
  <c r="AB366" i="1"/>
  <c r="AB231" i="1"/>
  <c r="AB22" i="1"/>
  <c r="AC204" i="1"/>
  <c r="AC59" i="1"/>
  <c r="AC334" i="1"/>
  <c r="AB353" i="1"/>
  <c r="AC178" i="1"/>
  <c r="AB78" i="1"/>
  <c r="AB77" i="1"/>
  <c r="AC53" i="1"/>
  <c r="AB307" i="1"/>
  <c r="AC47" i="1"/>
  <c r="AB237" i="1"/>
  <c r="AC62" i="1"/>
  <c r="AC175" i="1"/>
  <c r="AB175" i="1"/>
  <c r="AB153" i="1"/>
  <c r="AC72" i="1"/>
  <c r="AB104" i="1"/>
  <c r="AB74" i="1"/>
  <c r="AB3" i="1"/>
  <c r="AC255" i="1"/>
  <c r="AB239" i="1"/>
  <c r="AC371" i="1"/>
  <c r="AB321" i="1"/>
  <c r="AC103" i="1"/>
  <c r="AB284" i="1"/>
  <c r="AB344" i="1"/>
  <c r="AB53" i="1"/>
  <c r="AC164" i="1"/>
  <c r="AB327" i="1"/>
  <c r="AB281" i="1"/>
  <c r="AB41" i="1"/>
  <c r="AB253" i="1"/>
  <c r="AB202" i="1"/>
  <c r="AB305" i="1"/>
  <c r="AC328" i="1"/>
  <c r="AC30" i="1"/>
  <c r="AB359" i="1"/>
  <c r="AB373" i="1"/>
  <c r="AB308" i="1"/>
  <c r="AC52" i="1"/>
  <c r="AB90" i="1"/>
  <c r="AB207" i="1"/>
  <c r="AC149" i="1"/>
  <c r="AC320" i="1"/>
  <c r="AC6" i="1"/>
  <c r="AC224" i="1"/>
  <c r="AB304" i="1"/>
  <c r="AB20" i="1"/>
  <c r="AC253" i="1"/>
  <c r="AB164" i="1"/>
  <c r="AB275" i="1"/>
  <c r="AC269" i="1"/>
  <c r="AC65" i="1"/>
  <c r="AC214" i="1"/>
  <c r="AB331" i="1"/>
  <c r="AB162" i="1"/>
  <c r="AB154" i="1"/>
  <c r="AC231" i="1"/>
  <c r="AC107" i="1"/>
  <c r="AC236" i="1"/>
  <c r="AC28" i="1"/>
  <c r="AB166" i="1"/>
  <c r="AC360" i="1"/>
  <c r="AC141" i="1"/>
  <c r="AC54" i="1"/>
  <c r="AB371" i="1"/>
  <c r="AC8" i="1"/>
  <c r="AB340" i="1"/>
  <c r="AB264" i="1"/>
  <c r="AC4" i="1"/>
  <c r="AB343" i="1"/>
  <c r="AB63" i="1"/>
  <c r="AC44" i="1"/>
  <c r="AC50" i="1"/>
  <c r="AB324" i="1"/>
  <c r="AC280" i="1"/>
  <c r="AC14" i="1"/>
  <c r="AC308" i="1"/>
  <c r="AC133" i="1"/>
  <c r="AC276" i="1"/>
  <c r="AB355" i="1"/>
  <c r="AC282" i="1"/>
  <c r="AC87" i="1"/>
  <c r="AC177" i="1"/>
  <c r="AB11" i="1"/>
  <c r="AC26" i="1"/>
  <c r="AC143" i="1"/>
  <c r="AB225" i="1"/>
  <c r="AC13" i="1"/>
  <c r="AB173" i="1"/>
  <c r="AB219" i="1"/>
  <c r="AB149" i="1"/>
  <c r="AC248" i="1"/>
  <c r="AB147" i="1"/>
  <c r="AC169" i="1"/>
  <c r="AC261" i="1"/>
  <c r="AC211" i="1"/>
  <c r="AC324" i="1"/>
  <c r="AC145" i="1"/>
  <c r="AB190" i="1"/>
  <c r="AC267" i="1"/>
  <c r="AC3" i="1"/>
  <c r="AB97" i="1"/>
  <c r="AB271" i="1"/>
  <c r="AB306" i="1"/>
  <c r="AC200" i="1"/>
  <c r="AB139" i="1"/>
  <c r="AC294" i="1"/>
  <c r="AC197" i="1"/>
  <c r="AC152" i="1"/>
  <c r="AB45" i="1"/>
  <c r="AC96" i="1"/>
  <c r="AC109" i="1"/>
  <c r="AC350" i="1"/>
  <c r="AC115" i="1"/>
  <c r="AB39" i="1"/>
  <c r="AB287" i="1"/>
  <c r="AB197" i="1"/>
  <c r="AC188" i="1"/>
  <c r="AB168" i="1"/>
  <c r="AB210" i="1"/>
  <c r="AC317" i="1"/>
  <c r="AB240" i="1"/>
  <c r="AC315" i="1"/>
  <c r="AB188" i="1"/>
  <c r="AC238" i="1"/>
  <c r="AB21" i="1"/>
  <c r="AB354" i="1"/>
  <c r="AC60" i="1"/>
  <c r="AC11" i="1"/>
  <c r="AB311" i="1"/>
  <c r="AC146" i="1"/>
  <c r="AB47" i="1"/>
  <c r="AB213" i="1"/>
  <c r="AC90" i="1"/>
  <c r="AB113" i="1"/>
  <c r="AB249" i="1"/>
  <c r="AC33" i="1"/>
  <c r="AC364" i="1"/>
  <c r="AB28" i="1"/>
  <c r="AB109" i="1"/>
  <c r="AB357" i="1"/>
  <c r="AB270" i="1"/>
  <c r="AC351" i="1"/>
  <c r="AC170" i="1"/>
  <c r="AC340" i="1"/>
  <c r="AB132" i="1"/>
  <c r="AB313" i="1"/>
  <c r="AB80" i="1"/>
  <c r="AB95" i="1"/>
  <c r="AB13" i="1"/>
  <c r="AB81" i="1"/>
  <c r="AB247" i="1"/>
  <c r="AC110" i="1"/>
  <c r="AC265" i="1"/>
  <c r="AB367" i="1"/>
  <c r="AC368" i="1"/>
  <c r="AB9" i="1"/>
  <c r="AB250" i="1"/>
  <c r="AC283" i="1"/>
  <c r="AB14" i="1"/>
  <c r="AB123" i="1"/>
  <c r="AB335" i="1"/>
  <c r="AC137" i="1"/>
  <c r="AB279" i="1"/>
  <c r="AB203" i="1"/>
  <c r="AC228" i="1"/>
  <c r="AB145" i="1"/>
  <c r="AB142" i="1"/>
  <c r="AC254" i="1"/>
  <c r="AC243" i="1"/>
  <c r="AC88" i="1"/>
  <c r="AB131" i="1"/>
  <c r="AB143" i="1"/>
  <c r="AC92" i="1"/>
  <c r="AC48" i="1"/>
  <c r="AB349" i="1"/>
  <c r="AB217" i="1"/>
  <c r="AB167" i="1"/>
  <c r="AB334" i="1"/>
  <c r="AB4" i="1"/>
  <c r="AC274" i="1"/>
  <c r="AB294" i="1"/>
  <c r="AB350" i="1"/>
  <c r="AB138" i="1"/>
  <c r="AB44" i="1"/>
  <c r="AB49" i="1"/>
  <c r="AB69" i="1"/>
  <c r="AB297" i="1"/>
  <c r="AC112" i="1"/>
  <c r="AC213" i="1"/>
  <c r="AC156" i="1"/>
  <c r="AB248" i="1"/>
  <c r="AB256" i="1"/>
  <c r="AC34" i="1"/>
  <c r="AB322" i="1"/>
  <c r="I3" i="4"/>
  <c r="AC20" i="1"/>
  <c r="C2" i="2"/>
  <c r="AC353" i="1"/>
  <c r="AC335" i="1"/>
  <c r="AB33" i="1"/>
  <c r="AB369" i="1"/>
  <c r="AC336" i="1"/>
  <c r="AB212" i="1"/>
  <c r="AC230" i="1"/>
  <c r="AC166" i="1"/>
  <c r="AC179" i="1"/>
  <c r="AC342" i="1"/>
  <c r="AC85" i="1"/>
  <c r="AC221" i="1"/>
  <c r="AB224" i="1"/>
  <c r="AB336" i="1"/>
  <c r="AB332" i="1"/>
  <c r="AB148" i="1"/>
  <c r="AC187" i="1"/>
  <c r="AB8" i="1"/>
  <c r="AB6" i="1"/>
  <c r="AC134" i="1"/>
  <c r="AC215" i="1"/>
  <c r="AB295" i="1"/>
  <c r="AC258" i="1"/>
  <c r="AC229" i="1"/>
  <c r="AB128" i="1"/>
  <c r="AB196" i="1"/>
  <c r="AC349" i="1"/>
  <c r="AC64" i="1"/>
  <c r="AB233" i="1"/>
  <c r="AB274" i="1"/>
  <c r="AB46" i="1"/>
  <c r="AB105" i="1"/>
  <c r="AB325" i="1"/>
  <c r="AB195" i="1"/>
  <c r="AC329" i="1"/>
  <c r="AC264" i="1"/>
  <c r="AC127" i="1"/>
  <c r="AC354" i="1"/>
  <c r="AB345" i="1"/>
  <c r="AC313" i="1"/>
  <c r="AB126" i="1"/>
  <c r="AB205" i="1"/>
  <c r="AC167" i="1"/>
  <c r="AB122" i="1"/>
  <c r="AC32" i="1"/>
  <c r="J3" i="4"/>
  <c r="AB200" i="1"/>
  <c r="N2" i="2"/>
  <c r="AB58" i="1"/>
  <c r="AC10" i="1"/>
  <c r="AB115" i="1"/>
  <c r="AB192" i="1"/>
  <c r="AB347" i="1"/>
  <c r="AC105" i="1"/>
  <c r="AC5" i="1"/>
  <c r="AC333" i="1"/>
  <c r="AC332" i="1"/>
  <c r="AB119" i="1"/>
  <c r="AB18" i="1"/>
  <c r="AC195" i="1"/>
  <c r="AB222" i="1"/>
  <c r="AC104" i="1"/>
  <c r="AC161" i="1"/>
  <c r="AB254" i="1"/>
  <c r="AB169" i="1"/>
  <c r="AB64" i="1"/>
  <c r="AC81" i="1"/>
  <c r="AB134" i="1"/>
  <c r="AC322" i="1"/>
  <c r="AB363" i="1"/>
  <c r="AC97" i="1"/>
  <c r="AB107" i="1"/>
  <c r="AC117" i="1"/>
  <c r="AB181" i="1"/>
  <c r="A389" i="1"/>
  <c r="AI389" i="1" l="1"/>
  <c r="B389" i="1" s="1"/>
  <c r="C389" i="1" s="1"/>
  <c r="O2" i="2"/>
  <c r="P2" i="2" s="1"/>
  <c r="Q2" i="2" s="1"/>
  <c r="N3" i="4"/>
  <c r="K3" i="4"/>
  <c r="L3" i="4" s="1"/>
  <c r="M3" i="4" s="1"/>
  <c r="AI388" i="1"/>
  <c r="J24" i="4"/>
  <c r="C24" i="4"/>
  <c r="G24" i="4"/>
  <c r="H24" i="4"/>
  <c r="D24" i="4"/>
  <c r="I24" i="4"/>
  <c r="E24" i="4"/>
  <c r="F24" i="4"/>
  <c r="A390" i="1"/>
  <c r="AI390" i="1" l="1"/>
  <c r="K24" i="4"/>
  <c r="L24" i="4" s="1"/>
  <c r="M24" i="4" s="1"/>
  <c r="A24" i="4"/>
  <c r="A391" i="1"/>
  <c r="AI391" i="1" l="1"/>
  <c r="B391" i="1" s="1"/>
  <c r="C391" i="1" s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I405" i="1" l="1"/>
  <c r="AI404" i="1"/>
  <c r="AI403" i="1"/>
  <c r="B403" i="1" s="1"/>
  <c r="C403" i="1" s="1"/>
  <c r="AI402" i="1"/>
  <c r="AI401" i="1"/>
  <c r="B401" i="1" s="1"/>
  <c r="C401" i="1" s="1"/>
  <c r="AI400" i="1"/>
  <c r="AI399" i="1"/>
  <c r="AI398" i="1"/>
  <c r="B398" i="1" s="1"/>
  <c r="C398" i="1" s="1"/>
  <c r="AI397" i="1"/>
  <c r="AI396" i="1"/>
  <c r="AI395" i="1"/>
  <c r="AI394" i="1"/>
  <c r="AI393" i="1"/>
  <c r="B393" i="1" s="1"/>
  <c r="C393" i="1" s="1"/>
  <c r="AI392" i="1"/>
  <c r="B392" i="1" s="1"/>
  <c r="C392" i="1" s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I417" i="1" l="1"/>
  <c r="B417" i="1" s="1"/>
  <c r="C417" i="1" s="1"/>
  <c r="AI416" i="1"/>
  <c r="AI415" i="1"/>
  <c r="AI414" i="1"/>
  <c r="AI413" i="1"/>
  <c r="AI412" i="1"/>
  <c r="AI411" i="1"/>
  <c r="B411" i="1" s="1"/>
  <c r="C411" i="1" s="1"/>
  <c r="AI410" i="1"/>
  <c r="AI409" i="1"/>
  <c r="AI408" i="1"/>
  <c r="B408" i="1" s="1"/>
  <c r="C408" i="1" s="1"/>
  <c r="AI407" i="1"/>
  <c r="B407" i="1" s="1"/>
  <c r="C407" i="1" s="1"/>
  <c r="AI406" i="1"/>
  <c r="D62" i="2"/>
  <c r="D63" i="2"/>
  <c r="D61" i="2"/>
  <c r="D64" i="2"/>
  <c r="D66" i="2"/>
  <c r="D69" i="2"/>
  <c r="D70" i="2"/>
  <c r="D81" i="2"/>
  <c r="D80" i="2"/>
  <c r="D72" i="2"/>
  <c r="D60" i="2"/>
  <c r="D65" i="2"/>
  <c r="D67" i="2"/>
  <c r="D68" i="2"/>
  <c r="D78" i="2"/>
  <c r="D77" i="2"/>
  <c r="D79" i="2"/>
  <c r="D76" i="2"/>
  <c r="D73" i="2"/>
  <c r="D71" i="2"/>
  <c r="D75" i="2"/>
  <c r="D74" i="2"/>
  <c r="D83" i="2"/>
  <c r="D86" i="2"/>
  <c r="D84" i="2"/>
  <c r="D87" i="2"/>
  <c r="D93" i="2"/>
  <c r="D90" i="2"/>
  <c r="D91" i="2"/>
  <c r="D92" i="2"/>
  <c r="D89" i="2"/>
  <c r="D88" i="2"/>
  <c r="D56" i="2"/>
  <c r="D85" i="2"/>
  <c r="D53" i="2"/>
  <c r="D50" i="2"/>
  <c r="D54" i="2"/>
  <c r="D55" i="2"/>
  <c r="D49" i="2"/>
  <c r="D52" i="2"/>
  <c r="D51" i="2"/>
  <c r="D57" i="2"/>
  <c r="D58" i="2"/>
  <c r="D59" i="2"/>
  <c r="D82" i="2"/>
  <c r="A418" i="1"/>
  <c r="A419" i="1"/>
  <c r="A420" i="1"/>
  <c r="A421" i="1"/>
  <c r="A422" i="1"/>
  <c r="A423" i="1"/>
  <c r="AI423" i="1" l="1"/>
  <c r="AI422" i="1"/>
  <c r="AI421" i="1"/>
  <c r="AI420" i="1"/>
  <c r="B420" i="1" s="1"/>
  <c r="C420" i="1" s="1"/>
  <c r="AI419" i="1"/>
  <c r="B419" i="1" s="1"/>
  <c r="C419" i="1" s="1"/>
  <c r="AI418" i="1"/>
  <c r="D2" i="2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I442" i="1" l="1"/>
  <c r="AI441" i="1"/>
  <c r="AI440" i="1"/>
  <c r="AI439" i="1"/>
  <c r="AI438" i="1"/>
  <c r="AI437" i="1"/>
  <c r="B437" i="1" s="1"/>
  <c r="C437" i="1" s="1"/>
  <c r="AI436" i="1"/>
  <c r="AI435" i="1"/>
  <c r="B435" i="1" s="1"/>
  <c r="C435" i="1" s="1"/>
  <c r="AI434" i="1"/>
  <c r="AI433" i="1"/>
  <c r="AI432" i="1"/>
  <c r="AI431" i="1"/>
  <c r="AI430" i="1"/>
  <c r="B430" i="1" s="1"/>
  <c r="C430" i="1" s="1"/>
  <c r="AI429" i="1"/>
  <c r="AI428" i="1"/>
  <c r="AI427" i="1"/>
  <c r="AI426" i="1"/>
  <c r="AI425" i="1"/>
  <c r="B425" i="1" s="1"/>
  <c r="C425" i="1" s="1"/>
  <c r="AI424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I469" i="1" l="1"/>
  <c r="AI468" i="1"/>
  <c r="B468" i="1" s="1"/>
  <c r="C468" i="1" s="1"/>
  <c r="AI467" i="1"/>
  <c r="B467" i="1" s="1"/>
  <c r="C467" i="1" s="1"/>
  <c r="AI466" i="1"/>
  <c r="B466" i="1" s="1"/>
  <c r="C466" i="1" s="1"/>
  <c r="AI465" i="1"/>
  <c r="B465" i="1" s="1"/>
  <c r="C465" i="1" s="1"/>
  <c r="AI464" i="1"/>
  <c r="B464" i="1" s="1"/>
  <c r="C464" i="1" s="1"/>
  <c r="AI463" i="1"/>
  <c r="AI462" i="1"/>
  <c r="B462" i="1" s="1"/>
  <c r="C462" i="1" s="1"/>
  <c r="AI461" i="1"/>
  <c r="AI460" i="1"/>
  <c r="B460" i="1" s="1"/>
  <c r="C460" i="1" s="1"/>
  <c r="AI459" i="1"/>
  <c r="AI458" i="1"/>
  <c r="AI457" i="1"/>
  <c r="AI456" i="1"/>
  <c r="AI455" i="1"/>
  <c r="AI454" i="1"/>
  <c r="B454" i="1" s="1"/>
  <c r="C454" i="1" s="1"/>
  <c r="AI453" i="1"/>
  <c r="AI452" i="1"/>
  <c r="AI451" i="1"/>
  <c r="AI450" i="1"/>
  <c r="AI449" i="1"/>
  <c r="AI448" i="1"/>
  <c r="AI447" i="1"/>
  <c r="B447" i="1" s="1"/>
  <c r="C447" i="1" s="1"/>
  <c r="AI446" i="1"/>
  <c r="B446" i="1" s="1"/>
  <c r="C446" i="1" s="1"/>
  <c r="AI445" i="1"/>
  <c r="AI444" i="1"/>
  <c r="AI443" i="1"/>
  <c r="A470" i="1"/>
  <c r="A471" i="1"/>
  <c r="A472" i="1"/>
  <c r="A473" i="1"/>
  <c r="A474" i="1"/>
  <c r="AI474" i="1" l="1"/>
  <c r="B474" i="1" s="1"/>
  <c r="C474" i="1" s="1"/>
  <c r="AI473" i="1"/>
  <c r="AI472" i="1"/>
  <c r="AI471" i="1"/>
  <c r="B471" i="1" s="1"/>
  <c r="C471" i="1" s="1"/>
  <c r="AI470" i="1"/>
  <c r="A475" i="1"/>
  <c r="A476" i="1"/>
  <c r="AI476" i="1" l="1"/>
  <c r="AI475" i="1"/>
  <c r="A477" i="1"/>
  <c r="AI477" i="1" l="1"/>
  <c r="A478" i="1"/>
  <c r="A479" i="1"/>
  <c r="A480" i="1"/>
  <c r="AI480" i="1" l="1"/>
  <c r="AI479" i="1"/>
  <c r="AI478" i="1"/>
  <c r="B478" i="1" s="1"/>
  <c r="C478" i="1" s="1"/>
  <c r="A481" i="1"/>
  <c r="A482" i="1"/>
  <c r="A483" i="1"/>
  <c r="A484" i="1"/>
  <c r="AI484" i="1" l="1"/>
  <c r="B484" i="1" s="1"/>
  <c r="C484" i="1" s="1"/>
  <c r="AI483" i="1"/>
  <c r="AI482" i="1"/>
  <c r="B482" i="1" s="1"/>
  <c r="C482" i="1" s="1"/>
  <c r="AI481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I496" i="1" l="1"/>
  <c r="B496" i="1" s="1"/>
  <c r="C496" i="1" s="1"/>
  <c r="AI495" i="1"/>
  <c r="B495" i="1" s="1"/>
  <c r="C495" i="1" s="1"/>
  <c r="AI494" i="1"/>
  <c r="B494" i="1" s="1"/>
  <c r="C494" i="1" s="1"/>
  <c r="AI493" i="1"/>
  <c r="B493" i="1" s="1"/>
  <c r="C493" i="1" s="1"/>
  <c r="AI492" i="1"/>
  <c r="AI491" i="1"/>
  <c r="AI490" i="1"/>
  <c r="B490" i="1" s="1"/>
  <c r="C490" i="1" s="1"/>
  <c r="AI489" i="1"/>
  <c r="B489" i="1" s="1"/>
  <c r="C489" i="1" s="1"/>
  <c r="AI488" i="1"/>
  <c r="B488" i="1" s="1"/>
  <c r="C488" i="1" s="1"/>
  <c r="AI487" i="1"/>
  <c r="AI486" i="1"/>
  <c r="B486" i="1" s="1"/>
  <c r="C486" i="1" s="1"/>
  <c r="AI485" i="1"/>
  <c r="A497" i="1"/>
  <c r="A498" i="1"/>
  <c r="A499" i="1"/>
  <c r="A500" i="1"/>
  <c r="A501" i="1"/>
  <c r="AI501" i="1" l="1"/>
  <c r="AI500" i="1"/>
  <c r="B500" i="1" s="1"/>
  <c r="C500" i="1" s="1"/>
  <c r="AI499" i="1"/>
  <c r="AI498" i="1"/>
  <c r="B498" i="1" s="1"/>
  <c r="C498" i="1" s="1"/>
  <c r="AI497" i="1"/>
  <c r="B497" i="1" s="1"/>
  <c r="C497" i="1" s="1"/>
  <c r="A502" i="1"/>
  <c r="A503" i="1"/>
  <c r="A504" i="1"/>
  <c r="A505" i="1"/>
  <c r="A506" i="1"/>
  <c r="AI506" i="1" l="1"/>
  <c r="AI505" i="1"/>
  <c r="B505" i="1" s="1"/>
  <c r="C505" i="1" s="1"/>
  <c r="AI504" i="1"/>
  <c r="B504" i="1" s="1"/>
  <c r="C504" i="1" s="1"/>
  <c r="AI503" i="1"/>
  <c r="B503" i="1" s="1"/>
  <c r="C503" i="1" s="1"/>
  <c r="AI502" i="1"/>
  <c r="B502" i="1" s="1"/>
  <c r="C502" i="1" s="1"/>
  <c r="A507" i="1"/>
  <c r="A508" i="1"/>
  <c r="AI508" i="1" l="1"/>
  <c r="AI507" i="1"/>
  <c r="B507" i="1" s="1"/>
  <c r="C507" i="1" s="1"/>
  <c r="A509" i="1"/>
  <c r="A510" i="1"/>
  <c r="A511" i="1"/>
  <c r="A512" i="1"/>
  <c r="A513" i="1"/>
  <c r="AI513" i="1" l="1"/>
  <c r="AI512" i="1"/>
  <c r="AI511" i="1"/>
  <c r="AI510" i="1"/>
  <c r="B510" i="1" s="1"/>
  <c r="C510" i="1" s="1"/>
  <c r="AI509" i="1"/>
  <c r="A514" i="1"/>
  <c r="A515" i="1"/>
  <c r="A516" i="1"/>
  <c r="A517" i="1"/>
  <c r="A518" i="1"/>
  <c r="A519" i="1"/>
  <c r="A520" i="1"/>
  <c r="A521" i="1"/>
  <c r="AI521" i="1" l="1"/>
  <c r="B521" i="1" s="1"/>
  <c r="C521" i="1" s="1"/>
  <c r="AI520" i="1"/>
  <c r="AI519" i="1"/>
  <c r="AI518" i="1"/>
  <c r="B518" i="1" s="1"/>
  <c r="C518" i="1" s="1"/>
  <c r="AI517" i="1"/>
  <c r="AI516" i="1"/>
  <c r="AI515" i="1"/>
  <c r="AI514" i="1"/>
  <c r="B514" i="1" s="1"/>
  <c r="C514" i="1" s="1"/>
  <c r="A522" i="1"/>
  <c r="A523" i="1"/>
  <c r="AI523" i="1" l="1"/>
  <c r="B523" i="1" s="1"/>
  <c r="C523" i="1" s="1"/>
  <c r="AI522" i="1"/>
  <c r="A524" i="1"/>
  <c r="AI524" i="1" l="1"/>
  <c r="A525" i="1"/>
  <c r="A526" i="1"/>
  <c r="A527" i="1"/>
  <c r="A528" i="1"/>
  <c r="AI528" i="1" l="1"/>
  <c r="AI527" i="1"/>
  <c r="AI526" i="1"/>
  <c r="AI525" i="1"/>
  <c r="B525" i="1" s="1"/>
  <c r="C525" i="1" s="1"/>
  <c r="A529" i="1"/>
  <c r="A530" i="1"/>
  <c r="AI530" i="1" l="1"/>
  <c r="B530" i="1" s="1"/>
  <c r="C530" i="1" s="1"/>
  <c r="AI529" i="1"/>
  <c r="A531" i="1"/>
  <c r="A532" i="1"/>
  <c r="A533" i="1"/>
  <c r="A534" i="1"/>
  <c r="A535" i="1"/>
  <c r="A536" i="1"/>
  <c r="AI536" i="1" l="1"/>
  <c r="B536" i="1" s="1"/>
  <c r="C536" i="1" s="1"/>
  <c r="AI535" i="1"/>
  <c r="AI534" i="1"/>
  <c r="AI533" i="1"/>
  <c r="B533" i="1" s="1"/>
  <c r="C533" i="1" s="1"/>
  <c r="AI532" i="1"/>
  <c r="AI531" i="1"/>
  <c r="A537" i="1"/>
  <c r="A538" i="1"/>
  <c r="AI538" i="1" l="1"/>
  <c r="B538" i="1" s="1"/>
  <c r="C538" i="1" s="1"/>
  <c r="AI537" i="1"/>
  <c r="A539" i="1"/>
  <c r="A540" i="1"/>
  <c r="A541" i="1"/>
  <c r="AI541" i="1" l="1"/>
  <c r="AI540" i="1"/>
  <c r="B540" i="1" s="1"/>
  <c r="C540" i="1" s="1"/>
  <c r="AI539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I558" i="1" l="1"/>
  <c r="AI557" i="1"/>
  <c r="B557" i="1" s="1"/>
  <c r="C557" i="1" s="1"/>
  <c r="AI556" i="1"/>
  <c r="AI555" i="1"/>
  <c r="B555" i="1" s="1"/>
  <c r="C555" i="1" s="1"/>
  <c r="AI554" i="1"/>
  <c r="AI553" i="1"/>
  <c r="B553" i="1" s="1"/>
  <c r="C553" i="1" s="1"/>
  <c r="AI552" i="1"/>
  <c r="AI551" i="1"/>
  <c r="B551" i="1" s="1"/>
  <c r="C551" i="1" s="1"/>
  <c r="AI550" i="1"/>
  <c r="AI549" i="1"/>
  <c r="AI548" i="1"/>
  <c r="AI547" i="1"/>
  <c r="B547" i="1" s="1"/>
  <c r="C547" i="1" s="1"/>
  <c r="AI546" i="1"/>
  <c r="AI545" i="1"/>
  <c r="AI544" i="1"/>
  <c r="AI543" i="1"/>
  <c r="AI542" i="1"/>
  <c r="A559" i="1"/>
  <c r="A560" i="1"/>
  <c r="A561" i="1"/>
  <c r="A562" i="1"/>
  <c r="A563" i="1"/>
  <c r="A564" i="1"/>
  <c r="A565" i="1"/>
  <c r="A566" i="1"/>
  <c r="A567" i="1"/>
  <c r="A568" i="1"/>
  <c r="AI568" i="1" l="1"/>
  <c r="AI567" i="1"/>
  <c r="AI566" i="1"/>
  <c r="AI565" i="1"/>
  <c r="AI564" i="1"/>
  <c r="B564" i="1" s="1"/>
  <c r="C564" i="1" s="1"/>
  <c r="AI563" i="1"/>
  <c r="AI562" i="1"/>
  <c r="B562" i="1" s="1"/>
  <c r="C562" i="1" s="1"/>
  <c r="AI561" i="1"/>
  <c r="AI560" i="1"/>
  <c r="AI559" i="1"/>
  <c r="A569" i="1"/>
  <c r="A570" i="1"/>
  <c r="A571" i="1"/>
  <c r="A572" i="1"/>
  <c r="A573" i="1"/>
  <c r="AI573" i="1" l="1"/>
  <c r="AI572" i="1"/>
  <c r="AI571" i="1"/>
  <c r="AI570" i="1"/>
  <c r="AI569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I592" i="1" l="1"/>
  <c r="AI591" i="1"/>
  <c r="AI590" i="1"/>
  <c r="AI589" i="1"/>
  <c r="AI588" i="1"/>
  <c r="AI587" i="1"/>
  <c r="AI586" i="1"/>
  <c r="AI585" i="1"/>
  <c r="AI584" i="1"/>
  <c r="AI583" i="1"/>
  <c r="AI582" i="1"/>
  <c r="AI581" i="1"/>
  <c r="B581" i="1" s="1"/>
  <c r="C581" i="1" s="1"/>
  <c r="AI580" i="1"/>
  <c r="AI579" i="1"/>
  <c r="AI578" i="1"/>
  <c r="AI577" i="1"/>
  <c r="AI576" i="1"/>
  <c r="AI575" i="1"/>
  <c r="B575" i="1" s="1"/>
  <c r="C575" i="1" s="1"/>
  <c r="AI574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I613" i="1" l="1"/>
  <c r="AI612" i="1"/>
  <c r="AI611" i="1"/>
  <c r="AI610" i="1"/>
  <c r="AI609" i="1"/>
  <c r="AI608" i="1"/>
  <c r="AI607" i="1"/>
  <c r="AI606" i="1"/>
  <c r="AI605" i="1"/>
  <c r="AI604" i="1"/>
  <c r="AI603" i="1"/>
  <c r="AI602" i="1"/>
  <c r="AI601" i="1"/>
  <c r="AI600" i="1"/>
  <c r="AI599" i="1"/>
  <c r="AI598" i="1"/>
  <c r="AI597" i="1"/>
  <c r="AI596" i="1"/>
  <c r="B596" i="1" s="1"/>
  <c r="C596" i="1" s="1"/>
  <c r="AI595" i="1"/>
  <c r="AI594" i="1"/>
  <c r="AI593" i="1"/>
  <c r="B593" i="1" s="1"/>
  <c r="C593" i="1" s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I627" i="1" l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AI614" i="1"/>
  <c r="A628" i="1"/>
  <c r="A629" i="1"/>
  <c r="AI629" i="1" l="1"/>
  <c r="AI628" i="1"/>
  <c r="A630" i="1"/>
  <c r="AI630" i="1" l="1"/>
  <c r="A631" i="1"/>
  <c r="A632" i="1"/>
  <c r="A633" i="1"/>
  <c r="A634" i="1"/>
  <c r="AI634" i="1" l="1"/>
  <c r="AI633" i="1"/>
  <c r="AI632" i="1"/>
  <c r="AI631" i="1"/>
  <c r="A635" i="1"/>
  <c r="A636" i="1"/>
  <c r="AI636" i="1" l="1"/>
  <c r="AI635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I649" i="1" l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650" i="1"/>
  <c r="AI650" i="1" l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I666" i="1" l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667" i="1"/>
  <c r="A668" i="1"/>
  <c r="A669" i="1"/>
  <c r="A670" i="1"/>
  <c r="A671" i="1" s="1"/>
  <c r="AI669" i="1" l="1"/>
  <c r="AI668" i="1"/>
  <c r="AI667" i="1"/>
  <c r="AI671" i="1"/>
  <c r="AI670" i="1"/>
  <c r="A672" i="1"/>
  <c r="A673" i="1" s="1"/>
  <c r="A674" i="1"/>
  <c r="A675" i="1" s="1"/>
  <c r="AI674" i="1" l="1"/>
  <c r="AI673" i="1"/>
  <c r="AI672" i="1"/>
  <c r="AI675" i="1"/>
  <c r="A676" i="1"/>
  <c r="A677" i="1"/>
  <c r="AI677" i="1" l="1"/>
  <c r="AI676" i="1"/>
  <c r="A678" i="1"/>
  <c r="A679" i="1"/>
  <c r="A680" i="1" s="1"/>
  <c r="AI679" i="1" l="1"/>
  <c r="AI678" i="1"/>
  <c r="AI680" i="1"/>
  <c r="A681" i="1"/>
  <c r="A682" i="1" s="1"/>
  <c r="A683" i="1" s="1"/>
  <c r="AI682" i="1" l="1"/>
  <c r="AI681" i="1"/>
  <c r="AI683" i="1"/>
  <c r="A684" i="1"/>
  <c r="AI684" i="1" l="1"/>
  <c r="A685" i="1"/>
  <c r="A686" i="1" s="1"/>
  <c r="AI686" i="1" l="1"/>
  <c r="AI685" i="1"/>
  <c r="A687" i="1"/>
  <c r="A688" i="1"/>
  <c r="A689" i="1" s="1"/>
  <c r="A690" i="1" s="1"/>
  <c r="AI689" i="1" l="1"/>
  <c r="AI688" i="1"/>
  <c r="AI687" i="1"/>
  <c r="AI690" i="1"/>
  <c r="A691" i="1"/>
  <c r="AI691" i="1" l="1"/>
  <c r="A692" i="1"/>
  <c r="A693" i="1"/>
  <c r="A694" i="1"/>
  <c r="A695" i="1" s="1"/>
  <c r="AI693" i="1" l="1"/>
  <c r="AI692" i="1"/>
  <c r="AI694" i="1"/>
  <c r="AI695" i="1"/>
  <c r="A696" i="1"/>
  <c r="A697" i="1"/>
  <c r="AI696" i="1" l="1"/>
  <c r="AI697" i="1"/>
  <c r="A698" i="1"/>
  <c r="A699" i="1"/>
  <c r="A700" i="1"/>
  <c r="AI698" i="1" l="1"/>
  <c r="AI700" i="1"/>
  <c r="AI699" i="1"/>
  <c r="A701" i="1"/>
  <c r="A702" i="1" s="1"/>
  <c r="AI702" i="1" l="1"/>
  <c r="AI701" i="1"/>
  <c r="A703" i="1"/>
  <c r="A704" i="1"/>
  <c r="AI704" i="1" l="1"/>
  <c r="AI703" i="1"/>
  <c r="A705" i="1"/>
  <c r="A706" i="1"/>
  <c r="AI706" i="1" l="1"/>
  <c r="AI705" i="1"/>
  <c r="A707" i="1"/>
  <c r="A708" i="1"/>
  <c r="AI708" i="1" l="1"/>
  <c r="AI707" i="1"/>
  <c r="A709" i="1"/>
  <c r="A710" i="1"/>
  <c r="AI710" i="1" l="1"/>
  <c r="AI709" i="1"/>
  <c r="A711" i="1"/>
  <c r="A712" i="1"/>
  <c r="AI712" i="1" l="1"/>
  <c r="AI711" i="1"/>
  <c r="A713" i="1"/>
  <c r="AI713" i="1" l="1"/>
  <c r="A714" i="1"/>
  <c r="AI714" i="1" l="1"/>
  <c r="A715" i="1"/>
  <c r="AI715" i="1" l="1"/>
  <c r="A716" i="1"/>
  <c r="AI716" i="1" l="1"/>
  <c r="A717" i="1"/>
  <c r="AI717" i="1" l="1"/>
  <c r="A718" i="1"/>
  <c r="AI718" i="1" l="1"/>
  <c r="A719" i="1"/>
  <c r="A720" i="1" s="1"/>
  <c r="AI719" i="1" l="1"/>
  <c r="AI720" i="1"/>
  <c r="A721" i="1"/>
  <c r="A722" i="1"/>
  <c r="A723" i="1"/>
  <c r="AI722" i="1" l="1"/>
  <c r="AI721" i="1"/>
  <c r="AI723" i="1"/>
  <c r="A724" i="1"/>
  <c r="AI724" i="1" l="1"/>
  <c r="A725" i="1"/>
  <c r="A726" i="1" s="1"/>
  <c r="A727" i="1"/>
  <c r="AI726" i="1" l="1"/>
  <c r="AI725" i="1"/>
  <c r="AI727" i="1"/>
  <c r="A728" i="1"/>
  <c r="A729" i="1"/>
  <c r="A730" i="1" s="1"/>
  <c r="AI728" i="1" l="1"/>
  <c r="AI729" i="1"/>
  <c r="AI730" i="1"/>
  <c r="A731" i="1"/>
  <c r="A732" i="1" s="1"/>
  <c r="A733" i="1" s="1"/>
  <c r="AI731" i="1" l="1"/>
  <c r="AI733" i="1"/>
  <c r="AI732" i="1"/>
  <c r="A734" i="1"/>
  <c r="AI734" i="1" l="1"/>
  <c r="A735" i="1"/>
  <c r="A736" i="1"/>
  <c r="A737" i="1" s="1"/>
  <c r="AI735" i="1" l="1"/>
  <c r="AI737" i="1"/>
  <c r="AI736" i="1"/>
  <c r="A738" i="1"/>
  <c r="A739" i="1" s="1"/>
  <c r="AI739" i="1" l="1"/>
  <c r="AI738" i="1"/>
  <c r="A740" i="1"/>
  <c r="A741" i="1"/>
  <c r="AI741" i="1" l="1"/>
  <c r="AI740" i="1"/>
  <c r="A742" i="1"/>
  <c r="A743" i="1"/>
  <c r="AI743" i="1" l="1"/>
  <c r="AI742" i="1"/>
  <c r="A744" i="1"/>
  <c r="A745" i="1"/>
  <c r="AI745" i="1" l="1"/>
  <c r="AI744" i="1"/>
  <c r="A746" i="1"/>
  <c r="A747" i="1"/>
  <c r="AI747" i="1" l="1"/>
  <c r="AI746" i="1"/>
  <c r="A748" i="1"/>
  <c r="A749" i="1"/>
  <c r="AI749" i="1" l="1"/>
  <c r="AI748" i="1"/>
  <c r="A750" i="1"/>
  <c r="A751" i="1"/>
  <c r="AI751" i="1" l="1"/>
  <c r="AI750" i="1"/>
  <c r="A752" i="1"/>
  <c r="A753" i="1"/>
  <c r="AI753" i="1" l="1"/>
  <c r="AI752" i="1"/>
  <c r="A754" i="1"/>
  <c r="AI754" i="1" l="1"/>
  <c r="A755" i="1"/>
  <c r="AI755" i="1" l="1"/>
  <c r="A756" i="1"/>
  <c r="A757" i="1" s="1"/>
  <c r="A758" i="1"/>
  <c r="AI757" i="1" l="1"/>
  <c r="AI756" i="1"/>
  <c r="AI758" i="1"/>
  <c r="A759" i="1"/>
  <c r="AI759" i="1" l="1"/>
  <c r="A760" i="1"/>
  <c r="AI760" i="1" l="1"/>
  <c r="A761" i="1"/>
  <c r="A762" i="1" s="1"/>
  <c r="A763" i="1"/>
  <c r="AI762" i="1" l="1"/>
  <c r="AI761" i="1"/>
  <c r="AI763" i="1"/>
  <c r="A764" i="1"/>
  <c r="AI764" i="1" l="1"/>
  <c r="A765" i="1"/>
  <c r="A766" i="1" s="1"/>
  <c r="AI766" i="1" l="1"/>
  <c r="AI765" i="1"/>
  <c r="A767" i="1"/>
  <c r="A768" i="1"/>
  <c r="AI768" i="1" l="1"/>
  <c r="AI767" i="1"/>
  <c r="A769" i="1"/>
  <c r="AI769" i="1" l="1"/>
  <c r="A770" i="1"/>
  <c r="AI770" i="1" l="1"/>
  <c r="A771" i="1"/>
  <c r="A772" i="1" s="1"/>
  <c r="A773" i="1"/>
  <c r="A774" i="1" s="1"/>
  <c r="A775" i="1"/>
  <c r="A776" i="1" s="1"/>
  <c r="A777" i="1"/>
  <c r="AI777" i="1" l="1"/>
  <c r="AI776" i="1"/>
  <c r="AI775" i="1"/>
  <c r="AI774" i="1"/>
  <c r="AI773" i="1"/>
  <c r="AI772" i="1"/>
  <c r="AI771" i="1"/>
  <c r="A778" i="1"/>
  <c r="A779" i="1" s="1"/>
  <c r="A780" i="1"/>
  <c r="A781" i="1" s="1"/>
  <c r="A782" i="1"/>
  <c r="A783" i="1" s="1"/>
  <c r="AI782" i="1" l="1"/>
  <c r="AI781" i="1"/>
  <c r="AI780" i="1"/>
  <c r="AI779" i="1"/>
  <c r="AI778" i="1"/>
  <c r="AI783" i="1"/>
  <c r="A784" i="1"/>
  <c r="A785" i="1"/>
  <c r="AI784" i="1" l="1"/>
  <c r="AI785" i="1"/>
  <c r="A786" i="1"/>
  <c r="A787" i="1"/>
  <c r="A788" i="1"/>
  <c r="AI786" i="1" l="1"/>
  <c r="AI788" i="1"/>
  <c r="AI787" i="1"/>
  <c r="A789" i="1"/>
  <c r="A790" i="1" s="1"/>
  <c r="AI790" i="1" l="1"/>
  <c r="AI789" i="1"/>
  <c r="A791" i="1"/>
  <c r="A792" i="1"/>
  <c r="AI792" i="1" l="1"/>
  <c r="AI791" i="1"/>
  <c r="A793" i="1"/>
  <c r="AI793" i="1" l="1"/>
  <c r="A794" i="1"/>
  <c r="AI794" i="1" l="1"/>
  <c r="A795" i="1"/>
  <c r="AI795" i="1" l="1"/>
  <c r="A796" i="1"/>
  <c r="AI796" i="1" l="1"/>
  <c r="A797" i="1"/>
  <c r="A798" i="1" s="1"/>
  <c r="AI797" i="1" l="1"/>
  <c r="AI798" i="1"/>
  <c r="A799" i="1"/>
  <c r="AI799" i="1" l="1"/>
  <c r="A800" i="1"/>
  <c r="AI800" i="1" l="1"/>
  <c r="A801" i="1"/>
  <c r="AI801" i="1" l="1"/>
  <c r="A802" i="1"/>
  <c r="A803" i="1" s="1"/>
  <c r="AI802" i="1" l="1"/>
  <c r="AI803" i="1"/>
  <c r="A804" i="1"/>
  <c r="A805" i="1"/>
  <c r="A806" i="1"/>
  <c r="AI804" i="1" l="1"/>
  <c r="AI805" i="1"/>
  <c r="AI806" i="1"/>
  <c r="A807" i="1"/>
  <c r="AI807" i="1" l="1"/>
  <c r="A808" i="1"/>
  <c r="AI808" i="1" l="1"/>
  <c r="A809" i="1"/>
  <c r="A810" i="1" s="1"/>
  <c r="A811" i="1"/>
  <c r="A812" i="1" s="1"/>
  <c r="A813" i="1"/>
  <c r="A814" i="1" s="1"/>
  <c r="A815" i="1"/>
  <c r="AI814" i="1" l="1"/>
  <c r="AI813" i="1"/>
  <c r="AI812" i="1"/>
  <c r="AI811" i="1"/>
  <c r="AI810" i="1"/>
  <c r="AI809" i="1"/>
  <c r="AI815" i="1"/>
  <c r="A816" i="1"/>
  <c r="A817" i="1"/>
  <c r="AI816" i="1" l="1"/>
  <c r="AI817" i="1"/>
  <c r="A818" i="1"/>
  <c r="AI818" i="1" l="1"/>
  <c r="A819" i="1"/>
  <c r="A820" i="1" s="1"/>
  <c r="A821" i="1"/>
  <c r="AI820" i="1" l="1"/>
  <c r="AI819" i="1"/>
  <c r="AI821" i="1"/>
  <c r="A822" i="1"/>
  <c r="A823" i="1" s="1"/>
  <c r="AI822" i="1" l="1"/>
  <c r="AI823" i="1"/>
  <c r="A824" i="1"/>
  <c r="A825" i="1"/>
  <c r="A826" i="1"/>
  <c r="AI824" i="1" l="1"/>
  <c r="AI825" i="1"/>
  <c r="AI826" i="1"/>
  <c r="A827" i="1"/>
  <c r="AI827" i="1" l="1"/>
  <c r="A828" i="1"/>
  <c r="A829" i="1" s="1"/>
  <c r="A830" i="1"/>
  <c r="AI829" i="1" l="1"/>
  <c r="AI828" i="1"/>
  <c r="AI830" i="1"/>
  <c r="A831" i="1"/>
  <c r="AI831" i="1" l="1"/>
  <c r="A832" i="1"/>
  <c r="A833" i="1" s="1"/>
  <c r="AI832" i="1" l="1"/>
  <c r="AI833" i="1"/>
  <c r="A834" i="1"/>
  <c r="A835" i="1"/>
  <c r="A836" i="1"/>
  <c r="AI834" i="1" l="1"/>
  <c r="AI835" i="1"/>
  <c r="AI836" i="1"/>
  <c r="A837" i="1"/>
  <c r="AI837" i="1" l="1"/>
  <c r="A838" i="1"/>
  <c r="A839" i="1" s="1"/>
  <c r="AI839" i="1" l="1"/>
  <c r="AI838" i="1"/>
  <c r="A840" i="1"/>
  <c r="A841" i="1"/>
  <c r="A842" i="1" s="1"/>
  <c r="AI841" i="1" l="1"/>
  <c r="AI840" i="1"/>
  <c r="AI842" i="1"/>
  <c r="A843" i="1"/>
  <c r="A844" i="1" s="1"/>
  <c r="A845" i="1"/>
  <c r="AI844" i="1" l="1"/>
  <c r="AI843" i="1"/>
  <c r="AI845" i="1"/>
  <c r="A846" i="1"/>
  <c r="A847" i="1"/>
  <c r="A848" i="1" s="1"/>
  <c r="A849" i="1" s="1"/>
  <c r="AI846" i="1" l="1"/>
  <c r="AI847" i="1"/>
  <c r="AI848" i="1"/>
  <c r="AI849" i="1"/>
  <c r="A850" i="1"/>
  <c r="A851" i="1"/>
  <c r="AI850" i="1" l="1"/>
  <c r="AI851" i="1"/>
  <c r="A852" i="1"/>
  <c r="A853" i="1"/>
  <c r="AI852" i="1" l="1"/>
  <c r="AI853" i="1"/>
  <c r="A854" i="1"/>
  <c r="A855" i="1"/>
  <c r="AI854" i="1" l="1"/>
  <c r="AI855" i="1"/>
  <c r="A856" i="1"/>
  <c r="A857" i="1"/>
  <c r="AI856" i="1" l="1"/>
  <c r="AI857" i="1"/>
  <c r="A858" i="1"/>
  <c r="A859" i="1"/>
  <c r="A860" i="1" s="1"/>
  <c r="AI858" i="1" l="1"/>
  <c r="AI860" i="1"/>
  <c r="AI859" i="1"/>
  <c r="A861" i="1"/>
  <c r="AI861" i="1" l="1"/>
  <c r="A862" i="1"/>
  <c r="A863" i="1"/>
  <c r="A864" i="1" s="1"/>
  <c r="AI862" i="1" l="1"/>
  <c r="AI864" i="1"/>
  <c r="AI863" i="1"/>
  <c r="A865" i="1"/>
  <c r="A866" i="1" s="1"/>
  <c r="AI866" i="1" l="1"/>
  <c r="AI865" i="1"/>
  <c r="A867" i="1"/>
  <c r="A868" i="1"/>
  <c r="AI868" i="1" l="1"/>
  <c r="AI867" i="1"/>
  <c r="A869" i="1"/>
  <c r="A870" i="1"/>
  <c r="AI870" i="1" l="1"/>
  <c r="AI869" i="1"/>
  <c r="A871" i="1"/>
  <c r="A872" i="1"/>
  <c r="AI872" i="1" l="1"/>
  <c r="AI871" i="1"/>
  <c r="A873" i="1"/>
  <c r="A874" i="1"/>
  <c r="AI874" i="1" l="1"/>
  <c r="AI873" i="1"/>
  <c r="A875" i="1"/>
  <c r="A876" i="1"/>
  <c r="AI876" i="1" l="1"/>
  <c r="AI875" i="1"/>
  <c r="A877" i="1"/>
  <c r="A878" i="1"/>
  <c r="AI878" i="1" l="1"/>
  <c r="AI877" i="1"/>
  <c r="A879" i="1"/>
  <c r="A880" i="1"/>
  <c r="AI880" i="1" l="1"/>
  <c r="AI879" i="1"/>
  <c r="A881" i="1"/>
  <c r="A882" i="1"/>
  <c r="AI882" i="1" l="1"/>
  <c r="AI881" i="1"/>
  <c r="A883" i="1"/>
  <c r="AI883" i="1" l="1"/>
  <c r="A884" i="1"/>
  <c r="AI884" i="1" l="1"/>
  <c r="A885" i="1"/>
  <c r="AI885" i="1" l="1"/>
  <c r="A886" i="1"/>
  <c r="AI886" i="1" l="1"/>
  <c r="A887" i="1"/>
  <c r="A888" i="1" s="1"/>
  <c r="AI887" i="1" l="1"/>
  <c r="AI888" i="1"/>
  <c r="A889" i="1"/>
  <c r="AI889" i="1" l="1"/>
  <c r="A890" i="1"/>
  <c r="AI890" i="1" l="1"/>
  <c r="A891" i="1"/>
  <c r="A892" i="1" s="1"/>
  <c r="AI891" i="1" l="1"/>
  <c r="AI892" i="1"/>
  <c r="A893" i="1"/>
  <c r="A894" i="1"/>
  <c r="AI893" i="1" l="1"/>
  <c r="AI894" i="1"/>
  <c r="A895" i="1"/>
  <c r="A896" i="1"/>
  <c r="A897" i="1" s="1"/>
  <c r="A898" i="1" s="1"/>
  <c r="AI897" i="1" l="1"/>
  <c r="AI896" i="1"/>
  <c r="AI895" i="1"/>
  <c r="AI898" i="1"/>
  <c r="A899" i="1"/>
  <c r="AI899" i="1" l="1"/>
  <c r="A900" i="1"/>
  <c r="A901" i="1"/>
  <c r="A902" i="1"/>
  <c r="A903" i="1" s="1"/>
  <c r="A904" i="1" s="1"/>
  <c r="AI901" i="1" l="1"/>
  <c r="AI900" i="1"/>
  <c r="AI902" i="1"/>
  <c r="AI904" i="1"/>
  <c r="AI903" i="1"/>
  <c r="A905" i="1"/>
  <c r="AI905" i="1" l="1"/>
  <c r="A906" i="1"/>
  <c r="A907" i="1"/>
  <c r="A908" i="1"/>
  <c r="AI906" i="1" l="1"/>
  <c r="AI907" i="1"/>
  <c r="AI908" i="1"/>
  <c r="A909" i="1"/>
  <c r="AI909" i="1" l="1"/>
  <c r="A910" i="1"/>
  <c r="AI910" i="1" l="1"/>
  <c r="A911" i="1"/>
  <c r="AI911" i="1" l="1"/>
  <c r="A912" i="1"/>
  <c r="A913" i="1" s="1"/>
  <c r="AI912" i="1" l="1"/>
  <c r="AI913" i="1"/>
  <c r="A914" i="1"/>
  <c r="AI914" i="1" l="1"/>
  <c r="A915" i="1"/>
  <c r="AI915" i="1" l="1"/>
  <c r="A916" i="1"/>
  <c r="A917" i="1" s="1"/>
  <c r="AI916" i="1" l="1"/>
  <c r="AI917" i="1"/>
  <c r="A918" i="1"/>
  <c r="AI918" i="1" l="1"/>
  <c r="A919" i="1"/>
  <c r="A920" i="1" s="1"/>
  <c r="A921" i="1"/>
  <c r="AI920" i="1" l="1"/>
  <c r="AI919" i="1"/>
  <c r="AI921" i="1"/>
  <c r="A922" i="1"/>
  <c r="A923" i="1"/>
  <c r="A924" i="1" s="1"/>
  <c r="A925" i="1" s="1"/>
  <c r="AI922" i="1" l="1"/>
  <c r="AI923" i="1"/>
  <c r="AI924" i="1"/>
  <c r="AI925" i="1"/>
  <c r="A926" i="1"/>
  <c r="AI926" i="1" l="1"/>
  <c r="A927" i="1"/>
  <c r="A928" i="1"/>
  <c r="A929" i="1"/>
  <c r="AI927" i="1" l="1"/>
  <c r="AI929" i="1"/>
  <c r="AI928" i="1"/>
  <c r="A930" i="1"/>
  <c r="A931" i="1" s="1"/>
  <c r="AI931" i="1" l="1"/>
  <c r="AI930" i="1"/>
  <c r="A932" i="1"/>
  <c r="A933" i="1"/>
  <c r="AI933" i="1" l="1"/>
  <c r="AI932" i="1"/>
  <c r="A934" i="1"/>
  <c r="A935" i="1"/>
  <c r="AI934" i="1" l="1"/>
  <c r="AI935" i="1"/>
  <c r="A936" i="1"/>
  <c r="AI936" i="1" l="1"/>
  <c r="A937" i="1"/>
  <c r="AI937" i="1" l="1"/>
  <c r="A938" i="1"/>
  <c r="A939" i="1" s="1"/>
  <c r="AI938" i="1" l="1"/>
  <c r="AI939" i="1"/>
  <c r="A940" i="1"/>
  <c r="A941" i="1"/>
  <c r="A942" i="1"/>
  <c r="AI940" i="1" l="1"/>
  <c r="AI941" i="1"/>
  <c r="AI942" i="1"/>
  <c r="A943" i="1"/>
  <c r="A944" i="1" s="1"/>
  <c r="A945" i="1" s="1"/>
  <c r="AI943" i="1" l="1"/>
  <c r="AI945" i="1"/>
  <c r="AI944" i="1"/>
  <c r="A946" i="1"/>
  <c r="A947" i="1" s="1"/>
  <c r="AI946" i="1" l="1"/>
  <c r="AI947" i="1"/>
  <c r="A948" i="1"/>
  <c r="AI948" i="1" l="1"/>
  <c r="A949" i="1"/>
  <c r="AI949" i="1" l="1"/>
  <c r="A950" i="1"/>
  <c r="A951" i="1" s="1"/>
  <c r="AI950" i="1" l="1"/>
  <c r="AI951" i="1"/>
  <c r="A952" i="1"/>
  <c r="A953" i="1"/>
  <c r="A954" i="1"/>
  <c r="AI952" i="1" l="1"/>
  <c r="AI953" i="1"/>
  <c r="AI954" i="1"/>
  <c r="A955" i="1"/>
  <c r="A956" i="1" s="1"/>
  <c r="A957" i="1"/>
  <c r="AI955" i="1" l="1"/>
  <c r="AI957" i="1"/>
  <c r="AI956" i="1"/>
  <c r="A958" i="1"/>
  <c r="AI958" i="1" l="1"/>
  <c r="A959" i="1"/>
  <c r="A960" i="1"/>
  <c r="AI959" i="1" l="1"/>
  <c r="AI960" i="1"/>
  <c r="A961" i="1"/>
  <c r="AI961" i="1" l="1"/>
  <c r="B23" i="4"/>
  <c r="A962" i="1"/>
  <c r="A963" i="1"/>
  <c r="AI963" i="1" l="1"/>
  <c r="AI962" i="1"/>
  <c r="J23" i="4"/>
  <c r="H23" i="4"/>
  <c r="F23" i="4"/>
  <c r="E23" i="4"/>
  <c r="D23" i="4"/>
  <c r="C23" i="4"/>
  <c r="G23" i="4"/>
  <c r="I23" i="4"/>
  <c r="A964" i="1"/>
  <c r="A965" i="1"/>
  <c r="AI964" i="1" l="1"/>
  <c r="AI965" i="1"/>
  <c r="K23" i="4"/>
  <c r="L23" i="4" s="1"/>
  <c r="M23" i="4" s="1"/>
  <c r="A23" i="4"/>
  <c r="A966" i="1"/>
  <c r="AI966" i="1" l="1"/>
  <c r="A967" i="1"/>
  <c r="A968" i="1" s="1"/>
  <c r="AI968" i="1" l="1"/>
  <c r="AI967" i="1"/>
  <c r="A969" i="1"/>
  <c r="A970" i="1"/>
  <c r="A971" i="1" s="1"/>
  <c r="A972" i="1" s="1"/>
  <c r="AI971" i="1" l="1"/>
  <c r="AI970" i="1"/>
  <c r="AI969" i="1"/>
  <c r="AI972" i="1"/>
  <c r="A973" i="1"/>
  <c r="AI973" i="1" l="1"/>
  <c r="B1" i="3"/>
  <c r="B2" i="3" s="1"/>
  <c r="A3" i="2"/>
  <c r="A4" i="2"/>
  <c r="A5" i="2" s="1"/>
  <c r="A6" i="2" s="1"/>
  <c r="G3" i="2" l="1"/>
  <c r="R3" i="2"/>
  <c r="G4" i="2"/>
  <c r="R4" i="2"/>
  <c r="R6" i="2"/>
  <c r="G6" i="2"/>
  <c r="G5" i="2"/>
  <c r="R5" i="2"/>
  <c r="H3" i="2"/>
  <c r="C3" i="2"/>
  <c r="F3" i="2"/>
  <c r="C4" i="2"/>
  <c r="F4" i="2"/>
  <c r="J4" i="2"/>
  <c r="H6" i="2"/>
  <c r="J5" i="2"/>
  <c r="A7" i="2"/>
  <c r="I6" i="2"/>
  <c r="A8" i="2"/>
  <c r="I5" i="2"/>
  <c r="C6" i="2"/>
  <c r="B5" i="2"/>
  <c r="J6" i="2"/>
  <c r="I3" i="2"/>
  <c r="J3" i="2"/>
  <c r="B3" i="2"/>
  <c r="B4" i="2"/>
  <c r="I4" i="2"/>
  <c r="H4" i="2"/>
  <c r="F6" i="2"/>
  <c r="F5" i="2"/>
  <c r="B4" i="4"/>
  <c r="C5" i="2"/>
  <c r="B6" i="2"/>
  <c r="H5" i="2"/>
  <c r="B3" i="9"/>
  <c r="B3" i="11"/>
  <c r="E3" i="2" l="1"/>
  <c r="K3" i="2"/>
  <c r="D3" i="2"/>
  <c r="L3" i="2"/>
  <c r="E4" i="2"/>
  <c r="L4" i="2"/>
  <c r="D4" i="2"/>
  <c r="K4" i="2"/>
  <c r="G8" i="2"/>
  <c r="R8" i="2"/>
  <c r="E5" i="2"/>
  <c r="L5" i="2"/>
  <c r="K5" i="2"/>
  <c r="E6" i="2"/>
  <c r="L6" i="2"/>
  <c r="K6" i="2"/>
  <c r="R7" i="2"/>
  <c r="G7" i="2"/>
  <c r="N3" i="2"/>
  <c r="E3" i="11"/>
  <c r="J3" i="9"/>
  <c r="H8" i="2"/>
  <c r="I7" i="2"/>
  <c r="F7" i="2"/>
  <c r="A9" i="2"/>
  <c r="H3" i="9"/>
  <c r="H4" i="4"/>
  <c r="B7" i="2"/>
  <c r="J8" i="2"/>
  <c r="G3" i="9"/>
  <c r="D3" i="11"/>
  <c r="I8" i="2"/>
  <c r="J7" i="2"/>
  <c r="C7" i="2"/>
  <c r="F3" i="11"/>
  <c r="A10" i="2"/>
  <c r="E4" i="4"/>
  <c r="G4" i="4"/>
  <c r="F8" i="2"/>
  <c r="C4" i="4"/>
  <c r="N5" i="2"/>
  <c r="J4" i="4"/>
  <c r="C3" i="11"/>
  <c r="I3" i="9"/>
  <c r="D4" i="4"/>
  <c r="B8" i="2"/>
  <c r="H7" i="2"/>
  <c r="F3" i="9"/>
  <c r="N4" i="2"/>
  <c r="B5" i="4"/>
  <c r="H3" i="11"/>
  <c r="F4" i="4"/>
  <c r="D3" i="9"/>
  <c r="C8" i="2"/>
  <c r="E3" i="9"/>
  <c r="N6" i="2"/>
  <c r="I4" i="4"/>
  <c r="C3" i="9"/>
  <c r="G3" i="11"/>
  <c r="M3" i="2" l="1"/>
  <c r="O3" i="2" s="1"/>
  <c r="P3" i="2" s="1"/>
  <c r="Q3" i="2" s="1"/>
  <c r="M4" i="2"/>
  <c r="O4" i="2" s="1"/>
  <c r="P4" i="2" s="1"/>
  <c r="Q4" i="2" s="1"/>
  <c r="M6" i="2"/>
  <c r="O6" i="2" s="1"/>
  <c r="P6" i="2" s="1"/>
  <c r="Q6" i="2" s="1"/>
  <c r="G10" i="2"/>
  <c r="R10" i="2"/>
  <c r="E8" i="2"/>
  <c r="D8" i="2"/>
  <c r="L8" i="2"/>
  <c r="K8" i="2"/>
  <c r="R9" i="2"/>
  <c r="G9" i="2"/>
  <c r="A3" i="11"/>
  <c r="A3" i="9"/>
  <c r="E7" i="2"/>
  <c r="D7" i="2"/>
  <c r="K7" i="2"/>
  <c r="L7" i="2"/>
  <c r="J3" i="11"/>
  <c r="A4" i="4"/>
  <c r="N4" i="4"/>
  <c r="K4" i="4"/>
  <c r="K3" i="9"/>
  <c r="I3" i="11"/>
  <c r="M5" i="2"/>
  <c r="O5" i="2" s="1"/>
  <c r="P5" i="2" s="1"/>
  <c r="Q5" i="2" s="1"/>
  <c r="A11" i="2"/>
  <c r="A12" i="2"/>
  <c r="B9" i="2"/>
  <c r="F9" i="2"/>
  <c r="I10" i="2"/>
  <c r="J5" i="4"/>
  <c r="N7" i="2"/>
  <c r="I9" i="2"/>
  <c r="J10" i="2"/>
  <c r="G5" i="4"/>
  <c r="F5" i="4"/>
  <c r="J9" i="2"/>
  <c r="A13" i="2"/>
  <c r="A14" i="2"/>
  <c r="H9" i="2"/>
  <c r="B6" i="4"/>
  <c r="H10" i="2"/>
  <c r="D5" i="4"/>
  <c r="B10" i="2"/>
  <c r="C5" i="4"/>
  <c r="H5" i="4"/>
  <c r="N8" i="2"/>
  <c r="C10" i="2"/>
  <c r="E5" i="4"/>
  <c r="B7" i="4"/>
  <c r="C9" i="2"/>
  <c r="I5" i="4"/>
  <c r="F10" i="2"/>
  <c r="B8" i="4"/>
  <c r="R11" i="2" l="1"/>
  <c r="G11" i="2"/>
  <c r="L4" i="4"/>
  <c r="R14" i="2"/>
  <c r="G14" i="2"/>
  <c r="G13" i="2"/>
  <c r="R13" i="2"/>
  <c r="G12" i="2"/>
  <c r="R12" i="2"/>
  <c r="M7" i="2"/>
  <c r="K3" i="11"/>
  <c r="A5" i="4"/>
  <c r="N5" i="4"/>
  <c r="K5" i="4"/>
  <c r="E10" i="2"/>
  <c r="D10" i="2"/>
  <c r="L10" i="2"/>
  <c r="K10" i="2"/>
  <c r="D9" i="2"/>
  <c r="E9" i="2"/>
  <c r="K9" i="2"/>
  <c r="L9" i="2"/>
  <c r="L3" i="11"/>
  <c r="L3" i="9"/>
  <c r="M8" i="2"/>
  <c r="O8" i="2" s="1"/>
  <c r="P8" i="2" s="1"/>
  <c r="Q8" i="2" s="1"/>
  <c r="O7" i="2"/>
  <c r="P7" i="2" s="1"/>
  <c r="Q7" i="2" s="1"/>
  <c r="F11" i="2"/>
  <c r="H11" i="2"/>
  <c r="B9" i="4"/>
  <c r="H14" i="2"/>
  <c r="D7" i="4"/>
  <c r="J7" i="4"/>
  <c r="I13" i="2"/>
  <c r="E6" i="4"/>
  <c r="H6" i="4"/>
  <c r="I12" i="2"/>
  <c r="F12" i="2"/>
  <c r="A15" i="2"/>
  <c r="C14" i="2"/>
  <c r="I14" i="2"/>
  <c r="G7" i="4"/>
  <c r="F7" i="4"/>
  <c r="C13" i="2"/>
  <c r="D6" i="4"/>
  <c r="J6" i="4"/>
  <c r="B12" i="2"/>
  <c r="D8" i="4"/>
  <c r="G8" i="4"/>
  <c r="H8" i="4"/>
  <c r="C8" i="4"/>
  <c r="F8" i="4"/>
  <c r="J14" i="2"/>
  <c r="I7" i="4"/>
  <c r="C7" i="4"/>
  <c r="B13" i="2"/>
  <c r="H13" i="2"/>
  <c r="G6" i="4"/>
  <c r="C6" i="4"/>
  <c r="J12" i="2"/>
  <c r="C12" i="2"/>
  <c r="F14" i="2"/>
  <c r="B14" i="2"/>
  <c r="H7" i="4"/>
  <c r="E7" i="4"/>
  <c r="J13" i="2"/>
  <c r="F13" i="2"/>
  <c r="I6" i="4"/>
  <c r="F6" i="4"/>
  <c r="H12" i="2"/>
  <c r="J8" i="4"/>
  <c r="E8" i="4"/>
  <c r="N9" i="2"/>
  <c r="I8" i="4"/>
  <c r="N10" i="2"/>
  <c r="B10" i="4"/>
  <c r="B11" i="4" s="1"/>
  <c r="C11" i="2"/>
  <c r="B11" i="2"/>
  <c r="I11" i="2"/>
  <c r="J11" i="2"/>
  <c r="E11" i="2" l="1"/>
  <c r="L11" i="2"/>
  <c r="D11" i="2"/>
  <c r="K11" i="2"/>
  <c r="M11" i="2" s="1"/>
  <c r="M3" i="9"/>
  <c r="M3" i="11"/>
  <c r="M4" i="4"/>
  <c r="D12" i="2"/>
  <c r="L12" i="2"/>
  <c r="E12" i="2"/>
  <c r="K12" i="2"/>
  <c r="K6" i="4"/>
  <c r="L14" i="2"/>
  <c r="E14" i="2"/>
  <c r="K14" i="2"/>
  <c r="G15" i="2"/>
  <c r="R15" i="2"/>
  <c r="A6" i="4"/>
  <c r="N6" i="4"/>
  <c r="E13" i="2"/>
  <c r="L13" i="2"/>
  <c r="D13" i="2"/>
  <c r="K13" i="2"/>
  <c r="N7" i="4"/>
  <c r="A7" i="4"/>
  <c r="K7" i="4"/>
  <c r="M9" i="2"/>
  <c r="O9" i="2" s="1"/>
  <c r="P9" i="2" s="1"/>
  <c r="Q9" i="2" s="1"/>
  <c r="A8" i="4"/>
  <c r="N8" i="4"/>
  <c r="K8" i="4"/>
  <c r="M10" i="2"/>
  <c r="O10" i="2" s="1"/>
  <c r="P10" i="2" s="1"/>
  <c r="Q10" i="2" s="1"/>
  <c r="L5" i="4"/>
  <c r="N11" i="2"/>
  <c r="B3" i="5"/>
  <c r="J10" i="4"/>
  <c r="G10" i="4"/>
  <c r="N12" i="2"/>
  <c r="N14" i="2"/>
  <c r="J15" i="2"/>
  <c r="C15" i="2"/>
  <c r="E9" i="4"/>
  <c r="I9" i="4"/>
  <c r="G11" i="4"/>
  <c r="F11" i="4"/>
  <c r="H10" i="4"/>
  <c r="E10" i="4"/>
  <c r="F15" i="2"/>
  <c r="C9" i="4"/>
  <c r="D9" i="4"/>
  <c r="C11" i="4"/>
  <c r="D11" i="4"/>
  <c r="B12" i="4"/>
  <c r="D10" i="4"/>
  <c r="A16" i="2"/>
  <c r="J9" i="4"/>
  <c r="C10" i="4"/>
  <c r="H15" i="2"/>
  <c r="F9" i="4"/>
  <c r="H11" i="4"/>
  <c r="A17" i="2"/>
  <c r="I10" i="4"/>
  <c r="B15" i="2"/>
  <c r="N13" i="2"/>
  <c r="G9" i="4"/>
  <c r="I11" i="4"/>
  <c r="J11" i="4"/>
  <c r="F10" i="4"/>
  <c r="I15" i="2"/>
  <c r="H9" i="4"/>
  <c r="E11" i="4"/>
  <c r="M12" i="2" l="1"/>
  <c r="M14" i="2"/>
  <c r="I3" i="5" s="1"/>
  <c r="L6" i="4"/>
  <c r="M6" i="4" s="1"/>
  <c r="O11" i="2"/>
  <c r="P11" i="2" s="1"/>
  <c r="Q11" i="2" s="1"/>
  <c r="M5" i="4"/>
  <c r="L7" i="4"/>
  <c r="M13" i="2"/>
  <c r="R17" i="2"/>
  <c r="G17" i="2"/>
  <c r="A9" i="4"/>
  <c r="N9" i="4"/>
  <c r="N10" i="4"/>
  <c r="A10" i="4"/>
  <c r="K9" i="4"/>
  <c r="E15" i="2"/>
  <c r="K15" i="2"/>
  <c r="L15" i="2"/>
  <c r="G16" i="2"/>
  <c r="R16" i="2"/>
  <c r="J3" i="5"/>
  <c r="K10" i="4"/>
  <c r="O12" i="2"/>
  <c r="P12" i="2" s="1"/>
  <c r="Q12" i="2" s="1"/>
  <c r="O13" i="2"/>
  <c r="P13" i="2" s="1"/>
  <c r="Q13" i="2" s="1"/>
  <c r="O14" i="2"/>
  <c r="P14" i="2" s="1"/>
  <c r="Q14" i="2" s="1"/>
  <c r="K11" i="4"/>
  <c r="N11" i="4"/>
  <c r="A11" i="4"/>
  <c r="L8" i="4"/>
  <c r="B4" i="5"/>
  <c r="E3" i="5"/>
  <c r="G3" i="5"/>
  <c r="C3" i="5"/>
  <c r="C17" i="2"/>
  <c r="J17" i="2"/>
  <c r="F16" i="2"/>
  <c r="B16" i="2"/>
  <c r="E12" i="4"/>
  <c r="F17" i="2"/>
  <c r="C16" i="2"/>
  <c r="J16" i="2"/>
  <c r="F12" i="4"/>
  <c r="J12" i="4"/>
  <c r="I12" i="4"/>
  <c r="B5" i="5"/>
  <c r="B6" i="5"/>
  <c r="I16" i="2"/>
  <c r="H17" i="2"/>
  <c r="H16" i="2"/>
  <c r="H12" i="4"/>
  <c r="H3" i="5"/>
  <c r="D3" i="5"/>
  <c r="F3" i="5"/>
  <c r="A18" i="2"/>
  <c r="A19" i="2" s="1"/>
  <c r="I17" i="2"/>
  <c r="B17" i="2"/>
  <c r="N15" i="2"/>
  <c r="D12" i="4"/>
  <c r="G12" i="4"/>
  <c r="C12" i="4"/>
  <c r="A20" i="2"/>
  <c r="A21" i="2" s="1"/>
  <c r="A22" i="2" s="1"/>
  <c r="A23" i="2"/>
  <c r="K3" i="5" l="1"/>
  <c r="A3" i="5"/>
  <c r="M7" i="4"/>
  <c r="L9" i="4"/>
  <c r="M15" i="2"/>
  <c r="I4" i="5" s="1"/>
  <c r="M8" i="4"/>
  <c r="L10" i="4"/>
  <c r="G23" i="2"/>
  <c r="R23" i="2"/>
  <c r="G22" i="2"/>
  <c r="R22" i="2"/>
  <c r="G21" i="2"/>
  <c r="R21" i="2"/>
  <c r="G20" i="2"/>
  <c r="R20" i="2"/>
  <c r="R19" i="2"/>
  <c r="G19" i="2"/>
  <c r="E16" i="2"/>
  <c r="L16" i="2"/>
  <c r="K16" i="2"/>
  <c r="J4" i="5"/>
  <c r="K4" i="5" s="1"/>
  <c r="L4" i="5" s="1"/>
  <c r="M4" i="5" s="1"/>
  <c r="E17" i="2"/>
  <c r="L17" i="2"/>
  <c r="K17" i="2"/>
  <c r="R18" i="2"/>
  <c r="G18" i="2"/>
  <c r="K12" i="4"/>
  <c r="A12" i="4"/>
  <c r="N12" i="4"/>
  <c r="L11" i="4"/>
  <c r="C4" i="5"/>
  <c r="G4" i="5"/>
  <c r="F4" i="5"/>
  <c r="H22" i="2"/>
  <c r="C6" i="5"/>
  <c r="F20" i="2"/>
  <c r="F19" i="2"/>
  <c r="I18" i="2"/>
  <c r="F22" i="2"/>
  <c r="G6" i="5"/>
  <c r="H20" i="2"/>
  <c r="B19" i="2"/>
  <c r="B18" i="2"/>
  <c r="D4" i="5"/>
  <c r="H4" i="5"/>
  <c r="E4" i="5"/>
  <c r="J23" i="2"/>
  <c r="H23" i="2"/>
  <c r="B22" i="2"/>
  <c r="I22" i="2"/>
  <c r="I21" i="2"/>
  <c r="J21" i="2"/>
  <c r="D6" i="5"/>
  <c r="C20" i="2"/>
  <c r="B20" i="2"/>
  <c r="D5" i="5"/>
  <c r="E5" i="5"/>
  <c r="J19" i="2"/>
  <c r="N16" i="2"/>
  <c r="C18" i="2"/>
  <c r="C23" i="2"/>
  <c r="C22" i="2"/>
  <c r="C21" i="2"/>
  <c r="H21" i="2"/>
  <c r="E6" i="5"/>
  <c r="I20" i="2"/>
  <c r="H5" i="5"/>
  <c r="G5" i="5"/>
  <c r="I19" i="2"/>
  <c r="N17" i="2"/>
  <c r="F18" i="2"/>
  <c r="B13" i="4"/>
  <c r="A24" i="2"/>
  <c r="A25" i="2" s="1"/>
  <c r="A26" i="2" s="1"/>
  <c r="I23" i="2"/>
  <c r="F23" i="2"/>
  <c r="J22" i="2"/>
  <c r="B21" i="2"/>
  <c r="F6" i="5"/>
  <c r="J20" i="2"/>
  <c r="C5" i="5"/>
  <c r="C19" i="2"/>
  <c r="J18" i="2"/>
  <c r="B23" i="2"/>
  <c r="F21" i="2"/>
  <c r="H6" i="5"/>
  <c r="F5" i="5"/>
  <c r="H19" i="2"/>
  <c r="H18" i="2"/>
  <c r="B7" i="5"/>
  <c r="B8" i="5" s="1"/>
  <c r="B14" i="4"/>
  <c r="L3" i="5" l="1"/>
  <c r="A4" i="5"/>
  <c r="O15" i="2"/>
  <c r="P15" i="2" s="1"/>
  <c r="Q15" i="2" s="1"/>
  <c r="M17" i="2"/>
  <c r="O17" i="2" s="1"/>
  <c r="P17" i="2" s="1"/>
  <c r="Q17" i="2" s="1"/>
  <c r="M16" i="2"/>
  <c r="I5" i="5" s="1"/>
  <c r="M11" i="4"/>
  <c r="M10" i="4"/>
  <c r="M9" i="4"/>
  <c r="G25" i="2"/>
  <c r="R25" i="2"/>
  <c r="E18" i="2"/>
  <c r="L18" i="2"/>
  <c r="K18" i="2"/>
  <c r="J6" i="5"/>
  <c r="E19" i="2"/>
  <c r="L19" i="2"/>
  <c r="K19" i="2"/>
  <c r="E23" i="2"/>
  <c r="L23" i="2"/>
  <c r="K23" i="2"/>
  <c r="J5" i="5"/>
  <c r="K5" i="5" s="1"/>
  <c r="L5" i="5" s="1"/>
  <c r="M5" i="5" s="1"/>
  <c r="A5" i="5"/>
  <c r="E20" i="2"/>
  <c r="D20" i="2"/>
  <c r="L20" i="2"/>
  <c r="K20" i="2"/>
  <c r="A6" i="5"/>
  <c r="D21" i="2"/>
  <c r="K21" i="2"/>
  <c r="E21" i="2"/>
  <c r="L21" i="2"/>
  <c r="E22" i="2"/>
  <c r="L22" i="2"/>
  <c r="D22" i="2"/>
  <c r="K22" i="2"/>
  <c r="R24" i="2"/>
  <c r="G24" i="2"/>
  <c r="I6" i="5"/>
  <c r="K6" i="5" s="1"/>
  <c r="L6" i="5" s="1"/>
  <c r="M6" i="5" s="1"/>
  <c r="O16" i="2"/>
  <c r="P16" i="2" s="1"/>
  <c r="Q16" i="2" s="1"/>
  <c r="G26" i="2"/>
  <c r="R26" i="2"/>
  <c r="L12" i="4"/>
  <c r="B15" i="4"/>
  <c r="J14" i="4"/>
  <c r="C14" i="4"/>
  <c r="D8" i="5"/>
  <c r="H13" i="4"/>
  <c r="I13" i="4"/>
  <c r="E7" i="5"/>
  <c r="C7" i="5"/>
  <c r="B25" i="2"/>
  <c r="N18" i="2"/>
  <c r="N21" i="2"/>
  <c r="C24" i="2"/>
  <c r="H14" i="4"/>
  <c r="I14" i="4"/>
  <c r="C8" i="5"/>
  <c r="F8" i="5"/>
  <c r="J13" i="4"/>
  <c r="C13" i="4"/>
  <c r="F7" i="5"/>
  <c r="J25" i="2"/>
  <c r="F25" i="2"/>
  <c r="N20" i="2"/>
  <c r="J24" i="2"/>
  <c r="F24" i="2"/>
  <c r="A27" i="2"/>
  <c r="H26" i="2"/>
  <c r="C26" i="2"/>
  <c r="B16" i="4"/>
  <c r="D14" i="4"/>
  <c r="F14" i="4"/>
  <c r="E8" i="5"/>
  <c r="H8" i="5"/>
  <c r="D13" i="4"/>
  <c r="F13" i="4"/>
  <c r="G7" i="5"/>
  <c r="C25" i="2"/>
  <c r="H25" i="2"/>
  <c r="N19" i="2"/>
  <c r="N22" i="2"/>
  <c r="B24" i="2"/>
  <c r="G14" i="4"/>
  <c r="E14" i="4"/>
  <c r="G8" i="5"/>
  <c r="G13" i="4"/>
  <c r="E13" i="4"/>
  <c r="D7" i="5"/>
  <c r="H7" i="5"/>
  <c r="I25" i="2"/>
  <c r="N23" i="2"/>
  <c r="I24" i="2"/>
  <c r="H24" i="2"/>
  <c r="J26" i="2"/>
  <c r="I26" i="2"/>
  <c r="F26" i="2"/>
  <c r="B26" i="2"/>
  <c r="M3" i="5" l="1"/>
  <c r="M22" i="2"/>
  <c r="M21" i="2"/>
  <c r="O21" i="2" s="1"/>
  <c r="P21" i="2" s="1"/>
  <c r="Q21" i="2" s="1"/>
  <c r="M23" i="2"/>
  <c r="O23" i="2" s="1"/>
  <c r="P23" i="2" s="1"/>
  <c r="Q23" i="2" s="1"/>
  <c r="M19" i="2"/>
  <c r="I8" i="5" s="1"/>
  <c r="M20" i="2"/>
  <c r="D23" i="2"/>
  <c r="M12" i="4"/>
  <c r="N13" i="4"/>
  <c r="A13" i="4"/>
  <c r="A8" i="5"/>
  <c r="K14" i="4"/>
  <c r="E24" i="2"/>
  <c r="D24" i="2"/>
  <c r="K24" i="2"/>
  <c r="L24" i="2"/>
  <c r="J8" i="5"/>
  <c r="K8" i="5" s="1"/>
  <c r="L8" i="5" s="1"/>
  <c r="J7" i="5"/>
  <c r="E25" i="2"/>
  <c r="L25" i="2"/>
  <c r="K25" i="2"/>
  <c r="A7" i="5"/>
  <c r="K13" i="4"/>
  <c r="A14" i="4"/>
  <c r="N14" i="4"/>
  <c r="O22" i="2"/>
  <c r="P22" i="2" s="1"/>
  <c r="Q22" i="2" s="1"/>
  <c r="M18" i="2"/>
  <c r="O20" i="2"/>
  <c r="P20" i="2" s="1"/>
  <c r="Q20" i="2" s="1"/>
  <c r="R27" i="2"/>
  <c r="G27" i="2"/>
  <c r="E26" i="2"/>
  <c r="K26" i="2"/>
  <c r="L26" i="2"/>
  <c r="B9" i="5"/>
  <c r="F16" i="4"/>
  <c r="E16" i="4"/>
  <c r="F15" i="4"/>
  <c r="D15" i="4"/>
  <c r="C27" i="2"/>
  <c r="B27" i="2"/>
  <c r="F27" i="2"/>
  <c r="C16" i="4"/>
  <c r="D16" i="4"/>
  <c r="G15" i="4"/>
  <c r="B17" i="4"/>
  <c r="H16" i="4"/>
  <c r="J16" i="4"/>
  <c r="N25" i="2"/>
  <c r="H15" i="4"/>
  <c r="I15" i="4"/>
  <c r="J27" i="2"/>
  <c r="I27" i="2"/>
  <c r="A28" i="2"/>
  <c r="G16" i="4"/>
  <c r="I16" i="4"/>
  <c r="N24" i="2"/>
  <c r="C15" i="4"/>
  <c r="E15" i="4"/>
  <c r="N26" i="2"/>
  <c r="H27" i="2"/>
  <c r="J15" i="4"/>
  <c r="B10" i="5"/>
  <c r="O19" i="2" l="1"/>
  <c r="P19" i="2" s="1"/>
  <c r="Q19" i="2" s="1"/>
  <c r="M25" i="2"/>
  <c r="O25" i="2" s="1"/>
  <c r="P25" i="2" s="1"/>
  <c r="Q25" i="2" s="1"/>
  <c r="M8" i="5"/>
  <c r="L14" i="4"/>
  <c r="L13" i="4"/>
  <c r="M24" i="2"/>
  <c r="N15" i="4"/>
  <c r="A15" i="4"/>
  <c r="K16" i="4"/>
  <c r="A16" i="4"/>
  <c r="N16" i="4"/>
  <c r="K15" i="4"/>
  <c r="J9" i="5"/>
  <c r="O18" i="2"/>
  <c r="P18" i="2" s="1"/>
  <c r="Q18" i="2" s="1"/>
  <c r="I7" i="5"/>
  <c r="O24" i="2"/>
  <c r="P24" i="2" s="1"/>
  <c r="Q24" i="2" s="1"/>
  <c r="M26" i="2"/>
  <c r="O26" i="2" s="1"/>
  <c r="P26" i="2" s="1"/>
  <c r="Q26" i="2" s="1"/>
  <c r="E27" i="2"/>
  <c r="L27" i="2"/>
  <c r="K27" i="2"/>
  <c r="R28" i="2"/>
  <c r="G28" i="2"/>
  <c r="J10" i="5"/>
  <c r="I9" i="5"/>
  <c r="G10" i="5"/>
  <c r="F10" i="5"/>
  <c r="H10" i="5"/>
  <c r="B11" i="5"/>
  <c r="D9" i="5"/>
  <c r="G9" i="5"/>
  <c r="F9" i="5"/>
  <c r="E17" i="4"/>
  <c r="I17" i="4"/>
  <c r="H28" i="2"/>
  <c r="I28" i="2"/>
  <c r="J17" i="4"/>
  <c r="C17" i="4"/>
  <c r="J28" i="2"/>
  <c r="N27" i="2"/>
  <c r="D10" i="5"/>
  <c r="E10" i="5"/>
  <c r="C10" i="5"/>
  <c r="E9" i="5"/>
  <c r="C9" i="5"/>
  <c r="H9" i="5"/>
  <c r="D17" i="4"/>
  <c r="G17" i="4"/>
  <c r="B28" i="2"/>
  <c r="F28" i="2"/>
  <c r="F17" i="4"/>
  <c r="H17" i="4"/>
  <c r="A29" i="2"/>
  <c r="C28" i="2"/>
  <c r="A30" i="2"/>
  <c r="K9" i="5" l="1"/>
  <c r="L9" i="5" s="1"/>
  <c r="A9" i="5"/>
  <c r="A10" i="5"/>
  <c r="K7" i="5"/>
  <c r="L16" i="4"/>
  <c r="M14" i="4"/>
  <c r="L15" i="4"/>
  <c r="M13" i="4"/>
  <c r="N17" i="4"/>
  <c r="A17" i="4"/>
  <c r="K17" i="4"/>
  <c r="I10" i="5"/>
  <c r="G30" i="2"/>
  <c r="R30" i="2"/>
  <c r="J11" i="5"/>
  <c r="G29" i="2"/>
  <c r="R29" i="2"/>
  <c r="E28" i="2"/>
  <c r="K28" i="2"/>
  <c r="L28" i="2"/>
  <c r="M27" i="2"/>
  <c r="D11" i="5"/>
  <c r="G11" i="5"/>
  <c r="F11" i="5"/>
  <c r="B12" i="5"/>
  <c r="B29" i="2"/>
  <c r="J29" i="2"/>
  <c r="C29" i="2"/>
  <c r="I29" i="2"/>
  <c r="H29" i="2"/>
  <c r="B30" i="2"/>
  <c r="F29" i="2"/>
  <c r="H11" i="5"/>
  <c r="E11" i="5"/>
  <c r="C11" i="5"/>
  <c r="A31" i="2"/>
  <c r="I30" i="2"/>
  <c r="C30" i="2"/>
  <c r="J30" i="2"/>
  <c r="H30" i="2"/>
  <c r="F30" i="2"/>
  <c r="N28" i="2"/>
  <c r="A11" i="5" l="1"/>
  <c r="M9" i="5"/>
  <c r="K10" i="5"/>
  <c r="M15" i="4"/>
  <c r="L7" i="5"/>
  <c r="L17" i="4"/>
  <c r="M16" i="4"/>
  <c r="M28" i="2"/>
  <c r="O28" i="2" s="1"/>
  <c r="P28" i="2" s="1"/>
  <c r="Q28" i="2" s="1"/>
  <c r="J12" i="5"/>
  <c r="E29" i="2"/>
  <c r="L29" i="2"/>
  <c r="K29" i="2"/>
  <c r="E30" i="2"/>
  <c r="K30" i="2"/>
  <c r="L30" i="2"/>
  <c r="R31" i="2"/>
  <c r="G31" i="2"/>
  <c r="O27" i="2"/>
  <c r="P27" i="2" s="1"/>
  <c r="Q27" i="2" s="1"/>
  <c r="I11" i="5"/>
  <c r="I12" i="5"/>
  <c r="C12" i="5"/>
  <c r="N30" i="2"/>
  <c r="E12" i="5"/>
  <c r="D12" i="5"/>
  <c r="I31" i="2"/>
  <c r="N29" i="2"/>
  <c r="H12" i="5"/>
  <c r="G12" i="5"/>
  <c r="H31" i="2"/>
  <c r="A32" i="2"/>
  <c r="F12" i="5"/>
  <c r="J31" i="2"/>
  <c r="F31" i="2"/>
  <c r="B13" i="5"/>
  <c r="B14" i="5" s="1"/>
  <c r="C31" i="2"/>
  <c r="B31" i="2"/>
  <c r="K12" i="5" l="1"/>
  <c r="L12" i="5" s="1"/>
  <c r="L10" i="5"/>
  <c r="K11" i="5"/>
  <c r="M17" i="4"/>
  <c r="M7" i="5"/>
  <c r="A12" i="5"/>
  <c r="M29" i="2"/>
  <c r="O29" i="2" s="1"/>
  <c r="P29" i="2" s="1"/>
  <c r="Q29" i="2" s="1"/>
  <c r="E31" i="2"/>
  <c r="K31" i="2"/>
  <c r="L31" i="2"/>
  <c r="G32" i="2"/>
  <c r="R32" i="2"/>
  <c r="J13" i="5"/>
  <c r="J14" i="5"/>
  <c r="M30" i="2"/>
  <c r="O30" i="2" s="1"/>
  <c r="P30" i="2" s="1"/>
  <c r="Q30" i="2" s="1"/>
  <c r="A33" i="2"/>
  <c r="H13" i="5"/>
  <c r="D13" i="5"/>
  <c r="F13" i="5"/>
  <c r="I32" i="2"/>
  <c r="F32" i="2"/>
  <c r="B15" i="5"/>
  <c r="B16" i="5"/>
  <c r="G14" i="5"/>
  <c r="H14" i="5"/>
  <c r="D14" i="5"/>
  <c r="A34" i="2"/>
  <c r="E13" i="5"/>
  <c r="G13" i="5"/>
  <c r="C13" i="5"/>
  <c r="C14" i="5"/>
  <c r="F14" i="5"/>
  <c r="N31" i="2"/>
  <c r="J32" i="2"/>
  <c r="C32" i="2"/>
  <c r="E14" i="5"/>
  <c r="B32" i="2"/>
  <c r="H32" i="2"/>
  <c r="I13" i="5" l="1"/>
  <c r="L11" i="5"/>
  <c r="M11" i="5" s="1"/>
  <c r="M12" i="5"/>
  <c r="M10" i="5"/>
  <c r="G34" i="2"/>
  <c r="R34" i="2"/>
  <c r="A13" i="5"/>
  <c r="G33" i="2"/>
  <c r="R33" i="2"/>
  <c r="M31" i="2"/>
  <c r="I15" i="5" s="1"/>
  <c r="K13" i="5"/>
  <c r="J15" i="5"/>
  <c r="E32" i="2"/>
  <c r="L32" i="2"/>
  <c r="K32" i="2"/>
  <c r="A14" i="5"/>
  <c r="I14" i="5"/>
  <c r="J34" i="2"/>
  <c r="C34" i="2"/>
  <c r="J33" i="2"/>
  <c r="C15" i="5"/>
  <c r="E15" i="5"/>
  <c r="F34" i="2"/>
  <c r="I34" i="2"/>
  <c r="B33" i="2"/>
  <c r="E16" i="5"/>
  <c r="G16" i="5"/>
  <c r="H16" i="5"/>
  <c r="F16" i="5"/>
  <c r="D16" i="5"/>
  <c r="A35" i="2"/>
  <c r="B34" i="2"/>
  <c r="C33" i="2"/>
  <c r="I33" i="2"/>
  <c r="F15" i="5"/>
  <c r="D15" i="5"/>
  <c r="H34" i="2"/>
  <c r="F33" i="2"/>
  <c r="H33" i="2"/>
  <c r="H15" i="5"/>
  <c r="N32" i="2"/>
  <c r="G15" i="5"/>
  <c r="C16" i="5"/>
  <c r="L13" i="5" l="1"/>
  <c r="K14" i="5"/>
  <c r="E33" i="2"/>
  <c r="K33" i="2"/>
  <c r="L33" i="2"/>
  <c r="E34" i="2"/>
  <c r="L34" i="2"/>
  <c r="K34" i="2"/>
  <c r="R35" i="2"/>
  <c r="G35" i="2"/>
  <c r="O31" i="2"/>
  <c r="P31" i="2" s="1"/>
  <c r="Q31" i="2" s="1"/>
  <c r="K15" i="5"/>
  <c r="J16" i="5"/>
  <c r="A15" i="5"/>
  <c r="A16" i="5"/>
  <c r="L14" i="5"/>
  <c r="M32" i="2"/>
  <c r="B17" i="5"/>
  <c r="B18" i="5"/>
  <c r="I35" i="2"/>
  <c r="F35" i="2"/>
  <c r="N34" i="2"/>
  <c r="C35" i="2"/>
  <c r="H35" i="2"/>
  <c r="N33" i="2"/>
  <c r="J35" i="2"/>
  <c r="A36" i="2"/>
  <c r="B35" i="2"/>
  <c r="M33" i="2" l="1"/>
  <c r="I17" i="5" s="1"/>
  <c r="M34" i="2"/>
  <c r="O34" i="2" s="1"/>
  <c r="P34" i="2" s="1"/>
  <c r="Q34" i="2" s="1"/>
  <c r="M14" i="5"/>
  <c r="L15" i="5"/>
  <c r="M13" i="5"/>
  <c r="E35" i="2"/>
  <c r="L35" i="2"/>
  <c r="K35" i="2"/>
  <c r="R36" i="2"/>
  <c r="G36" i="2"/>
  <c r="J18" i="5"/>
  <c r="J17" i="5"/>
  <c r="O32" i="2"/>
  <c r="P32" i="2" s="1"/>
  <c r="Q32" i="2" s="1"/>
  <c r="I16" i="5"/>
  <c r="C17" i="5"/>
  <c r="H17" i="5"/>
  <c r="D17" i="5"/>
  <c r="N35" i="2"/>
  <c r="H18" i="5"/>
  <c r="G18" i="5"/>
  <c r="B36" i="2"/>
  <c r="B19" i="5"/>
  <c r="E18" i="5"/>
  <c r="A37" i="2"/>
  <c r="J36" i="2"/>
  <c r="F36" i="2"/>
  <c r="D18" i="5"/>
  <c r="H36" i="2"/>
  <c r="F18" i="5"/>
  <c r="C18" i="5"/>
  <c r="A38" i="2"/>
  <c r="A39" i="2" s="1"/>
  <c r="F17" i="5"/>
  <c r="E17" i="5"/>
  <c r="G17" i="5"/>
  <c r="C36" i="2"/>
  <c r="I36" i="2"/>
  <c r="A40" i="2"/>
  <c r="A41" i="2" s="1"/>
  <c r="A42" i="2" s="1"/>
  <c r="K17" i="5" l="1"/>
  <c r="O33" i="2"/>
  <c r="P33" i="2" s="1"/>
  <c r="Q33" i="2" s="1"/>
  <c r="A17" i="5"/>
  <c r="I18" i="5"/>
  <c r="K16" i="5"/>
  <c r="M15" i="5"/>
  <c r="R41" i="2"/>
  <c r="G41" i="2"/>
  <c r="G40" i="2"/>
  <c r="R40" i="2"/>
  <c r="G39" i="2"/>
  <c r="R39" i="2"/>
  <c r="R38" i="2"/>
  <c r="G38" i="2"/>
  <c r="G37" i="2"/>
  <c r="R37" i="2"/>
  <c r="A18" i="5"/>
  <c r="J19" i="5"/>
  <c r="E36" i="2"/>
  <c r="K36" i="2"/>
  <c r="L36" i="2"/>
  <c r="M35" i="2"/>
  <c r="O35" i="2" s="1"/>
  <c r="P35" i="2" s="1"/>
  <c r="Q35" i="2" s="1"/>
  <c r="G42" i="2"/>
  <c r="R42" i="2"/>
  <c r="L17" i="5"/>
  <c r="A43" i="2"/>
  <c r="F41" i="2"/>
  <c r="B41" i="2"/>
  <c r="F40" i="2"/>
  <c r="I39" i="2"/>
  <c r="B39" i="2"/>
  <c r="I38" i="2"/>
  <c r="F38" i="2"/>
  <c r="I37" i="2"/>
  <c r="H19" i="5"/>
  <c r="D19" i="5"/>
  <c r="H42" i="2"/>
  <c r="J42" i="2"/>
  <c r="I41" i="2"/>
  <c r="H40" i="2"/>
  <c r="J39" i="2"/>
  <c r="H38" i="2"/>
  <c r="C38" i="2"/>
  <c r="B37" i="2"/>
  <c r="B20" i="5"/>
  <c r="G19" i="5"/>
  <c r="N36" i="2"/>
  <c r="I42" i="2"/>
  <c r="B42" i="2"/>
  <c r="C41" i="2"/>
  <c r="H41" i="2"/>
  <c r="I40" i="2"/>
  <c r="J40" i="2"/>
  <c r="C39" i="2"/>
  <c r="H39" i="2"/>
  <c r="J38" i="2"/>
  <c r="J37" i="2"/>
  <c r="F37" i="2"/>
  <c r="F19" i="5"/>
  <c r="J41" i="2"/>
  <c r="C40" i="2"/>
  <c r="B40" i="2"/>
  <c r="F39" i="2"/>
  <c r="B38" i="2"/>
  <c r="H37" i="2"/>
  <c r="C37" i="2"/>
  <c r="C19" i="5"/>
  <c r="E19" i="5"/>
  <c r="F42" i="2"/>
  <c r="C42" i="2"/>
  <c r="B21" i="5"/>
  <c r="B22" i="5"/>
  <c r="L16" i="5" l="1"/>
  <c r="K18" i="5"/>
  <c r="G43" i="2"/>
  <c r="R43" i="2"/>
  <c r="M17" i="5"/>
  <c r="M16" i="5"/>
  <c r="M36" i="2"/>
  <c r="I20" i="5" s="1"/>
  <c r="A19" i="5"/>
  <c r="J20" i="5"/>
  <c r="E37" i="2"/>
  <c r="D37" i="2"/>
  <c r="L37" i="2"/>
  <c r="K37" i="2"/>
  <c r="D38" i="2"/>
  <c r="E38" i="2"/>
  <c r="L38" i="2"/>
  <c r="K38" i="2"/>
  <c r="K40" i="2"/>
  <c r="E40" i="2"/>
  <c r="L40" i="2"/>
  <c r="E39" i="2"/>
  <c r="K39" i="2"/>
  <c r="L39" i="2"/>
  <c r="E41" i="2"/>
  <c r="K41" i="2"/>
  <c r="L41" i="2"/>
  <c r="I19" i="5"/>
  <c r="E42" i="2"/>
  <c r="L42" i="2"/>
  <c r="K42" i="2"/>
  <c r="B18" i="4"/>
  <c r="C43" i="2"/>
  <c r="J43" i="2"/>
  <c r="G22" i="5"/>
  <c r="C22" i="5"/>
  <c r="D21" i="5"/>
  <c r="D20" i="5"/>
  <c r="H20" i="5"/>
  <c r="C21" i="5"/>
  <c r="E21" i="5"/>
  <c r="C20" i="5"/>
  <c r="N41" i="2"/>
  <c r="N42" i="2"/>
  <c r="A44" i="2"/>
  <c r="B43" i="2"/>
  <c r="F43" i="2"/>
  <c r="H43" i="2"/>
  <c r="I43" i="2"/>
  <c r="E22" i="5"/>
  <c r="G21" i="5"/>
  <c r="F21" i="5"/>
  <c r="F20" i="5"/>
  <c r="N38" i="2"/>
  <c r="D22" i="5"/>
  <c r="H22" i="5"/>
  <c r="H21" i="5"/>
  <c r="E20" i="5"/>
  <c r="N37" i="2"/>
  <c r="N39" i="2"/>
  <c r="F22" i="5"/>
  <c r="G20" i="5"/>
  <c r="N40" i="2"/>
  <c r="B19" i="4"/>
  <c r="A45" i="2"/>
  <c r="B20" i="4"/>
  <c r="B21" i="4" s="1"/>
  <c r="B22" i="4" s="1"/>
  <c r="A46" i="2"/>
  <c r="A47" i="2"/>
  <c r="A48" i="2"/>
  <c r="O36" i="2" l="1"/>
  <c r="P36" i="2" s="1"/>
  <c r="Q36" i="2" s="1"/>
  <c r="D41" i="2"/>
  <c r="D42" i="2"/>
  <c r="M40" i="2"/>
  <c r="L18" i="5"/>
  <c r="R47" i="2"/>
  <c r="G47" i="2"/>
  <c r="R46" i="2"/>
  <c r="G46" i="2"/>
  <c r="G45" i="2"/>
  <c r="R45" i="2"/>
  <c r="E43" i="2"/>
  <c r="L43" i="2"/>
  <c r="D43" i="2"/>
  <c r="K43" i="2"/>
  <c r="R44" i="2"/>
  <c r="G44" i="2"/>
  <c r="K20" i="5"/>
  <c r="M41" i="2"/>
  <c r="M38" i="2"/>
  <c r="O38" i="2" s="1"/>
  <c r="P38" i="2" s="1"/>
  <c r="Q38" i="2" s="1"/>
  <c r="M37" i="2"/>
  <c r="O37" i="2" s="1"/>
  <c r="P37" i="2" s="1"/>
  <c r="Q37" i="2" s="1"/>
  <c r="K19" i="5"/>
  <c r="M39" i="2"/>
  <c r="O39" i="2" s="1"/>
  <c r="P39" i="2" s="1"/>
  <c r="Q39" i="2" s="1"/>
  <c r="J21" i="5"/>
  <c r="J22" i="5"/>
  <c r="A20" i="5"/>
  <c r="A21" i="5"/>
  <c r="A22" i="5"/>
  <c r="O41" i="2"/>
  <c r="P41" i="2" s="1"/>
  <c r="Q41" i="2" s="1"/>
  <c r="M42" i="2"/>
  <c r="O42" i="2" s="1"/>
  <c r="P42" i="2" s="1"/>
  <c r="Q42" i="2" s="1"/>
  <c r="R48" i="2"/>
  <c r="G48" i="2"/>
  <c r="O40" i="2"/>
  <c r="P40" i="2" s="1"/>
  <c r="Q40" i="2" s="1"/>
  <c r="I22" i="5"/>
  <c r="C47" i="2"/>
  <c r="J47" i="2"/>
  <c r="F46" i="2"/>
  <c r="I46" i="2"/>
  <c r="C45" i="2"/>
  <c r="H45" i="2"/>
  <c r="B45" i="2"/>
  <c r="F19" i="4"/>
  <c r="J19" i="4"/>
  <c r="D19" i="4"/>
  <c r="E19" i="4"/>
  <c r="N43" i="2"/>
  <c r="B44" i="2"/>
  <c r="I44" i="2"/>
  <c r="J44" i="2"/>
  <c r="G18" i="4"/>
  <c r="C18" i="4"/>
  <c r="H18" i="4"/>
  <c r="D18" i="4"/>
  <c r="E21" i="4"/>
  <c r="D21" i="4"/>
  <c r="J20" i="4"/>
  <c r="D20" i="4"/>
  <c r="C21" i="4"/>
  <c r="H21" i="4"/>
  <c r="G20" i="4"/>
  <c r="E20" i="4"/>
  <c r="G22" i="4"/>
  <c r="D22" i="4"/>
  <c r="J22" i="4"/>
  <c r="F48" i="2"/>
  <c r="H48" i="2"/>
  <c r="F22" i="4"/>
  <c r="C48" i="2"/>
  <c r="B47" i="2"/>
  <c r="F47" i="2"/>
  <c r="I47" i="2"/>
  <c r="H47" i="2"/>
  <c r="J46" i="2"/>
  <c r="B46" i="2"/>
  <c r="H46" i="2"/>
  <c r="C46" i="2"/>
  <c r="I45" i="2"/>
  <c r="J45" i="2"/>
  <c r="F45" i="2"/>
  <c r="C19" i="4"/>
  <c r="I19" i="4"/>
  <c r="H19" i="4"/>
  <c r="G19" i="4"/>
  <c r="C44" i="2"/>
  <c r="H44" i="2"/>
  <c r="F44" i="2"/>
  <c r="B23" i="5" s="1"/>
  <c r="I18" i="4"/>
  <c r="J18" i="4"/>
  <c r="E18" i="4"/>
  <c r="F18" i="4"/>
  <c r="J21" i="4"/>
  <c r="G21" i="4"/>
  <c r="C20" i="4"/>
  <c r="F20" i="4"/>
  <c r="I21" i="4"/>
  <c r="F21" i="4"/>
  <c r="H20" i="4"/>
  <c r="I20" i="4"/>
  <c r="B48" i="2"/>
  <c r="J48" i="2"/>
  <c r="I48" i="2"/>
  <c r="C22" i="4"/>
  <c r="E22" i="4"/>
  <c r="H22" i="4"/>
  <c r="I22" i="4"/>
  <c r="B24" i="5"/>
  <c r="B25" i="5"/>
  <c r="B26" i="5" s="1"/>
  <c r="M43" i="2" l="1"/>
  <c r="M18" i="5"/>
  <c r="K18" i="4"/>
  <c r="K19" i="4"/>
  <c r="A19" i="4"/>
  <c r="N19" i="4"/>
  <c r="K46" i="2"/>
  <c r="E46" i="2"/>
  <c r="L46" i="2"/>
  <c r="E47" i="2"/>
  <c r="K47" i="2"/>
  <c r="L47" i="2"/>
  <c r="N18" i="4"/>
  <c r="A18" i="4"/>
  <c r="E44" i="2"/>
  <c r="K44" i="2"/>
  <c r="L44" i="2"/>
  <c r="K45" i="2"/>
  <c r="E45" i="2"/>
  <c r="L45" i="2"/>
  <c r="M45" i="2" s="1"/>
  <c r="I24" i="5" s="1"/>
  <c r="O43" i="2"/>
  <c r="P43" i="2" s="1"/>
  <c r="Q43" i="2" s="1"/>
  <c r="L20" i="5"/>
  <c r="I21" i="5"/>
  <c r="K21" i="5" s="1"/>
  <c r="K22" i="5"/>
  <c r="L22" i="5" s="1"/>
  <c r="M46" i="2"/>
  <c r="I25" i="5" s="1"/>
  <c r="D45" i="2"/>
  <c r="D47" i="2"/>
  <c r="D46" i="2"/>
  <c r="D17" i="2"/>
  <c r="D15" i="2"/>
  <c r="D6" i="2"/>
  <c r="D19" i="2"/>
  <c r="D25" i="2"/>
  <c r="D29" i="2"/>
  <c r="D32" i="2"/>
  <c r="D34" i="2"/>
  <c r="D35" i="2"/>
  <c r="D36" i="2"/>
  <c r="D39" i="2"/>
  <c r="D14" i="2"/>
  <c r="D16" i="2"/>
  <c r="D18" i="2"/>
  <c r="D5" i="2"/>
  <c r="D26" i="2"/>
  <c r="D27" i="2"/>
  <c r="D28" i="2"/>
  <c r="D30" i="2"/>
  <c r="D31" i="2"/>
  <c r="D33" i="2"/>
  <c r="D40" i="2"/>
  <c r="D44" i="2"/>
  <c r="L19" i="5"/>
  <c r="K20" i="4"/>
  <c r="K21" i="4"/>
  <c r="A21" i="4"/>
  <c r="N21" i="4"/>
  <c r="N20" i="4"/>
  <c r="A20" i="4"/>
  <c r="N22" i="4"/>
  <c r="A22" i="4"/>
  <c r="K22" i="4"/>
  <c r="E48" i="2"/>
  <c r="D48" i="2"/>
  <c r="N23" i="4"/>
  <c r="N36" i="4"/>
  <c r="N38" i="4"/>
  <c r="N33" i="4"/>
  <c r="N28" i="4"/>
  <c r="N26" i="4"/>
  <c r="N51" i="4"/>
  <c r="N46" i="4"/>
  <c r="N47" i="4"/>
  <c r="N35" i="4"/>
  <c r="N31" i="4"/>
  <c r="N37" i="4"/>
  <c r="N44" i="4"/>
  <c r="N50" i="4"/>
  <c r="N25" i="4"/>
  <c r="N52" i="4"/>
  <c r="N32" i="4"/>
  <c r="N29" i="4"/>
  <c r="N49" i="4"/>
  <c r="N43" i="4"/>
  <c r="N39" i="4"/>
  <c r="N41" i="4"/>
  <c r="N45" i="4"/>
  <c r="N27" i="4"/>
  <c r="N24" i="4"/>
  <c r="N30" i="4"/>
  <c r="N40" i="4"/>
  <c r="N34" i="4"/>
  <c r="N48" i="4"/>
  <c r="N42" i="4"/>
  <c r="L48" i="2"/>
  <c r="K48" i="2"/>
  <c r="G24" i="5"/>
  <c r="C24" i="5"/>
  <c r="D24" i="5"/>
  <c r="D23" i="5"/>
  <c r="F23" i="5"/>
  <c r="N46" i="2"/>
  <c r="N47" i="2"/>
  <c r="F24" i="5"/>
  <c r="E24" i="5"/>
  <c r="H24" i="5"/>
  <c r="C23" i="5"/>
  <c r="H23" i="5"/>
  <c r="E23" i="5"/>
  <c r="G23" i="5"/>
  <c r="N44" i="2"/>
  <c r="N45" i="2"/>
  <c r="F26" i="5"/>
  <c r="H26" i="5"/>
  <c r="H25" i="5"/>
  <c r="B4" i="9"/>
  <c r="E26" i="5"/>
  <c r="D25" i="5"/>
  <c r="C25" i="5"/>
  <c r="D26" i="5"/>
  <c r="E25" i="5"/>
  <c r="G25" i="5"/>
  <c r="G26" i="5"/>
  <c r="C26" i="5"/>
  <c r="F25" i="5"/>
  <c r="N48" i="2"/>
  <c r="M47" i="2" l="1"/>
  <c r="L21" i="4"/>
  <c r="L19" i="4"/>
  <c r="L18" i="4"/>
  <c r="J24" i="5"/>
  <c r="K24" i="5" s="1"/>
  <c r="L24" i="5" s="1"/>
  <c r="M24" i="5" s="1"/>
  <c r="J23" i="5"/>
  <c r="A23" i="5"/>
  <c r="J26" i="5"/>
  <c r="J25" i="5"/>
  <c r="K25" i="5" s="1"/>
  <c r="O46" i="2"/>
  <c r="P46" i="2" s="1"/>
  <c r="Q46" i="2" s="1"/>
  <c r="A24" i="5"/>
  <c r="O45" i="2"/>
  <c r="P45" i="2" s="1"/>
  <c r="Q45" i="2" s="1"/>
  <c r="M44" i="2"/>
  <c r="M20" i="5"/>
  <c r="L21" i="5"/>
  <c r="L20" i="4"/>
  <c r="M22" i="5"/>
  <c r="M19" i="5"/>
  <c r="A25" i="5"/>
  <c r="A26" i="5"/>
  <c r="M48" i="2"/>
  <c r="O48" i="2" s="1"/>
  <c r="P48" i="2" s="1"/>
  <c r="Q48" i="2" s="1"/>
  <c r="O47" i="2"/>
  <c r="P47" i="2" s="1"/>
  <c r="Q47" i="2" s="1"/>
  <c r="I26" i="5"/>
  <c r="L22" i="4"/>
  <c r="D4" i="9"/>
  <c r="H4" i="9"/>
  <c r="C4" i="9"/>
  <c r="E4" i="9"/>
  <c r="J4" i="9"/>
  <c r="G4" i="9"/>
  <c r="F4" i="9"/>
  <c r="I4" i="9"/>
  <c r="M21" i="4" l="1"/>
  <c r="M19" i="4"/>
  <c r="M18" i="4"/>
  <c r="O44" i="2"/>
  <c r="P44" i="2" s="1"/>
  <c r="Q44" i="2" s="1"/>
  <c r="I23" i="5"/>
  <c r="M21" i="5"/>
  <c r="M22" i="4"/>
  <c r="K26" i="5"/>
  <c r="L26" i="5" s="1"/>
  <c r="L25" i="5"/>
  <c r="M20" i="4"/>
  <c r="K4" i="9"/>
  <c r="A4" i="9"/>
  <c r="K23" i="5" l="1"/>
  <c r="L4" i="9"/>
  <c r="M26" i="5"/>
  <c r="M25" i="5"/>
  <c r="AP362" i="1"/>
  <c r="AP364" i="1"/>
  <c r="AP320" i="1"/>
  <c r="AP365" i="1"/>
  <c r="AP333" i="1"/>
  <c r="AP336" i="1"/>
  <c r="AP349" i="1"/>
  <c r="AP327" i="1"/>
  <c r="AP342" i="1"/>
  <c r="AP369" i="1"/>
  <c r="AP334" i="1"/>
  <c r="AP329" i="1"/>
  <c r="AP322" i="1"/>
  <c r="AP323" i="1"/>
  <c r="AP341" i="1"/>
  <c r="AP354" i="1"/>
  <c r="AP359" i="1"/>
  <c r="AP331" i="1"/>
  <c r="AP324" i="1"/>
  <c r="AP360" i="1"/>
  <c r="AP373" i="1"/>
  <c r="AP332" i="1"/>
  <c r="AP353" i="1"/>
  <c r="AP319" i="1"/>
  <c r="AP310" i="1"/>
  <c r="AP300" i="1"/>
  <c r="AP293" i="1"/>
  <c r="AP15" i="1"/>
  <c r="AP259" i="1"/>
  <c r="AP153" i="1"/>
  <c r="AP244" i="1"/>
  <c r="AP112" i="1"/>
  <c r="AP48" i="1"/>
  <c r="AP281" i="1"/>
  <c r="AP221" i="1"/>
  <c r="AP230" i="1"/>
  <c r="AP368" i="1"/>
  <c r="AP371" i="1"/>
  <c r="AP350" i="1"/>
  <c r="AP367" i="1"/>
  <c r="AP344" i="1"/>
  <c r="AP325" i="1"/>
  <c r="AP351" i="1"/>
  <c r="AP357" i="1"/>
  <c r="AP343" i="1"/>
  <c r="AP366" i="1"/>
  <c r="AP345" i="1"/>
  <c r="AP330" i="1"/>
  <c r="AP348" i="1"/>
  <c r="AP328" i="1"/>
  <c r="AP340" i="1"/>
  <c r="AP335" i="1"/>
  <c r="AP337" i="1"/>
  <c r="AP363" i="1"/>
  <c r="AP355" i="1"/>
  <c r="AP352" i="1"/>
  <c r="AP339" i="1"/>
  <c r="AP347" i="1"/>
  <c r="AP321" i="1"/>
  <c r="AP361" i="1"/>
  <c r="AP295" i="1"/>
  <c r="AP298" i="1"/>
  <c r="AP317" i="1"/>
  <c r="AP145" i="1"/>
  <c r="AP255" i="1"/>
  <c r="AP177" i="1"/>
  <c r="AP206" i="1"/>
  <c r="AP19" i="1"/>
  <c r="AP30" i="1"/>
  <c r="AP276" i="1"/>
  <c r="AP92" i="1"/>
  <c r="AP62" i="1"/>
  <c r="AP65" i="1"/>
  <c r="AP13" i="1"/>
  <c r="AP81" i="1"/>
  <c r="AP83" i="1"/>
  <c r="AP49" i="1"/>
  <c r="AP209" i="1"/>
  <c r="AP168" i="1"/>
  <c r="AP196" i="1"/>
  <c r="AP46" i="1"/>
  <c r="AP200" i="1"/>
  <c r="AP165" i="1"/>
  <c r="AP131" i="1"/>
  <c r="AP203" i="1"/>
  <c r="AP70" i="1"/>
  <c r="AP161" i="1"/>
  <c r="AP280" i="1"/>
  <c r="AP132" i="1"/>
  <c r="AP233" i="1"/>
  <c r="AP215" i="1"/>
  <c r="AP243" i="1"/>
  <c r="AP195" i="1"/>
  <c r="AP299" i="1"/>
  <c r="AP302" i="1"/>
  <c r="AP305" i="1"/>
  <c r="AP17" i="1"/>
  <c r="AP279" i="1"/>
  <c r="AP182" i="1"/>
  <c r="AP223" i="1"/>
  <c r="AP97" i="1"/>
  <c r="AP188" i="1"/>
  <c r="AP183" i="1"/>
  <c r="AP167" i="1"/>
  <c r="AP313" i="1"/>
  <c r="AP315" i="1"/>
  <c r="AP301" i="1"/>
  <c r="AP42" i="1"/>
  <c r="AP250" i="1"/>
  <c r="AP28" i="1"/>
  <c r="AP190" i="1"/>
  <c r="AP77" i="1"/>
  <c r="AP32" i="1"/>
  <c r="AP248" i="1"/>
  <c r="AP144" i="1"/>
  <c r="AP198" i="1"/>
  <c r="AP67" i="1"/>
  <c r="AP277" i="1"/>
  <c r="AP64" i="1"/>
  <c r="AP150" i="1"/>
  <c r="AP225" i="1"/>
  <c r="AP109" i="1"/>
  <c r="AP21" i="1"/>
  <c r="AP5" i="1"/>
  <c r="AP105" i="1"/>
  <c r="AP148" i="1"/>
  <c r="AP164" i="1"/>
  <c r="AP205" i="1"/>
  <c r="AP264" i="1"/>
  <c r="AP115" i="1"/>
  <c r="AP74" i="1"/>
  <c r="AP207" i="1"/>
  <c r="AP214" i="1"/>
  <c r="AP138" i="1"/>
  <c r="AP78" i="1"/>
  <c r="AP24" i="1"/>
  <c r="AP309" i="1"/>
  <c r="AP308" i="1"/>
  <c r="AP18" i="1"/>
  <c r="AP288" i="1"/>
  <c r="AP159" i="1"/>
  <c r="AP141" i="1"/>
  <c r="AP52" i="1"/>
  <c r="AP217" i="1"/>
  <c r="AP274" i="1"/>
  <c r="AP126" i="1"/>
  <c r="AP258" i="1"/>
  <c r="AP45" i="1"/>
  <c r="AP122" i="1"/>
  <c r="AP157" i="1"/>
  <c r="AP218" i="1"/>
  <c r="AP287" i="1"/>
  <c r="AP37" i="1"/>
  <c r="AP219" i="1"/>
  <c r="AP257" i="1"/>
  <c r="AP75" i="1"/>
  <c r="AP174" i="1"/>
  <c r="AP227" i="1"/>
  <c r="AP283" i="1"/>
  <c r="AP202" i="1"/>
  <c r="AP234" i="1"/>
  <c r="AP107" i="1"/>
  <c r="AP192" i="1"/>
  <c r="AP60" i="1"/>
  <c r="AP212" i="1"/>
  <c r="AP3" i="1"/>
  <c r="AP178" i="1"/>
  <c r="AP272" i="1"/>
  <c r="AP173" i="1"/>
  <c r="AP231" i="1"/>
  <c r="AP35" i="1"/>
  <c r="AP147" i="1"/>
  <c r="AP59" i="1"/>
  <c r="AP139" i="1"/>
  <c r="AP14" i="1"/>
  <c r="AP176" i="1"/>
  <c r="AP210" i="1"/>
  <c r="AP226" i="1"/>
  <c r="AP273" i="1"/>
  <c r="AP172" i="1"/>
  <c r="AP260" i="1"/>
  <c r="AP170" i="1"/>
  <c r="AP63" i="1"/>
  <c r="AP185" i="1"/>
  <c r="AP119" i="1"/>
  <c r="AP271" i="1"/>
  <c r="AP127" i="1"/>
  <c r="AP66" i="1"/>
  <c r="AP261" i="1"/>
  <c r="AP124" i="1"/>
  <c r="AP137" i="1"/>
  <c r="AP22" i="1"/>
  <c r="AP229" i="1"/>
  <c r="AP120" i="1"/>
  <c r="AP275" i="1"/>
  <c r="AP245" i="1"/>
  <c r="AP247" i="1"/>
  <c r="AP284" i="1"/>
  <c r="AP254" i="1"/>
  <c r="AP69" i="1"/>
  <c r="AP99" i="1"/>
  <c r="AP136" i="1"/>
  <c r="AP80" i="1"/>
  <c r="AP267" i="1"/>
  <c r="AP204" i="1"/>
  <c r="AP297" i="1"/>
  <c r="AP291" i="1"/>
  <c r="AP311" i="1"/>
  <c r="AP269" i="1"/>
  <c r="AP154" i="1"/>
  <c r="AP33" i="1"/>
  <c r="AP236" i="1"/>
  <c r="AP11" i="1"/>
  <c r="AP211" i="1"/>
  <c r="AP268" i="1"/>
  <c r="AP7" i="1"/>
  <c r="AP304" i="1"/>
  <c r="AP294" i="1"/>
  <c r="AP181" i="1"/>
  <c r="AP143" i="1"/>
  <c r="AP117" i="1"/>
  <c r="AP239" i="1"/>
  <c r="AP146" i="1"/>
  <c r="AP26" i="1"/>
  <c r="AP56" i="1"/>
  <c r="AP72" i="1"/>
  <c r="AP256" i="1"/>
  <c r="AP166" i="1"/>
  <c r="AP142" i="1"/>
  <c r="AP41" i="1"/>
  <c r="AP58" i="1"/>
  <c r="AP87" i="1"/>
  <c r="AP130" i="1"/>
  <c r="AP61" i="1"/>
  <c r="AP222" i="1"/>
  <c r="AP149" i="1"/>
  <c r="AP162" i="1"/>
  <c r="AP241" i="1"/>
  <c r="AP262" i="1"/>
  <c r="AP110" i="1"/>
  <c r="AP96" i="1"/>
  <c r="AP265" i="1"/>
  <c r="AP224" i="1"/>
  <c r="AP179" i="1"/>
  <c r="AP253" i="1"/>
  <c r="AP152" i="1"/>
  <c r="AP85" i="1"/>
  <c r="AP290" i="1"/>
  <c r="AP306" i="1"/>
  <c r="AP307" i="1"/>
  <c r="AP47" i="1"/>
  <c r="AP133" i="1"/>
  <c r="AP187" i="1"/>
  <c r="AP237" i="1"/>
  <c r="AP44" i="1"/>
  <c r="AP6" i="1"/>
  <c r="AP128" i="1"/>
  <c r="AP4" i="1"/>
  <c r="AP16" i="1"/>
  <c r="AP240" i="1"/>
  <c r="AP90" i="1"/>
  <c r="AP156" i="1"/>
  <c r="AP94" i="1"/>
  <c r="AP39" i="1"/>
  <c r="AP103" i="1"/>
  <c r="AP55" i="1"/>
  <c r="AP235" i="1"/>
  <c r="AP252" i="1"/>
  <c r="AP123" i="1"/>
  <c r="AP197" i="1"/>
  <c r="AP102" i="1"/>
  <c r="AP95" i="1"/>
  <c r="AP213" i="1"/>
  <c r="AP194" i="1"/>
  <c r="AP54" i="1"/>
  <c r="AP10" i="1"/>
  <c r="AP169" i="1"/>
  <c r="AP53" i="1"/>
  <c r="AP228" i="1"/>
  <c r="AP34" i="1"/>
  <c r="AP9" i="1"/>
  <c r="AP20" i="1"/>
  <c r="AP238" i="1"/>
  <c r="AP8" i="1"/>
  <c r="AP101" i="1"/>
  <c r="AP175" i="1"/>
  <c r="AP50" i="1"/>
  <c r="AP88" i="1"/>
  <c r="AP160" i="1"/>
  <c r="AP216" i="1"/>
  <c r="AP104" i="1"/>
  <c r="AP285" i="1"/>
  <c r="AP191" i="1"/>
  <c r="AP71" i="1"/>
  <c r="AP134" i="1"/>
  <c r="AP282" i="1"/>
  <c r="AP270" i="1"/>
  <c r="AP113" i="1"/>
  <c r="AP249" i="1"/>
  <c r="L23" i="5" l="1"/>
  <c r="M23" i="5" s="1"/>
  <c r="M4" i="9"/>
</calcChain>
</file>

<file path=xl/sharedStrings.xml><?xml version="1.0" encoding="utf-8"?>
<sst xmlns="http://schemas.openxmlformats.org/spreadsheetml/2006/main" count="1424" uniqueCount="539">
  <si>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</si>
  <si>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</si>
  <si>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</si>
  <si>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</si>
  <si>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</si>
  <si>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</si>
  <si>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</si>
  <si>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</si>
  <si>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</si>
  <si>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</si>
  <si>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</si>
  <si>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</si>
  <si>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</si>
  <si>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</si>
  <si>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</si>
  <si>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</si>
  <si>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</si>
  <si>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</si>
  <si>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</si>
  <si>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</si>
  <si>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</si>
  <si>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</si>
  <si>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</si>
  <si>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</si>
  <si>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</si>
  <si>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</si>
  <si>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</si>
  <si>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</si>
  <si>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</si>
  <si>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</si>
  <si>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</si>
  <si>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</si>
  <si>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</si>
  <si>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</si>
  <si>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</si>
  <si>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</si>
  <si>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</si>
  <si>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</si>
  <si>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</si>
  <si>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</si>
  <si>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</si>
  <si>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</si>
  <si>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</si>
  <si>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</si>
  <si>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</si>
  <si>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</si>
  <si>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</si>
  <si>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</si>
  <si>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</si>
  <si>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</si>
  <si>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</si>
  <si>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</si>
  <si>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</si>
  <si>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</si>
  <si>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</si>
  <si>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</si>
  <si>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</si>
  <si>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</si>
  <si>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</si>
  <si>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</si>
  <si>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</si>
  <si>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</si>
  <si>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</si>
  <si>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</si>
  <si>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</si>
  <si>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</si>
  <si>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</si>
  <si>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</si>
  <si>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</si>
  <si>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</si>
  <si>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</si>
  <si>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</si>
  <si>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</si>
  <si>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</si>
  <si>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</si>
  <si>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</si>
  <si>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</si>
  <si>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</si>
  <si>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</si>
  <si>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</si>
  <si>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</si>
  <si>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</si>
  <si>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</si>
  <si>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</si>
  <si>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</si>
  <si>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</si>
  <si>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TAPE DISPENSER TD-323 (1" &amp; 3" CORE)</t>
  </si>
  <si>
    <t>KENKO CORRECTION FLUID KE-108</t>
  </si>
  <si>
    <t>KENKO COLOR PENCIL CP-12HALF CLASSIC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</si>
  <si>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</si>
  <si>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</si>
  <si>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</si>
  <si>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</si>
  <si>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</si>
  <si>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Row Labels</t>
  </si>
  <si>
    <t>Grand Total</t>
  </si>
  <si>
    <t>FAKTUR_H</t>
  </si>
  <si>
    <t>Sum of C</t>
  </si>
  <si>
    <t>CRAYON PUTAR TWCR-12MINI JK</t>
  </si>
  <si>
    <t>SCISSOR SC-828 JK</t>
  </si>
  <si>
    <t>SCISSOR SC-848 JK</t>
  </si>
  <si>
    <t>BINDER CLIP 155 JK</t>
  </si>
  <si>
    <t>ERASER 526-B40P JK</t>
  </si>
  <si>
    <t>ERASER 526-B20 JK</t>
  </si>
  <si>
    <t>ERASER 526-B40BL JK</t>
  </si>
  <si>
    <t>SCISSOR SC-838 JK</t>
  </si>
  <si>
    <t>KENKO ERASER ERW-40SQ WHITE</t>
  </si>
  <si>
    <t>KENKO SCISSOR SC-828</t>
  </si>
  <si>
    <t>KENKO PENCIL 2B-6191 HIJAU CAP HITAM</t>
  </si>
  <si>
    <t>KENKO CORRECTION FLUID KE-01</t>
  </si>
  <si>
    <t>CONCAT2</t>
  </si>
  <si>
    <t>CONCAT1</t>
  </si>
  <si>
    <t>//DB</t>
  </si>
  <si>
    <t>OIL PASTEL OP-18S PP CASE SEA WORLD JK</t>
  </si>
  <si>
    <t>PENCIL P-88 2B JK</t>
  </si>
  <si>
    <t>CRAYON PUTAR TWCR-12S JK</t>
  </si>
  <si>
    <t>STAPLER HD-10 JK</t>
  </si>
  <si>
    <t>CORRECTION TAPE CT-507 JK</t>
  </si>
  <si>
    <t>KENKO LOOSE LEAF A5-LL 50-2070</t>
  </si>
  <si>
    <t>KENKO LOOSE LEAF B5-LL 100-2670</t>
  </si>
  <si>
    <t>KENKO GEL PEN EASY GEL BLACK</t>
  </si>
  <si>
    <t>CORRECTION TAPE CT-522 JK</t>
  </si>
  <si>
    <t>ERASER ER-30W JK</t>
  </si>
  <si>
    <t>COLOR PENCIL CP-24 PB JK</t>
  </si>
  <si>
    <t>COLOR PENCIL CP-S24 JK</t>
  </si>
  <si>
    <t>GEL PEN GP-265 Q GEL BLACK JK</t>
  </si>
  <si>
    <t>GLUE STICK GS-09 8 GRAM JK</t>
  </si>
  <si>
    <t>CUTTER L-500 JK</t>
  </si>
  <si>
    <t>CUTTER BLADE L-150 AM (L) JK</t>
  </si>
  <si>
    <t>COLOR PENCIL CP-12 PB JK</t>
  </si>
  <si>
    <t>CRAYON PUTAR TWCR-24S JK</t>
  </si>
  <si>
    <t>CRAYON PUTAR TWCR-12 MINI JK</t>
  </si>
  <si>
    <t>OIL PASTEL OP-12S PP CASE SEA WORLD JK</t>
  </si>
  <si>
    <t>OIL PASTEL OP-24S PP CASE SEA WORLD JK</t>
  </si>
  <si>
    <t>MECH PENCIL MP-21 JK</t>
  </si>
  <si>
    <t>KENKO GEL PEN K-1 BLACK</t>
  </si>
  <si>
    <t>ISI GW NO 10</t>
  </si>
  <si>
    <t>CORRECTION FLUID JK-101 JK</t>
  </si>
  <si>
    <t>H_DISKON</t>
  </si>
  <si>
    <t>H_DISC DLL</t>
  </si>
  <si>
    <t>KENKO BINDER CLIP NO.155</t>
  </si>
  <si>
    <t>KENKO BINDER CLIP NO.200</t>
  </si>
  <si>
    <t>KENKO LOOSE LEAF A5-LL 100-2070</t>
  </si>
  <si>
    <t>KENKO GEL PEN KE-100 BLACK</t>
  </si>
  <si>
    <t>CONCAT3</t>
  </si>
  <si>
    <t>CONCAT4</t>
  </si>
  <si>
    <t>CEK ARSIP</t>
  </si>
  <si>
    <t>23040005</t>
  </si>
  <si>
    <t>KENKO GEL PEN KE 303 T GEL TRIANGULAR BLACK</t>
  </si>
  <si>
    <t>KENKO CORRECTION TAPE CT 909 12 M X 5 MM</t>
  </si>
  <si>
    <t>KENKO PENCIL CASE PC 0719 PASTEL</t>
  </si>
  <si>
    <t>KENKO SCISSOR SC 828</t>
  </si>
  <si>
    <t>KENKO SCISSOR SC-848 N</t>
  </si>
  <si>
    <t>KENKO CORRECTION TAPE CT 1505 FC 15M X 5 MM</t>
  </si>
  <si>
    <t>SA 40769</t>
  </si>
  <si>
    <t>12 GRS</t>
  </si>
  <si>
    <t>48 DOZ</t>
  </si>
  <si>
    <t>24 DOZ</t>
  </si>
  <si>
    <t>25 DOZ</t>
  </si>
  <si>
    <t>10 DOZ</t>
  </si>
  <si>
    <t>23040058</t>
  </si>
  <si>
    <t>KENKO HAND TALLY COUNTER HT-302</t>
  </si>
  <si>
    <t>KENKO CORRECTION FLUID KE 823 M</t>
  </si>
  <si>
    <t>KENKO LIQUID GLUE LG-50 50ML</t>
  </si>
  <si>
    <t>KENKO LIQUID GLUE LG-35 35ML</t>
  </si>
  <si>
    <t>KENKO CUTTER L-500 18MM BLADE</t>
  </si>
  <si>
    <t>KENKO GEL PEN WINJELLER KE-600 BLACK</t>
  </si>
  <si>
    <t>KENKO PENCIL CASE PC-0719-PASTEL</t>
  </si>
  <si>
    <t>20 BOX X 10 PCS</t>
  </si>
  <si>
    <t>20 DOZ</t>
  </si>
  <si>
    <t>36DOZ</t>
  </si>
  <si>
    <t>SA 40792</t>
  </si>
  <si>
    <t>SA 40832</t>
  </si>
  <si>
    <t>A 40835</t>
  </si>
  <si>
    <t>SA 40801</t>
  </si>
  <si>
    <t>GLORY</t>
  </si>
  <si>
    <t>UNTANA</t>
  </si>
  <si>
    <t>II</t>
  </si>
  <si>
    <t>MAP TALI SIKA HIJAU</t>
  </si>
  <si>
    <t>50 LSN</t>
  </si>
  <si>
    <t>GRAFINDO</t>
  </si>
  <si>
    <t>GA-23-04-0045</t>
  </si>
  <si>
    <t>MAP TALI SIKA AC-05 HIJAU</t>
  </si>
  <si>
    <t>LSN</t>
  </si>
  <si>
    <t>BARANG OPERAN GLORY</t>
  </si>
  <si>
    <t>LESTARI</t>
  </si>
  <si>
    <t>444218</t>
  </si>
  <si>
    <t>PIANIKA BLUE LOVELY</t>
  </si>
  <si>
    <t>SET</t>
  </si>
  <si>
    <t>10 SET</t>
  </si>
  <si>
    <t>WIRA INDO SPUNBOUND</t>
  </si>
  <si>
    <t>INV/ WIRA/ 23/ 03/ 0840</t>
  </si>
  <si>
    <t>HLS IFL 30 X 40 X 8 KUNING WBY</t>
  </si>
  <si>
    <t>HLS IFL 30 X 40 X 8 HIJAU STABILO WSG</t>
  </si>
  <si>
    <t>HLS IFL 38 X 45 X 8 KUNING WBY</t>
  </si>
  <si>
    <t>HLS IFL 38 X 45 X 8 HIJAU</t>
  </si>
  <si>
    <t>D20</t>
  </si>
  <si>
    <t>AG CK POLOS</t>
  </si>
  <si>
    <t>PCS</t>
  </si>
  <si>
    <t>CASH DISC : 78.000</t>
  </si>
  <si>
    <t>PAK</t>
  </si>
  <si>
    <t>100 PAK</t>
  </si>
  <si>
    <t>BK KAS KWARTO</t>
  </si>
  <si>
    <t>BOK</t>
  </si>
  <si>
    <t>BOX</t>
  </si>
  <si>
    <t>100 PCS</t>
  </si>
  <si>
    <t>50 PCS</t>
  </si>
  <si>
    <t>23040230</t>
  </si>
  <si>
    <t>KENKO CORRECTION TAPE CT-606 6M X 5 MM</t>
  </si>
  <si>
    <t>KENKO CORRECTION TAPE CT-608 FC 6M X 5MM</t>
  </si>
  <si>
    <t>KENKO PENCIL 2B-6388 ZOO N ZOO</t>
  </si>
  <si>
    <t>KENKO SCISSOR SC-838 N</t>
  </si>
  <si>
    <t>KENKO PRICE LABELLER MX-5500 8 DIGITS 1 LINE</t>
  </si>
  <si>
    <t>KENKO CORRECTION TAPE CT-1505 FC 15M X 5MM</t>
  </si>
  <si>
    <t>TITI 18 COLOR OIL PASTEL TI P 18 S</t>
  </si>
  <si>
    <t>TITI 24 COLOR OIL PASTEL TI P 24 S</t>
  </si>
  <si>
    <t>TITI 36 COLOR OIL PASTEL TI P 36 S</t>
  </si>
  <si>
    <t>TITI 48 COLOR OIL PASTEL TI P 48 S</t>
  </si>
  <si>
    <t>TITI 55 COLOR OIL PASTEL TI  P 55 S</t>
  </si>
  <si>
    <t>23040242</t>
  </si>
  <si>
    <t>6 DOZ</t>
  </si>
  <si>
    <t>8 BOX X 6 SET</t>
  </si>
  <si>
    <t>4 BOX X 6 SET</t>
  </si>
  <si>
    <t>6 BOX X 6 SET</t>
  </si>
  <si>
    <t>SA 40921</t>
  </si>
  <si>
    <t>50 BOX</t>
  </si>
  <si>
    <t>20 GRS</t>
  </si>
  <si>
    <t>SA 40908</t>
  </si>
  <si>
    <t>23040306</t>
  </si>
  <si>
    <t>KENKO CORRECTION TAPE CT-818 8M X 5MM</t>
  </si>
  <si>
    <t>KENKO GLUE STICK 8GR SMALL</t>
  </si>
  <si>
    <t>KENKO HIGHLIGHTER HL-100 PINK</t>
  </si>
  <si>
    <t>KENKO HIGHLIGHTER HL-100 GREEN</t>
  </si>
  <si>
    <t>KENKO PENCIL LEAD PL-05 2B 0.5MM HI POLYMER</t>
  </si>
  <si>
    <t>KENKO CUTTER K 200 9MM BLADE</t>
  </si>
  <si>
    <t>KENKO STAPLES NO 1210 23/10</t>
  </si>
  <si>
    <t>23040289</t>
  </si>
  <si>
    <t>23040384</t>
  </si>
  <si>
    <t>KENKO GEL PEN KE 200 BLACK</t>
  </si>
  <si>
    <t>KENKO STAPLER HD-50 NEW COLOR</t>
  </si>
  <si>
    <t>23040401</t>
  </si>
  <si>
    <t>KENKO TAPE DISPENSER TD-321 1" &amp; 3" CORE</t>
  </si>
  <si>
    <t>KENKO TAPE DISPENSER TD-323 1" &amp; 3" CORE</t>
  </si>
  <si>
    <t>36 BOX X 30 PCS</t>
  </si>
  <si>
    <t>48 BOX X 10 PCS</t>
  </si>
  <si>
    <t>36 DOZ</t>
  </si>
  <si>
    <t>20 PAK X 10 BOX</t>
  </si>
  <si>
    <t>18 GRS</t>
  </si>
  <si>
    <t>10 GRS</t>
  </si>
  <si>
    <t>30 DOZ</t>
  </si>
  <si>
    <t>SA 40938</t>
  </si>
  <si>
    <t>48 DOZ X 12 PCS</t>
  </si>
  <si>
    <t>480 ROL</t>
  </si>
  <si>
    <t>SA 40942</t>
  </si>
  <si>
    <t>SA 40953</t>
  </si>
  <si>
    <t>SA 40955</t>
  </si>
  <si>
    <t>SA 40971</t>
  </si>
  <si>
    <t>24 PCS</t>
  </si>
  <si>
    <t>COMBI</t>
  </si>
  <si>
    <t>0404</t>
  </si>
  <si>
    <t>DOC REST PRESTIGE</t>
  </si>
  <si>
    <t>DZ</t>
  </si>
  <si>
    <t>8 DZ</t>
  </si>
  <si>
    <t>DOC REST INFINITY</t>
  </si>
  <si>
    <t>PPW</t>
  </si>
  <si>
    <t>0003/HW/IV/23</t>
  </si>
  <si>
    <t>BT 30 CM</t>
  </si>
  <si>
    <t>100 DZ</t>
  </si>
  <si>
    <t>75841</t>
  </si>
  <si>
    <t>AGENDA 7025 25K</t>
  </si>
  <si>
    <t>90 PCS</t>
  </si>
  <si>
    <t>DB STATIONERY</t>
  </si>
  <si>
    <t>JUD032/23</t>
  </si>
  <si>
    <t>GEL PEN TIZO 1.0 TG 340</t>
  </si>
  <si>
    <t>96 LSN</t>
  </si>
  <si>
    <t>MEK TIZO 20 TM 030-C</t>
  </si>
  <si>
    <t>HANSA</t>
  </si>
  <si>
    <t>HN042023064</t>
  </si>
  <si>
    <t>MALAM SHINTOENG B 1W POLOS</t>
  </si>
  <si>
    <t>HARGA LAMA/ SELANJUTNYA =&gt; 5.770/ PCS</t>
  </si>
  <si>
    <t>GUNINDO</t>
  </si>
  <si>
    <t>2300711</t>
  </si>
  <si>
    <t>OSS GUNINDO</t>
  </si>
  <si>
    <t>60 LSN</t>
  </si>
  <si>
    <t>PMJP</t>
  </si>
  <si>
    <t>CELENGAN S</t>
  </si>
  <si>
    <t>16 LSN</t>
  </si>
  <si>
    <t>CELENGAN M</t>
  </si>
  <si>
    <t>CELENGAN L</t>
  </si>
  <si>
    <t>CELENGAN XL</t>
  </si>
  <si>
    <t>6 LSN</t>
  </si>
  <si>
    <t>10 LSN</t>
  </si>
  <si>
    <t>PELNA</t>
  </si>
  <si>
    <t>PELNA 01 HITAM</t>
  </si>
  <si>
    <t>GRS</t>
  </si>
  <si>
    <t>PELNA 01I HITAM</t>
  </si>
  <si>
    <t>PELNA X02 HITAM</t>
  </si>
  <si>
    <t>PELNA X03 HITAM</t>
  </si>
  <si>
    <t>PELNA 05 HITAM 0.5MM</t>
  </si>
  <si>
    <t>BONUS</t>
  </si>
  <si>
    <t>SINAR KOTA</t>
  </si>
  <si>
    <t>75877</t>
  </si>
  <si>
    <t>JARUM PENTOL BUNGA NO.1</t>
  </si>
  <si>
    <t>500 PAK</t>
  </si>
  <si>
    <t>ETJ</t>
  </si>
  <si>
    <t>F30.23</t>
  </si>
  <si>
    <t>N TAG D/MRH 301</t>
  </si>
  <si>
    <t>4000 PCS</t>
  </si>
  <si>
    <t>SEMPOA 17 TIANG</t>
  </si>
  <si>
    <t>300 PCS</t>
  </si>
  <si>
    <t>PARAMA</t>
  </si>
  <si>
    <t>SAMPUL SAMSON KWARTO FANCY</t>
  </si>
  <si>
    <t>240 PCS</t>
  </si>
  <si>
    <t>SAMPUL SAMSON BOXY BATIK</t>
  </si>
  <si>
    <t>180 PCS</t>
  </si>
  <si>
    <t>SBS</t>
  </si>
  <si>
    <t>TH017/2/2023</t>
  </si>
  <si>
    <t>ELEVATED TRAY 603</t>
  </si>
  <si>
    <t>BARANG TITIP</t>
  </si>
  <si>
    <t>BINTANG JAYA</t>
  </si>
  <si>
    <t>SI.2023.04.00084</t>
  </si>
  <si>
    <t>PENCIL CASE MIKA RAKIT SQ-803</t>
  </si>
  <si>
    <t>1200 PCS</t>
  </si>
  <si>
    <t>SAT : 1200@12</t>
  </si>
  <si>
    <t>23040493</t>
  </si>
  <si>
    <t>SA 70982</t>
  </si>
  <si>
    <t>4 BOX 6 SET</t>
  </si>
  <si>
    <t>SA230405621</t>
  </si>
  <si>
    <t>12 BOX X 12 SET</t>
  </si>
  <si>
    <t>6 BOX X 12 SET</t>
  </si>
  <si>
    <t>SA230405588</t>
  </si>
  <si>
    <t>12 BOX X 6 SET</t>
  </si>
  <si>
    <t>SA230405765</t>
  </si>
  <si>
    <t>12 BOX X 12 PCS</t>
  </si>
  <si>
    <t>60 BOX X 12 PCS</t>
  </si>
  <si>
    <t>CORRECTION TAPE CT-508 JK</t>
  </si>
  <si>
    <t>CORRECTION TAPE CT-553 JK</t>
  </si>
  <si>
    <t>36 BOX X 12 PCS</t>
  </si>
  <si>
    <t>SA230405622</t>
  </si>
  <si>
    <t>OIL PASTEL OP-12CR ROUND JK</t>
  </si>
  <si>
    <t>6 BOX X 24 SET</t>
  </si>
  <si>
    <t>OIL PASTEL OP-12CH HEXAGONAL JK</t>
  </si>
  <si>
    <t>OIL PASTEL OP-12 CHC COMPACT JK</t>
  </si>
  <si>
    <t>SA230405587</t>
  </si>
  <si>
    <t>HIGHLIGHTER HL-1 YELLOW JK</t>
  </si>
  <si>
    <t>72 BOX X 10 PCS</t>
  </si>
  <si>
    <t>HIGHLIGHTER HL-2 GREEN JK</t>
  </si>
  <si>
    <t>HIGHLIGHTER HL-3 BLUE JK</t>
  </si>
  <si>
    <t>HIGHLIGHTER HL-4 PINK JK</t>
  </si>
  <si>
    <t>72 BOX X 10PCS</t>
  </si>
  <si>
    <t>HIGHLIGHTER HL-5ORANGE JK</t>
  </si>
  <si>
    <t>72 BOX X 1- PCS</t>
  </si>
  <si>
    <t>50 BOX X 40 PCS</t>
  </si>
  <si>
    <t>50 BOX X 20 PCS</t>
  </si>
  <si>
    <t>144 DZ</t>
  </si>
  <si>
    <t>TAPE CUTTER TD-102 JK</t>
  </si>
  <si>
    <t>SA230405623</t>
  </si>
  <si>
    <t>CORRECTION FLUID JK-01 JK</t>
  </si>
  <si>
    <t>48 DZ</t>
  </si>
  <si>
    <t>23040697</t>
  </si>
  <si>
    <t>KENKO PENCIL 2B-6181 BIRU CAP HITAM</t>
  </si>
  <si>
    <t>KENKO CUTTER A-300 (9MM BLADE)</t>
  </si>
  <si>
    <t>KENKO CLOTH TAPE 48 MM BLUE CORE BLACK BT</t>
  </si>
  <si>
    <t>60 RO</t>
  </si>
  <si>
    <t>SA 41022</t>
  </si>
  <si>
    <t>23040597</t>
  </si>
  <si>
    <t>KENKO TAPE DISPENSER TD-321 (1" &amp; 3" CORE)</t>
  </si>
  <si>
    <t>KENKO LOOSE LEAF B5-LL 50-2670</t>
  </si>
  <si>
    <t>KENKO GEL PEN T-GEL ERASABLE KE-303 ER BLACK</t>
  </si>
  <si>
    <t>SA 41017</t>
  </si>
  <si>
    <t>23040576</t>
  </si>
  <si>
    <t>KENKO PRICE LABEL 6001-2R 1 LINE @ 10 ROL</t>
  </si>
  <si>
    <t>SA 40997</t>
  </si>
  <si>
    <t>50 TUB</t>
  </si>
  <si>
    <t>192 PCS</t>
  </si>
  <si>
    <t>96 PCS</t>
  </si>
  <si>
    <t>160 PCS</t>
  </si>
  <si>
    <t>80 PCS</t>
  </si>
  <si>
    <t>VD0107B1</t>
  </si>
  <si>
    <t>CORRECTION TAPE XDM 5037/ 5 X 30</t>
  </si>
  <si>
    <t>CORRECTION TAPE XDM 5026/ 5 X 30</t>
  </si>
  <si>
    <t>CORRECTION TAPE XDM 6080/ 5 X 30</t>
  </si>
  <si>
    <t>F44.23</t>
  </si>
  <si>
    <t>ENTER CARD CASE B4</t>
  </si>
  <si>
    <t>3200 PCS</t>
  </si>
  <si>
    <t>23040797</t>
  </si>
  <si>
    <t>23040745</t>
  </si>
  <si>
    <t>KENKO CUTTER BLADE A-100 9MM</t>
  </si>
  <si>
    <t>KENKO LAMINATING FILM LF100-2234 FC @ 100 PCS</t>
  </si>
  <si>
    <t>10 BOX</t>
  </si>
  <si>
    <t>SA 41046</t>
  </si>
  <si>
    <t>SA 41043</t>
  </si>
  <si>
    <t>SA230405969</t>
  </si>
  <si>
    <t>SA230405889</t>
  </si>
  <si>
    <t>SA230405832</t>
  </si>
  <si>
    <t>30 GRS</t>
  </si>
  <si>
    <t>GLUE STICK  GS-09 8 GRAM JK</t>
  </si>
  <si>
    <t>64 BOX X 12 PCS</t>
  </si>
  <si>
    <t>CUTTER BLADE L-150 AM L JK</t>
  </si>
  <si>
    <t>40 DZ</t>
  </si>
  <si>
    <t>SA230405968</t>
  </si>
  <si>
    <t>COLOR PENCIL CP-S12 JK</t>
  </si>
  <si>
    <t>12 BOX X 24 SET</t>
  </si>
  <si>
    <t>20 BOX X 6 PCS</t>
  </si>
  <si>
    <t>STAPLER HD-50 CL JK</t>
  </si>
  <si>
    <t>ERASER EB-30 JK</t>
  </si>
  <si>
    <t>50 BOX X 30 PCS</t>
  </si>
  <si>
    <t>TAPE CUTTER TC-111 JK</t>
  </si>
  <si>
    <t>MATH SET MS-28 JK</t>
  </si>
  <si>
    <t>24 DZ</t>
  </si>
  <si>
    <t>SA230405967</t>
  </si>
  <si>
    <t>GEL PEN GP-266 ITECH 2 (BLUE) JK</t>
  </si>
  <si>
    <t>BRUSH BR-1 JK</t>
  </si>
  <si>
    <t>10 BOX X 24 SET</t>
  </si>
  <si>
    <t>BALLPEN BP-273 ZETO BLACK JK</t>
  </si>
  <si>
    <t>ERASER ER-102 JK</t>
  </si>
  <si>
    <t>50 BOX X 36 PCS</t>
  </si>
  <si>
    <t>SA230405970</t>
  </si>
  <si>
    <t>BINDER CLIP 105 JK</t>
  </si>
  <si>
    <t>60 GRS</t>
  </si>
  <si>
    <t>BINDER CLIP 107 JK</t>
  </si>
  <si>
    <t>50 GRS</t>
  </si>
  <si>
    <t>BINDER CLIP 111 JK</t>
  </si>
  <si>
    <t>BINDER CLIP 200 JK</t>
  </si>
  <si>
    <t>10 GS</t>
  </si>
  <si>
    <t>SA230406063</t>
  </si>
  <si>
    <t>SA230406064</t>
  </si>
  <si>
    <t>SA230406022</t>
  </si>
  <si>
    <t>12 BOX X 12 [CS</t>
  </si>
  <si>
    <t xml:space="preserve"> 288PCS</t>
  </si>
  <si>
    <t>CUTTER BLADE A-100 AM (S) JK</t>
  </si>
  <si>
    <t>120 DZ</t>
  </si>
  <si>
    <t>12 BOX X 12  PCS</t>
  </si>
  <si>
    <t>PENCIL CASE PC-0719 AC-36A/F ANIMAL CALENDER JK</t>
  </si>
  <si>
    <t>PENCIL CASE PC-0719TV-33A/F (TRAVEL) JK</t>
  </si>
  <si>
    <t>CUTTER BLADE L-150 M (MH) JK</t>
  </si>
  <si>
    <t>SA230406023</t>
  </si>
  <si>
    <t>SA230406100</t>
  </si>
  <si>
    <t>GLUE STICK GS-100 8 GRAM JK</t>
  </si>
  <si>
    <t>36 BOX X 24 PCS</t>
  </si>
  <si>
    <t>SA230406101</t>
  </si>
  <si>
    <t>100</t>
  </si>
  <si>
    <t>20 DZ</t>
  </si>
  <si>
    <t>STAPLER HD-50 JK</t>
  </si>
  <si>
    <t>LABELLER MX-6600A 10 D 2 LINE JK</t>
  </si>
  <si>
    <t>20 PCS</t>
  </si>
  <si>
    <t>LABEL LB-2RL 1 BARIS JK</t>
  </si>
  <si>
    <t>ROL</t>
  </si>
  <si>
    <t>100 PAK X 10 ROL</t>
  </si>
  <si>
    <t>LABEL LB-P2LN 2 BARIS JK</t>
  </si>
  <si>
    <t>50 PAK X 10 ROL</t>
  </si>
  <si>
    <t>LABEL LB-1LY 1 BARIS YELLOW JK</t>
  </si>
  <si>
    <t>GADING MURNI</t>
  </si>
  <si>
    <t>E.2305488</t>
  </si>
  <si>
    <t>MARIES ACRCLR 8 12/12 WRN</t>
  </si>
  <si>
    <t>60 SET</t>
  </si>
  <si>
    <t>MARIES WATER CLR E-1325 B 12 WARNA</t>
  </si>
  <si>
    <t>96 SET</t>
  </si>
  <si>
    <t>KENKO HAND TALLY COUNTER HT-303</t>
  </si>
  <si>
    <t>BALLPEN BP-338 VOCUS (BLACK) JK NON BONUS</t>
  </si>
  <si>
    <t>KENKO CORRECTION TAPE CT-608 FC 6M X 5 MM</t>
  </si>
  <si>
    <t>KENKO CORRECTION TAPE CT-818 8M X 5 MM</t>
  </si>
  <si>
    <t>KENKO DOUBLE TAPE 6MM HG-BLUE CORE</t>
  </si>
  <si>
    <t>BALLPEN BP 349-12 VOKUS TRANS (BLACK) JK BONUS</t>
  </si>
  <si>
    <t>BALLPEN BP-349-12 VOKUS TRANS (BLACK) JK BONUS</t>
  </si>
  <si>
    <t>L104011</t>
  </si>
  <si>
    <t>23040152</t>
  </si>
  <si>
    <t>SA 40873</t>
  </si>
  <si>
    <t>KENKO CUTTER BLADE L 150 18 MM</t>
  </si>
  <si>
    <t>60 DOZ</t>
  </si>
  <si>
    <t>SA 41064</t>
  </si>
  <si>
    <t>23040860</t>
  </si>
  <si>
    <t>23040951</t>
  </si>
  <si>
    <t>KENKO STAPLES NO10-1M</t>
  </si>
  <si>
    <t>KENKO BINDER CLIP NO.280 6 PCS/ BOX</t>
  </si>
  <si>
    <t>SA 41074</t>
  </si>
  <si>
    <t>40 PAK</t>
  </si>
  <si>
    <t>72 BOX</t>
  </si>
  <si>
    <t>SA230406164</t>
  </si>
  <si>
    <t>PENCIL P 88 2B JK</t>
  </si>
  <si>
    <t>ERASER 526 B 40 P JK</t>
  </si>
  <si>
    <t>ERASER 526 B 40 CO JK</t>
  </si>
  <si>
    <t>SA230406190</t>
  </si>
  <si>
    <t>BINDER CLIP 260 JK</t>
  </si>
  <si>
    <t>5 GRS</t>
  </si>
  <si>
    <t>BINDER CLIP 280 JK</t>
  </si>
  <si>
    <t>3 GRS</t>
  </si>
  <si>
    <t>01828</t>
  </si>
  <si>
    <t>TZ 8401 PEN 4 WARNA</t>
  </si>
  <si>
    <t>0128/HW/IV/23</t>
  </si>
  <si>
    <t>MARTIN21</t>
  </si>
  <si>
    <t>DISP KJ NO 50</t>
  </si>
  <si>
    <t>40 PCS</t>
  </si>
  <si>
    <t xml:space="preserve">BONUS </t>
  </si>
  <si>
    <t>BALLPEN BP 349-12 VOKUS TRANS BLACK JK (BONUS)</t>
  </si>
  <si>
    <t>CUTTER BLADE L-150 AM L JK (BONUS)</t>
  </si>
  <si>
    <t>23041239</t>
  </si>
  <si>
    <t>KENKO BINDER CLIP NO 280 6 PCS / BOX</t>
  </si>
  <si>
    <t>KENKO GEL PEN K 1 BLACK</t>
  </si>
  <si>
    <t>KENKO CUTTER L 500 18MM BLADE</t>
  </si>
  <si>
    <t>TITI 18 COLOR OIL PASTEL TI-P-18S</t>
  </si>
  <si>
    <t>TITI 36 COLOR OIL PASTEL TI-P-36S</t>
  </si>
  <si>
    <t>TITI 12 COLOR OIL PASTEL TI-P-12S</t>
  </si>
  <si>
    <t>KENKO GEL PEN HI TECH H 0.28 MM BLUE</t>
  </si>
  <si>
    <t>KENKO CORRECTION TAPE CT-905 12 M X 5 MM</t>
  </si>
  <si>
    <t>KENKO CORRECTION TAPE CT-2001 20 M  X 5 MM</t>
  </si>
  <si>
    <t>23041064</t>
  </si>
  <si>
    <t>KENKO CLOTH TAPE 48 MM BLUE CORE BLACK</t>
  </si>
  <si>
    <t>KENKO CORRECTION TAPE CT-634N 8 M X 5 MM</t>
  </si>
  <si>
    <t>KENKO CORRECTION TAPE CT-902P 12 M X 5 MM</t>
  </si>
  <si>
    <t>KENKO HIGHLIGHTER HL-100 YELLOW</t>
  </si>
  <si>
    <t>KENKO CORRECTION TAPE CT-902 12 M X 5 MM</t>
  </si>
  <si>
    <t>23041047</t>
  </si>
  <si>
    <t>KENKO CORRECTION TAPE CT-3001 30 M X 5 MM</t>
  </si>
  <si>
    <t>KENKO GEL PEN HI TECH H 0.28 MM BLACK</t>
  </si>
  <si>
    <t>SA 41105</t>
  </si>
  <si>
    <t>SA230406293</t>
  </si>
  <si>
    <t>HIGHLIGHTER HL-5 ORANGE JK</t>
  </si>
  <si>
    <t>CUTTER A-300A (AUTOLOCK) JK</t>
  </si>
  <si>
    <t>SA 41157</t>
  </si>
  <si>
    <t>SA 41125</t>
  </si>
  <si>
    <t>CUTTER BLADE L-150 AM (L) JK (BONUS)</t>
  </si>
  <si>
    <t>005506</t>
  </si>
  <si>
    <t>24 BOX 24 SET</t>
  </si>
  <si>
    <t>60 ROL</t>
  </si>
  <si>
    <t>12 DOZ</t>
  </si>
  <si>
    <t>SA230406285</t>
  </si>
  <si>
    <t>4 BOX X  6 SET</t>
  </si>
  <si>
    <t>SA230406244</t>
  </si>
  <si>
    <t>COLOR PENCIL CP S 12 JK</t>
  </si>
  <si>
    <t>12BOX X 24 SET</t>
  </si>
  <si>
    <t>LABEL LB 2RL 1 BARIS JK</t>
  </si>
  <si>
    <t>LABEL LB P2LN 2 BARIS JK</t>
  </si>
  <si>
    <t>TAPE CUTTER TD-103 JK</t>
  </si>
  <si>
    <t>MATH SET MS 25 JK</t>
  </si>
  <si>
    <t>SA230405930</t>
  </si>
  <si>
    <t>L104010</t>
  </si>
  <si>
    <t>50 PAK</t>
  </si>
  <si>
    <t>ISI GW NO 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</si>
</sst>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4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49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vertical="center"/>
    </xf>
    <xf numFmtId="4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horizontal="center" vertical="center"/>
    </xf>
    <xf numFmtId="10" fontId="24" fillId="0" borderId="0" xfId="0" applyNumberFormat="1" applyFont="1" applyFill="1" applyAlignment="1">
      <alignment horizontal="right" vertical="center"/>
    </xf>
    <xf numFmtId="10" fontId="24" fillId="0" borderId="0" xfId="0" applyNumberFormat="1" applyFont="1" applyFill="1" applyAlignment="1">
      <alignment vertical="center"/>
    </xf>
    <xf numFmtId="43" fontId="24" fillId="0" borderId="0" xfId="0" applyNumberFormat="1" applyFont="1" applyFill="1" applyAlignment="1">
      <alignment vertical="center"/>
    </xf>
    <xf numFmtId="49" fontId="25" fillId="0" borderId="0" xfId="0" applyNumberFormat="1" applyFont="1" applyFill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14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4" fontId="26" fillId="0" borderId="0" xfId="0" applyNumberFormat="1" applyFont="1" applyFill="1" applyBorder="1" applyAlignment="1">
      <alignment vertical="center"/>
    </xf>
    <xf numFmtId="10" fontId="26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49" fontId="27" fillId="0" borderId="0" xfId="0" applyNumberFormat="1" applyFont="1" applyFill="1" applyBorder="1" applyAlignment="1">
      <alignment vertical="center"/>
    </xf>
    <xf numFmtId="43" fontId="27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14" fontId="28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vertical="center"/>
    </xf>
    <xf numFmtId="4" fontId="28" fillId="0" borderId="0" xfId="0" applyNumberFormat="1" applyFont="1" applyFill="1" applyBorder="1" applyAlignment="1">
      <alignment vertical="center"/>
    </xf>
    <xf numFmtId="10" fontId="28" fillId="0" borderId="0" xfId="0" applyNumberFormat="1" applyFont="1" applyFill="1" applyBorder="1" applyAlignment="1">
      <alignment vertical="center"/>
    </xf>
    <xf numFmtId="43" fontId="28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4" fontId="28" fillId="2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vertical="center"/>
    </xf>
    <xf numFmtId="10" fontId="2" fillId="2" borderId="0" xfId="0" applyNumberFormat="1" applyFont="1" applyFill="1" applyBorder="1" applyAlignment="1">
      <alignment vertical="center"/>
    </xf>
    <xf numFmtId="43" fontId="2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0" fontId="23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49.58860023148" createdVersion="5" refreshedVersion="5" minRefreshableVersion="3" recordCount="968">
  <cacheSource type="worksheet">
    <worksheetSource name="NOTA"/>
  </cacheSource>
  <cacheFields count="42">
    <cacheField name="ID" numFmtId="3">
      <sharedItems containsMixedTypes="1" containsNumber="1" containsInteger="1" minValue="1" maxValue="69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9"/>
    </cacheField>
    <cacheField name="TANGGAL" numFmtId="14">
      <sharedItems containsNonDate="0" containsDate="1" containsString="0" containsBlank="1" minDate="2023-04-03T00:00:00" maxDate="2023-04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3-30T00:00:00" maxDate="2023-04-16T00:00:00"/>
    </cacheField>
    <cacheField name="SERI" numFmtId="0">
      <sharedItems containsNonDate="0" containsString="0" containsBlank="1"/>
    </cacheField>
    <cacheField name="NAMA BARANG" numFmtId="0">
      <sharedItems containsBlank="1" count="628">
        <s v="KENKO GEL PEN KE 303 T GEL TRIANGULAR BLACK"/>
        <s v="KENKO CORRECTION TAPE CT 1505 FC 15M X 5 MM"/>
        <s v="KENKO CORRECTION TAPE CT-606 6M X 5 MM"/>
        <s v="KENKO CORRECTION TAPE CT-608 FC 6M X 5 MM"/>
        <s v="KENKO CORRECTION TAPE CT-818 8M X 5 MM"/>
        <s v="KENKO CORRECTION TAPE CT 909 12 M X 5 MM"/>
        <s v="KENKO PENCIL CASE PC 0719 PASTEL"/>
        <s v="KENKO SCISSOR SC 828"/>
        <s v="KENKO SCISSOR SC-848 N"/>
        <m/>
        <s v="KENKO HAND TALLY COUNTER HT-302"/>
        <s v="KENKO HAND TALLY COUNTER HT-303"/>
        <s v="KENKO CORRECTION FLUID KE 823 M"/>
        <s v="KENKO LIQUID GLUE LG-50 50ML"/>
        <s v="KENKO LIQUID GLUE LG-35 35ML"/>
        <s v="KENKO CUTTER L-500 18MM BLADE"/>
        <s v="KENKO GEL PEN KE-200 BLACK"/>
        <s v="KENKO GEL PEN WINJELLER KE-600 BLACK"/>
        <s v="KENKO GEL PEN EASY GEL BLACK"/>
        <s v="KENKO PENCIL CASE PC-0719-PASTEL"/>
        <s v="AG CK POLOS"/>
        <s v="MAP TALI SIKA HIJAU"/>
        <s v="MAP TALI SIKA AC-05 HIJAU"/>
        <s v="PIANIKA BLUE LOVELY"/>
        <s v="HLS IFL 30 X 40 X 8 KUNING WBY"/>
        <s v="HLS IFL 30 X 40 X 8 HIJAU STABILO WSG"/>
        <s v="HLS IFL 38 X 45 X 8 KUNING WBY"/>
        <s v="HLS IFL 38 X 45 X 8 HIJAU"/>
        <s v="KENKO CUTTER BLADE L 150 18 MM"/>
        <s v="ISI GW NO 10"/>
        <s v="BK KAS KWARTO"/>
        <s v="BK KAS FOLIO"/>
        <s v="KENKO CORRECTION TAPE CT-1505 FC 15M X 5MM"/>
        <s v="KENKO CORRECTION TAPE CT-608 FC 6M X 5MM"/>
        <s v="KENKO ERASER ERW-40SQ WHITE"/>
        <s v="KENKO PENCIL 2B-6388 ZOO N ZOO"/>
        <s v="KENKO SCISSOR SC-838 N"/>
        <s v="KENKO PRICE LABELLER MX-5500 8 DIGITS 1 LINE"/>
        <s v="TITI 18 COLOR OIL PASTEL TI P 18 S"/>
        <s v="TITI 24 COLOR OIL PASTEL TI P 24 S"/>
        <s v="TITI 36 COLOR OIL PASTEL TI P 36 S"/>
        <s v="TITI 48 COLOR OIL PASTEL TI P 48 S"/>
        <s v="TITI 55 COLOR OIL PASTEL TI  P 55 S"/>
        <s v="KENKO CORRECTION TAPE CT-818 8M X 5MM"/>
        <s v="KENKO GLUE STICK 8GR SMALL"/>
        <s v="KENKO HIGHLIGHTER HL-100 PINK"/>
        <s v="KENKO HIGHLIGHTER HL-100 GREEN"/>
        <s v="KENKO CORRECTION FLUID KE-01"/>
        <s v="KENKO STAPLES NO 1210 23/10"/>
        <s v="KENKO SCISSOR SC-828"/>
        <s v="KENKO PENCIL LEAD PL-05 2B 0.5MM HI POLYMER"/>
        <s v="KENKO BINDER CLIP NO.200"/>
        <s v="KENKO CUTTER K 200 9MM BLADE"/>
        <s v="KENKO DOUBLE TAPE 6MM HG-BLUE CORE"/>
        <s v="KENKO GEL PEN KE 200 BLACK"/>
        <s v="KENKO STAPLER HD-50 NEW COLOR"/>
        <s v="KENKO TAPE DISPENSER TD-321 1&quot; &amp; 3&quot; CORE"/>
        <s v="KENKO TAPE DISPENSER TD-323 1&quot; &amp; 3&quot; CORE"/>
        <s v="DOC REST PRESTIGE"/>
        <s v="DOC REST INFINITY"/>
        <s v="BT 30 CM"/>
        <s v="AGENDA 7025 25K"/>
        <s v="GEL PEN TIZO 1.0 TG 340"/>
        <s v="MEK TIZO 20 TM 030-C"/>
        <s v="MALAM SHINTOENG B 1W POLOS"/>
        <s v="OSS GUNINDO"/>
        <s v="CELENGAN S"/>
        <s v="CELENGAN M"/>
        <s v="CELENGAN L"/>
        <s v="CELENGAN XL"/>
        <s v="PELNA 01 HITAM"/>
        <s v="PELNA 01I HITAM"/>
        <s v="PELNA X02 HITAM"/>
        <s v="PELNA X03 HITAM"/>
        <s v="PELNA 05 HITAM 0.5MM"/>
        <s v="JARUM PENTOL BUNGA NO.1"/>
        <s v="N TAG D/MRH 301"/>
        <s v="SEMPOA 17 TIANG"/>
        <s v="SAMPUL SAMSON KWARTO FANCY"/>
        <s v="SAMPUL SAMSON BOXY BATIK"/>
        <s v="ELEVATED TRAY 603"/>
        <s v="PENCIL CASE MIKA RAKIT SQ-803"/>
        <s v="OIL PASTEL OP-12S PP CASE SEA WORLD JK"/>
        <s v="OIL PASTEL OP-18S PP CASE SEA WORLD JK"/>
        <s v="OIL PASTEL OP-24S PP CASE SEA WORLD JK"/>
        <s v="CRAYON PUTAR TWCR-12MINI JK"/>
        <s v="SCISSOR SC-828 JK"/>
        <s v="SCISSOR SC-838 JK"/>
        <s v="CORRECTION TAPE CT-507 JK"/>
        <s v="CORRECTION TAPE CT-508 JK"/>
        <s v="CORRECTION TAPE CT-553 JK"/>
        <s v="OIL PASTEL OP-36S PP CASE SEA WORLD JK"/>
        <s v="OIL PASTEL OP-12CR ROUND JK"/>
        <s v="OIL PASTEL OP-12CH HEXAGONAL JK"/>
        <s v="OIL PASTEL OP-12 CHC COMPACT JK"/>
        <s v="HIGHLIGHTER HL-1 YELLOW JK"/>
        <s v="HIGHLIGHTER HL-2 GREEN JK"/>
        <s v="HIGHLIGHTER HL-3 BLUE JK"/>
        <s v="HIGHLIGHTER HL-4 PINK JK"/>
        <s v="HIGHLIGHTER HL-5ORANGE JK"/>
        <s v="ERASER 526-B40P JK"/>
        <s v="ERASER 526-B20 JK"/>
        <s v="GEL PEN GP-265 Q GEL BLACK JK"/>
        <s v="TAPE CUTTER TD-102 JK"/>
        <s v="CORRECTION TAPE CT-522 JK"/>
        <s v="CORRECTION FLUID JK-01 JK"/>
        <s v="BALLPEN BP 349-12 VOKUS TRANS (BLACK) JK BONUS"/>
        <s v="KENKO TAPE DISPENSER TD-323 (1&quot; &amp; 3&quot; CORE)"/>
        <s v="KENKO CLOTH TAPE 48 MM BLUE CORE BLACK BT"/>
        <s v="KENKO PENCIL 2B-6181 BIRU CAP HITAM"/>
        <s v="KENKO CUTTER A-300 (9MM BLADE)"/>
        <s v="KENKO GEL PEN T-GEL ERASABLE KE-303 ER BLACK"/>
        <s v="KENKO TAPE DISPENSER TD-321 (1&quot; &amp; 3&quot; CORE)"/>
        <s v="KENKO CORRECTION FLUID KE-108"/>
        <s v="KENKO LOOSE LEAF A5-LL 50-2070"/>
        <s v="KENKO LOOSE LEAF A5-LL 100-2070"/>
        <s v="KENKO LOOSE LEAF B5-LL 50-2670"/>
        <s v="KENKO LOOSE LEAF B5-LL 100-2670"/>
        <s v="KENKO PENCIL 2B-6191 HIJAU CAP HITAM"/>
        <s v="KENKO BINDER CLIP NO.155"/>
        <s v="KENKO PRICE LABEL 6001-2R 1 LINE @ 10 ROL"/>
        <s v="CORRECTION TAPE XDM 5026/ 5 X 30"/>
        <s v="CORRECTION TAPE XDM 5037/ 5 X 30"/>
        <s v="CORRECTION TAPE XDM 6080/ 5 X 30"/>
        <s v="ENTER CARD CASE B4"/>
        <s v="KENKO LAMINATING FILM LF100-2234 FC @ 100 PCS"/>
        <s v="KENKO CUTTER BLADE A-100 9MM"/>
        <s v="OIL PASTEL OP-48S PP CASE SEA WORLD JK"/>
        <s v="PENCIL P-88 2B JK"/>
        <s v="MECH PENCIL MP-21 JK"/>
        <s v="GLUE STICK  GS-09 8 GRAM JK"/>
        <s v="CUTTER BLADE L-150 AM L JK"/>
        <s v="BALLPEN BP-349-12 VOKUS TRANS (BLACK) JK BONUS"/>
        <s v="COLOR PENCIL CP-12 PB JK"/>
        <s v="COLOR PENCIL CP-24 PB JK"/>
        <s v="COLOR PENCIL CP-S12 JK"/>
        <s v="STAPLER HD-50 CL JK"/>
        <s v="ERASER EB-30 JK"/>
        <s v="ERASER ER-30W JK"/>
        <s v="TAPE CUTTER TC-111 JK"/>
        <s v="MATH SET MS-28 JK"/>
        <s v="GEL PEN GP-266 ITECH 2 (BLUE) JK"/>
        <s v="GLUE STICK GS-09 8 GRAM JK"/>
        <s v="BRUSH BR-1 JK"/>
        <s v="BALLPEN BP-273 ZETO BLACK JK"/>
        <s v="ERASER ER-102 JK"/>
        <s v="CORRECTION FLUID JK-101 JK"/>
        <s v="BINDER CLIP 105 JK"/>
        <s v="BINDER CLIP 107 JK"/>
        <s v="BINDER CLIP 111 JK"/>
        <s v="BINDER CLIP 155 JK"/>
        <s v="BINDER CLIP 200 JK"/>
        <s v="PENCIL CASE PC-0719 AC-36A/F ANIMAL CALENDER JK"/>
        <s v="PENCIL CASE PC-0719TV-33A/F (TRAVEL) JK"/>
        <s v="CUTTER L-500 JK"/>
        <s v="CUTTER BLADE L-150 AM L JK (BONUS)"/>
        <s v="CUTTER BLADE A-100 AM (S) JK"/>
        <s v="CUTTER BLADE L-150 M (MH) JK"/>
        <s v="BALLPEN BP-338 VOCUS (BLACK) JK NON BONUS"/>
        <s v="SCISSOR SC-848 JK"/>
        <s v="OIL PASTEL OP-55S PP CASE SEA WORLD JK"/>
        <s v="CRAYON PUTAR TWCR-12S JK"/>
        <s v="CRAYON PUTAR TWCR-24S JK"/>
        <s v="CRAYON PUTAR TWCR-12 MINI JK"/>
        <s v="ERASER 526-B40BL JK"/>
        <s v="GLUE STICK GS-100 8 GRAM JK"/>
        <s v="STAPLER HD-10 JK"/>
        <s v="STAPLER HD-50 JK"/>
        <s v="LABELLER MX-6600A 10 D 2 LINE JK"/>
        <s v="LABEL LB-2RL 1 BARIS JK"/>
        <s v="LABEL LB-P2LN 2 BARIS JK"/>
        <s v="LABEL LB-1LY 1 BARIS YELLOW JK"/>
        <s v="MARIES ACRCLR 8 12/12 WRN"/>
        <s v="MARIES WATER CLR E-1325 B 12 WARNA"/>
        <s v="KENKO STAPLES NO10-1M"/>
        <s v="KENKO BINDER CLIP NO.280 6 PCS/ BOX"/>
        <s v="PENCIL P 88 2B JK"/>
        <s v="COLOR PENCIL CP-S24 JK"/>
        <s v="ERASER 526 B 40 P JK"/>
        <s v="ERASER 526 B 40 CO JK"/>
        <s v="BINDER CLIP 260 JK"/>
        <s v="BINDER CLIP 280 JK"/>
        <s v="BALLPEN BP 349-12 VOKUS TRANS BLACK JK (BONUS)"/>
        <s v="TZ 8401 PEN 4 WARNA"/>
        <s v="DISP KJ NO 50"/>
        <s v="KENKO BINDER CLIP NO 280 6 PCS / BOX"/>
        <s v="KENKO GEL PEN K 1 BLACK"/>
        <s v="KENKO CUTTER L 500 18MM BLADE"/>
        <s v="TITI 12 COLOR OIL PASTEL TI-P-12S"/>
        <s v="TITI 18 COLOR OIL PASTEL TI-P-18S"/>
        <s v="TITI 36 COLOR OIL PASTEL TI-P-36S"/>
        <s v="KENKO CLOTH TAPE 48 MM BLUE CORE BLACK"/>
        <s v="KENKO CORRECTION TAPE CT-634N 8 M X 5 MM"/>
        <s v="KENKO CORRECTION TAPE CT-902 12 M X 5 MM"/>
        <s v="KENKO CORRECTION TAPE CT-902P 12 M X 5 MM"/>
        <s v="KENKO CORRECTION TAPE CT-905 12 M X 5 MM"/>
        <s v="KENKO GEL PEN K-1 BLACK"/>
        <s v="KENKO GEL PEN KE-100 BLACK"/>
        <s v="KENKO HIGHLIGHTER HL-100 YELLOW"/>
        <s v="KENKO COLOR PENCIL CP-12HALF CLASSIC"/>
        <s v="KENKO CORRECTION TAPE CT-2001 20 M  X 5 MM"/>
        <s v="KENKO CORRECTION TAPE CT-3001 30 M X 5 MM"/>
        <s v="KENKO GEL PEN HI TECH H 0.28 MM BLACK"/>
        <s v="KENKO GEL PEN HI TECH H 0.28 MM BLUE"/>
        <s v="HIGHLIGHTER HL-5 ORANGE JK"/>
        <s v="CUTTER BLADE L-150 AM (L) JK"/>
        <s v="CUTTER A-300A (AUTOLOCK) JK"/>
        <s v="CUTTER BLADE L-150 AM (L) JK (BONUS)"/>
        <s v="REFILL GEL FANCY VRG-2015 (PRINCESS)" u="1"/>
        <s v="BT 20 CM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SEMPOA 17 T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GEL ZHIXIN + REFILL G-3131" u="1"/>
        <s v="GEL ZHIXIN + REFILL G-3132" u="1"/>
        <s v="CORRECTION FLUID CF-S224 JK" u="1"/>
        <s v="GEL ZHIXIN + REFILL G-3133" u="1"/>
        <s v="ZIPPER FILE 192BT WARNA ORANGE" u="1"/>
        <s v="GEL ZHIXIN + REFILL G-3135" u="1"/>
        <s v="ENTER CAT AIR A 129" u="1"/>
        <s v="GEL ZHIXIN + REFILL G-3136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TAPE DISPENSER 805 UNGU" u="1"/>
        <s v="BULLDOG CLIP 6-145 JK" u="1"/>
        <s v="GEL ZHIXIN + REFILL G-3117" u="1"/>
        <s v="GEL TIZO TG31220" u="1"/>
        <s v="PCM GP-65071/ 8X22.5/ PUA/ UGLT/ D" u="1"/>
        <s v="GEL ZHIXIN + REFILL G-3118" u="1"/>
        <s v="GEL ZHIXIN + REFILL G-3119" u="1"/>
        <s v="KENKO PENCIL 2B-6019 ANTIBACTERIAL" u="1"/>
        <s v="GUNTACKER GT-700 JK" u="1"/>
        <s v="MAP KANCING SIKA AC-05 KUNING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DOUBLE TAPE 48MM HG BLUE CORE (BT)" u="1"/>
        <s v="T PENSIL BD XLG BD 180-26" u="1"/>
        <s v="BUKU TAMU GB-2833 R-5 (BATIK) JK" u="1"/>
        <s v="KENKO ERASER ERW-2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GLUE STICK GS-104 (ANIMAL KINGDOM) JK" u="1"/>
        <s v="KENKO PUNCH NO.30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MAP SCHOOL BAG KOTAK HIJAU MUDA" u="1"/>
        <s v="TP BD 191-26" u="1"/>
        <s v="MAP KANCING SIKA AC-05 BIRU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CUTTER TACO BESAR 88" u="1"/>
        <s v="LILIN SHINTOENG 12 BTG" u="1"/>
        <s v="ACRYLIC COLOUR TF-1C-003 (18 X 6ML)" u="1"/>
        <s v="BINDER A5-TSED-M503 (EDUCATION) JK - U" u="1"/>
        <s v="TAPE DISPENSER 801 MERAH" u="1"/>
        <s v="TAPE CUTTER TC-106 JK" u="1"/>
        <s v="KENKO 12 COLOR PENCIL CP-12F CLASSIC" u="1"/>
        <s v="KENKO 24 COLOR PENCIL CP-24F CLASSIC" u="1"/>
        <s v="TAPE DISPENSER 805 MERAH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KENKO PENCIL 2B-3181 HITAM CAP MERAH" u="1"/>
        <s v="GEL 1.0 340 BIRU" u="1"/>
        <s v="PC H 769" u="1"/>
        <s v="MEK PENSIL 2.0 TIZO TM030-G" u="1"/>
        <s v="SULING YAMAHA" u="1"/>
        <s v="CALCULATOR JOYKO CC-37" u="1"/>
        <s v="CALCULATOR JOYKO CC-38" u="1"/>
        <s v="KENKO PENCIL 2B-6906 BTK BATIK" u="1"/>
        <s v="MAP KANCING SIKA AC-05 MERAH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LILIN SHINTOENG 24 BTG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K 1W POLOS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72S PP CASE SEA WORLD JK" u="1"/>
        <s v="TIPE EX CT 1505 PC" u="1"/>
        <s v="ENTER C/ BOARD 03 ANTI PECAH" u="1"/>
        <s v="GEL PEN TIZO 1.0 TG340" u="1"/>
        <s v="PENCIL CASE PC-0719AC-36A/F (ANIMAL CALENDER) JK" u="1"/>
        <s v="OIL PASTEL OP-12 S PP CASE SEA WORLD JK" u="1"/>
        <s v="PC 823" u="1"/>
        <s v="ENTER BOXFILE BENTUK" u="1"/>
        <s v="BT BATI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KENKO PUNCH NO.85 XL" u="1"/>
        <s v="CUTTER A 18 TRANS" u="1"/>
        <s v="KENKO SCISSOR SC-838N" u="1"/>
        <s v="TAS KARUNG 55 X 65 X 25" u="1"/>
        <s v="TAS KARUNG 50 X 55" u="1"/>
        <s v="STABILO TIZO 54 PC TF610" u="1"/>
        <s v="LABEL LB-P2CY (2 BARIS, YELLOW) JK" u="1"/>
        <s v="KENKO SCISSOR SC-848N" u="1"/>
        <s v="COLOR PENCIL CP-107 JK" u="1"/>
        <s v="REFILL GEL FANCY VRG-2018 (TSUM-TSUM)" u="1"/>
        <s v="STAPLER HD-12N/24 JK" u="1"/>
        <s v="KENKO STAPLER HD-10D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KEY RING KR-9 J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CALCULATOR JOYKO CC-41" u="1"/>
        <s v="BINDER NOTE FPHY 001-B5-60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GUNINDO FL COKLAT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GEL 1.0 TG340BI BIRU" u="1"/>
        <s v="GEL ZHIXIN + REFILL G-5009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DATE STAMP S-68 (LUNAS) JK" u="1"/>
        <s v="TIP KEN KE108" u="1"/>
        <s v="TAS KARUNG 45 X 50" u="1"/>
        <s v="ENTER BOXFILE KCG (BF 567)" u="1"/>
        <s v="GLUE STICK 7 X 30" u="1"/>
        <s v="PC H 837" u="1"/>
        <s v="GUNTING IDEAL K500" u="1"/>
        <s v="REFILL GEL FANCY VRG-2019 (HELLO DORAEMON)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BALLPEN GEL TF-1190 HTM 0.3MM HIGHTECH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PAPER BAG COKLAT BESAR TEBAL" u="1"/>
        <s v="SEMPOA 13 T" u="1"/>
        <s v="ISI STAPLER 1210 (23/10)" u="1"/>
        <s v="ZIPPER FILE CLEAR HOLDER 555 20 FILE GREEN" u="1"/>
        <s v="ZIPPER FILE CLEAR HOLDER 555 40 FILE GREEN" u="1"/>
        <s v="BINDER A5-TSIM-M478 (IMAGINTN) JK - U" u="1"/>
        <s v="GLUE STICK 11 X 29" u="1"/>
        <s v="PC A838" u="1"/>
        <s v="MALAM SHINTOENG K 6-12W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100"/>
    </cacheField>
    <cacheField name="QTY" numFmtId="0">
      <sharedItems containsBlank="1" containsMixedTypes="1" containsNumber="1" containsInteger="1" minValue="6" maxValue="56400"/>
    </cacheField>
    <cacheField name="STN" numFmtId="0">
      <sharedItems containsBlank="1"/>
    </cacheField>
    <cacheField name="HARGA SATUAN" numFmtId="0">
      <sharedItems containsString="0" containsBlank="1" containsNumber="1" minValue="675" maxValue="507600"/>
    </cacheField>
    <cacheField name="HARGA/ CTN" numFmtId="4">
      <sharedItems containsString="0" containsBlank="1" containsNumber="1" containsInteger="1" minValue="396000" maxValue="5702400"/>
    </cacheField>
    <cacheField name="QTY/ CTN" numFmtId="0">
      <sharedItems containsBlank="1"/>
    </cacheField>
    <cacheField name="DISC 1" numFmtId="10">
      <sharedItems containsString="0" containsBlank="1" containsNumber="1" minValue="0.05" maxValue="0.27500000000000002"/>
    </cacheField>
    <cacheField name="DISC 2" numFmtId="10">
      <sharedItems containsString="0" containsBlank="1" containsNumber="1" minValue="0.04" maxValue="0.1"/>
    </cacheField>
    <cacheField name="DISC DLL" numFmtId="43">
      <sharedItems containsString="0" containsBlank="1" containsNumber="1" containsInteger="1" minValue="78000" maxValue="3028410"/>
    </cacheField>
    <cacheField name="KETERANGAN" numFmtId="0">
      <sharedItems containsBlank="1"/>
    </cacheField>
    <cacheField name="JUMLAH" numFmtId="43">
      <sharedItems containsMixedTypes="1" containsNumber="1" minValue="158400" maxValue="148032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4798080"/>
    </cacheField>
    <cacheField name="DISC" numFmtId="43">
      <sharedItems containsMixedTypes="1" containsNumber="1" minValue="0" maxValue="13366080"/>
    </cacheField>
    <cacheField name="TOTAL" numFmtId="43">
      <sharedItems containsMixedTypes="1" containsNumber="1" minValue="135432" maxValue="148032000"/>
    </cacheField>
    <cacheField name="DISC TOTAL" numFmtId="43">
      <sharedItems containsMixedTypes="1" containsNumber="1" minValue="0" maxValue="20335536"/>
    </cacheField>
    <cacheField name="TOTAL INVOICE" numFmtId="43">
      <sharedItems containsMixedTypes="1" containsNumber="1" minValue="0" maxValue="243666000"/>
    </cacheField>
    <cacheField name="HARGA/ CTN_H" numFmtId="0">
      <sharedItems containsMixedTypes="1" containsNumber="1" minValue="0" maxValue="5904000"/>
    </cacheField>
    <cacheField name="JUMLAH_H" numFmtId="43">
      <sharedItems containsMixedTypes="1" containsNumber="1" minValue="158400" maxValue="148032000"/>
    </cacheField>
    <cacheField name="TGL_H" numFmtId="14">
      <sharedItems containsDate="1" containsMixedTypes="1" minDate="2023-04-03T00:00:00" maxDate="2023-04-30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1"/>
    </cacheField>
    <cacheField name="Column1" numFmtId="0">
      <sharedItems containsMixedTypes="1" containsNumber="1" containsInteger="1" minValue="3" maxValue="4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46" maxValue="2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8">
  <r>
    <n v="1"/>
    <s v="KEN_0304_005-9"/>
    <e v="#REF!"/>
    <n v="1"/>
    <d v="2023-04-03T00:00:00"/>
    <s v="KENKO SINAR INDONESIA"/>
    <s v="ARTO MORO"/>
    <s v="23040005"/>
    <s v="SA 40769"/>
    <d v="2023-04-01T00:00:00"/>
    <m/>
    <x v="0"/>
    <n v="8"/>
    <m/>
    <m/>
    <m/>
    <n v="3110400"/>
    <s v="12 GRS"/>
    <n v="0.17"/>
    <m/>
    <m/>
    <m/>
    <n v="24883200"/>
    <n v="4230144"/>
    <n v="0"/>
    <n v="4230144"/>
    <n v="20653056"/>
    <s v=""/>
    <s v=""/>
    <n v="3110400"/>
    <s v=""/>
    <d v="2023-04-03T00:00:00"/>
    <s v="KENKO SINAR INDONESIA"/>
    <x v="0"/>
    <n v="9"/>
    <n v="4"/>
    <s v="kenkogelpenke303tgeltriangularblack"/>
    <s v="kenkogelpenke303tgeltriangularblack31104000.17"/>
    <s v="kenkogelpenke303tgeltriangularblack31104000.17"/>
    <s v="KENKO SINAR INDONESIAARTO MORO23040005SA 4076945017kenkogelpenke303tgeltriangularblack"/>
    <e v="#REF!"/>
    <n v="1247"/>
  </r>
  <r>
    <s v=""/>
    <s v=""/>
    <s v=""/>
    <n v="1"/>
    <m/>
    <m/>
    <m/>
    <m/>
    <m/>
    <m/>
    <m/>
    <x v="1"/>
    <n v="2"/>
    <m/>
    <m/>
    <m/>
    <n v="3340800"/>
    <s v="48 DOZ"/>
    <n v="0.17"/>
    <m/>
    <m/>
    <m/>
    <n v="6681600"/>
    <n v="1135872"/>
    <n v="0"/>
    <n v="1135872"/>
    <n v="5545728"/>
    <s v=""/>
    <s v=""/>
    <n v="3340800"/>
    <s v=""/>
    <d v="2023-04-03T00:00:00"/>
    <s v="KENKO SINAR INDONESIA"/>
    <x v="0"/>
    <s v=""/>
    <n v="4"/>
    <s v="kenkocorrectiontapect1505fc15mx5mm"/>
    <s v="kenkocorrectiontapect1505fc15mx5mm33408000.17"/>
    <s v="kenkocorrectiontapect1505fc15mx5mm33408000.17"/>
    <s v=""/>
    <s v=""/>
    <n v="1178"/>
  </r>
  <r>
    <s v=""/>
    <s v=""/>
    <s v=""/>
    <n v="1"/>
    <m/>
    <m/>
    <m/>
    <m/>
    <m/>
    <m/>
    <m/>
    <x v="2"/>
    <n v="2"/>
    <m/>
    <m/>
    <m/>
    <n v="2822400"/>
    <s v="48 DOZ"/>
    <n v="0.17"/>
    <m/>
    <m/>
    <m/>
    <n v="5644800"/>
    <n v="959616.00000000012"/>
    <n v="0"/>
    <n v="959616.00000000012"/>
    <n v="4685184"/>
    <s v=""/>
    <s v=""/>
    <n v="2822400"/>
    <s v=""/>
    <d v="2023-04-03T00:00:00"/>
    <s v="KENKO SINAR INDONESIA"/>
    <x v="0"/>
    <s v=""/>
    <e v="#REF!"/>
    <s v="kenkocorrectiontapect6066mx5mm"/>
    <s v="kenkocorrectiontapect6066mx5mm28224000.17"/>
    <s v="kenkocorrectiontapect6066mx5mm28224000.17"/>
    <s v=""/>
    <s v=""/>
    <n v="1186"/>
  </r>
  <r>
    <s v=""/>
    <s v=""/>
    <s v=""/>
    <n v="1"/>
    <m/>
    <m/>
    <m/>
    <m/>
    <m/>
    <m/>
    <m/>
    <x v="3"/>
    <n v="2"/>
    <m/>
    <m/>
    <m/>
    <n v="2419200"/>
    <s v="48 DOZ"/>
    <n v="0.17"/>
    <m/>
    <m/>
    <m/>
    <n v="4838400"/>
    <n v="822528.00000000012"/>
    <n v="0"/>
    <n v="822528.00000000012"/>
    <n v="4015872"/>
    <s v=""/>
    <s v=""/>
    <n v="2419200"/>
    <s v=""/>
    <d v="2023-04-03T00:00:00"/>
    <s v="KENKO SINAR INDONESIA"/>
    <x v="0"/>
    <s v=""/>
    <e v="#REF!"/>
    <s v="kenkocorrectiontapect608fc6mx5mm"/>
    <s v="kenkocorrectiontapect608fc6mx5mm24192000.17"/>
    <s v="kenkocorrectiontapect608fc6mx5mm24192000.17"/>
    <s v=""/>
    <s v=""/>
    <n v="1187"/>
  </r>
  <r>
    <s v=""/>
    <s v=""/>
    <s v=""/>
    <n v="1"/>
    <m/>
    <m/>
    <m/>
    <m/>
    <m/>
    <m/>
    <m/>
    <x v="4"/>
    <n v="2"/>
    <m/>
    <m/>
    <m/>
    <n v="2707200"/>
    <s v="48 DOZ"/>
    <n v="0.17"/>
    <m/>
    <m/>
    <m/>
    <n v="5414400"/>
    <n v="920448.00000000012"/>
    <n v="0"/>
    <n v="920448.00000000012"/>
    <n v="4493952"/>
    <s v=""/>
    <s v=""/>
    <n v="2707200"/>
    <s v=""/>
    <d v="2023-04-03T00:00:00"/>
    <s v="KENKO SINAR INDONESIA"/>
    <x v="0"/>
    <s v=""/>
    <e v="#REF!"/>
    <s v="kenkocorrectiontapect8188mx5mm"/>
    <s v="kenkocorrectiontapect8188mx5mm27072000.17"/>
    <s v="kenkocorrectiontapect8188mx5mm27072000.17"/>
    <s v=""/>
    <s v=""/>
    <n v="1192"/>
  </r>
  <r>
    <s v=""/>
    <s v=""/>
    <s v=""/>
    <n v="1"/>
    <m/>
    <m/>
    <m/>
    <m/>
    <m/>
    <m/>
    <m/>
    <x v="5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4-03T00:00:00"/>
    <s v="KENKO SINAR INDONESIA"/>
    <x v="0"/>
    <s v=""/>
    <e v="#REF!"/>
    <s v="kenkocorrectiontapect90912mx5mm"/>
    <s v="kenkocorrectiontapect90912mx5mm28800000.17"/>
    <s v="kenkocorrectiontapect90912mx5mm28800000.17"/>
    <s v=""/>
    <s v=""/>
    <n v="1202"/>
  </r>
  <r>
    <s v=""/>
    <s v=""/>
    <s v=""/>
    <n v="1"/>
    <m/>
    <m/>
    <m/>
    <m/>
    <m/>
    <m/>
    <m/>
    <x v="6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4-03T00:00:00"/>
    <s v="KENKO SINAR INDONESIA"/>
    <x v="0"/>
    <s v=""/>
    <e v="#REF!"/>
    <s v="kenkopencilcasepc0719pastel"/>
    <s v="kenkopencilcasepc0719pastel14976000.17"/>
    <s v="kenkopencilcasepc0719pastel14976000.17"/>
    <s v=""/>
    <s v=""/>
    <n v="1323"/>
  </r>
  <r>
    <s v=""/>
    <s v=""/>
    <s v=""/>
    <n v="1"/>
    <m/>
    <m/>
    <m/>
    <m/>
    <m/>
    <m/>
    <m/>
    <x v="7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3T00:00:00"/>
    <s v="KENKO SINAR INDONESIA"/>
    <x v="0"/>
    <s v=""/>
    <e v="#REF!"/>
    <s v="kenkoscissorsc828"/>
    <s v="kenkoscissorsc82814100000.17"/>
    <s v="kenkoscissorsc82814100000.17"/>
    <s v=""/>
    <s v=""/>
    <n v="1347"/>
  </r>
  <r>
    <s v=""/>
    <s v=""/>
    <s v=""/>
    <n v="1"/>
    <m/>
    <m/>
    <m/>
    <m/>
    <m/>
    <m/>
    <m/>
    <x v="8"/>
    <n v="2"/>
    <m/>
    <m/>
    <m/>
    <n v="1188000"/>
    <s v="10 DOZ"/>
    <n v="0.17"/>
    <m/>
    <m/>
    <m/>
    <n v="2376000"/>
    <n v="403920"/>
    <n v="0"/>
    <n v="403920"/>
    <n v="1972080"/>
    <n v="10185720"/>
    <n v="49730280"/>
    <n v="1188000"/>
    <s v=""/>
    <d v="2023-04-03T00:00:00"/>
    <s v="KENKO SINAR INDONESIA"/>
    <x v="0"/>
    <s v=""/>
    <e v="#REF!"/>
    <s v="kenkoscissorsc848n"/>
    <s v="kenkoscissorsc848n11880000.17"/>
    <s v="kenkoscissorsc848n11880000.17"/>
    <s v=""/>
    <s v=""/>
    <n v="13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KEN_0304_058-10"/>
    <e v="#REF!"/>
    <n v="2"/>
    <m/>
    <s v="KENKO SINAR INDONESIA"/>
    <s v="ARTO MORO"/>
    <s v="23040058"/>
    <s v="SA 40792"/>
    <d v="2023-04-01T00:00:00"/>
    <m/>
    <x v="10"/>
    <n v="1"/>
    <m/>
    <m/>
    <m/>
    <n v="3800000"/>
    <s v="20 BOX X 10 PCS"/>
    <n v="0.17"/>
    <m/>
    <m/>
    <m/>
    <n v="3800000"/>
    <n v="646000"/>
    <n v="0"/>
    <n v="646000"/>
    <n v="3154000"/>
    <s v=""/>
    <s v=""/>
    <n v="3800000"/>
    <s v=""/>
    <d v="2023-04-03T00:00:00"/>
    <s v="KENKO SINAR INDONESIA"/>
    <x v="0"/>
    <n v="10"/>
    <n v="4"/>
    <s v="kenkohandtallycounterht302"/>
    <s v="kenkohandtallycounterht30238000000.17"/>
    <s v="kenkohandtallycounterht30238000000.17"/>
    <s v="KENKO SINAR INDONESIAARTO MORO23040058SA 4079245017kenkohandtallycounterht302"/>
    <e v="#REF!"/>
    <n v="1266"/>
  </r>
  <r>
    <s v=""/>
    <s v=""/>
    <s v=""/>
    <n v="2"/>
    <m/>
    <m/>
    <m/>
    <m/>
    <m/>
    <m/>
    <m/>
    <x v="11"/>
    <n v="1"/>
    <m/>
    <m/>
    <m/>
    <n v="3120000"/>
    <s v="20 DOZ"/>
    <n v="0.17"/>
    <m/>
    <m/>
    <m/>
    <n v="3120000"/>
    <n v="530400"/>
    <n v="0"/>
    <n v="530400"/>
    <n v="2589600"/>
    <s v=""/>
    <s v=""/>
    <n v="3120000"/>
    <s v=""/>
    <d v="2023-04-03T00:00:00"/>
    <s v="KENKO SINAR INDONESIA"/>
    <x v="0"/>
    <s v=""/>
    <n v="4"/>
    <s v="kenkohandtallycounterht303"/>
    <s v="kenkohandtallycounterht30331200000.17"/>
    <s v="kenkohandtallycounterht30331200000.17"/>
    <s v=""/>
    <s v=""/>
    <n v="1268"/>
  </r>
  <r>
    <s v=""/>
    <s v=""/>
    <s v=""/>
    <n v="2"/>
    <m/>
    <m/>
    <m/>
    <m/>
    <m/>
    <m/>
    <m/>
    <x v="12"/>
    <n v="5"/>
    <m/>
    <m/>
    <m/>
    <n v="2052000"/>
    <s v="36DOZ"/>
    <n v="0.17"/>
    <m/>
    <m/>
    <m/>
    <n v="10260000"/>
    <n v="1744200.0000000002"/>
    <n v="0"/>
    <n v="1744200.0000000002"/>
    <n v="8515800"/>
    <s v=""/>
    <s v=""/>
    <n v="2052000"/>
    <s v=""/>
    <d v="2023-04-03T00:00:00"/>
    <s v="KENKO SINAR INDONESIA"/>
    <x v="0"/>
    <s v=""/>
    <n v="4"/>
    <s v="kenkocorrectionfluidke823m"/>
    <s v="kenkocorrectionfluidke823m20520000.17"/>
    <s v="kenkocorrectionfluidke823m20520000.17"/>
    <s v=""/>
    <s v=""/>
    <n v="1174"/>
  </r>
  <r>
    <s v=""/>
    <s v=""/>
    <s v=""/>
    <n v="2"/>
    <m/>
    <m/>
    <m/>
    <m/>
    <m/>
    <m/>
    <m/>
    <x v="13"/>
    <n v="3"/>
    <m/>
    <m/>
    <m/>
    <n v="504000"/>
    <s v="20 DOZ"/>
    <n v="0.17"/>
    <m/>
    <m/>
    <m/>
    <n v="1512000"/>
    <n v="257040.00000000003"/>
    <n v="0"/>
    <n v="257040.00000000003"/>
    <n v="1254960"/>
    <s v=""/>
    <s v=""/>
    <n v="504000"/>
    <s v=""/>
    <d v="2023-04-03T00:00:00"/>
    <s v="KENKO SINAR INDONESIA"/>
    <x v="0"/>
    <s v=""/>
    <n v="4"/>
    <s v="kenkoliquidgluelg5050ml"/>
    <s v="kenkoliquidgluelg5050ml5040000.17"/>
    <s v="kenkoliquidgluelg5050ml5040000.17"/>
    <s v=""/>
    <s v=""/>
    <n v="1290"/>
  </r>
  <r>
    <s v=""/>
    <s v=""/>
    <s v=""/>
    <n v="2"/>
    <m/>
    <m/>
    <m/>
    <m/>
    <s v="SA 40801"/>
    <m/>
    <m/>
    <x v="14"/>
    <n v="10"/>
    <m/>
    <m/>
    <m/>
    <n v="396000"/>
    <s v="20 DOZ"/>
    <n v="0.17"/>
    <m/>
    <m/>
    <m/>
    <n v="3960000"/>
    <n v="673200"/>
    <n v="0"/>
    <n v="673200"/>
    <n v="3286800"/>
    <s v=""/>
    <s v=""/>
    <n v="396000"/>
    <s v=""/>
    <d v="2023-04-03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n v="2"/>
    <m/>
    <m/>
    <m/>
    <m/>
    <s v="SA 40832"/>
    <m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03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2"/>
    <m/>
    <m/>
    <m/>
    <m/>
    <m/>
    <m/>
    <m/>
    <x v="1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3T00:00:00"/>
    <s v="KENKO SINAR INDONESIA"/>
    <x v="0"/>
    <s v=""/>
    <n v="4"/>
    <s v="kenkogelpenke200black"/>
    <s v="kenkogelpenke200black35424000.17"/>
    <s v="kenkogelpenke200black35424000.17"/>
    <s v=""/>
    <s v=""/>
    <n v="1245"/>
  </r>
  <r>
    <s v=""/>
    <s v=""/>
    <s v=""/>
    <n v="2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03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2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03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2"/>
    <m/>
    <m/>
    <m/>
    <m/>
    <s v="A 40835"/>
    <m/>
    <m/>
    <x v="19"/>
    <n v="1"/>
    <m/>
    <m/>
    <m/>
    <n v="1497600"/>
    <s v="24 DOZ"/>
    <n v="0.17"/>
    <m/>
    <m/>
    <m/>
    <n v="1497600"/>
    <n v="254592.00000000003"/>
    <n v="0"/>
    <n v="254592.00000000003"/>
    <n v="1243008"/>
    <n v="10046728"/>
    <n v="49051672"/>
    <n v="1497600"/>
    <s v=""/>
    <d v="2023-04-03T00:00:00"/>
    <s v="KENKO SINAR INDONESIA"/>
    <x v="0"/>
    <s v=""/>
    <n v="4"/>
    <s v="kenkopencilcasepc0719pastel"/>
    <s v="kenkopencilcasepc0719pastel14976000.17"/>
    <s v="kenkopencilcasepc0719pastel14976000.17"/>
    <s v=""/>
    <s v=""/>
    <n v="13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LO_0304_D20-1"/>
    <e v="#REF!"/>
    <n v="3"/>
    <d v="2023-04-03T00:00:00"/>
    <s v="GLORY"/>
    <s v="UNTANA"/>
    <s v="D20"/>
    <m/>
    <d v="2023-04-03T00:00:00"/>
    <m/>
    <x v="20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4-03T00:00:00"/>
    <s v="GLORY"/>
    <x v="2"/>
    <n v="1"/>
    <n v="4"/>
    <s v="agckpolos"/>
    <s v="agckpolos1560000"/>
    <s v="agckpolos13000"/>
    <s v="GLORYUNTANAD2045019agckpolos"/>
    <e v="#REF!"/>
    <n v="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LO_0404_II-1"/>
    <e v="#REF!"/>
    <n v="4"/>
    <d v="2023-04-04T00:00:00"/>
    <s v="GLORY"/>
    <s v="UNTANA"/>
    <s v="II"/>
    <m/>
    <m/>
    <m/>
    <x v="21"/>
    <n v="5"/>
    <m/>
    <m/>
    <m/>
    <m/>
    <s v="50 LSN"/>
    <m/>
    <m/>
    <m/>
    <m/>
    <s v=""/>
    <s v=""/>
    <s v=""/>
    <s v=""/>
    <s v=""/>
    <n v="0"/>
    <n v="0"/>
    <n v="0"/>
    <s v=""/>
    <d v="2023-04-04T00:00:00"/>
    <s v="GLORY"/>
    <x v="2"/>
    <n v="1"/>
    <s v=""/>
    <s v="maptalisikahijau"/>
    <s v="maptalisikahijau0"/>
    <s v="maptalisikahijau0"/>
    <s v="GLORYUNTANAIImaptalisika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GRA_0404_045-1"/>
    <e v="#REF!"/>
    <n v="5"/>
    <m/>
    <s v="GRAFINDO"/>
    <s v="UNTANA"/>
    <s v="GA-23-04-0045"/>
    <m/>
    <d v="2023-04-04T00:00:00"/>
    <m/>
    <x v="22"/>
    <n v="5"/>
    <n v="250"/>
    <s v="LSN"/>
    <n v="16000"/>
    <m/>
    <s v="50 LSN"/>
    <m/>
    <m/>
    <m/>
    <s v="BARANG OPERAN GLORY"/>
    <n v="4000000"/>
    <n v="0"/>
    <n v="0"/>
    <n v="0"/>
    <n v="4000000"/>
    <n v="0"/>
    <n v="4000000"/>
    <n v="800000"/>
    <n v="4000000"/>
    <d v="2023-04-04T00:00:00"/>
    <s v="GRAFINDO"/>
    <x v="2"/>
    <n v="1"/>
    <n v="4"/>
    <s v="maptalisikaac05hijau"/>
    <s v="maptalisikaac05hijau800000"/>
    <s v="maptalisikaac05hijau800000"/>
    <s v="GRAFINDOUNTANAGA-23-04-004545020maptalisikaac0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LES_0404_218-1"/>
    <e v="#REF!"/>
    <n v="6"/>
    <m/>
    <s v="LESTARI"/>
    <s v="UNTANA"/>
    <s v="444218"/>
    <m/>
    <d v="2023-04-01T00:00:00"/>
    <m/>
    <x v="23"/>
    <n v="90"/>
    <n v="900"/>
    <s v="SET"/>
    <n v="76000"/>
    <m/>
    <s v="10 SET"/>
    <m/>
    <m/>
    <m/>
    <m/>
    <n v="68400000"/>
    <n v="0"/>
    <n v="0"/>
    <n v="0"/>
    <n v="68400000"/>
    <n v="0"/>
    <n v="68400000"/>
    <n v="760000"/>
    <n v="68400000"/>
    <d v="2023-04-04T00:00:00"/>
    <s v="LESTARI"/>
    <x v="2"/>
    <n v="1"/>
    <n v="4"/>
    <s v="pianikabluelovely"/>
    <s v="pianikabluelovely760000"/>
    <s v="pianikabluelovely760000"/>
    <s v="LESTARIUNTANA44421845017pianikabluelovely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WIR_0404_840-4"/>
    <e v="#REF!"/>
    <n v="7"/>
    <m/>
    <s v="WIRA INDO SPUNBOUND"/>
    <s v="UNTANA"/>
    <s v="INV/ WIRA/ 23/ 03/ 0840"/>
    <m/>
    <d v="2023-03-30T00:00:00"/>
    <m/>
    <x v="24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n v="4"/>
    <n v="3"/>
    <s v="hlsifl30x40x8kuningwby"/>
    <s v="hlsifl30x40x8kuningwby1029000"/>
    <s v="hlsifl30x40x8kuningwby20580"/>
    <s v="WIRA INDO SPUNBOUNDUNTANAINV/ WIRA/ 23/ 03/ 084045015hlsifl30x40x8kuningwby"/>
    <e v="#REF!"/>
    <e v="#N/A"/>
  </r>
  <r>
    <s v=""/>
    <s v=""/>
    <s v=""/>
    <n v="7"/>
    <m/>
    <m/>
    <m/>
    <m/>
    <m/>
    <m/>
    <m/>
    <x v="25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s v=""/>
    <n v="4"/>
    <s v="hlsifl30x40x8hijaustabilowsg"/>
    <s v="hlsifl30x40x8hijaustabilowsg1029000"/>
    <s v="hlsifl30x40x8hijaustabilowsg20580"/>
    <s v=""/>
    <s v=""/>
    <e v="#N/A"/>
  </r>
  <r>
    <s v=""/>
    <s v=""/>
    <s v=""/>
    <n v="7"/>
    <m/>
    <m/>
    <m/>
    <m/>
    <m/>
    <m/>
    <m/>
    <x v="26"/>
    <m/>
    <n v="50"/>
    <s v="LSN"/>
    <n v="25480"/>
    <m/>
    <s v="50 LSN"/>
    <m/>
    <m/>
    <m/>
    <m/>
    <n v="1274000"/>
    <n v="0"/>
    <n v="0"/>
    <n v="0"/>
    <n v="1274000"/>
    <s v=""/>
    <s v=""/>
    <n v="1274000"/>
    <n v="1274000"/>
    <d v="2023-04-04T00:00:00"/>
    <s v="WIRA INDO SPUNBOUND"/>
    <x v="2"/>
    <s v=""/>
    <n v="4"/>
    <s v="hlsifl38x45x8kuningwby"/>
    <s v="hlsifl38x45x8kuningwby1274000"/>
    <s v="hlsifl38x45x8kuningwby25480"/>
    <s v=""/>
    <s v=""/>
    <e v="#N/A"/>
  </r>
  <r>
    <s v=""/>
    <s v=""/>
    <s v=""/>
    <n v="7"/>
    <m/>
    <m/>
    <m/>
    <m/>
    <m/>
    <m/>
    <m/>
    <x v="27"/>
    <m/>
    <n v="50"/>
    <s v="LSN"/>
    <n v="25480"/>
    <m/>
    <s v="50 LSN"/>
    <m/>
    <m/>
    <m/>
    <m/>
    <n v="1274000"/>
    <n v="0"/>
    <n v="0"/>
    <n v="0"/>
    <n v="1274000"/>
    <n v="0"/>
    <n v="4606000"/>
    <n v="1274000"/>
    <n v="1274000"/>
    <d v="2023-04-04T00:00:00"/>
    <s v="WIRA INDO SPUNBOUND"/>
    <x v="2"/>
    <s v=""/>
    <n v="4"/>
    <s v="hlsifl38x45x8hijau"/>
    <s v="hlsifl38x45x8hijau1274000"/>
    <s v="hlsifl38x45x8hijau254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KEN_0404_152-1"/>
    <e v="#REF!"/>
    <n v="8"/>
    <m/>
    <s v="KENKO SINAR INDONESIA"/>
    <s v="ARTO MORO"/>
    <s v="23040152"/>
    <s v="SA 40873"/>
    <d v="2023-04-03T00:00:00"/>
    <m/>
    <x v="28"/>
    <n v="5"/>
    <m/>
    <m/>
    <m/>
    <n v="3888000"/>
    <s v="60 DOZ"/>
    <n v="0.17"/>
    <m/>
    <m/>
    <m/>
    <n v="19440000"/>
    <n v="3304800.0000000005"/>
    <n v="0"/>
    <n v="3304800.0000000005"/>
    <n v="16135200"/>
    <n v="3304800.0000000005"/>
    <n v="16135200"/>
    <n v="3888000"/>
    <s v=""/>
    <d v="2023-04-04T00:00:00"/>
    <s v="KENKO SINAR INDONESIA"/>
    <x v="0"/>
    <n v="1"/>
    <n v="4"/>
    <s v="kenkocutterbladel15018mm"/>
    <s v="kenkocutterbladel15018mm38880000.17"/>
    <s v="kenkocutterbladel15018mm38880000.17"/>
    <s v="KENKO SINAR INDONESIAARTO MORO23040152SA 4087345019kenkocutterbladel15018mm"/>
    <e v="#REF!"/>
    <n v="120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LAY_0504_011-1"/>
    <e v="#REF!"/>
    <n v="9"/>
    <d v="2023-04-05T00:00:00"/>
    <s v="LAYS"/>
    <s v="ARTO MORO"/>
    <s v="L104011"/>
    <m/>
    <d v="2023-04-03T00:00:00"/>
    <m/>
    <x v="29"/>
    <n v="20"/>
    <n v="2000"/>
    <s v="PAK"/>
    <n v="14000"/>
    <m/>
    <s v="100 PAK"/>
    <n v="0.1"/>
    <m/>
    <m/>
    <m/>
    <n v="28000000"/>
    <n v="2800000"/>
    <n v="0"/>
    <n v="2800000"/>
    <n v="25200000"/>
    <n v="2800000"/>
    <n v="25200000"/>
    <n v="1400000"/>
    <n v="28000000"/>
    <d v="2023-04-05T00:00:00"/>
    <s v="LAYS"/>
    <x v="0"/>
    <n v="1"/>
    <n v="4"/>
    <s v="isigwno10"/>
    <s v="isigwno1014000000.1"/>
    <s v="isigwno1014000000.1"/>
    <s v="LAYSARTO MOROL10401145019isigwno10"/>
    <e v="#REF!"/>
    <n v="1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KUN_0604_506-2"/>
    <e v="#REF!"/>
    <n v="10"/>
    <d v="2023-04-06T00:00:00"/>
    <s v="KUNCI MATAHARI"/>
    <s v="ARTO MORO"/>
    <s v="005506"/>
    <m/>
    <d v="2023-04-04T00:00:00"/>
    <m/>
    <x v="30"/>
    <n v="5"/>
    <n v="500"/>
    <s v="BOK"/>
    <n v="6610"/>
    <m/>
    <s v="100 PCS"/>
    <m/>
    <m/>
    <m/>
    <m/>
    <n v="3305000"/>
    <n v="0"/>
    <n v="0"/>
    <n v="0"/>
    <n v="3305000"/>
    <s v=""/>
    <s v=""/>
    <n v="661000"/>
    <n v="3305000"/>
    <d v="2023-04-06T00:00:00"/>
    <s v="KUNCI MATAHARI"/>
    <x v="0"/>
    <n v="2"/>
    <n v="4"/>
    <s v="bkkaskwarto"/>
    <s v="bkkaskwarto661000"/>
    <s v="bkkaskwarto661000"/>
    <s v="KUNCI MATAHARIARTO MORO00550645020bkkaskwarto"/>
    <e v="#REF!"/>
    <n v="279"/>
  </r>
  <r>
    <s v=""/>
    <s v=""/>
    <s v=""/>
    <n v="10"/>
    <m/>
    <m/>
    <m/>
    <m/>
    <m/>
    <m/>
    <m/>
    <x v="31"/>
    <n v="3"/>
    <n v="150"/>
    <s v="BOX"/>
    <n v="12870"/>
    <m/>
    <s v="50 PCS"/>
    <m/>
    <m/>
    <m/>
    <m/>
    <n v="1930500"/>
    <n v="0"/>
    <n v="0"/>
    <n v="0"/>
    <n v="1930500"/>
    <n v="0"/>
    <n v="5235500"/>
    <n v="643500"/>
    <n v="1930500"/>
    <d v="2023-04-06T00:00:00"/>
    <s v="KUNCI MATAHARI"/>
    <x v="0"/>
    <s v=""/>
    <n v="4"/>
    <s v="bkkasfolio"/>
    <s v="bkkasfolio643500"/>
    <s v="bkkasfolio643500"/>
    <s v=""/>
    <s v=""/>
    <n v="2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KEN_0504_230-7"/>
    <e v="#REF!"/>
    <n v="11"/>
    <d v="2023-04-05T00:00:00"/>
    <s v="KENKO SINAR INDONESIA"/>
    <s v="ARTO MORO"/>
    <s v="23040230"/>
    <s v="SA 40908"/>
    <d v="2023-04-03T00:00:00"/>
    <m/>
    <x v="32"/>
    <n v="1"/>
    <m/>
    <m/>
    <m/>
    <n v="3340800"/>
    <s v="48 DOZ"/>
    <n v="0.17"/>
    <m/>
    <m/>
    <m/>
    <n v="3340800"/>
    <n v="567936"/>
    <n v="0"/>
    <n v="567936"/>
    <n v="2772864"/>
    <s v=""/>
    <s v=""/>
    <n v="3340800"/>
    <s v=""/>
    <d v="2023-04-05T00:00:00"/>
    <s v="KENKO SINAR INDONESIA"/>
    <x v="0"/>
    <n v="7"/>
    <n v="4"/>
    <s v="kenkocorrectiontapect1505fc15mx5mm"/>
    <s v="kenkocorrectiontapect1505fc15mx5mm33408000.17"/>
    <s v="kenkocorrectiontapect1505fc15mx5mm33408000.17"/>
    <s v="KENKO SINAR INDONESIAARTO MORO23040230SA 4090845019kenkocorrectiontapect1505fc15mx5mm"/>
    <e v="#REF!"/>
    <n v="1178"/>
  </r>
  <r>
    <s v=""/>
    <s v=""/>
    <s v=""/>
    <n v="11"/>
    <m/>
    <m/>
    <m/>
    <m/>
    <m/>
    <m/>
    <m/>
    <x v="2"/>
    <n v="1"/>
    <m/>
    <m/>
    <m/>
    <n v="2822400"/>
    <s v="48 DOZ"/>
    <n v="0.17"/>
    <m/>
    <m/>
    <m/>
    <n v="2822400"/>
    <n v="479808.00000000006"/>
    <n v="0"/>
    <n v="479808.00000000006"/>
    <n v="2342592"/>
    <s v=""/>
    <s v=""/>
    <n v="2822400"/>
    <s v=""/>
    <d v="2023-04-05T00:00:00"/>
    <s v="KENKO SINAR INDONESIA"/>
    <x v="0"/>
    <s v=""/>
    <n v="4"/>
    <s v="kenkocorrectiontapect6066mx5mm"/>
    <s v="kenkocorrectiontapect6066mx5mm28224000.17"/>
    <s v="kenkocorrectiontapect6066mx5mm28224000.17"/>
    <s v=""/>
    <s v=""/>
    <n v="1186"/>
  </r>
  <r>
    <s v=""/>
    <s v=""/>
    <s v=""/>
    <n v="11"/>
    <m/>
    <m/>
    <m/>
    <m/>
    <m/>
    <m/>
    <m/>
    <x v="33"/>
    <n v="1"/>
    <m/>
    <m/>
    <m/>
    <n v="2419200"/>
    <s v="48 DOZ"/>
    <n v="0.17"/>
    <m/>
    <m/>
    <m/>
    <n v="2419200"/>
    <n v="411264.00000000006"/>
    <n v="0"/>
    <n v="411264.00000000006"/>
    <n v="2007936"/>
    <s v=""/>
    <s v=""/>
    <n v="2419200"/>
    <s v=""/>
    <d v="2023-04-05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1"/>
    <m/>
    <m/>
    <m/>
    <m/>
    <m/>
    <m/>
    <m/>
    <x v="34"/>
    <n v="4"/>
    <m/>
    <m/>
    <m/>
    <n v="1375000"/>
    <s v="50 BOX"/>
    <n v="0.17"/>
    <m/>
    <m/>
    <m/>
    <n v="5500000"/>
    <n v="935000.00000000012"/>
    <n v="0"/>
    <n v="935000.00000000012"/>
    <n v="4565000"/>
    <s v=""/>
    <s v=""/>
    <n v="1375000"/>
    <s v=""/>
    <d v="2023-04-05T00:00:00"/>
    <s v="KENKO SINAR INDONESIA"/>
    <x v="0"/>
    <s v=""/>
    <n v="4"/>
    <s v="kenkoerasererw40sqwhite"/>
    <s v="kenkoerasererw40sqwhite13750000.17"/>
    <s v="kenkoerasererw40sqwhite13750000.17"/>
    <s v=""/>
    <s v=""/>
    <n v="1220"/>
  </r>
  <r>
    <s v=""/>
    <s v=""/>
    <s v=""/>
    <n v="11"/>
    <m/>
    <m/>
    <m/>
    <m/>
    <m/>
    <m/>
    <m/>
    <x v="35"/>
    <n v="5"/>
    <m/>
    <m/>
    <m/>
    <n v="2256000"/>
    <s v="20 GRS"/>
    <n v="0.17"/>
    <m/>
    <m/>
    <m/>
    <n v="11280000"/>
    <n v="1917600.0000000002"/>
    <n v="0"/>
    <n v="1917600.0000000002"/>
    <n v="9362400"/>
    <s v=""/>
    <s v=""/>
    <n v="2256000"/>
    <s v=""/>
    <d v="2023-04-05T00:00:00"/>
    <s v="KENKO SINAR INDONESIA"/>
    <x v="0"/>
    <s v=""/>
    <n v="4"/>
    <s v="kenkopencil2b6388zoonzoo"/>
    <s v="kenkopencil2b6388zoonzoo22560000.17"/>
    <s v="kenkopencil2b6388zoonzoo22560000.17"/>
    <s v=""/>
    <s v=""/>
    <n v="1318"/>
  </r>
  <r>
    <s v=""/>
    <s v=""/>
    <s v=""/>
    <n v="11"/>
    <m/>
    <m/>
    <m/>
    <m/>
    <m/>
    <m/>
    <m/>
    <x v="36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4-05T00:00:00"/>
    <s v="KENKO SINAR INDONESIA"/>
    <x v="0"/>
    <s v=""/>
    <n v="4"/>
    <s v="kenkoscissorsc838n"/>
    <s v="kenkoscissorsc838n19950000.17"/>
    <s v="kenkoscissorsc838n19950000.17"/>
    <s v=""/>
    <s v=""/>
    <n v="1348"/>
  </r>
  <r>
    <s v=""/>
    <s v=""/>
    <s v=""/>
    <n v="11"/>
    <m/>
    <m/>
    <m/>
    <m/>
    <m/>
    <m/>
    <m/>
    <x v="37"/>
    <n v="1"/>
    <m/>
    <m/>
    <m/>
    <n v="2250000"/>
    <s v="50 PCS"/>
    <n v="0.17"/>
    <m/>
    <m/>
    <m/>
    <n v="2250000"/>
    <n v="382500"/>
    <n v="0"/>
    <n v="382500"/>
    <n v="1867500"/>
    <n v="5372408"/>
    <n v="26229992"/>
    <n v="2250000"/>
    <s v=""/>
    <d v="2023-04-05T00:00:00"/>
    <s v="KENKO SINAR INDONESIA"/>
    <x v="0"/>
    <s v=""/>
    <n v="4"/>
    <s v="kenkopricelabellermx55008digits1line"/>
    <s v="kenkopricelabellermx55008digits1line22500000.17"/>
    <s v="kenkopricelabellermx55008digits1line22500000.17"/>
    <s v=""/>
    <s v=""/>
    <n v="13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KEN_0504_242-5"/>
    <e v="#REF!"/>
    <n v="12"/>
    <m/>
    <s v="KENKO SINAR INDONESIA"/>
    <s v="ARTO MORO"/>
    <s v="23040242"/>
    <s v="SA 40921"/>
    <d v="2023-04-03T00:00:00"/>
    <m/>
    <x v="38"/>
    <n v="2"/>
    <m/>
    <m/>
    <m/>
    <n v="1944000"/>
    <s v="6 DOZ"/>
    <n v="0.17"/>
    <m/>
    <m/>
    <m/>
    <n v="3888000"/>
    <n v="660960"/>
    <n v="0"/>
    <n v="660960"/>
    <n v="3227040"/>
    <s v=""/>
    <s v=""/>
    <n v="1944000"/>
    <s v=""/>
    <d v="2023-04-05T00:00:00"/>
    <s v="KENKO SINAR INDONESIA"/>
    <x v="0"/>
    <n v="5"/>
    <n v="4"/>
    <s v="titi18coloroilpasteltip18s"/>
    <s v="titi18coloroilpasteltip18s19440000.17"/>
    <s v="titi18coloroilpasteltip18s19440000.17"/>
    <s v="KENKO SINAR INDONESIAARTO MORO23040242SA 4092145019titi18coloroilpasteltip18s"/>
    <e v="#REF!"/>
    <n v="2213"/>
  </r>
  <r>
    <s v=""/>
    <s v=""/>
    <s v=""/>
    <n v="12"/>
    <m/>
    <m/>
    <m/>
    <m/>
    <m/>
    <m/>
    <m/>
    <x v="39"/>
    <n v="2"/>
    <m/>
    <m/>
    <m/>
    <n v="1632000"/>
    <s v="8 BOX X 6 SET"/>
    <n v="0.17"/>
    <m/>
    <m/>
    <m/>
    <n v="3264000"/>
    <n v="554880"/>
    <n v="0"/>
    <n v="554880"/>
    <n v="2709120"/>
    <s v=""/>
    <s v=""/>
    <n v="1632000"/>
    <s v=""/>
    <d v="2023-04-05T00:00:00"/>
    <s v="KENKO SINAR INDONESIA"/>
    <x v="0"/>
    <s v=""/>
    <n v="4"/>
    <s v="titi24coloroilpasteltip24s"/>
    <s v="titi24coloroilpasteltip24s16320000.17"/>
    <s v="titi24coloroilpasteltip24s16320000.17"/>
    <s v=""/>
    <s v=""/>
    <n v="2214"/>
  </r>
  <r>
    <s v=""/>
    <s v=""/>
    <s v=""/>
    <n v="12"/>
    <m/>
    <m/>
    <m/>
    <m/>
    <m/>
    <m/>
    <m/>
    <x v="4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4-05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n v="12"/>
    <m/>
    <m/>
    <m/>
    <m/>
    <m/>
    <m/>
    <m/>
    <x v="41"/>
    <n v="1"/>
    <m/>
    <m/>
    <m/>
    <n v="1656000"/>
    <s v="4 BOX X 6 SET"/>
    <n v="0.17"/>
    <m/>
    <m/>
    <m/>
    <n v="1656000"/>
    <n v="281520"/>
    <n v="0"/>
    <n v="281520"/>
    <n v="1374480"/>
    <s v=""/>
    <s v=""/>
    <n v="1656000"/>
    <s v=""/>
    <d v="2023-04-05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n v="12"/>
    <m/>
    <m/>
    <m/>
    <m/>
    <m/>
    <m/>
    <m/>
    <x v="42"/>
    <n v="2"/>
    <m/>
    <m/>
    <m/>
    <n v="1824000"/>
    <s v="4 BOX X 6 SET"/>
    <n v="0.17"/>
    <m/>
    <m/>
    <m/>
    <n v="3648000"/>
    <n v="620160"/>
    <n v="0"/>
    <n v="620160"/>
    <n v="3027840"/>
    <n v="2408220"/>
    <n v="11757780"/>
    <n v="1824000"/>
    <s v=""/>
    <d v="2023-04-05T00:00:00"/>
    <s v="KENKO SINAR INDONESIA"/>
    <x v="0"/>
    <s v=""/>
    <n v="4"/>
    <s v="titi55coloroilpasteltip55s"/>
    <s v="titi55coloroilpasteltip55s18240000.17"/>
    <s v="titi55coloroilpasteltip55s18240000.17"/>
    <s v=""/>
    <s v=""/>
    <n v="22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KEN_0604_306-10"/>
    <e v="#REF!"/>
    <n v="13"/>
    <d v="2023-04-06T00:00:00"/>
    <s v="KENKO SINAR INDONESIA"/>
    <s v="ARTO MORO"/>
    <s v="23040306"/>
    <s v="SA 40938"/>
    <d v="2023-04-04T00:00:00"/>
    <m/>
    <x v="43"/>
    <n v="1"/>
    <m/>
    <m/>
    <m/>
    <n v="2707200"/>
    <s v="48 DOZ"/>
    <n v="0.17"/>
    <m/>
    <m/>
    <m/>
    <n v="2707200"/>
    <n v="460224.00000000006"/>
    <n v="0"/>
    <n v="460224.00000000006"/>
    <n v="2246976"/>
    <s v=""/>
    <s v=""/>
    <n v="2707200"/>
    <s v=""/>
    <d v="2023-04-06T00:00:00"/>
    <s v="KENKO SINAR INDONESIA"/>
    <x v="0"/>
    <n v="10"/>
    <n v="4"/>
    <s v="kenkocorrectiontapect8188mx5mm"/>
    <s v="kenkocorrectiontapect8188mx5mm27072000.17"/>
    <s v="kenkocorrectiontapect8188mx5mm27072000.17"/>
    <s v="KENKO SINAR INDONESIAARTO MORO23040306SA 4093845020kenkocorrectiontapect8188mx5mm"/>
    <e v="#REF!"/>
    <n v="1192"/>
  </r>
  <r>
    <s v=""/>
    <s v=""/>
    <s v=""/>
    <n v="13"/>
    <m/>
    <m/>
    <m/>
    <m/>
    <m/>
    <m/>
    <m/>
    <x v="44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06T00:00:00"/>
    <s v="KENKO SINAR INDONESIA"/>
    <x v="0"/>
    <s v=""/>
    <n v="4"/>
    <s v="kenkogluestick8grsmall"/>
    <s v="kenkogluestick8grsmall23760000.17"/>
    <s v="kenkogluestick8grsmall23760000.17"/>
    <s v=""/>
    <s v=""/>
    <n v="1265"/>
  </r>
  <r>
    <s v=""/>
    <s v=""/>
    <s v=""/>
    <n v="13"/>
    <m/>
    <m/>
    <m/>
    <m/>
    <m/>
    <m/>
    <m/>
    <x v="45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pink"/>
    <s v="kenkohighlighterhl100pink14640000.17"/>
    <s v="kenkohighlighterhl100pink14640000.17"/>
    <s v=""/>
    <s v=""/>
    <n v="1278"/>
  </r>
  <r>
    <s v=""/>
    <s v=""/>
    <s v=""/>
    <n v="13"/>
    <m/>
    <m/>
    <m/>
    <m/>
    <m/>
    <m/>
    <m/>
    <x v="46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green"/>
    <s v="kenkohighlighterhl100green14640000.17"/>
    <s v="kenkohighlighterhl100green14640000.17"/>
    <s v=""/>
    <s v=""/>
    <n v="1276"/>
  </r>
  <r>
    <s v=""/>
    <s v=""/>
    <s v=""/>
    <n v="13"/>
    <m/>
    <m/>
    <m/>
    <m/>
    <m/>
    <m/>
    <m/>
    <x v="47"/>
    <n v="10"/>
    <m/>
    <m/>
    <m/>
    <n v="1954800"/>
    <s v="36 DOZ"/>
    <n v="0.17"/>
    <m/>
    <m/>
    <m/>
    <n v="19548000"/>
    <n v="3323160.0000000005"/>
    <n v="0"/>
    <n v="3323160.0000000005"/>
    <n v="16224840"/>
    <s v=""/>
    <s v=""/>
    <n v="1954800"/>
    <s v=""/>
    <d v="2023-04-06T00:00:00"/>
    <s v="KENKO SINAR INDONESIA"/>
    <x v="0"/>
    <s v=""/>
    <n v="4"/>
    <s v="kenkocorrectionfluidke01"/>
    <s v="kenkocorrectionfluidke0119548000.17"/>
    <s v="kenkocorrectionfluidke0119548000.17"/>
    <s v=""/>
    <s v=""/>
    <n v="1170"/>
  </r>
  <r>
    <s v=""/>
    <s v=""/>
    <s v=""/>
    <n v="13"/>
    <m/>
    <m/>
    <m/>
    <m/>
    <m/>
    <m/>
    <m/>
    <x v="48"/>
    <n v="4"/>
    <m/>
    <m/>
    <m/>
    <n v="840000"/>
    <s v="20 PAK X 10 BOX"/>
    <n v="0.17"/>
    <m/>
    <m/>
    <m/>
    <n v="3360000"/>
    <n v="571200"/>
    <n v="0"/>
    <n v="571200"/>
    <n v="2788800"/>
    <s v=""/>
    <s v=""/>
    <n v="840000"/>
    <s v=""/>
    <d v="2023-04-06T00:00:00"/>
    <s v="KENKO SINAR INDONESIA"/>
    <x v="0"/>
    <s v=""/>
    <n v="4"/>
    <s v="kenkostaplesno12102310"/>
    <s v="kenkostaplesno121023108400000.17"/>
    <s v="kenkostaplesno121023108400000.17"/>
    <s v=""/>
    <s v=""/>
    <n v="1382"/>
  </r>
  <r>
    <s v=""/>
    <s v=""/>
    <s v=""/>
    <n v="13"/>
    <m/>
    <m/>
    <m/>
    <m/>
    <m/>
    <m/>
    <m/>
    <x v="49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6T00:00:00"/>
    <s v="KENKO SINAR INDONESIA"/>
    <x v="0"/>
    <s v=""/>
    <n v="4"/>
    <s v="kenkoscissorsc828"/>
    <s v="kenkoscissorsc82814100000.17"/>
    <s v="kenkoscissorsc82814100000.17"/>
    <s v=""/>
    <s v=""/>
    <n v="1347"/>
  </r>
  <r>
    <s v=""/>
    <s v=""/>
    <s v=""/>
    <n v="13"/>
    <m/>
    <m/>
    <m/>
    <m/>
    <m/>
    <m/>
    <m/>
    <x v="50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4-06T00:00:00"/>
    <s v="KENKO SINAR INDONESIA"/>
    <x v="0"/>
    <s v=""/>
    <n v="4"/>
    <s v="kenkopencilleadpl052b05mmhipolymer"/>
    <s v="kenkopencilleadpl052b05mmhipolymer32400000.17"/>
    <s v="kenkopencilleadpl052b05mmhipolymer32400000.17"/>
    <s v=""/>
    <s v=""/>
    <n v="1326"/>
  </r>
  <r>
    <s v=""/>
    <s v=""/>
    <s v=""/>
    <n v="13"/>
    <m/>
    <m/>
    <m/>
    <m/>
    <m/>
    <m/>
    <m/>
    <x v="51"/>
    <n v="1"/>
    <m/>
    <m/>
    <m/>
    <n v="1200000"/>
    <s v="10 GRS"/>
    <n v="0.17"/>
    <m/>
    <m/>
    <m/>
    <n v="1200000"/>
    <n v="204000.00000000003"/>
    <n v="0"/>
    <n v="204000.00000000003"/>
    <n v="996000"/>
    <s v=""/>
    <s v=""/>
    <n v="1200000"/>
    <s v=""/>
    <d v="2023-04-06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13"/>
    <m/>
    <m/>
    <m/>
    <m/>
    <m/>
    <m/>
    <m/>
    <x v="52"/>
    <n v="1"/>
    <m/>
    <m/>
    <m/>
    <n v="1566000"/>
    <s v="30 DOZ"/>
    <n v="0.17"/>
    <m/>
    <m/>
    <m/>
    <n v="1566000"/>
    <n v="266220"/>
    <n v="0"/>
    <n v="266220"/>
    <n v="1299780"/>
    <n v="6756684"/>
    <n v="32988516"/>
    <n v="1566000"/>
    <s v=""/>
    <d v="2023-04-06T00:00:00"/>
    <s v="KENKO SINAR INDONESIA"/>
    <x v="0"/>
    <s v=""/>
    <s v=""/>
    <s v="kenkocutterk2009mmblade"/>
    <s v="kenkocutterk2009mmblade15660000.17"/>
    <s v="kenkocutterk2009mmblade15660000.17"/>
    <s v=""/>
    <s v=""/>
    <n v="12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4_289-4"/>
    <e v="#REF!"/>
    <n v="14"/>
    <m/>
    <s v="KENKO SINAR INDONESIA"/>
    <s v="ARTO MORO"/>
    <s v="23040289"/>
    <s v="SA 40942"/>
    <d v="2023-04-04T00:00:00"/>
    <m/>
    <x v="32"/>
    <n v="1"/>
    <m/>
    <m/>
    <m/>
    <n v="3340800"/>
    <s v="48 DOZ X 12 PCS"/>
    <n v="0.17"/>
    <m/>
    <m/>
    <m/>
    <n v="3340800"/>
    <n v="567936"/>
    <n v="0"/>
    <n v="567936"/>
    <n v="2772864"/>
    <s v=""/>
    <s v=""/>
    <n v="3340800"/>
    <s v=""/>
    <d v="2023-04-06T00:00:00"/>
    <s v="KENKO SINAR INDONESIA"/>
    <x v="0"/>
    <n v="4"/>
    <n v="4"/>
    <s v="kenkocorrectiontapect1505fc15mx5mm"/>
    <s v="kenkocorrectiontapect1505fc15mx5mm33408000.17"/>
    <s v="kenkocorrectiontapect1505fc15mx5mm33408000.17"/>
    <s v="KENKO SINAR INDONESIAARTO MORO23040289SA 4094245020kenkocorrectiontapect1505fc15mx5mm"/>
    <e v="#REF!"/>
    <n v="1178"/>
  </r>
  <r>
    <s v=""/>
    <s v=""/>
    <s v=""/>
    <n v="14"/>
    <m/>
    <m/>
    <m/>
    <m/>
    <m/>
    <m/>
    <m/>
    <x v="33"/>
    <n v="1"/>
    <m/>
    <m/>
    <m/>
    <n v="2419200"/>
    <s v="48 DOZ X 12 PCS"/>
    <n v="0.17"/>
    <m/>
    <m/>
    <m/>
    <n v="2419200"/>
    <n v="411264.00000000006"/>
    <n v="0"/>
    <n v="411264.00000000006"/>
    <n v="2007936"/>
    <s v=""/>
    <s v=""/>
    <n v="2419200"/>
    <s v=""/>
    <d v="2023-04-06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4"/>
    <m/>
    <m/>
    <m/>
    <m/>
    <m/>
    <m/>
    <m/>
    <x v="53"/>
    <n v="1"/>
    <m/>
    <m/>
    <m/>
    <n v="588000"/>
    <s v="480 ROL"/>
    <n v="0.17"/>
    <m/>
    <m/>
    <m/>
    <n v="588000"/>
    <n v="99960"/>
    <n v="0"/>
    <n v="99960"/>
    <n v="488040"/>
    <s v=""/>
    <s v=""/>
    <n v="588000"/>
    <s v=""/>
    <d v="2023-04-06T00:00:00"/>
    <s v="KENKO SINAR INDONESIA"/>
    <x v="0"/>
    <s v=""/>
    <n v="4"/>
    <s v="kenkodoubletape6mmhgbluecore"/>
    <s v="kenkodoubletape6mmhgbluecore5880000.17"/>
    <s v="kenkodoubletape6mmhgbluecore5880000.17"/>
    <s v=""/>
    <s v=""/>
    <n v="1216"/>
  </r>
  <r>
    <s v=""/>
    <s v=""/>
    <s v=""/>
    <n v="14"/>
    <m/>
    <m/>
    <m/>
    <m/>
    <s v="SA 40953"/>
    <m/>
    <m/>
    <x v="14"/>
    <n v="2"/>
    <m/>
    <m/>
    <m/>
    <n v="396000"/>
    <s v="20 DOZ"/>
    <n v="0.17"/>
    <m/>
    <m/>
    <m/>
    <n v="792000"/>
    <n v="134640"/>
    <n v="0"/>
    <n v="134640"/>
    <n v="657360"/>
    <n v="1213800"/>
    <n v="5926200"/>
    <n v="396000"/>
    <s v=""/>
    <d v="2023-04-06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4_384-2"/>
    <e v="#REF!"/>
    <n v="15"/>
    <m/>
    <s v="KENKO SINAR INDONESIA"/>
    <s v="ARTO MORO"/>
    <s v="23040384"/>
    <s v="SA 40955"/>
    <d v="2023-04-05T00:00:00"/>
    <m/>
    <x v="54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6T00:00:00"/>
    <s v="KENKO SINAR INDONESIA"/>
    <x v="0"/>
    <n v="2"/>
    <n v="4"/>
    <s v="kenkogelpenke200black"/>
    <s v="kenkogelpenke200black35424000.17"/>
    <s v="kenkogelpenke200black35424000.17"/>
    <s v="KENKO SINAR INDONESIAARTO MORO23040384SA 4095545021kenkogelpenke200black"/>
    <e v="#REF!"/>
    <n v="1245"/>
  </r>
  <r>
    <s v=""/>
    <s v=""/>
    <s v=""/>
    <n v="15"/>
    <m/>
    <m/>
    <m/>
    <m/>
    <m/>
    <m/>
    <m/>
    <x v="55"/>
    <n v="5"/>
    <m/>
    <m/>
    <m/>
    <n v="2280000"/>
    <s v="10 DOZ"/>
    <n v="0.17"/>
    <m/>
    <m/>
    <m/>
    <n v="11400000"/>
    <n v="1938000.0000000002"/>
    <n v="0"/>
    <n v="1938000.0000000002"/>
    <n v="9462000"/>
    <n v="2540208"/>
    <n v="12402192"/>
    <n v="2280000"/>
    <s v=""/>
    <d v="2023-04-06T00:00:00"/>
    <s v="KENKO SINAR INDONESIA"/>
    <x v="0"/>
    <s v=""/>
    <n v="4"/>
    <s v="kenkostaplerhd50newcolor"/>
    <s v="kenkostaplerhd50newcolor22800000.17"/>
    <s v="kenkostaplerhd50newcolor22800000.17"/>
    <s v=""/>
    <s v=""/>
    <n v="13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KEN_0604_401-2"/>
    <e v="#REF!"/>
    <n v="16"/>
    <m/>
    <s v="KENKO SINAR INDONESIA"/>
    <s v="ARTO MORO"/>
    <s v="23040401"/>
    <s v="SA 40971"/>
    <d v="2023-04-05T00:00:00"/>
    <m/>
    <x v="56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06T00:00:00"/>
    <s v="KENKO SINAR INDONESIA"/>
    <x v="0"/>
    <n v="2"/>
    <n v="4"/>
    <s v="kenkotapedispensertd3211&amp;3core"/>
    <s v="kenkotapedispensertd3211&amp;3core4440000.17"/>
    <s v="kenkotapedispensertd3211&amp;3core4440000.17"/>
    <s v="KENKO SINAR INDONESIAARTO MORO23040401SA 4097145021kenkotapedispensertd3211&amp;3core"/>
    <e v="#REF!"/>
    <n v="1385"/>
  </r>
  <r>
    <s v=""/>
    <s v=""/>
    <s v=""/>
    <n v="16"/>
    <m/>
    <m/>
    <m/>
    <m/>
    <m/>
    <m/>
    <m/>
    <x v="57"/>
    <n v="15"/>
    <m/>
    <m/>
    <m/>
    <n v="462000"/>
    <s v="24 PCS"/>
    <n v="0.17"/>
    <m/>
    <m/>
    <m/>
    <n v="6930000"/>
    <n v="1178100"/>
    <n v="0"/>
    <n v="1178100"/>
    <n v="5751900"/>
    <n v="1253580"/>
    <n v="6120420"/>
    <n v="462000"/>
    <s v=""/>
    <d v="2023-04-06T00:00:00"/>
    <s v="KENKO SINAR INDONESIA"/>
    <x v="0"/>
    <s v=""/>
    <n v="4"/>
    <s v="kenkotapedispensertd3231&amp;3core"/>
    <s v="kenkotapedispensertd3231&amp;3core4620000.17"/>
    <s v="kenkotapedispensertd3231&amp;3core4620000.17"/>
    <s v=""/>
    <s v=""/>
    <n v="13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COM_0504_404-2"/>
    <e v="#REF!"/>
    <n v="17"/>
    <d v="2023-04-05T00:00:00"/>
    <s v="COMBI"/>
    <s v="UNTANA"/>
    <s v="0404"/>
    <m/>
    <d v="2023-04-05T00:00:00"/>
    <m/>
    <x v="58"/>
    <m/>
    <n v="8"/>
    <s v="DZ"/>
    <n v="195000"/>
    <m/>
    <s v="8 DZ"/>
    <m/>
    <m/>
    <m/>
    <m/>
    <n v="1560000"/>
    <n v="0"/>
    <n v="0"/>
    <n v="0"/>
    <n v="1560000"/>
    <s v=""/>
    <s v=""/>
    <n v="1560000"/>
    <n v="1560000"/>
    <d v="2023-04-05T00:00:00"/>
    <s v="COMBI"/>
    <x v="2"/>
    <n v="2"/>
    <n v="4"/>
    <s v="docrestprestige"/>
    <s v="docrestprestige1560000"/>
    <s v="docrestprestige195000"/>
    <s v="COMBIUNTANA040445021docrestprestige"/>
    <e v="#REF!"/>
    <e v="#N/A"/>
  </r>
  <r>
    <s v=""/>
    <s v=""/>
    <s v=""/>
    <n v="17"/>
    <m/>
    <m/>
    <m/>
    <m/>
    <m/>
    <m/>
    <m/>
    <x v="59"/>
    <m/>
    <n v="8"/>
    <s v="DZ"/>
    <n v="180000"/>
    <m/>
    <s v="8 DZ"/>
    <m/>
    <m/>
    <m/>
    <m/>
    <n v="1440000"/>
    <n v="0"/>
    <n v="0"/>
    <n v="0"/>
    <n v="1440000"/>
    <n v="0"/>
    <n v="3000000"/>
    <n v="1440000"/>
    <n v="1440000"/>
    <d v="2023-04-05T00:00:00"/>
    <s v="COMBI"/>
    <x v="2"/>
    <s v=""/>
    <n v="4"/>
    <s v="docrestinfinity"/>
    <s v="docrestinfinity1440000"/>
    <s v="docrestinfinity18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PPW_0504_V23-1"/>
    <e v="#REF!"/>
    <n v="18"/>
    <m/>
    <s v="PPW"/>
    <s v="UNTANA"/>
    <s v="0003/HW/IV/23"/>
    <m/>
    <d v="2023-04-01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05T00:00:00"/>
    <s v="PPW"/>
    <x v="2"/>
    <n v="1"/>
    <n v="4"/>
    <s v="bt30cm"/>
    <s v="bt30cm26780000.20.04"/>
    <s v="bt30cm26780000.20.04"/>
    <s v="PPWUNTANA0003/HW/IV/2345017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SIN_0504_841-1"/>
    <e v="#REF!"/>
    <n v="19"/>
    <m/>
    <s v="SINAR KOTA"/>
    <s v="UNTANA"/>
    <s v="75841"/>
    <m/>
    <d v="2023-03-31T00:00:00"/>
    <m/>
    <x v="61"/>
    <n v="4"/>
    <n v="360"/>
    <s v="PCS"/>
    <n v="12000"/>
    <m/>
    <s v="90 PCS"/>
    <m/>
    <m/>
    <m/>
    <m/>
    <n v="4320000"/>
    <n v="0"/>
    <n v="0"/>
    <n v="0"/>
    <n v="4320000"/>
    <n v="0"/>
    <n v="4320000"/>
    <n v="1080000"/>
    <n v="4320000"/>
    <d v="2023-04-05T00:00:00"/>
    <s v="SINAR KOTA"/>
    <x v="2"/>
    <n v="1"/>
    <n v="3"/>
    <s v="agenda702525k"/>
    <s v="agenda702525k1080000"/>
    <s v="agenda702525k1080000"/>
    <s v="SINAR KOTAUNTANA7584145016agenda702525k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BS_0504_223-2"/>
    <e v="#REF!"/>
    <n v="20"/>
    <m/>
    <s v="DB STATIONERY"/>
    <s v="UNTANA"/>
    <s v="JUD032/23"/>
    <m/>
    <d v="2023-04-01T00:00:00"/>
    <m/>
    <x v="62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4-05T00:00:00"/>
    <s v="DB STATIONERY"/>
    <x v="2"/>
    <n v="2"/>
    <n v="4"/>
    <s v="gelpentizo10tg340"/>
    <s v="gelpentizo10tg3403024000"/>
    <s v="gelpentizo10tg3403024000"/>
    <s v="DB STATIONERYUNTANAJUD032/2345017gelpentizo10tg340"/>
    <e v="#REF!"/>
    <n v="807"/>
  </r>
  <r>
    <s v=""/>
    <s v=""/>
    <s v=""/>
    <n v="20"/>
    <m/>
    <m/>
    <m/>
    <m/>
    <m/>
    <m/>
    <m/>
    <x v="63"/>
    <n v="2"/>
    <n v="192"/>
    <s v="LSN"/>
    <n v="29000"/>
    <m/>
    <s v="96 LSN"/>
    <m/>
    <m/>
    <m/>
    <m/>
    <n v="5568000"/>
    <n v="0"/>
    <n v="0"/>
    <n v="0"/>
    <n v="5568000"/>
    <n v="0"/>
    <n v="20688000"/>
    <n v="2784000"/>
    <n v="5568000"/>
    <d v="2023-04-05T00:00:00"/>
    <s v="DB STATIONERY"/>
    <x v="2"/>
    <s v=""/>
    <n v="4"/>
    <s v="mektizo20tm030c"/>
    <s v="mektizo20tm030c2784000"/>
    <s v="mektizo20tm030c2784000"/>
    <s v=""/>
    <s v=""/>
    <n v="162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HAN_0604_064-1"/>
    <e v="#REF!"/>
    <n v="21"/>
    <d v="2023-04-06T00:00:00"/>
    <s v="HANSA"/>
    <s v="UNTANA"/>
    <s v="HN042023064"/>
    <m/>
    <d v="2023-04-06T00:00:00"/>
    <m/>
    <x v="64"/>
    <m/>
    <n v="60"/>
    <s v="PCS"/>
    <n v="5200"/>
    <m/>
    <m/>
    <m/>
    <m/>
    <m/>
    <s v="HARGA LAMA/ SELANJUTNYA =&gt; 5.770/ PCS"/>
    <n v="312000"/>
    <n v="0"/>
    <n v="0"/>
    <n v="0"/>
    <n v="312000"/>
    <n v="0"/>
    <n v="312000"/>
    <n v="312000"/>
    <n v="312000"/>
    <d v="2023-04-06T00:00:00"/>
    <s v="HANSA"/>
    <x v="2"/>
    <n v="1"/>
    <n v="4"/>
    <s v="malamshintoengb1wpolos"/>
    <s v="malamshintoengb1wpolos312000"/>
    <s v="malamshintoengb1wpolos5200"/>
    <s v="HANSAUNTANAHN04202306445022malamshintoengb1wpolos"/>
    <e v="#REF!"/>
    <n v="15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GUN_0604_711-1"/>
    <e v="#REF!"/>
    <n v="22"/>
    <m/>
    <s v="GUNINDO"/>
    <s v="UNTANA"/>
    <s v="2300711"/>
    <m/>
    <d v="2023-04-03T00:00:00"/>
    <m/>
    <x v="65"/>
    <m/>
    <n v="120"/>
    <s v="LSN"/>
    <n v="49200"/>
    <m/>
    <s v="60 LSN"/>
    <n v="0.05"/>
    <n v="0.1"/>
    <m/>
    <m/>
    <n v="5904000"/>
    <n v="295200"/>
    <n v="560880"/>
    <n v="856080"/>
    <n v="5047920"/>
    <n v="856080"/>
    <n v="5047920"/>
    <n v="5904000"/>
    <n v="5904000"/>
    <d v="2023-04-06T00:00:00"/>
    <s v="GUNINDO"/>
    <x v="2"/>
    <n v="1"/>
    <n v="4"/>
    <s v="ossgunindo"/>
    <s v="ossgunindo59040000.050.1"/>
    <s v="ossgunindo492000.050.1"/>
    <s v="GUNINDOUNTANA230071145019ossgunindo"/>
    <e v="#REF!"/>
    <n v="168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PMJ_0604_-4"/>
    <e v="#REF!"/>
    <n v="23"/>
    <m/>
    <s v="PMJP"/>
    <s v="UNTANA"/>
    <m/>
    <m/>
    <d v="2023-04-03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6T00:00:00"/>
    <s v="PMJP"/>
    <x v="2"/>
    <n v="4"/>
    <n v="4"/>
    <s v="celengans"/>
    <s v="celengans752000"/>
    <s v="celengans752000"/>
    <s v="PMJPUNTANA45019celengans"/>
    <e v="#REF!"/>
    <n v="482"/>
  </r>
  <r>
    <s v=""/>
    <s v=""/>
    <s v=""/>
    <n v="23"/>
    <m/>
    <m/>
    <m/>
    <m/>
    <m/>
    <m/>
    <m/>
    <x v="67"/>
    <n v="1"/>
    <n v="16"/>
    <s v="LSN"/>
    <n v="56000"/>
    <m/>
    <s v="16 LSN"/>
    <m/>
    <m/>
    <m/>
    <m/>
    <n v="896000"/>
    <n v="0"/>
    <n v="0"/>
    <n v="0"/>
    <n v="896000"/>
    <s v=""/>
    <s v=""/>
    <n v="896000"/>
    <n v="896000"/>
    <d v="2023-04-06T00:00:00"/>
    <s v="PMJP"/>
    <x v="2"/>
    <s v=""/>
    <n v="4"/>
    <s v="celenganm"/>
    <s v="celenganm896000"/>
    <s v="celenganm896000"/>
    <s v=""/>
    <s v=""/>
    <n v="481"/>
  </r>
  <r>
    <s v=""/>
    <s v=""/>
    <s v=""/>
    <n v="23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s v=""/>
    <s v=""/>
    <n v="700000"/>
    <n v="700000"/>
    <d v="2023-04-06T00:00:00"/>
    <s v="PMJP"/>
    <x v="2"/>
    <s v=""/>
    <n v="4"/>
    <s v="celenganl"/>
    <s v="celenganl700000"/>
    <s v="celenganl700000"/>
    <s v=""/>
    <s v=""/>
    <n v="480"/>
  </r>
  <r>
    <s v=""/>
    <s v=""/>
    <s v=""/>
    <n v="23"/>
    <m/>
    <m/>
    <m/>
    <m/>
    <m/>
    <m/>
    <m/>
    <x v="69"/>
    <n v="1"/>
    <n v="6"/>
    <s v="LSN"/>
    <n v="85000"/>
    <m/>
    <s v="6 LSN"/>
    <m/>
    <m/>
    <m/>
    <m/>
    <n v="510000"/>
    <n v="0"/>
    <n v="0"/>
    <n v="0"/>
    <n v="510000"/>
    <n v="0"/>
    <n v="2858000"/>
    <n v="510000"/>
    <n v="510000"/>
    <d v="2023-04-06T00:00:00"/>
    <s v="PMJP"/>
    <x v="2"/>
    <s v=""/>
    <n v="4"/>
    <s v="celenganxl"/>
    <s v="celenganxl510000"/>
    <s v="celenganxl510000"/>
    <s v=""/>
    <s v=""/>
    <n v="4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PEL_0604_-1"/>
    <e v="#REF!"/>
    <n v="24"/>
    <m/>
    <s v="PELNA"/>
    <s v="UNTANA"/>
    <m/>
    <m/>
    <d v="2023-04-03T00:00:00"/>
    <m/>
    <x v="70"/>
    <n v="1"/>
    <n v="20"/>
    <s v="GRS"/>
    <n v="49000"/>
    <m/>
    <s v="20 GRS"/>
    <m/>
    <m/>
    <m/>
    <m/>
    <n v="980000"/>
    <n v="0"/>
    <n v="0"/>
    <n v="0"/>
    <n v="980000"/>
    <n v="0"/>
    <n v="980000"/>
    <n v="980000"/>
    <n v="980000"/>
    <d v="2023-04-06T00:00:00"/>
    <s v="PELNA"/>
    <x v="2"/>
    <n v="1"/>
    <n v="4"/>
    <s v="pelna01hitam"/>
    <s v="pelna01hitam980000"/>
    <s v="pelna01hitam980000"/>
    <s v="PELNAUNTANA45019pelna01hitam"/>
    <e v="#REF!"/>
    <n v="18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PEL_0604_-5"/>
    <e v="#REF!"/>
    <n v="25"/>
    <m/>
    <s v="PELNA"/>
    <s v="UNTANA"/>
    <m/>
    <m/>
    <d v="2023-04-03T00:00:00"/>
    <m/>
    <x v="70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n v="5"/>
    <n v="4"/>
    <s v="pelna01hitam"/>
    <s v="pelna01hitam490000"/>
    <s v="pelna01hitam49000"/>
    <s v="PELNAUNTANA45019pelna01hitam"/>
    <e v="#REF!"/>
    <n v="1835"/>
  </r>
  <r>
    <s v=""/>
    <s v=""/>
    <s v=""/>
    <n v="25"/>
    <m/>
    <m/>
    <m/>
    <m/>
    <m/>
    <m/>
    <m/>
    <x v="71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01ihitam"/>
    <s v="pelna01ihitam490000"/>
    <s v="pelna01ihitam49000"/>
    <s v=""/>
    <s v=""/>
    <e v="#N/A"/>
  </r>
  <r>
    <s v=""/>
    <s v=""/>
    <s v=""/>
    <n v="25"/>
    <m/>
    <m/>
    <m/>
    <m/>
    <m/>
    <m/>
    <m/>
    <x v="72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2hitam"/>
    <s v="pelnax02hitam490000"/>
    <s v="pelnax02hitam49000"/>
    <s v=""/>
    <s v=""/>
    <e v="#N/A"/>
  </r>
  <r>
    <s v=""/>
    <s v=""/>
    <s v=""/>
    <n v="25"/>
    <m/>
    <m/>
    <m/>
    <m/>
    <m/>
    <m/>
    <m/>
    <x v="73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3hitam"/>
    <s v="pelnax03hitam490000"/>
    <s v="pelnax03hitam49000"/>
    <s v=""/>
    <s v=""/>
    <e v="#N/A"/>
  </r>
  <r>
    <s v=""/>
    <s v=""/>
    <s v=""/>
    <n v="25"/>
    <m/>
    <m/>
    <m/>
    <m/>
    <m/>
    <m/>
    <m/>
    <x v="74"/>
    <m/>
    <n v="12"/>
    <s v="GRS"/>
    <n v="140000"/>
    <m/>
    <m/>
    <m/>
    <m/>
    <m/>
    <s v="BONUS"/>
    <n v="1680000"/>
    <n v="0"/>
    <n v="0"/>
    <n v="0"/>
    <n v="1680000"/>
    <n v="0"/>
    <n v="3640000"/>
    <n v="1680000"/>
    <n v="1680000"/>
    <d v="2023-04-06T00:00:00"/>
    <s v="PELNA"/>
    <x v="2"/>
    <s v=""/>
    <n v="4"/>
    <s v="pelna05hitam05mm"/>
    <s v="pelna05hitam05mm1680000"/>
    <s v="pelna05hitam05mm14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SIN_0604_877-1"/>
    <e v="#REF!"/>
    <n v="26"/>
    <m/>
    <s v="SINAR KOTA"/>
    <s v="UNTANA"/>
    <s v="75877"/>
    <m/>
    <d v="2023-04-03T00:00:00"/>
    <m/>
    <x v="75"/>
    <n v="6"/>
    <n v="3000"/>
    <s v="PAK"/>
    <n v="1400"/>
    <m/>
    <s v="500 PAK"/>
    <m/>
    <m/>
    <m/>
    <m/>
    <n v="4200000"/>
    <n v="0"/>
    <n v="0"/>
    <n v="0"/>
    <n v="4200000"/>
    <n v="0"/>
    <n v="4200000"/>
    <n v="700000"/>
    <n v="4200000"/>
    <d v="2023-04-06T00:00:00"/>
    <s v="SINAR KOTA"/>
    <x v="2"/>
    <n v="1"/>
    <n v="4"/>
    <s v="jarumpentolbungano1"/>
    <s v="jarumpentolbungano1700000"/>
    <s v="jarumpentolbungano1700000"/>
    <s v="SINAR KOTAUNTANA7587745019jarumpentolbungano1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ETJ_0604_023-2"/>
    <e v="#REF!"/>
    <n v="27"/>
    <m/>
    <s v="ETJ"/>
    <s v="UNTANA"/>
    <s v="F30.23"/>
    <m/>
    <d v="2023-04-03T00:00:00"/>
    <m/>
    <x v="76"/>
    <n v="1"/>
    <n v="4000"/>
    <s v="PCS"/>
    <n v="700"/>
    <m/>
    <s v="4000 PCS"/>
    <m/>
    <m/>
    <m/>
    <m/>
    <n v="2800000"/>
    <n v="0"/>
    <n v="0"/>
    <n v="0"/>
    <n v="2800000"/>
    <s v=""/>
    <s v=""/>
    <n v="2800000"/>
    <n v="2800000"/>
    <d v="2023-04-06T00:00:00"/>
    <s v="ETJ"/>
    <x v="2"/>
    <n v="2"/>
    <n v="4"/>
    <s v="ntagdmrh301"/>
    <s v="ntagdmrh3012800000"/>
    <s v="ntagdmrh3012800000"/>
    <s v="ETJUNTANAF30.2345019ntagdmrh301"/>
    <e v="#REF!"/>
    <n v="1634"/>
  </r>
  <r>
    <s v=""/>
    <s v=""/>
    <s v=""/>
    <n v="27"/>
    <m/>
    <m/>
    <m/>
    <m/>
    <m/>
    <m/>
    <m/>
    <x v="77"/>
    <n v="1"/>
    <n v="300"/>
    <s v="PCS"/>
    <n v="9250"/>
    <m/>
    <s v="300 PCS"/>
    <m/>
    <m/>
    <m/>
    <m/>
    <n v="2775000"/>
    <n v="0"/>
    <n v="0"/>
    <n v="0"/>
    <n v="2775000"/>
    <n v="0"/>
    <n v="5575000"/>
    <n v="2775000"/>
    <n v="2775000"/>
    <d v="2023-04-06T00:00:00"/>
    <s v="ETJ"/>
    <x v="2"/>
    <s v=""/>
    <n v="4"/>
    <s v="sempoa17tiang"/>
    <s v="sempoa17tiang2775000"/>
    <s v="sempoa17tiang2775000"/>
    <s v=""/>
    <s v=""/>
    <n v="208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PAR_0804_-2"/>
    <e v="#REF!"/>
    <n v="28"/>
    <d v="2023-04-08T00:00:00"/>
    <s v="PARAMA"/>
    <s v="UNTANA"/>
    <m/>
    <m/>
    <d v="2023-04-05T00:00:00"/>
    <m/>
    <x v="78"/>
    <n v="5"/>
    <n v="1200"/>
    <s v="PCS"/>
    <n v="5485"/>
    <m/>
    <s v="240 PCS"/>
    <n v="0.1"/>
    <n v="0.1"/>
    <m/>
    <m/>
    <n v="6582000"/>
    <n v="658200"/>
    <n v="592380"/>
    <n v="1250580"/>
    <n v="5331420"/>
    <s v=""/>
    <s v=""/>
    <n v="1316400"/>
    <n v="6582000"/>
    <d v="2023-04-08T00:00:00"/>
    <s v="PARAMA"/>
    <x v="2"/>
    <n v="2"/>
    <n v="4"/>
    <s v="sampulsamsonkwartofancy"/>
    <s v="sampulsamsonkwartofancy13164000.10.1"/>
    <s v="sampulsamsonkwartofancy13164000.10.1"/>
    <s v="PARAMAUNTANA45021sampulsamsonkwartofancy"/>
    <e v="#REF!"/>
    <n v="2052"/>
  </r>
  <r>
    <s v=""/>
    <s v=""/>
    <s v=""/>
    <n v="28"/>
    <m/>
    <m/>
    <m/>
    <m/>
    <m/>
    <m/>
    <m/>
    <x v="79"/>
    <n v="5"/>
    <n v="900"/>
    <s v="PCS"/>
    <n v="7555"/>
    <m/>
    <s v="180 PCS"/>
    <n v="0.1"/>
    <n v="0.1"/>
    <m/>
    <m/>
    <n v="6799500"/>
    <n v="679950"/>
    <n v="611955"/>
    <n v="1291905"/>
    <n v="5507595"/>
    <n v="2542485"/>
    <n v="10839015"/>
    <n v="1359900"/>
    <n v="6799500"/>
    <d v="2023-04-08T00:00:00"/>
    <s v="PARAMA"/>
    <x v="2"/>
    <s v=""/>
    <n v="4"/>
    <s v="sampulsamsonboxybatik"/>
    <s v="sampulsamsonboxybatik13599000.10.1"/>
    <s v="sampulsamsonboxybatik13599000.10.1"/>
    <s v=""/>
    <s v=""/>
    <n v="204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SBS_0804_023-1"/>
    <e v="#REF!"/>
    <n v="29"/>
    <m/>
    <s v="SBS"/>
    <s v="UNTANA"/>
    <s v="TH017/2/2023"/>
    <m/>
    <d v="2023-04-04T00:00:00"/>
    <m/>
    <x v="80"/>
    <n v="5"/>
    <m/>
    <m/>
    <m/>
    <m/>
    <m/>
    <m/>
    <m/>
    <m/>
    <s v="BARANG TITIP"/>
    <s v=""/>
    <s v=""/>
    <s v=""/>
    <s v=""/>
    <s v=""/>
    <n v="0"/>
    <n v="0"/>
    <n v="0"/>
    <s v=""/>
    <d v="2023-04-08T00:00:00"/>
    <s v="SBS"/>
    <x v="2"/>
    <n v="1"/>
    <n v="4"/>
    <s v="elevatedtray603"/>
    <s v="elevatedtray6030"/>
    <s v="elevatedtray6030"/>
    <s v="SBSUNTANATH017/2/202345020elevatedtray603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BIN_0804_084-1"/>
    <e v="#REF!"/>
    <n v="30"/>
    <m/>
    <s v="BINTANG JAYA"/>
    <s v="UNTANA"/>
    <s v="SI.2023.04.00084"/>
    <m/>
    <d v="2023-04-05T00:00:00"/>
    <m/>
    <x v="81"/>
    <n v="47"/>
    <n v="56400"/>
    <s v="PCS"/>
    <n v="1166.67"/>
    <m/>
    <s v="1200 PCS"/>
    <m/>
    <m/>
    <m/>
    <s v="SAT : 1200@12"/>
    <n v="65800188.000000007"/>
    <n v="0"/>
    <n v="0"/>
    <n v="0"/>
    <n v="65800188.000000007"/>
    <n v="0"/>
    <n v="65800188.000000007"/>
    <n v="1400004.0000000002"/>
    <n v="65800188.000000007"/>
    <d v="2023-04-08T00:00:00"/>
    <s v="BINTANG JAYA"/>
    <x v="2"/>
    <n v="1"/>
    <n v="4"/>
    <s v="pencilcasemikarakitsq803"/>
    <s v="pencilcasemikarakitsq8031400004"/>
    <s v="pencilcasemikarakitsq8031400004"/>
    <s v="BINTANG JAYAUNTANASI.2023.04.0008445021pencilcasemikarakitsq803"/>
    <e v="#REF!"/>
    <n v="18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KEN_0804_493-2"/>
    <e v="#REF!"/>
    <n v="31"/>
    <m/>
    <s v="KENKO SINAR INDONESIA"/>
    <s v="ARTO MORO"/>
    <s v="23040493"/>
    <s v="SA 70982"/>
    <d v="2023-04-06T00:00:00"/>
    <m/>
    <x v="38"/>
    <n v="1"/>
    <m/>
    <m/>
    <m/>
    <n v="1944000"/>
    <s v="6 DOZ"/>
    <n v="0.17"/>
    <m/>
    <m/>
    <m/>
    <n v="1944000"/>
    <n v="330480"/>
    <n v="0"/>
    <n v="330480"/>
    <n v="1613520"/>
    <s v=""/>
    <s v=""/>
    <n v="1944000"/>
    <s v=""/>
    <d v="2023-04-08T00:00:00"/>
    <s v="KENKO SINAR INDONESIA"/>
    <x v="0"/>
    <n v="2"/>
    <n v="4"/>
    <s v="titi18coloroilpasteltip18s"/>
    <s v="titi18coloroilpasteltip18s19440000.17"/>
    <s v="titi18coloroilpasteltip18s19440000.17"/>
    <s v="KENKO SINAR INDONESIAARTO MORO23040493SA 7098245022titi18coloroilpasteltip18s"/>
    <e v="#REF!"/>
    <n v="2213"/>
  </r>
  <r>
    <s v=""/>
    <s v=""/>
    <s v=""/>
    <n v="31"/>
    <m/>
    <m/>
    <m/>
    <m/>
    <m/>
    <m/>
    <m/>
    <x v="41"/>
    <n v="1"/>
    <m/>
    <m/>
    <m/>
    <n v="1656000"/>
    <s v="4 BOX 6 SET"/>
    <n v="0.17"/>
    <m/>
    <m/>
    <m/>
    <n v="1656000"/>
    <n v="281520"/>
    <n v="0"/>
    <n v="281520"/>
    <n v="1374480"/>
    <n v="612000"/>
    <n v="2988000"/>
    <n v="1656000"/>
    <s v=""/>
    <d v="2023-04-08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ATA_0804_621-3"/>
    <e v="#REF!"/>
    <n v="32"/>
    <m/>
    <s v="ATALI MAKMUR"/>
    <s v="ARTO MORO"/>
    <s v="SA230405621"/>
    <m/>
    <d v="2023-04-03T00:00:00"/>
    <m/>
    <x v="82"/>
    <n v="20"/>
    <n v="2880"/>
    <s v="SET"/>
    <n v="11900"/>
    <m/>
    <s v="12 BOX X 12 SET"/>
    <n v="0.125"/>
    <n v="0.08"/>
    <m/>
    <m/>
    <n v="34272000"/>
    <n v="4284000"/>
    <n v="2399040"/>
    <n v="6683040"/>
    <n v="27588960"/>
    <s v=""/>
    <s v=""/>
    <n v="1713600"/>
    <n v="34272000"/>
    <d v="2023-04-08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562145019oilpastelop12sppcaseseaworldjk"/>
    <e v="#REF!"/>
    <n v="1665"/>
  </r>
  <r>
    <s v=""/>
    <s v=""/>
    <s v=""/>
    <n v="32"/>
    <m/>
    <m/>
    <m/>
    <m/>
    <m/>
    <m/>
    <m/>
    <x v="83"/>
    <n v="15"/>
    <n v="1080"/>
    <s v="SET"/>
    <n v="23000"/>
    <m/>
    <s v="6 BOX X 12 SET"/>
    <n v="0.125"/>
    <n v="0.08"/>
    <m/>
    <m/>
    <n v="24840000"/>
    <n v="3105000"/>
    <n v="1738800"/>
    <n v="4843800"/>
    <n v="19996200"/>
    <s v=""/>
    <s v=""/>
    <n v="1656000"/>
    <n v="24840000"/>
    <d v="2023-04-08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32"/>
    <m/>
    <m/>
    <m/>
    <m/>
    <m/>
    <m/>
    <m/>
    <x v="84"/>
    <n v="20"/>
    <n v="960"/>
    <s v="SET"/>
    <n v="29600"/>
    <m/>
    <s v="8 BOX X 6 SET"/>
    <n v="0.125"/>
    <n v="0.08"/>
    <m/>
    <m/>
    <n v="28416000"/>
    <n v="3552000"/>
    <n v="1989120"/>
    <n v="5541120"/>
    <n v="22874880"/>
    <n v="17067960"/>
    <n v="70460040"/>
    <n v="1420800"/>
    <n v="284160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ATA_0804_588-3"/>
    <e v="#REF!"/>
    <n v="33"/>
    <m/>
    <s v="ATALI MAKMUR"/>
    <s v="ARTO MORO"/>
    <s v="SA230405588"/>
    <m/>
    <d v="2023-04-03T00:00:00"/>
    <m/>
    <x v="85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4-08T00:00:00"/>
    <s v="ATALI MAKMUR"/>
    <x v="0"/>
    <n v="3"/>
    <n v="4"/>
    <s v="crayonputartwcr12minijk"/>
    <s v="crayonputartwcr12minijk26784000.1250.05"/>
    <s v="crayonputartwcr12minijk26784000.1250.05"/>
    <s v="ATALI MAKMURARTO MOROSA23040558845019crayonputartwcr12minijk"/>
    <e v="#REF!"/>
    <n v="585"/>
  </r>
  <r>
    <s v=""/>
    <s v=""/>
    <s v=""/>
    <n v="33"/>
    <m/>
    <m/>
    <m/>
    <m/>
    <m/>
    <m/>
    <m/>
    <x v="82"/>
    <n v="5"/>
    <n v="720"/>
    <s v="SET"/>
    <n v="11900"/>
    <m/>
    <s v="12 BOX X 6 SET"/>
    <n v="0.125"/>
    <n v="0.08"/>
    <m/>
    <m/>
    <n v="8568000"/>
    <n v="1071000"/>
    <n v="599760"/>
    <n v="1670760"/>
    <n v="6897240"/>
    <s v=""/>
    <s v=""/>
    <n v="1713600"/>
    <n v="8568000"/>
    <d v="2023-04-08T00:00:00"/>
    <s v="ATALI MAKMUR"/>
    <x v="0"/>
    <s v=""/>
    <n v="4"/>
    <s v="oilpastelop12sppcaseseaworldjk"/>
    <s v="oilpastelop12sppcaseseaworldjk17136000.1250.08"/>
    <s v="oilpastelop12sppcaseseaworldjk17136000.1250.08"/>
    <s v=""/>
    <s v=""/>
    <n v="1665"/>
  </r>
  <r>
    <s v=""/>
    <s v=""/>
    <s v=""/>
    <n v="33"/>
    <m/>
    <m/>
    <m/>
    <m/>
    <m/>
    <m/>
    <m/>
    <x v="84"/>
    <n v="1"/>
    <n v="48"/>
    <s v="SET"/>
    <n v="29600"/>
    <m/>
    <s v="8 BOX X 6 SET"/>
    <n v="0.125"/>
    <n v="0.08"/>
    <m/>
    <m/>
    <n v="1420800"/>
    <n v="177600"/>
    <n v="99456"/>
    <n v="277056"/>
    <n v="1143744"/>
    <n v="2399796"/>
    <n v="10267404"/>
    <n v="1420800"/>
    <n v="14208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ATA_0804_765-5"/>
    <e v="#REF!"/>
    <n v="34"/>
    <m/>
    <s v="ATALI MAKMUR"/>
    <s v="ARTO MORO"/>
    <s v="SA230405765"/>
    <m/>
    <d v="2023-04-04T00:00:00"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4-08T00:00:00"/>
    <s v="ATALI MAKMUR"/>
    <x v="0"/>
    <n v="5"/>
    <n v="4"/>
    <s v="scissorsc828jk"/>
    <s v="scissorsc828jk6264000.1250.05"/>
    <s v="scissorsc828jk6264000.1250.05"/>
    <s v="ATALI MAKMURARTO MOROSA23040576545020scissorsc828jk"/>
    <e v="#REF!"/>
    <n v="2057"/>
  </r>
  <r>
    <s v=""/>
    <s v=""/>
    <s v=""/>
    <n v="34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4-08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34"/>
    <m/>
    <m/>
    <m/>
    <m/>
    <m/>
    <m/>
    <m/>
    <x v="88"/>
    <n v="3"/>
    <n v="2160"/>
    <s v="PCS"/>
    <n v="4600"/>
    <m/>
    <s v="60 BOX X 12 PCS"/>
    <n v="0.125"/>
    <n v="0.05"/>
    <m/>
    <m/>
    <n v="9936000"/>
    <n v="1242000"/>
    <n v="434700"/>
    <n v="1676700"/>
    <n v="8259300"/>
    <s v=""/>
    <s v=""/>
    <n v="3312000"/>
    <n v="9936000"/>
    <d v="2023-04-08T00:00:00"/>
    <s v="ATALI MAKMUR"/>
    <x v="0"/>
    <s v=""/>
    <n v="4"/>
    <s v="correctiontapect507jk"/>
    <s v="correctiontapect507jk33120000.1250.05"/>
    <s v="correctiontapect507jk33120000.1250.05"/>
    <s v=""/>
    <s v=""/>
    <n v="548"/>
  </r>
  <r>
    <s v=""/>
    <s v=""/>
    <s v=""/>
    <n v="34"/>
    <m/>
    <m/>
    <m/>
    <m/>
    <m/>
    <m/>
    <m/>
    <x v="89"/>
    <n v="3"/>
    <n v="2160"/>
    <s v="PCS"/>
    <n v="4500"/>
    <m/>
    <s v="60 BOX X 12 PCS"/>
    <n v="0.125"/>
    <n v="0.05"/>
    <m/>
    <m/>
    <n v="9720000"/>
    <n v="1215000"/>
    <n v="425250"/>
    <n v="1640250"/>
    <n v="8079750"/>
    <s v=""/>
    <s v=""/>
    <n v="3240000"/>
    <n v="9720000"/>
    <d v="2023-04-08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34"/>
    <m/>
    <m/>
    <m/>
    <m/>
    <m/>
    <m/>
    <m/>
    <x v="90"/>
    <n v="1"/>
    <n v="432"/>
    <s v="PCS"/>
    <n v="2900"/>
    <m/>
    <s v="36 BOX X 12 PCS"/>
    <n v="0.125"/>
    <n v="0.05"/>
    <m/>
    <m/>
    <n v="1252800"/>
    <n v="156600"/>
    <n v="54810"/>
    <n v="211410"/>
    <n v="1041390"/>
    <n v="3792015"/>
    <n v="18679185"/>
    <n v="1252800"/>
    <n v="1252800"/>
    <d v="2023-04-08T00:00:00"/>
    <s v="ATALI MAKMUR"/>
    <x v="0"/>
    <s v=""/>
    <n v="4"/>
    <s v="correctiontapect553jk"/>
    <s v="correctiontapect553jk12528000.1250.05"/>
    <s v="correctiontapect553jk12528000.1250.05"/>
    <s v=""/>
    <s v=""/>
    <n v="56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ATA_0804_622-4"/>
    <e v="#REF!"/>
    <n v="35"/>
    <m/>
    <s v="ATALI MAKMUR"/>
    <s v="ARTO MORO"/>
    <s v="SA230405622"/>
    <m/>
    <d v="2023-04-03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08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562245019oilpastelop36sppcaseseaworldjk"/>
    <e v="#REF!"/>
    <n v="1668"/>
  </r>
  <r>
    <s v=""/>
    <s v=""/>
    <s v=""/>
    <n v="35"/>
    <m/>
    <m/>
    <m/>
    <m/>
    <m/>
    <m/>
    <m/>
    <x v="92"/>
    <n v="5"/>
    <n v="720"/>
    <s v="SET"/>
    <n v="9000"/>
    <m/>
    <s v="6 BOX X 24 SET"/>
    <n v="0.125"/>
    <n v="0.08"/>
    <m/>
    <m/>
    <n v="6480000"/>
    <n v="810000"/>
    <n v="453600"/>
    <n v="1263600"/>
    <n v="5216400"/>
    <s v=""/>
    <s v=""/>
    <n v="1296000"/>
    <n v="6480000"/>
    <d v="2023-04-08T00:00:00"/>
    <s v="ATALI MAKMUR"/>
    <x v="0"/>
    <s v=""/>
    <n v="4"/>
    <s v="oilpastelop12crroundjk"/>
    <s v="oilpastelop12crroundjk12960000.1250.08"/>
    <s v="oilpastelop12crroundjk12960000.1250.08"/>
    <s v=""/>
    <s v=""/>
    <n v="1664"/>
  </r>
  <r>
    <s v=""/>
    <s v=""/>
    <s v=""/>
    <n v="35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08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35"/>
    <m/>
    <m/>
    <m/>
    <m/>
    <m/>
    <m/>
    <m/>
    <x v="94"/>
    <n v="10"/>
    <n v="1440"/>
    <s v="SET"/>
    <n v="11600"/>
    <m/>
    <s v="12 BOX X 12 SET"/>
    <n v="0.125"/>
    <n v="0.08"/>
    <m/>
    <m/>
    <n v="16704000"/>
    <n v="2088000"/>
    <n v="1169280"/>
    <n v="3257280"/>
    <n v="13446720"/>
    <n v="8978580"/>
    <n v="37065420"/>
    <n v="1670400"/>
    <n v="16704000"/>
    <d v="2023-04-08T00:00:00"/>
    <s v="ATALI MAKMUR"/>
    <x v="0"/>
    <s v=""/>
    <n v="4"/>
    <s v="oilpastelop12chccompactjk"/>
    <s v="oilpastelop12chccompactjk16704000.1250.08"/>
    <s v="oilpastelop12chccompactjk16704000.1250.08"/>
    <s v=""/>
    <s v=""/>
    <n v="166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ATA_0804_587-10"/>
    <e v="#REF!"/>
    <n v="36"/>
    <m/>
    <s v="ATALI MAKMUR"/>
    <s v="ARTO MORO"/>
    <s v="SA230405587"/>
    <m/>
    <d v="2023-04-03T00:00:00"/>
    <m/>
    <x v="95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n v="10"/>
    <n v="4"/>
    <s v="highlighterhl1yellowjk"/>
    <s v="highlighterhl1yellowjk6660000.1250.05"/>
    <s v="highlighterhl1yellowjk37000.1250.05"/>
    <s v="ATALI MAKMURARTO MOROSA23040558745019highlighterhl1yellowjk"/>
    <e v="#REF!"/>
    <n v="1034"/>
  </r>
  <r>
    <s v=""/>
    <s v=""/>
    <s v=""/>
    <n v="36"/>
    <m/>
    <m/>
    <m/>
    <m/>
    <m/>
    <m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s v=""/>
    <n v="4"/>
    <s v="highlighterhl2greenjk"/>
    <s v="highlighterhl2greenjk6660000.1250.05"/>
    <s v="highlighterhl2greenjk37000.1250.05"/>
    <s v=""/>
    <s v=""/>
    <n v="1035"/>
  </r>
  <r>
    <s v=""/>
    <s v=""/>
    <s v=""/>
    <n v="36"/>
    <m/>
    <m/>
    <m/>
    <m/>
    <m/>
    <m/>
    <m/>
    <x v="97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3bluejk"/>
    <s v="highlighterhl3bluejk4440000.1250.05"/>
    <s v="highlighterhl3bluejk37000.1250.05"/>
    <s v=""/>
    <s v=""/>
    <n v="1036"/>
  </r>
  <r>
    <s v=""/>
    <s v=""/>
    <s v=""/>
    <n v="36"/>
    <m/>
    <m/>
    <m/>
    <m/>
    <m/>
    <m/>
    <m/>
    <x v="98"/>
    <m/>
    <n v="120"/>
    <s v="PCS"/>
    <n v="3700"/>
    <m/>
    <s v="72 BOX X 10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4pinkjk"/>
    <s v="highlighterhl4pinkjk4440000.1250.05"/>
    <s v="highlighterhl4pinkjk37000.1250.05"/>
    <s v=""/>
    <s v=""/>
    <n v="1037"/>
  </r>
  <r>
    <s v=""/>
    <s v=""/>
    <s v=""/>
    <n v="36"/>
    <m/>
    <m/>
    <m/>
    <m/>
    <m/>
    <m/>
    <m/>
    <x v="99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5orangejk"/>
    <s v="highlighterhl5orangejk4440000.1250.05"/>
    <s v="highlighterhl5orangejk37000.1250.05"/>
    <s v=""/>
    <s v=""/>
    <n v="1038"/>
  </r>
  <r>
    <s v=""/>
    <s v=""/>
    <s v=""/>
    <n v="36"/>
    <m/>
    <m/>
    <m/>
    <m/>
    <m/>
    <m/>
    <m/>
    <x v="95"/>
    <n v="1"/>
    <n v="720"/>
    <s v="PCS"/>
    <n v="3700"/>
    <m/>
    <s v="72 BOX X 1- PCS"/>
    <n v="0.125"/>
    <n v="0.05"/>
    <m/>
    <m/>
    <n v="2664000"/>
    <n v="333000"/>
    <n v="116550"/>
    <n v="449550"/>
    <n v="2214450"/>
    <s v=""/>
    <s v=""/>
    <n v="2664000"/>
    <n v="2664000"/>
    <d v="2023-04-08T00:00:00"/>
    <s v="ATALI MAKMUR"/>
    <x v="0"/>
    <s v=""/>
    <n v="4"/>
    <s v="highlighterhl1yellowjk"/>
    <s v="highlighterhl1yellowjk26640000.1250.05"/>
    <s v="highlighterhl1yellowjk26640000.1250.05"/>
    <s v=""/>
    <s v=""/>
    <n v="1034"/>
  </r>
  <r>
    <s v=""/>
    <s v=""/>
    <s v=""/>
    <n v="3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08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36"/>
    <m/>
    <m/>
    <m/>
    <m/>
    <m/>
    <m/>
    <m/>
    <x v="101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4-08T00:00:00"/>
    <s v="ATALI MAKMUR"/>
    <x v="0"/>
    <s v=""/>
    <n v="4"/>
    <s v="eraser526b20jk"/>
    <s v="eraser526b20jk17050000.1250.05"/>
    <s v="eraser526b20jk17050000.1250.05"/>
    <s v=""/>
    <s v=""/>
    <n v="723"/>
  </r>
  <r>
    <s v=""/>
    <s v=""/>
    <s v=""/>
    <n v="36"/>
    <m/>
    <m/>
    <m/>
    <m/>
    <m/>
    <m/>
    <m/>
    <x v="102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4-08T00:00:00"/>
    <s v="ATALI MAKMUR"/>
    <x v="0"/>
    <s v=""/>
    <n v="4"/>
    <s v="gelpengp265qgelblackjk"/>
    <s v="gelpengp265qgelblackjk40608000.1250.05"/>
    <s v="gelpengp265qgelblackjk40608000.1250.05"/>
    <s v=""/>
    <s v=""/>
    <n v="780"/>
  </r>
  <r>
    <s v=""/>
    <s v=""/>
    <s v=""/>
    <n v="36"/>
    <m/>
    <m/>
    <m/>
    <m/>
    <m/>
    <m/>
    <m/>
    <x v="103"/>
    <n v="1"/>
    <n v="24"/>
    <s v="PCS"/>
    <n v="11100"/>
    <m/>
    <s v="24 PCS"/>
    <n v="0.125"/>
    <n v="0.05"/>
    <m/>
    <m/>
    <n v="266400"/>
    <n v="33300"/>
    <n v="11655"/>
    <n v="44955"/>
    <n v="221445"/>
    <n v="2394596.25"/>
    <n v="11795603.75"/>
    <n v="266400"/>
    <n v="266400"/>
    <d v="2023-04-08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ATA_0804_623-3"/>
    <e v="#REF!"/>
    <n v="37"/>
    <m/>
    <s v="ATALI MAKMUR"/>
    <s v="ARTO MORO"/>
    <s v="SA230405623"/>
    <m/>
    <d v="2023-04-03T00:00:00"/>
    <m/>
    <x v="104"/>
    <n v="1"/>
    <n v="720"/>
    <s v="PCS"/>
    <n v="4800"/>
    <m/>
    <s v="60 BOX X 12 PCS"/>
    <n v="0.125"/>
    <n v="0.05"/>
    <m/>
    <m/>
    <n v="3456000"/>
    <n v="432000"/>
    <n v="151200"/>
    <n v="583200"/>
    <n v="2872800"/>
    <s v=""/>
    <s v=""/>
    <n v="3456000"/>
    <n v="3456000"/>
    <d v="2023-04-08T00:00:00"/>
    <s v="ATALI MAKMUR"/>
    <x v="0"/>
    <n v="3"/>
    <n v="4"/>
    <s v="correctiontapect522jk"/>
    <s v="correctiontapect522jk34560000.1250.05"/>
    <s v="correctiontapect522jk34560000.1250.05"/>
    <s v="ATALI MAKMURARTO MOROSA23040562345019correctiontapect522jk"/>
    <e v="#REF!"/>
    <n v="553"/>
  </r>
  <r>
    <s v=""/>
    <s v=""/>
    <s v=""/>
    <n v="37"/>
    <m/>
    <m/>
    <m/>
    <m/>
    <m/>
    <m/>
    <m/>
    <x v="105"/>
    <n v="20"/>
    <n v="960"/>
    <s v="DZ"/>
    <n v="36000"/>
    <m/>
    <s v="48 DZ"/>
    <n v="0.125"/>
    <n v="0.08"/>
    <m/>
    <m/>
    <n v="34560000"/>
    <n v="4320000"/>
    <n v="2419200"/>
    <n v="6739200"/>
    <n v="27820800"/>
    <s v=""/>
    <s v=""/>
    <n v="1728000"/>
    <n v="34560000"/>
    <d v="2023-04-08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37"/>
    <m/>
    <m/>
    <m/>
    <m/>
    <m/>
    <m/>
    <m/>
    <x v="106"/>
    <m/>
    <n v="120"/>
    <s v="DZ"/>
    <n v="13200"/>
    <m/>
    <s v="144 DZ"/>
    <n v="0.125"/>
    <n v="0.05"/>
    <n v="1316700"/>
    <s v="BONUS"/>
    <n v="1584000"/>
    <n v="198000"/>
    <n v="69300"/>
    <n v="267300"/>
    <n v="1316700"/>
    <n v="8906400"/>
    <n v="30693600"/>
    <n v="1584000"/>
    <n v="1584000"/>
    <d v="2023-04-08T00:00:00"/>
    <s v="ATALI MAKMUR"/>
    <x v="0"/>
    <s v=""/>
    <n v="4"/>
    <s v="ballpenbp34912vokustransblackjkbonus"/>
    <s v="ballpenbp34912vokustransblackjkbonus15840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PMJ_0804_-2"/>
    <e v="#REF!"/>
    <n v="38"/>
    <m/>
    <s v="PMJP"/>
    <s v="UNTANA"/>
    <m/>
    <m/>
    <d v="2023-04-05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8T00:00:00"/>
    <s v="PMJP"/>
    <x v="2"/>
    <n v="2"/>
    <n v="4"/>
    <s v="celengans"/>
    <s v="celengans752000"/>
    <s v="celengans752000"/>
    <s v="PMJPUNTANA45021celengans"/>
    <e v="#REF!"/>
    <n v="482"/>
  </r>
  <r>
    <s v=""/>
    <s v=""/>
    <s v=""/>
    <n v="38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n v="0"/>
    <n v="1452000"/>
    <n v="700000"/>
    <n v="700000"/>
    <d v="2023-04-08T00:00:00"/>
    <s v="PMJP"/>
    <x v="2"/>
    <s v=""/>
    <n v="4"/>
    <s v="celenganl"/>
    <s v="celenganl700000"/>
    <s v="celenganl700000"/>
    <s v=""/>
    <s v=""/>
    <n v="4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KEN_1104_697-4"/>
    <e v="#REF!"/>
    <n v="39"/>
    <d v="2023-04-11T00:00:00"/>
    <s v="KENKO SINAR INDONESIA"/>
    <s v="ARTO MORO"/>
    <s v="23040697"/>
    <s v="SA 41022"/>
    <d v="2023-04-10T00:00:00"/>
    <m/>
    <x v="107"/>
    <n v="5"/>
    <m/>
    <m/>
    <m/>
    <n v="462000"/>
    <s v="24 PCS"/>
    <n v="0.17"/>
    <m/>
    <m/>
    <m/>
    <n v="2310000"/>
    <n v="392700"/>
    <n v="0"/>
    <n v="392700"/>
    <n v="1917300"/>
    <s v=""/>
    <s v=""/>
    <n v="462000"/>
    <s v=""/>
    <d v="2023-04-11T00:00:00"/>
    <s v="KENKO SINAR INDONESIA"/>
    <x v="0"/>
    <n v="4"/>
    <n v="4"/>
    <s v="kenkotapedispensertd3231&amp;3core"/>
    <s v="kenkotapedispensertd3231&amp;3core4620000.17"/>
    <s v="kenkotapedispensertd3231&amp;3core4620000.17"/>
    <s v="KENKO SINAR INDONESIAARTO MORO23040697SA 4102245026kenkotapedispensertd3231&amp;3core"/>
    <e v="#REF!"/>
    <n v="1387"/>
  </r>
  <r>
    <s v=""/>
    <s v=""/>
    <s v=""/>
    <n v="39"/>
    <m/>
    <m/>
    <m/>
    <m/>
    <m/>
    <m/>
    <m/>
    <x v="108"/>
    <n v="1"/>
    <m/>
    <m/>
    <m/>
    <n v="732000"/>
    <s v="60 RO"/>
    <n v="0.17"/>
    <m/>
    <m/>
    <m/>
    <n v="732000"/>
    <n v="124440.00000000001"/>
    <n v="0"/>
    <n v="124440.00000000001"/>
    <n v="607560"/>
    <s v=""/>
    <s v=""/>
    <n v="732000"/>
    <s v=""/>
    <d v="2023-04-11T00:00:00"/>
    <s v="KENKO SINAR INDONESIA"/>
    <x v="0"/>
    <s v=""/>
    <n v="4"/>
    <s v="kenkoclothtape48mmbluecoreblackbt"/>
    <s v="kenkoclothtape48mmbluecoreblackbt7320000.17"/>
    <s v="kenkoclothtape48mmbluecoreblackbt7320000.17"/>
    <s v=""/>
    <s v=""/>
    <n v="1154"/>
  </r>
  <r>
    <s v=""/>
    <s v=""/>
    <s v=""/>
    <n v="39"/>
    <m/>
    <m/>
    <m/>
    <m/>
    <m/>
    <m/>
    <m/>
    <x v="109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s v=""/>
    <n v="4"/>
    <s v="kenkopencil2b6181birucaphitam"/>
    <s v="kenkopencil2b6181birucaphitam22080000.17"/>
    <s v="kenkopencil2b6181birucaphitam22080000.17"/>
    <s v=""/>
    <s v=""/>
    <n v="1314"/>
  </r>
  <r>
    <s v=""/>
    <s v=""/>
    <s v=""/>
    <n v="39"/>
    <m/>
    <m/>
    <m/>
    <m/>
    <m/>
    <m/>
    <m/>
    <x v="110"/>
    <n v="3"/>
    <m/>
    <m/>
    <m/>
    <n v="1710000"/>
    <s v="30 DOZ"/>
    <n v="0.17"/>
    <m/>
    <m/>
    <m/>
    <n v="5130000"/>
    <n v="872100.00000000012"/>
    <n v="0"/>
    <n v="872100.00000000012"/>
    <n v="4257900"/>
    <n v="2139960"/>
    <n v="10448040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KEN_1104_597-7"/>
    <e v="#REF!"/>
    <n v="40"/>
    <m/>
    <s v="KENKO SINAR INDONESIA"/>
    <s v="ARTO MORO"/>
    <s v="23040597"/>
    <s v="SA 41017"/>
    <d v="2023-04-08T00:00:00"/>
    <m/>
    <x v="111"/>
    <n v="1"/>
    <m/>
    <m/>
    <m/>
    <n v="3456000"/>
    <s v="12 GRS"/>
    <n v="0.17"/>
    <m/>
    <m/>
    <m/>
    <n v="3456000"/>
    <n v="587520"/>
    <n v="0"/>
    <n v="587520"/>
    <n v="2868480"/>
    <s v=""/>
    <s v=""/>
    <n v="3456000"/>
    <s v=""/>
    <d v="2023-04-11T00:00:00"/>
    <s v="KENKO SINAR INDONESIA"/>
    <x v="0"/>
    <n v="7"/>
    <n v="4"/>
    <s v="kenkogelpentgelerasableke303erblack"/>
    <s v="kenkogelpentgelerasableke303erblack34560000.17"/>
    <s v="kenkogelpentgelerasableke303erblack34560000.17"/>
    <s v="KENKO SINAR INDONESIAARTO MORO23040597SA 4101745024kenkogelpentgelerasableke303erblack"/>
    <e v="#REF!"/>
    <n v="1259"/>
  </r>
  <r>
    <s v=""/>
    <s v=""/>
    <s v=""/>
    <n v="40"/>
    <m/>
    <m/>
    <m/>
    <m/>
    <m/>
    <m/>
    <m/>
    <x v="112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11T00:00:00"/>
    <s v="KENKO SINAR INDONESIA"/>
    <x v="0"/>
    <s v=""/>
    <n v="4"/>
    <s v="kenkotapedispensertd3211&amp;3core"/>
    <s v="kenkotapedispensertd3211&amp;3core4440000.17"/>
    <s v="kenkotapedispensertd3211&amp;3core4440000.17"/>
    <s v=""/>
    <s v=""/>
    <n v="1385"/>
  </r>
  <r>
    <s v=""/>
    <s v=""/>
    <s v=""/>
    <n v="40"/>
    <m/>
    <m/>
    <m/>
    <m/>
    <m/>
    <m/>
    <m/>
    <x v="113"/>
    <n v="3"/>
    <m/>
    <m/>
    <m/>
    <n v="1695600"/>
    <s v="36 DOZ"/>
    <n v="0.17"/>
    <m/>
    <m/>
    <m/>
    <n v="5086800"/>
    <n v="864756.00000000012"/>
    <n v="0"/>
    <n v="864756.00000000012"/>
    <n v="4222044"/>
    <s v=""/>
    <s v=""/>
    <n v="1695600"/>
    <s v=""/>
    <d v="2023-04-11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n v="40"/>
    <m/>
    <m/>
    <m/>
    <m/>
    <m/>
    <m/>
    <m/>
    <x v="114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4-11T00:00:00"/>
    <s v="KENKO SINAR INDONESIA"/>
    <x v="0"/>
    <s v=""/>
    <n v="4"/>
    <s v="kenkolooseleafa5ll502070"/>
    <s v="kenkolooseleafa5ll5020708448000.17"/>
    <s v="kenkolooseleafa5ll5020708448000.17"/>
    <s v=""/>
    <s v=""/>
    <n v="1292"/>
  </r>
  <r>
    <s v=""/>
    <s v=""/>
    <s v=""/>
    <n v="40"/>
    <m/>
    <m/>
    <m/>
    <m/>
    <m/>
    <m/>
    <m/>
    <x v="115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4-11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40"/>
    <m/>
    <m/>
    <m/>
    <m/>
    <m/>
    <m/>
    <m/>
    <x v="116"/>
    <n v="1"/>
    <m/>
    <m/>
    <m/>
    <n v="1104000"/>
    <s v="160 PCS"/>
    <n v="0.17"/>
    <m/>
    <m/>
    <m/>
    <n v="1104000"/>
    <n v="187680"/>
    <n v="0"/>
    <n v="187680"/>
    <n v="916320"/>
    <s v=""/>
    <s v=""/>
    <n v="1104000"/>
    <s v=""/>
    <d v="2023-04-11T00:00:00"/>
    <s v="KENKO SINAR INDONESIA"/>
    <x v="0"/>
    <s v=""/>
    <n v="4"/>
    <s v="kenkolooseleafb5ll502670"/>
    <s v="kenkolooseleafb5ll50267011040000.17"/>
    <s v="kenkolooseleafb5ll50267011040000.17"/>
    <s v=""/>
    <s v=""/>
    <n v="1294"/>
  </r>
  <r>
    <s v=""/>
    <s v=""/>
    <s v=""/>
    <n v="40"/>
    <m/>
    <m/>
    <m/>
    <m/>
    <m/>
    <m/>
    <m/>
    <x v="117"/>
    <n v="1"/>
    <m/>
    <m/>
    <m/>
    <n v="1040000"/>
    <s v="80 PCS"/>
    <n v="0.17"/>
    <m/>
    <m/>
    <m/>
    <n v="1040000"/>
    <n v="176800"/>
    <n v="0"/>
    <n v="176800"/>
    <n v="863200"/>
    <n v="2172124"/>
    <n v="10605076"/>
    <n v="1040000"/>
    <s v=""/>
    <d v="2023-04-11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KEN_1104_576-8"/>
    <e v="#REF!"/>
    <n v="41"/>
    <m/>
    <s v="KENKO SINAR INDONESIA"/>
    <s v="ARTO MORO"/>
    <s v="23040576"/>
    <s v="SA 40997"/>
    <d v="2023-04-08T00:00:00"/>
    <m/>
    <x v="118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n v="8"/>
    <n v="4"/>
    <s v="kenkopencil2b6191hijaucaphitam"/>
    <s v="kenkopencil2b6191hijaucaphitam22080000.17"/>
    <s v="kenkopencil2b6191hijaucaphitam22080000.17"/>
    <s v="KENKO SINAR INDONESIAARTO MORO23040576SA 4099745024kenkopencil2b6191hijaucaphitam"/>
    <e v="#REF!"/>
    <n v="1315"/>
  </r>
  <r>
    <s v=""/>
    <s v=""/>
    <s v=""/>
    <n v="41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11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41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11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41"/>
    <m/>
    <m/>
    <m/>
    <m/>
    <m/>
    <m/>
    <m/>
    <x v="110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n v="41"/>
    <m/>
    <m/>
    <m/>
    <m/>
    <m/>
    <m/>
    <m/>
    <x v="15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4-11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41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s v=""/>
    <s v=""/>
    <n v="1380000"/>
    <s v=""/>
    <d v="2023-04-11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n v="41"/>
    <m/>
    <m/>
    <m/>
    <m/>
    <m/>
    <m/>
    <m/>
    <x v="51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4-11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41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7413768"/>
    <n v="36196632"/>
    <n v="1050000"/>
    <s v=""/>
    <d v="2023-04-11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SBS_1104_7B1-3"/>
    <e v="#REF!"/>
    <n v="42"/>
    <m/>
    <s v="SBS"/>
    <s v="UNTANA"/>
    <s v="VD0107B1"/>
    <m/>
    <d v="2023-04-05T00:00:00"/>
    <m/>
    <x v="121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n v="3"/>
    <n v="4"/>
    <s v="correctiontapexdm50265x30"/>
    <s v="correctiontapexdm50265x302652000"/>
    <s v="correctiontapexdm50265x302652000"/>
    <s v="SBSUNTANAVD0107B145021correctiontapexdm50265x30"/>
    <e v="#REF!"/>
    <e v="#N/A"/>
  </r>
  <r>
    <s v=""/>
    <s v=""/>
    <s v=""/>
    <n v="42"/>
    <m/>
    <m/>
    <m/>
    <m/>
    <m/>
    <m/>
    <m/>
    <x v="122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s v=""/>
    <n v="4"/>
    <s v="correctiontapexdm50375x30"/>
    <s v="correctiontapexdm50375x302652000"/>
    <s v="correctiontapexdm50375x302652000"/>
    <s v=""/>
    <s v=""/>
    <e v="#N/A"/>
  </r>
  <r>
    <s v=""/>
    <s v=""/>
    <s v=""/>
    <n v="42"/>
    <m/>
    <m/>
    <m/>
    <m/>
    <m/>
    <m/>
    <m/>
    <x v="123"/>
    <n v="5"/>
    <n v="150"/>
    <s v="PCS"/>
    <n v="88400"/>
    <m/>
    <m/>
    <m/>
    <m/>
    <m/>
    <m/>
    <n v="13260000"/>
    <n v="0"/>
    <n v="0"/>
    <n v="0"/>
    <n v="13260000"/>
    <n v="0"/>
    <n v="39780000"/>
    <n v="2652000"/>
    <n v="13260000"/>
    <d v="2023-04-11T00:00:00"/>
    <s v="SBS"/>
    <x v="2"/>
    <s v=""/>
    <n v="4"/>
    <s v="correctiontapexdm60805x30"/>
    <s v="correctiontapexdm60805x302652000"/>
    <s v="correctiontapexdm60805x302652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ETJ_1004_423-1"/>
    <e v="#REF!"/>
    <n v="43"/>
    <d v="2023-04-10T00:00:00"/>
    <s v="ETJ"/>
    <s v="UNTANA"/>
    <s v="F44.23"/>
    <m/>
    <d v="2023-04-05T00:00:00"/>
    <m/>
    <x v="124"/>
    <n v="2"/>
    <n v="6400"/>
    <s v="PCS"/>
    <n v="675"/>
    <m/>
    <s v="3200 PCS"/>
    <m/>
    <m/>
    <m/>
    <m/>
    <n v="4320000"/>
    <n v="0"/>
    <n v="0"/>
    <n v="0"/>
    <n v="4320000"/>
    <n v="0"/>
    <n v="4320000"/>
    <n v="2160000"/>
    <n v="4320000"/>
    <d v="2023-04-10T00:00:00"/>
    <s v="ETJ"/>
    <x v="2"/>
    <n v="1"/>
    <n v="4"/>
    <s v="entercardcaseb4"/>
    <s v="entercardcaseb42160000"/>
    <s v="entercardcaseb42160000"/>
    <s v="ETJUNTANAF44.2345021entercardcaseb4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KEN_1204_797-2"/>
    <e v="#REF!"/>
    <n v="44"/>
    <d v="2023-04-12T00:00:00"/>
    <s v="KENKO SINAR INDONESIA"/>
    <s v="ARTO MORO"/>
    <s v="23040797"/>
    <s v="SA 41046"/>
    <d v="2023-04-11T00:00:00"/>
    <m/>
    <x v="125"/>
    <n v="1"/>
    <m/>
    <m/>
    <m/>
    <n v="1150000"/>
    <s v="10 BOX"/>
    <n v="0.17"/>
    <m/>
    <m/>
    <m/>
    <n v="1150000"/>
    <n v="195500"/>
    <n v="0"/>
    <n v="195500"/>
    <n v="954500"/>
    <s v=""/>
    <s v=""/>
    <n v="1150000"/>
    <s v=""/>
    <d v="2023-04-12T00:00:00"/>
    <s v="KENKO SINAR INDONESIA"/>
    <x v="0"/>
    <n v="2"/>
    <n v="4"/>
    <s v="kenkolaminatingfilmlf1002234fc@100pcs"/>
    <s v="kenkolaminatingfilmlf1002234fc@100pcs11500000.17"/>
    <s v="kenkolaminatingfilmlf1002234fc@100pcs11500000.17"/>
    <s v="KENKO SINAR INDONESIAARTO MORO23040797SA 4104645027kenkolaminatingfilmlf1002234fc@100pcs"/>
    <e v="#REF!"/>
    <n v="1288"/>
  </r>
  <r>
    <s v=""/>
    <s v=""/>
    <s v=""/>
    <n v="44"/>
    <m/>
    <m/>
    <m/>
    <m/>
    <m/>
    <m/>
    <m/>
    <x v="118"/>
    <n v="2"/>
    <m/>
    <m/>
    <m/>
    <n v="2208000"/>
    <s v="20 GRS"/>
    <n v="0.17"/>
    <m/>
    <m/>
    <m/>
    <n v="4416000"/>
    <n v="750720"/>
    <n v="0"/>
    <n v="750720"/>
    <n v="3665280"/>
    <n v="946220"/>
    <n v="4619780"/>
    <n v="2208000"/>
    <s v=""/>
    <d v="2023-04-12T00:00:00"/>
    <s v="KENKO SINAR INDONESIA"/>
    <x v="0"/>
    <s v=""/>
    <n v="4"/>
    <s v="kenkopencil2b6191hijaucaphitam"/>
    <s v="kenkopencil2b6191hijaucaphitam22080000.17"/>
    <s v="kenkopencil2b6191hijaucaphitam22080000.17"/>
    <s v=""/>
    <s v=""/>
    <n v="13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EN_1204_745-3"/>
    <e v="#REF!"/>
    <n v="45"/>
    <m/>
    <s v="KENKO SINAR INDONESIA"/>
    <s v="ARTO MORO"/>
    <s v="23040745"/>
    <s v="SA 41043"/>
    <d v="2023-04-11T00:00:00"/>
    <m/>
    <x v="47"/>
    <n v="6"/>
    <m/>
    <m/>
    <m/>
    <n v="1954800"/>
    <m/>
    <n v="0.17"/>
    <m/>
    <m/>
    <m/>
    <n v="11728800"/>
    <n v="1993896.0000000002"/>
    <n v="0"/>
    <n v="1993896.0000000002"/>
    <n v="9734904"/>
    <s v=""/>
    <s v=""/>
    <n v="1954800"/>
    <s v=""/>
    <d v="2023-04-12T00:00:00"/>
    <s v="KENKO SINAR INDONESIA"/>
    <x v="0"/>
    <n v="3"/>
    <n v="4"/>
    <s v="kenkocorrectionfluidke01"/>
    <s v="kenkocorrectionfluidke0119548000.17"/>
    <s v="kenkocorrectionfluidke0119548000.17"/>
    <s v="KENKO SINAR INDONESIAARTO MORO23040745SA 4104345027kenkocorrectionfluidke01"/>
    <e v="#REF!"/>
    <n v="1170"/>
  </r>
  <r>
    <s v=""/>
    <s v=""/>
    <s v=""/>
    <n v="45"/>
    <m/>
    <m/>
    <m/>
    <m/>
    <m/>
    <m/>
    <m/>
    <x v="126"/>
    <n v="2"/>
    <m/>
    <m/>
    <m/>
    <n v="3888000"/>
    <m/>
    <n v="0.17"/>
    <m/>
    <m/>
    <m/>
    <n v="7776000"/>
    <n v="1321920"/>
    <n v="0"/>
    <n v="1321920"/>
    <n v="6454080"/>
    <s v=""/>
    <s v=""/>
    <n v="3888000"/>
    <s v=""/>
    <d v="2023-04-12T00:00:00"/>
    <s v="KENKO SINAR INDONESIA"/>
    <x v="0"/>
    <s v=""/>
    <n v="4"/>
    <s v="kenkocutterbladea1009mm"/>
    <s v="kenkocutterbladea1009mm38880000.17"/>
    <s v="kenkocutterbladea1009mm38880000.17"/>
    <s v=""/>
    <s v=""/>
    <n v="1205"/>
  </r>
  <r>
    <s v=""/>
    <s v=""/>
    <s v=""/>
    <n v="45"/>
    <m/>
    <m/>
    <m/>
    <m/>
    <m/>
    <m/>
    <m/>
    <x v="113"/>
    <n v="4"/>
    <m/>
    <m/>
    <m/>
    <n v="1695600"/>
    <m/>
    <n v="0.17"/>
    <m/>
    <m/>
    <m/>
    <n v="6782400"/>
    <n v="1153008"/>
    <n v="0"/>
    <n v="1153008"/>
    <n v="5629392"/>
    <n v="4468824"/>
    <n v="21818376"/>
    <n v="1695600"/>
    <s v=""/>
    <d v="2023-04-12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ATA_1204_969-5"/>
    <e v="#REF!"/>
    <n v="46"/>
    <m/>
    <s v="ATALI MAKMUR"/>
    <s v="ARTO MORO"/>
    <s v="SA230405969"/>
    <m/>
    <d v="2023-04-06T00:00:00"/>
    <m/>
    <x v="82"/>
    <n v="15"/>
    <n v="2160"/>
    <s v="SET"/>
    <n v="11900"/>
    <m/>
    <s v="12 BOX X 12 SET"/>
    <n v="0.125"/>
    <n v="0.08"/>
    <m/>
    <m/>
    <n v="25704000"/>
    <n v="3213000"/>
    <n v="1799280"/>
    <n v="5012280"/>
    <n v="20691720"/>
    <s v=""/>
    <s v=""/>
    <n v="1713600"/>
    <n v="25704000"/>
    <d v="2023-04-12T00:00:00"/>
    <s v="ATALI MAKMUR"/>
    <x v="0"/>
    <n v="5"/>
    <n v="4"/>
    <s v="oilpastelop12sppcaseseaworldjk"/>
    <s v="oilpastelop12sppcaseseaworldjk17136000.1250.08"/>
    <s v="oilpastelop12sppcaseseaworldjk17136000.1250.08"/>
    <s v="ATALI MAKMURARTO MOROSA23040596945022oilpastelop12sppcaseseaworldjk"/>
    <e v="#REF!"/>
    <n v="1665"/>
  </r>
  <r>
    <s v=""/>
    <s v=""/>
    <s v=""/>
    <n v="46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46"/>
    <m/>
    <m/>
    <m/>
    <m/>
    <m/>
    <m/>
    <m/>
    <x v="84"/>
    <n v="15"/>
    <n v="720"/>
    <s v="SET"/>
    <n v="29600"/>
    <m/>
    <s v="8 BOX X 6 SET"/>
    <n v="0.125"/>
    <n v="0.08"/>
    <m/>
    <m/>
    <n v="21312000"/>
    <n v="2664000"/>
    <n v="1491840"/>
    <n v="4155840"/>
    <n v="17156160"/>
    <s v=""/>
    <s v=""/>
    <n v="1420800"/>
    <n v="21312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n v="46"/>
    <m/>
    <m/>
    <m/>
    <m/>
    <m/>
    <m/>
    <m/>
    <x v="91"/>
    <n v="12"/>
    <n v="432"/>
    <s v="SET"/>
    <n v="41500"/>
    <m/>
    <s v="6 BOX X 6 SET"/>
    <n v="0.125"/>
    <n v="0.08"/>
    <m/>
    <m/>
    <n v="17928000"/>
    <n v="2241000"/>
    <n v="1254960"/>
    <n v="3495960"/>
    <n v="14432040"/>
    <s v=""/>
    <s v=""/>
    <n v="1494000"/>
    <n v="17928000"/>
    <d v="2023-04-12T00:00:00"/>
    <s v="ATALI MAKMUR"/>
    <x v="0"/>
    <s v=""/>
    <n v="4"/>
    <s v="oilpastelop36sppcaseseaworldjk"/>
    <s v="oilpastelop36sppcaseseaworldjk14940000.1250.08"/>
    <s v="oilpastelop36sppcaseseaworldjk14940000.1250.08"/>
    <s v=""/>
    <s v=""/>
    <n v="1668"/>
  </r>
  <r>
    <s v=""/>
    <s v=""/>
    <s v=""/>
    <n v="46"/>
    <m/>
    <m/>
    <m/>
    <m/>
    <m/>
    <m/>
    <m/>
    <x v="127"/>
    <n v="1"/>
    <n v="24"/>
    <s v="SET"/>
    <n v="58900"/>
    <m/>
    <s v="4 BOX X 6 SET"/>
    <n v="0.125"/>
    <n v="0.05"/>
    <m/>
    <m/>
    <n v="1413600"/>
    <n v="176700"/>
    <n v="61845"/>
    <n v="238545"/>
    <n v="1175055"/>
    <n v="16131825"/>
    <n v="66785775"/>
    <n v="1413600"/>
    <n v="1413600"/>
    <d v="2023-04-12T00:00:00"/>
    <s v="ATALI MAKMUR"/>
    <x v="0"/>
    <s v=""/>
    <n v="4"/>
    <s v="oilpastelop48sppcaseseaworldjk"/>
    <s v="oilpastelop48sppcaseseaworldjk14136000.1250.05"/>
    <s v="oilpastelop48sppcaseseaworldjk14136000.1250.05"/>
    <s v=""/>
    <s v=""/>
    <n v="16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ATA_1204_889-1"/>
    <e v="#REF!"/>
    <n v="47"/>
    <m/>
    <s v="ATALI MAKMUR"/>
    <s v="ARTO MORO"/>
    <s v="SA230405889"/>
    <m/>
    <d v="2023-04-05T00:00:00"/>
    <m/>
    <x v="82"/>
    <n v="10"/>
    <n v="1440"/>
    <s v="SET"/>
    <n v="11900"/>
    <m/>
    <s v="12 BOX X 12 SET"/>
    <n v="0.125"/>
    <n v="0.08"/>
    <m/>
    <m/>
    <n v="17136000"/>
    <n v="2142000"/>
    <n v="1199520"/>
    <n v="3341520"/>
    <n v="13794480"/>
    <n v="3341520"/>
    <n v="13794480"/>
    <n v="1713600"/>
    <n v="17136000"/>
    <d v="2023-04-12T00:00:00"/>
    <s v="ATALI MAKMUR"/>
    <x v="0"/>
    <n v="1"/>
    <n v="4"/>
    <s v="oilpastelop12sppcaseseaworldjk"/>
    <s v="oilpastelop12sppcaseseaworldjk17136000.1250.08"/>
    <s v="oilpastelop12sppcaseseaworldjk17136000.1250.08"/>
    <s v="ATALI MAKMURARTO MOROSA23040588945021oilpastelop12sppcaseseaworldjk"/>
    <e v="#REF!"/>
    <n v="166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ATA_1204_832-6"/>
    <e v="#REF!"/>
    <n v="48"/>
    <m/>
    <s v="ATALI MAKMUR"/>
    <s v="ARTO MORO"/>
    <s v="SA230405832"/>
    <m/>
    <d v="2023-04-05T00:00:00"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n v="6"/>
    <n v="4"/>
    <s v="pencilp882bjk"/>
    <s v="pencilp882bjk31320000.1250.05"/>
    <s v="pencilp882bjk31320000.1250.05"/>
    <s v="ATALI MAKMURARTO MOROSA23040583245021pencilp882bjk"/>
    <e v="#REF!"/>
    <n v="1883"/>
  </r>
  <r>
    <s v=""/>
    <s v=""/>
    <s v=""/>
    <n v="48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48"/>
    <m/>
    <m/>
    <m/>
    <m/>
    <m/>
    <m/>
    <m/>
    <x v="130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48"/>
    <m/>
    <m/>
    <m/>
    <m/>
    <m/>
    <m/>
    <m/>
    <x v="131"/>
    <n v="3"/>
    <n v="120"/>
    <s v="DZ"/>
    <n v="49200"/>
    <m/>
    <s v="40 DZ"/>
    <n v="0.125"/>
    <n v="0.05"/>
    <m/>
    <m/>
    <n v="5904000"/>
    <n v="738000"/>
    <n v="258300"/>
    <n v="996300"/>
    <n v="4907700"/>
    <s v=""/>
    <s v=""/>
    <n v="1968000"/>
    <n v="5904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48"/>
    <m/>
    <m/>
    <m/>
    <m/>
    <m/>
    <m/>
    <m/>
    <x v="105"/>
    <n v="4"/>
    <n v="192"/>
    <s v="DZ"/>
    <n v="36000"/>
    <m/>
    <s v="48 DZ"/>
    <n v="0.125"/>
    <n v="0.08"/>
    <m/>
    <m/>
    <n v="6912000"/>
    <n v="864000"/>
    <n v="483840"/>
    <n v="1347840"/>
    <n v="5564160"/>
    <s v=""/>
    <s v=""/>
    <n v="1728000"/>
    <n v="6912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48"/>
    <m/>
    <m/>
    <m/>
    <m/>
    <m/>
    <m/>
    <m/>
    <x v="132"/>
    <m/>
    <n v="24"/>
    <s v="DZ"/>
    <n v="13200"/>
    <m/>
    <s v="144 DZ"/>
    <n v="0.1"/>
    <n v="0.05"/>
    <n v="270864"/>
    <s v="BONUS"/>
    <n v="316800"/>
    <n v="31680"/>
    <n v="14256"/>
    <n v="45936"/>
    <n v="270864"/>
    <n v="6054435"/>
    <n v="27187965"/>
    <n v="316800"/>
    <n v="316800"/>
    <d v="2023-04-12T00:00:00"/>
    <s v="ATALI MAKMUR"/>
    <x v="0"/>
    <s v=""/>
    <n v="4"/>
    <s v="ballpenbp34912vokustransblackjkbonus"/>
    <s v="ballpenbp34912vokustransblackjkbonus3168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ATA_1204_968-11"/>
    <e v="#REF!"/>
    <n v="49"/>
    <m/>
    <s v="ATALI MAKMUR"/>
    <s v="ARTO MORO"/>
    <s v="SA230405968"/>
    <m/>
    <d v="2023-04-06T00:00:00"/>
    <m/>
    <x v="133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4-12T00:00:00"/>
    <s v="ATALI MAKMUR"/>
    <x v="0"/>
    <n v="11"/>
    <n v="4"/>
    <s v="colorpencilcp12pbjk"/>
    <s v="colorpencilcp12pbjk15264000.1250.05"/>
    <s v="colorpencilcp12pbjk15264000.1250.05"/>
    <s v="ATALI MAKMURARTO MOROSA23040596845022colorpencilcp12pbjk"/>
    <e v="#REF!"/>
    <n v="519"/>
  </r>
  <r>
    <s v=""/>
    <s v=""/>
    <s v=""/>
    <n v="49"/>
    <m/>
    <m/>
    <m/>
    <m/>
    <m/>
    <m/>
    <m/>
    <x v="134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4-12T00:00:00"/>
    <s v="ATALI MAKMUR"/>
    <x v="0"/>
    <s v=""/>
    <n v="4"/>
    <s v="colorpencilcp24pbjk"/>
    <s v="colorpencilcp24pbjk15264000.1250.05"/>
    <s v="colorpencilcp24pbjk15264000.1250.05"/>
    <s v=""/>
    <s v=""/>
    <n v="521"/>
  </r>
  <r>
    <s v=""/>
    <s v=""/>
    <s v=""/>
    <n v="49"/>
    <m/>
    <m/>
    <m/>
    <m/>
    <m/>
    <m/>
    <m/>
    <x v="135"/>
    <n v="1"/>
    <n v="288"/>
    <s v="SET"/>
    <n v="6700"/>
    <m/>
    <s v="12 BOX X 24 SET"/>
    <n v="0.125"/>
    <n v="0.05"/>
    <m/>
    <m/>
    <n v="1929600"/>
    <n v="241200"/>
    <n v="84420"/>
    <n v="325620"/>
    <n v="1603980"/>
    <s v=""/>
    <s v=""/>
    <n v="1929600"/>
    <n v="1929600"/>
    <d v="2023-04-12T00:00:00"/>
    <s v="ATALI MAKMUR"/>
    <x v="0"/>
    <s v=""/>
    <n v="4"/>
    <s v="colorpencilcps12jk"/>
    <s v="colorpencilcps12jk19296000.1250.05"/>
    <s v="colorpencilcps12jk19296000.1250.05"/>
    <s v=""/>
    <s v=""/>
    <n v="524"/>
  </r>
  <r>
    <s v=""/>
    <s v=""/>
    <s v=""/>
    <n v="49"/>
    <m/>
    <m/>
    <m/>
    <m/>
    <m/>
    <m/>
    <m/>
    <x v="89"/>
    <n v="4"/>
    <n v="2880"/>
    <s v="PCS"/>
    <n v="4500"/>
    <m/>
    <s v="60 BOX X 12 PCS"/>
    <n v="0.125"/>
    <n v="0.05"/>
    <m/>
    <m/>
    <n v="12960000"/>
    <n v="1620000"/>
    <n v="567000"/>
    <n v="2187000"/>
    <n v="10773000"/>
    <s v=""/>
    <s v=""/>
    <n v="3240000"/>
    <n v="12960000"/>
    <d v="2023-04-12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49"/>
    <m/>
    <m/>
    <m/>
    <m/>
    <m/>
    <m/>
    <m/>
    <x v="136"/>
    <n v="2"/>
    <n v="240"/>
    <s v="PCS"/>
    <n v="18000"/>
    <m/>
    <s v="20 BOX X 6 PCS"/>
    <n v="0.125"/>
    <n v="0.05"/>
    <m/>
    <m/>
    <n v="4320000"/>
    <n v="540000"/>
    <n v="189000"/>
    <n v="729000"/>
    <n v="3591000"/>
    <s v=""/>
    <s v=""/>
    <n v="2160000"/>
    <n v="4320000"/>
    <d v="2023-04-12T00:00:00"/>
    <s v="ATALI MAKMUR"/>
    <x v="0"/>
    <s v=""/>
    <n v="4"/>
    <s v="staplerhd50cljk"/>
    <s v="staplerhd50cljk21600000.1250.05"/>
    <s v="staplerhd50cljk21600000.1250.05"/>
    <s v=""/>
    <s v=""/>
    <n v="2129"/>
  </r>
  <r>
    <s v=""/>
    <s v=""/>
    <s v=""/>
    <n v="49"/>
    <m/>
    <m/>
    <m/>
    <m/>
    <m/>
    <m/>
    <m/>
    <x v="100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49"/>
    <m/>
    <m/>
    <m/>
    <m/>
    <m/>
    <m/>
    <m/>
    <x v="137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b30jk"/>
    <s v="erasereb30jk16000000.1250.05"/>
    <s v="erasereb30jk16000000.1250.05"/>
    <s v=""/>
    <s v=""/>
    <n v="727"/>
  </r>
  <r>
    <s v=""/>
    <s v=""/>
    <s v=""/>
    <n v="49"/>
    <m/>
    <m/>
    <m/>
    <m/>
    <m/>
    <m/>
    <m/>
    <x v="13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r30wjk"/>
    <s v="eraserer30wjk16000000.1250.05"/>
    <s v="eraserer30wjk16000000.1250.05"/>
    <s v=""/>
    <s v=""/>
    <n v="733"/>
  </r>
  <r>
    <s v=""/>
    <s v=""/>
    <s v=""/>
    <n v="49"/>
    <m/>
    <m/>
    <m/>
    <m/>
    <m/>
    <m/>
    <m/>
    <x v="139"/>
    <n v="1"/>
    <n v="24"/>
    <s v="PCS"/>
    <n v="12300"/>
    <m/>
    <s v="24 PCS"/>
    <n v="0.125"/>
    <n v="0.05"/>
    <m/>
    <m/>
    <n v="295200"/>
    <n v="36900"/>
    <n v="12915"/>
    <n v="49815"/>
    <n v="245385"/>
    <s v=""/>
    <s v=""/>
    <n v="295200"/>
    <n v="295200"/>
    <d v="2023-04-12T00:00:00"/>
    <s v="ATALI MAKMUR"/>
    <x v="0"/>
    <s v=""/>
    <n v="4"/>
    <s v="tapecuttertc111jk"/>
    <s v="tapecuttertc111jk2952000.1250.05"/>
    <s v="tapecuttertc111jk2952000.1250.05"/>
    <s v=""/>
    <s v=""/>
    <n v="2160"/>
  </r>
  <r>
    <s v=""/>
    <s v=""/>
    <s v=""/>
    <n v="49"/>
    <m/>
    <m/>
    <m/>
    <m/>
    <m/>
    <m/>
    <m/>
    <x v="103"/>
    <n v="6"/>
    <n v="144"/>
    <s v="PCS"/>
    <n v="11100"/>
    <m/>
    <s v="24 PCS"/>
    <n v="0.125"/>
    <n v="0.05"/>
    <m/>
    <m/>
    <n v="1598400"/>
    <n v="199800"/>
    <n v="69930"/>
    <n v="269730"/>
    <n v="1328670"/>
    <s v=""/>
    <s v=""/>
    <n v="266400"/>
    <n v="1598400"/>
    <d v="2023-04-12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n v="49"/>
    <m/>
    <m/>
    <m/>
    <m/>
    <m/>
    <m/>
    <m/>
    <x v="140"/>
    <n v="1"/>
    <n v="24"/>
    <s v="DZ"/>
    <n v="118800"/>
    <m/>
    <s v="24 DZ"/>
    <n v="0.125"/>
    <n v="0.05"/>
    <m/>
    <m/>
    <n v="2851200"/>
    <n v="356400"/>
    <n v="124740"/>
    <n v="481140"/>
    <n v="2370060"/>
    <n v="5593826.25"/>
    <n v="27554773.75"/>
    <n v="2851200"/>
    <n v="2851200"/>
    <d v="2023-04-12T00:00:00"/>
    <s v="ATALI MAKMUR"/>
    <x v="0"/>
    <s v=""/>
    <n v="4"/>
    <s v="mathsetms28jk"/>
    <s v="mathsetms28jk28512000.1250.05"/>
    <s v="mathsetms28jk28512000.1250.05"/>
    <s v=""/>
    <s v=""/>
    <n v="15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ATA_1204_967-11"/>
    <e v="#REF!"/>
    <n v="50"/>
    <m/>
    <s v="ATALI MAKMUR"/>
    <s v="ARTO MORO"/>
    <s v="SA230405967"/>
    <m/>
    <d v="2023-04-06T00:00:00"/>
    <m/>
    <x v="88"/>
    <n v="5"/>
    <n v="3600"/>
    <s v="PCS"/>
    <n v="4600"/>
    <m/>
    <s v="60 BOX X 12 PCS"/>
    <n v="0.125"/>
    <n v="0.05"/>
    <m/>
    <m/>
    <n v="16560000"/>
    <n v="2070000"/>
    <n v="724500"/>
    <n v="2794500"/>
    <n v="13765500"/>
    <s v=""/>
    <s v=""/>
    <n v="3312000"/>
    <n v="16560000"/>
    <d v="2023-04-12T00:00:00"/>
    <s v="ATALI MAKMUR"/>
    <x v="0"/>
    <n v="11"/>
    <n v="4"/>
    <s v="correctiontapect507jk"/>
    <s v="correctiontapect507jk33120000.1250.05"/>
    <s v="correctiontapect507jk33120000.1250.05"/>
    <s v="ATALI MAKMURARTO MOROSA23040596745022correctiontapect507jk"/>
    <e v="#REF!"/>
    <n v="548"/>
  </r>
  <r>
    <s v=""/>
    <s v=""/>
    <s v=""/>
    <n v="50"/>
    <m/>
    <m/>
    <m/>
    <m/>
    <m/>
    <m/>
    <m/>
    <x v="86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0"/>
    <m/>
    <m/>
    <m/>
    <m/>
    <m/>
    <m/>
    <m/>
    <x v="87"/>
    <n v="4"/>
    <n v="576"/>
    <s v="PCS"/>
    <n v="6500"/>
    <m/>
    <s v="12 BOX X 12 PCS"/>
    <n v="0.125"/>
    <n v="0.05"/>
    <m/>
    <m/>
    <n v="3744000"/>
    <n v="468000"/>
    <n v="163800"/>
    <n v="631800"/>
    <n v="3112200"/>
    <s v=""/>
    <s v=""/>
    <n v="936000"/>
    <n v="3744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0"/>
    <m/>
    <m/>
    <m/>
    <m/>
    <m/>
    <m/>
    <m/>
    <x v="141"/>
    <n v="1"/>
    <n v="144"/>
    <s v="DZ"/>
    <n v="27600"/>
    <m/>
    <s v="144 DZ"/>
    <n v="0.125"/>
    <n v="0.05"/>
    <m/>
    <m/>
    <n v="3974400"/>
    <n v="496800"/>
    <n v="173880"/>
    <n v="670680"/>
    <n v="3303720"/>
    <s v=""/>
    <s v=""/>
    <n v="3974400"/>
    <n v="3974400"/>
    <d v="2023-04-12T00:00:00"/>
    <s v="ATALI MAKMUR"/>
    <x v="0"/>
    <s v=""/>
    <n v="4"/>
    <s v="gelpengp266itech2bluejk"/>
    <s v="gelpengp266itech2bluejk39744000.1250.05"/>
    <s v="gelpengp266itech2bluejk39744000.1250.05"/>
    <s v=""/>
    <s v=""/>
    <n v="783"/>
  </r>
  <r>
    <s v=""/>
    <s v=""/>
    <s v=""/>
    <n v="50"/>
    <m/>
    <m/>
    <m/>
    <m/>
    <m/>
    <m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0"/>
    <m/>
    <m/>
    <m/>
    <m/>
    <m/>
    <m/>
    <m/>
    <x v="142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50"/>
    <m/>
    <m/>
    <m/>
    <m/>
    <m/>
    <m/>
    <m/>
    <x v="131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50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50"/>
    <m/>
    <m/>
    <m/>
    <m/>
    <m/>
    <m/>
    <m/>
    <x v="143"/>
    <n v="2"/>
    <n v="480"/>
    <s v="SET"/>
    <n v="8800"/>
    <m/>
    <s v="10 BOX X 24 SET"/>
    <n v="0.125"/>
    <n v="0.05"/>
    <m/>
    <m/>
    <n v="4224000"/>
    <n v="528000"/>
    <n v="184800"/>
    <n v="712800"/>
    <n v="3511200"/>
    <s v=""/>
    <s v=""/>
    <n v="2112000"/>
    <n v="4224000"/>
    <d v="2023-04-12T00:00:00"/>
    <s v="ATALI MAKMUR"/>
    <x v="0"/>
    <s v=""/>
    <n v="4"/>
    <s v="brushbr1jk"/>
    <s v="brushbr1jk21120000.1250.05"/>
    <s v="brushbr1jk21120000.1250.05"/>
    <s v=""/>
    <s v=""/>
    <n v="329"/>
  </r>
  <r>
    <s v=""/>
    <s v=""/>
    <s v=""/>
    <n v="50"/>
    <m/>
    <m/>
    <m/>
    <m/>
    <m/>
    <m/>
    <m/>
    <x v="144"/>
    <n v="1"/>
    <n v="144"/>
    <s v="DZ"/>
    <n v="6120"/>
    <m/>
    <s v="144 DZ"/>
    <n v="0.125"/>
    <n v="0.05"/>
    <m/>
    <m/>
    <n v="881280"/>
    <n v="110160"/>
    <n v="38556"/>
    <n v="148716"/>
    <n v="732564"/>
    <s v=""/>
    <s v=""/>
    <n v="881280"/>
    <n v="881280"/>
    <d v="2023-04-12T00:00:00"/>
    <s v="ATALI MAKMUR"/>
    <x v="0"/>
    <s v=""/>
    <n v="4"/>
    <s v="ballpenbp273zetoblackjk"/>
    <s v="ballpenbp273zetoblackjk8812800.1250.05"/>
    <s v="ballpenbp273zetoblackjk8812800.1250.05"/>
    <s v=""/>
    <s v=""/>
    <n v="88"/>
  </r>
  <r>
    <s v=""/>
    <s v=""/>
    <s v=""/>
    <n v="50"/>
    <m/>
    <m/>
    <m/>
    <m/>
    <m/>
    <m/>
    <m/>
    <x v="145"/>
    <n v="1"/>
    <n v="50"/>
    <s v="BOX"/>
    <n v="44800"/>
    <m/>
    <s v="50 BOX X 36 PCS"/>
    <n v="0.125"/>
    <n v="0.05"/>
    <m/>
    <m/>
    <n v="2240000"/>
    <n v="280000"/>
    <n v="98000"/>
    <n v="378000"/>
    <n v="1862000"/>
    <n v="11024721"/>
    <n v="54306959"/>
    <n v="2240000"/>
    <n v="2240000"/>
    <d v="2023-04-12T00:00:00"/>
    <s v="ATALI MAKMUR"/>
    <x v="0"/>
    <s v=""/>
    <n v="4"/>
    <s v="eraserer102jk"/>
    <s v="eraserer102jk22400000.1250.05"/>
    <s v="eraserer102jk22400000.1250.05"/>
    <s v=""/>
    <s v=""/>
    <n v="7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ATA_1204_970-9"/>
    <e v="#REF!"/>
    <n v="51"/>
    <m/>
    <s v="ATALI MAKMUR"/>
    <s v="ARTO MORO"/>
    <s v="SA230405970"/>
    <m/>
    <d v="2023-04-06T00:00:00"/>
    <m/>
    <x v="101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4-12T00:00:00"/>
    <s v="ATALI MAKMUR"/>
    <x v="0"/>
    <n v="9"/>
    <n v="4"/>
    <s v="eraser526b20jk"/>
    <s v="eraser526b20jk17050000.1250.05"/>
    <s v="eraser526b20jk17050000.1250.05"/>
    <s v="ATALI MAKMURARTO MOROSA23040597045022eraser526b20jk"/>
    <e v="#REF!"/>
    <n v="723"/>
  </r>
  <r>
    <s v=""/>
    <s v=""/>
    <s v=""/>
    <n v="51"/>
    <m/>
    <m/>
    <m/>
    <m/>
    <m/>
    <m/>
    <m/>
    <x v="146"/>
    <n v="4"/>
    <n v="192"/>
    <s v="DZ"/>
    <n v="36000"/>
    <m/>
    <s v="48 DZ"/>
    <n v="0.125"/>
    <n v="0.05"/>
    <m/>
    <m/>
    <n v="6912000"/>
    <n v="864000"/>
    <n v="302400"/>
    <n v="1166400"/>
    <n v="5745600"/>
    <s v=""/>
    <s v=""/>
    <n v="1728000"/>
    <n v="6912000"/>
    <d v="2023-04-12T00:00:00"/>
    <s v="ATALI MAKMUR"/>
    <x v="0"/>
    <s v=""/>
    <n v="4"/>
    <s v="correctionfluidjk101jk"/>
    <s v="correctionfluidjk101jk17280000.1250.05"/>
    <s v="correctionfluidjk101jk17280000.1250.05"/>
    <s v=""/>
    <s v=""/>
    <n v="545"/>
  </r>
  <r>
    <s v=""/>
    <s v=""/>
    <s v=""/>
    <n v="51"/>
    <m/>
    <m/>
    <m/>
    <m/>
    <m/>
    <m/>
    <m/>
    <x v="132"/>
    <m/>
    <n v="24"/>
    <s v="DZ"/>
    <n v="13200"/>
    <m/>
    <s v="144 DZ"/>
    <n v="0.125"/>
    <n v="0.05"/>
    <m/>
    <s v="BONUS"/>
    <n v="316800"/>
    <n v="39600"/>
    <n v="13860"/>
    <n v="53460"/>
    <n v="263340"/>
    <s v=""/>
    <s v=""/>
    <n v="316800"/>
    <n v="316800"/>
    <d v="2023-04-12T00:00:00"/>
    <s v="ATALI MAKMUR"/>
    <x v="0"/>
    <s v=""/>
    <n v="4"/>
    <s v="ballpenbp34912vokustransblackjkbonus"/>
    <s v="ballpenbp34912vokustransblackjkbonus3168000.1250.05"/>
    <s v="ballpenbp34912vokustransblackjkbonus132000.1250.05"/>
    <s v=""/>
    <s v=""/>
    <n v="93"/>
  </r>
  <r>
    <s v=""/>
    <s v=""/>
    <s v=""/>
    <n v="51"/>
    <m/>
    <m/>
    <m/>
    <m/>
    <m/>
    <m/>
    <m/>
    <x v="147"/>
    <n v="1"/>
    <n v="60"/>
    <s v="GRS"/>
    <n v="27600"/>
    <m/>
    <s v="60 GRS"/>
    <n v="0.125"/>
    <n v="0.05"/>
    <m/>
    <m/>
    <n v="1656000"/>
    <n v="207000"/>
    <n v="72450"/>
    <n v="279450"/>
    <n v="1376550"/>
    <s v=""/>
    <s v=""/>
    <n v="1656000"/>
    <n v="1656000"/>
    <d v="2023-04-12T00:00:00"/>
    <s v="ATALI MAKMUR"/>
    <x v="0"/>
    <s v=""/>
    <n v="4"/>
    <s v="binderclip105jk"/>
    <s v="binderclip105jk16560000.1250.05"/>
    <s v="binderclip105jk16560000.1250.05"/>
    <s v=""/>
    <s v=""/>
    <n v="213"/>
  </r>
  <r>
    <s v=""/>
    <s v=""/>
    <s v=""/>
    <n v="51"/>
    <m/>
    <m/>
    <m/>
    <m/>
    <m/>
    <m/>
    <m/>
    <x v="148"/>
    <n v="1"/>
    <n v="50"/>
    <s v="GRS"/>
    <n v="31200"/>
    <m/>
    <s v="50 GRS"/>
    <n v="0.125"/>
    <n v="0.05"/>
    <m/>
    <m/>
    <n v="1560000"/>
    <n v="195000"/>
    <n v="68250"/>
    <n v="263250"/>
    <n v="1296750"/>
    <s v=""/>
    <s v=""/>
    <n v="1560000"/>
    <n v="1560000"/>
    <d v="2023-04-12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51"/>
    <m/>
    <m/>
    <m/>
    <m/>
    <m/>
    <m/>
    <m/>
    <x v="149"/>
    <n v="1"/>
    <n v="30"/>
    <s v="GRS"/>
    <n v="48600"/>
    <m/>
    <s v="30 GRS"/>
    <n v="0.125"/>
    <n v="0.05"/>
    <m/>
    <m/>
    <n v="1458000"/>
    <n v="182250"/>
    <n v="63787.5"/>
    <n v="246037.5"/>
    <n v="1211962.5"/>
    <s v=""/>
    <s v=""/>
    <n v="1458000"/>
    <n v="1458000"/>
    <d v="2023-04-12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51"/>
    <m/>
    <m/>
    <m/>
    <m/>
    <m/>
    <m/>
    <m/>
    <x v="150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4-12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51"/>
    <m/>
    <m/>
    <m/>
    <m/>
    <m/>
    <m/>
    <m/>
    <x v="151"/>
    <n v="3"/>
    <n v="30"/>
    <s v="GRS"/>
    <n v="115800"/>
    <m/>
    <s v="10 GS"/>
    <n v="0.125"/>
    <n v="0.05"/>
    <m/>
    <m/>
    <n v="3474000"/>
    <n v="434250"/>
    <n v="151987.5"/>
    <n v="586237.5"/>
    <n v="2887762.5"/>
    <s v=""/>
    <s v=""/>
    <n v="1158000"/>
    <n v="3474000"/>
    <d v="2023-04-12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51"/>
    <m/>
    <m/>
    <m/>
    <m/>
    <m/>
    <m/>
    <m/>
    <x v="132"/>
    <m/>
    <n v="48"/>
    <s v="DZ"/>
    <n v="13200"/>
    <m/>
    <s v="144 DZ"/>
    <n v="0.125"/>
    <n v="0.05"/>
    <n v="790020"/>
    <s v="BONUS"/>
    <n v="633600"/>
    <n v="79200"/>
    <n v="27720"/>
    <n v="106920"/>
    <n v="526680"/>
    <n v="4812581.25"/>
    <n v="19024818.75"/>
    <n v="633600"/>
    <n v="633600"/>
    <d v="2023-04-12T00:00:00"/>
    <s v="ATALI MAKMUR"/>
    <x v="0"/>
    <s v=""/>
    <n v="4"/>
    <s v="ballpenbp34912vokustransblackjkbonus"/>
    <s v="ballpenbp34912vokustransblackjkbonus6336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ATA_1204_063-3"/>
    <e v="#REF!"/>
    <n v="52"/>
    <m/>
    <s v="ATALI MAKMUR"/>
    <s v="ARTO MORO"/>
    <s v="SA230406063"/>
    <m/>
    <d v="2023-04-08T00:00:00"/>
    <m/>
    <x v="82"/>
    <n v="40"/>
    <n v="5760"/>
    <s v="SET"/>
    <n v="11900"/>
    <m/>
    <s v="12 BOX X 12 SET"/>
    <n v="0.125"/>
    <n v="0.08"/>
    <m/>
    <m/>
    <n v="68544000"/>
    <n v="8568000"/>
    <n v="4798080"/>
    <n v="13366080"/>
    <n v="55177920"/>
    <s v=""/>
    <s v=""/>
    <n v="1713600"/>
    <n v="68544000"/>
    <d v="2023-04-12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606345024oilpastelop12sppcaseseaworldjk"/>
    <e v="#REF!"/>
    <n v="1665"/>
  </r>
  <r>
    <s v=""/>
    <s v=""/>
    <s v=""/>
    <n v="52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52"/>
    <m/>
    <m/>
    <m/>
    <m/>
    <m/>
    <m/>
    <m/>
    <x v="84"/>
    <n v="10"/>
    <n v="480"/>
    <s v="SET"/>
    <n v="29600"/>
    <m/>
    <s v="8 BOX X 6 SET"/>
    <n v="0.125"/>
    <n v="0.08"/>
    <m/>
    <m/>
    <n v="14208000"/>
    <n v="1776000"/>
    <n v="994560"/>
    <n v="2770560"/>
    <n v="11437440"/>
    <n v="19365840"/>
    <n v="79946160"/>
    <n v="1420800"/>
    <n v="14208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ATA_1204_064-4"/>
    <e v="#REF!"/>
    <n v="53"/>
    <m/>
    <s v="ATALI MAKMUR"/>
    <s v="ARTO MORO"/>
    <s v="SA230406064"/>
    <m/>
    <d v="2023-04-08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12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606445024oilpastelop36sppcaseseaworldjk"/>
    <e v="#REF!"/>
    <n v="1668"/>
  </r>
  <r>
    <s v=""/>
    <s v=""/>
    <s v=""/>
    <n v="53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12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53"/>
    <m/>
    <m/>
    <m/>
    <m/>
    <m/>
    <m/>
    <m/>
    <x v="105"/>
    <n v="6"/>
    <n v="288"/>
    <s v="DZ"/>
    <n v="36000"/>
    <m/>
    <s v="48 DZ"/>
    <n v="0.125"/>
    <n v="0.08"/>
    <m/>
    <m/>
    <n v="10368000"/>
    <n v="1296000"/>
    <n v="725760"/>
    <n v="2021760"/>
    <n v="8346240"/>
    <s v=""/>
    <s v=""/>
    <n v="1728000"/>
    <n v="10368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53"/>
    <m/>
    <m/>
    <m/>
    <m/>
    <m/>
    <m/>
    <m/>
    <x v="132"/>
    <m/>
    <n v="36"/>
    <s v="DZ"/>
    <n v="13200"/>
    <m/>
    <s v="144 DZ"/>
    <n v="0.1"/>
    <n v="0.05"/>
    <n v="406296"/>
    <m/>
    <n v="475200"/>
    <n v="47520"/>
    <n v="21384"/>
    <n v="68904"/>
    <n v="406296"/>
    <n v="6954660"/>
    <n v="26748540"/>
    <n v="475200"/>
    <n v="475200"/>
    <d v="2023-04-12T00:00:00"/>
    <s v="ATALI MAKMUR"/>
    <x v="0"/>
    <s v=""/>
    <n v="4"/>
    <s v="ballpenbp34912vokustransblackjkbonus"/>
    <s v="ballpenbp34912vokustransblackjkbonus4752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ATA_1204_022-11"/>
    <e v="#REF!"/>
    <n v="54"/>
    <m/>
    <s v="ATALI MAKMUR"/>
    <s v="ARTO MORO"/>
    <s v="SA230406022"/>
    <m/>
    <d v="2023-04-08T00:00:00"/>
    <m/>
    <x v="152"/>
    <n v="1"/>
    <n v="288"/>
    <s v="PCS"/>
    <n v="4800"/>
    <m/>
    <s v="12 BOX X 12 [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n v="11"/>
    <n v="4"/>
    <s v="pencilcasepc0719ac36afanimalcalenderjk"/>
    <s v="pencilcasepc0719ac36afanimalcalenderjk13824000.1250.05"/>
    <s v="pencilcasepc0719ac36afanimalcalenderjk13824000.1250.05"/>
    <s v="ATALI MAKMURARTO MOROSA23040602245024pencilcasepc0719ac36afanimalcalenderjk"/>
    <e v="#REF!"/>
    <n v="1861"/>
  </r>
  <r>
    <s v=""/>
    <s v=""/>
    <s v=""/>
    <n v="54"/>
    <m/>
    <m/>
    <m/>
    <m/>
    <m/>
    <m/>
    <m/>
    <x v="153"/>
    <n v="1"/>
    <n v="288"/>
    <s v="PCS"/>
    <n v="4800"/>
    <m/>
    <s v=" 288P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s v=""/>
    <n v="4"/>
    <s v="pencilcasepc0719tv33aftraveljk"/>
    <s v="pencilcasepc0719tv33aftraveljk13824000.1250.05"/>
    <s v="pencilcasepc0719tv33aftraveljk13824000.1250.05"/>
    <s v=""/>
    <s v=""/>
    <n v="1873"/>
  </r>
  <r>
    <s v=""/>
    <s v=""/>
    <s v=""/>
    <n v="54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12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54"/>
    <m/>
    <m/>
    <m/>
    <m/>
    <m/>
    <m/>
    <m/>
    <x v="155"/>
    <m/>
    <n v="24"/>
    <s v="DZ"/>
    <m/>
    <m/>
    <s v="40 DZ"/>
    <m/>
    <m/>
    <m/>
    <s v="BONUS"/>
    <s v=""/>
    <s v=""/>
    <s v=""/>
    <s v=""/>
    <s v=""/>
    <s v=""/>
    <s v=""/>
    <n v="0"/>
    <s v=""/>
    <d v="2023-04-12T00:00:00"/>
    <s v="ATALI MAKMUR"/>
    <x v="0"/>
    <s v=""/>
    <n v="4"/>
    <s v="cutterbladel150amljkbonus"/>
    <s v="cutterbladel150amljkbonus0"/>
    <s v="cutterbladel150amljkbonus0"/>
    <s v=""/>
    <s v=""/>
    <n v="597"/>
  </r>
  <r>
    <s v=""/>
    <s v=""/>
    <s v=""/>
    <n v="54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12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54"/>
    <m/>
    <m/>
    <m/>
    <m/>
    <m/>
    <m/>
    <m/>
    <x v="157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12T00:00:00"/>
    <s v="ATALI MAKMUR"/>
    <x v="0"/>
    <s v=""/>
    <n v="4"/>
    <s v="cutterbladel150mmhjk"/>
    <s v="cutterbladel150mmhjk19680000.1250.05"/>
    <s v="cutterbladel150mmhjk19680000.1250.05"/>
    <s v=""/>
    <s v=""/>
    <n v="598"/>
  </r>
  <r>
    <s v=""/>
    <s v=""/>
    <s v=""/>
    <n v="54"/>
    <m/>
    <m/>
    <m/>
    <m/>
    <m/>
    <m/>
    <m/>
    <x v="158"/>
    <n v="2"/>
    <n v="288"/>
    <s v="DZ"/>
    <n v="12600"/>
    <m/>
    <s v="144 DZ"/>
    <n v="0.125"/>
    <n v="0.05"/>
    <m/>
    <m/>
    <n v="3628800"/>
    <n v="453600"/>
    <n v="158760"/>
    <n v="612360"/>
    <n v="3016440"/>
    <s v=""/>
    <s v=""/>
    <n v="1814400"/>
    <n v="3628800"/>
    <d v="2023-04-12T00:00:00"/>
    <s v="ATALI MAKMUR"/>
    <x v="0"/>
    <s v=""/>
    <n v="4"/>
    <s v="ballpenbp338vocusblackjknonbonus"/>
    <s v="ballpenbp338vocusblackjknonbonus18144000.1250.05"/>
    <s v="ballpenbp338vocusblackjknonbonus18144000.1250.05"/>
    <s v=""/>
    <s v=""/>
    <n v="92"/>
  </r>
  <r>
    <s v=""/>
    <s v=""/>
    <s v=""/>
    <n v="54"/>
    <m/>
    <m/>
    <m/>
    <m/>
    <m/>
    <m/>
    <m/>
    <x v="100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4"/>
    <m/>
    <m/>
    <m/>
    <m/>
    <m/>
    <m/>
    <m/>
    <x v="87"/>
    <n v="3"/>
    <n v="432"/>
    <s v="PCS"/>
    <n v="6500"/>
    <m/>
    <s v="12 BOX X 12 PCS"/>
    <n v="0.125"/>
    <n v="0.05"/>
    <m/>
    <m/>
    <n v="2808000"/>
    <n v="351000"/>
    <n v="122850"/>
    <n v="473850"/>
    <n v="2334150"/>
    <s v=""/>
    <s v=""/>
    <n v="936000"/>
    <n v="2808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4"/>
    <m/>
    <m/>
    <m/>
    <m/>
    <m/>
    <m/>
    <m/>
    <x v="159"/>
    <n v="3"/>
    <n v="432"/>
    <s v="PCS"/>
    <n v="9750"/>
    <m/>
    <s v="12 BOX X 12  PCS"/>
    <n v="0.125"/>
    <n v="0.05"/>
    <m/>
    <m/>
    <n v="4212000"/>
    <n v="526500"/>
    <n v="184275"/>
    <n v="710775"/>
    <n v="3501225"/>
    <s v=""/>
    <s v=""/>
    <n v="1404000"/>
    <n v="4212000"/>
    <d v="2023-04-12T00:00:00"/>
    <s v="ATALI MAKMUR"/>
    <x v="0"/>
    <s v=""/>
    <n v="4"/>
    <s v="scissorsc848jk"/>
    <s v="scissorsc848jk14040000.1250.05"/>
    <s v="scissorsc848jk14040000.1250.05"/>
    <s v=""/>
    <s v=""/>
    <n v="2061"/>
  </r>
  <r>
    <s v=""/>
    <s v=""/>
    <s v=""/>
    <n v="54"/>
    <m/>
    <m/>
    <m/>
    <m/>
    <m/>
    <m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n v="4571943.75"/>
    <n v="22521056.25"/>
    <n v="626400"/>
    <n v="626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ATA_1204_023-2"/>
    <e v="#REF!"/>
    <n v="55"/>
    <m/>
    <s v="ATALI MAKMUR"/>
    <s v="ARTO MORO"/>
    <s v="SA230406023"/>
    <m/>
    <d v="2023-04-08T00:00:00"/>
    <m/>
    <x v="146"/>
    <n v="3"/>
    <n v="144"/>
    <s v="DZ"/>
    <n v="36000"/>
    <m/>
    <s v="48 DZ"/>
    <n v="0.125"/>
    <n v="0.05"/>
    <m/>
    <m/>
    <n v="5184000"/>
    <n v="648000"/>
    <n v="226800"/>
    <n v="874800"/>
    <n v="4309200"/>
    <s v=""/>
    <s v=""/>
    <n v="1728000"/>
    <n v="5184000"/>
    <d v="2023-04-12T00:00:00"/>
    <s v="ATALI MAKMUR"/>
    <x v="0"/>
    <n v="2"/>
    <n v="4"/>
    <s v="correctionfluidjk101jk"/>
    <s v="correctionfluidjk101jk17280000.1250.05"/>
    <s v="correctionfluidjk101jk17280000.1250.05"/>
    <s v="ATALI MAKMURARTO MOROSA23040602345024correctionfluidjk101jk"/>
    <e v="#REF!"/>
    <n v="545"/>
  </r>
  <r>
    <s v=""/>
    <s v=""/>
    <s v=""/>
    <n v="55"/>
    <m/>
    <m/>
    <m/>
    <m/>
    <m/>
    <m/>
    <m/>
    <x v="132"/>
    <m/>
    <n v="12"/>
    <s v="DZ"/>
    <n v="13200"/>
    <m/>
    <s v="144 DZ"/>
    <n v="0.1"/>
    <n v="0.05"/>
    <n v="135432"/>
    <s v="BONUS"/>
    <n v="158400"/>
    <n v="15840"/>
    <n v="7128"/>
    <n v="22968"/>
    <n v="135432"/>
    <n v="1033200"/>
    <n v="4309200"/>
    <n v="158400"/>
    <n v="158400"/>
    <d v="2023-04-12T00:00:00"/>
    <s v="ATALI MAKMUR"/>
    <x v="0"/>
    <s v=""/>
    <n v="4"/>
    <s v="ballpenbp34912vokustransblackjkbonus"/>
    <s v="ballpenbp34912vokustransblackjkbonus1584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ATA_1204_100-11"/>
    <e v="#REF!"/>
    <n v="56"/>
    <m/>
    <s v="ATALI MAKMUR"/>
    <s v="ARTO MORO"/>
    <s v="SA230406100"/>
    <m/>
    <d v="2023-04-10T00:00:00"/>
    <m/>
    <x v="127"/>
    <n v="2"/>
    <n v="48"/>
    <s v="SET"/>
    <n v="58900"/>
    <m/>
    <s v="4 BOX X 6 SET"/>
    <n v="0.125"/>
    <n v="0.05"/>
    <m/>
    <m/>
    <n v="2827200"/>
    <n v="353400"/>
    <n v="123690"/>
    <n v="477090"/>
    <n v="2350110"/>
    <s v=""/>
    <s v=""/>
    <n v="1413600"/>
    <n v="2827200"/>
    <d v="2023-04-12T00:00:00"/>
    <s v="ATALI MAKMUR"/>
    <x v="0"/>
    <n v="11"/>
    <n v="4"/>
    <s v="oilpastelop48sppcaseseaworldjk"/>
    <s v="oilpastelop48sppcaseseaworldjk14136000.1250.05"/>
    <s v="oilpastelop48sppcaseseaworldjk14136000.1250.05"/>
    <s v="ATALI MAKMURARTO MOROSA23040610045026oilpastelop48sppcaseseaworldjk"/>
    <e v="#REF!"/>
    <n v="1669"/>
  </r>
  <r>
    <s v=""/>
    <s v=""/>
    <s v=""/>
    <n v="56"/>
    <m/>
    <m/>
    <m/>
    <m/>
    <m/>
    <m/>
    <m/>
    <x v="160"/>
    <n v="2"/>
    <n v="48"/>
    <s v="SET"/>
    <n v="66900"/>
    <m/>
    <s v="4 BOX X 6 SET"/>
    <n v="0.125"/>
    <n v="0.05"/>
    <m/>
    <m/>
    <n v="3211200"/>
    <n v="401400"/>
    <n v="140490"/>
    <n v="541890"/>
    <n v="2669310"/>
    <s v=""/>
    <s v=""/>
    <n v="1605600"/>
    <n v="3211200"/>
    <d v="2023-04-12T00:00:00"/>
    <s v="ATALI MAKMUR"/>
    <x v="0"/>
    <s v=""/>
    <n v="4"/>
    <s v="oilpastelop55sppcaseseaworldjk"/>
    <s v="oilpastelop55sppcaseseaworldjk16056000.1250.05"/>
    <s v="oilpastelop55sppcaseseaworldjk16056000.1250.05"/>
    <s v=""/>
    <s v=""/>
    <n v="1670"/>
  </r>
  <r>
    <s v=""/>
    <s v=""/>
    <s v=""/>
    <n v="56"/>
    <m/>
    <m/>
    <m/>
    <m/>
    <m/>
    <m/>
    <m/>
    <x v="161"/>
    <n v="3"/>
    <n v="432"/>
    <s v="SET"/>
    <n v="23900"/>
    <m/>
    <s v="12 BOX X 12 SET"/>
    <n v="0.125"/>
    <n v="0.05"/>
    <m/>
    <m/>
    <n v="10324800"/>
    <n v="1290600"/>
    <n v="451710"/>
    <n v="1742310"/>
    <n v="8582490"/>
    <s v=""/>
    <s v=""/>
    <n v="3441600"/>
    <n v="10324800"/>
    <d v="2023-04-12T00:00:00"/>
    <s v="ATALI MAKMUR"/>
    <x v="0"/>
    <s v=""/>
    <n v="4"/>
    <s v="crayonputartwcr12sjk"/>
    <s v="crayonputartwcr12sjk34416000.1250.05"/>
    <s v="crayonputartwcr12sjk34416000.1250.05"/>
    <s v=""/>
    <s v=""/>
    <n v="586"/>
  </r>
  <r>
    <s v=""/>
    <s v=""/>
    <s v=""/>
    <n v="56"/>
    <m/>
    <m/>
    <m/>
    <m/>
    <m/>
    <m/>
    <m/>
    <x v="162"/>
    <n v="2"/>
    <n v="144"/>
    <s v="SET"/>
    <n v="47800"/>
    <m/>
    <s v="12 BOX X 6 SET"/>
    <n v="0.125"/>
    <n v="0.05"/>
    <m/>
    <m/>
    <n v="6883200"/>
    <n v="860400"/>
    <n v="301140"/>
    <n v="1161540"/>
    <n v="5721660"/>
    <s v=""/>
    <s v=""/>
    <n v="3441600"/>
    <n v="6883200"/>
    <d v="2023-04-12T00:00:00"/>
    <s v="ATALI MAKMUR"/>
    <x v="0"/>
    <s v=""/>
    <n v="4"/>
    <s v="crayonputartwcr24sjk"/>
    <s v="crayonputartwcr24sjk34416000.1250.05"/>
    <s v="crayonputartwcr24sjk34416000.1250.05"/>
    <s v=""/>
    <s v=""/>
    <n v="587"/>
  </r>
  <r>
    <s v=""/>
    <s v=""/>
    <s v=""/>
    <n v="56"/>
    <m/>
    <m/>
    <m/>
    <m/>
    <m/>
    <m/>
    <m/>
    <x v="163"/>
    <n v="3"/>
    <n v="432"/>
    <s v="SET"/>
    <n v="18600"/>
    <m/>
    <s v="12 BOX X 12 SET"/>
    <n v="0.125"/>
    <n v="0.05"/>
    <m/>
    <m/>
    <n v="8035200"/>
    <n v="1004400"/>
    <n v="351540"/>
    <n v="1355940"/>
    <n v="6679260"/>
    <s v=""/>
    <s v=""/>
    <n v="2678400"/>
    <n v="8035200"/>
    <d v="2023-04-12T00:00:00"/>
    <s v="ATALI MAKMUR"/>
    <x v="0"/>
    <s v=""/>
    <n v="4"/>
    <s v="crayonputartwcr12minijk"/>
    <s v="crayonputartwcr12minijk26784000.1250.05"/>
    <s v="crayonputartwcr12minijk26784000.1250.05"/>
    <s v=""/>
    <s v=""/>
    <n v="585"/>
  </r>
  <r>
    <s v=""/>
    <s v=""/>
    <s v=""/>
    <n v="56"/>
    <m/>
    <m/>
    <m/>
    <m/>
    <m/>
    <m/>
    <m/>
    <x v="86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6"/>
    <m/>
    <m/>
    <m/>
    <m/>
    <m/>
    <m/>
    <m/>
    <x v="87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6"/>
    <m/>
    <m/>
    <m/>
    <m/>
    <m/>
    <m/>
    <m/>
    <x v="164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bljk"/>
    <s v="eraser526b40bljk14150000.1250.05"/>
    <s v="eraser526b40bljk14150000.1250.05"/>
    <s v=""/>
    <s v=""/>
    <n v="724"/>
  </r>
  <r>
    <s v=""/>
    <s v=""/>
    <s v=""/>
    <n v="56"/>
    <m/>
    <m/>
    <m/>
    <m/>
    <m/>
    <m/>
    <m/>
    <x v="128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6"/>
    <m/>
    <m/>
    <m/>
    <m/>
    <m/>
    <m/>
    <m/>
    <x v="165"/>
    <n v="2"/>
    <n v="1728"/>
    <s v="PCS"/>
    <n v="2100"/>
    <m/>
    <s v="36 BOX X 24 PCS"/>
    <n v="0.125"/>
    <n v="0.05"/>
    <m/>
    <m/>
    <n v="3628800"/>
    <n v="453600"/>
    <n v="158760"/>
    <n v="612360"/>
    <n v="3016440"/>
    <n v="8430615"/>
    <n v="41528585"/>
    <n v="1814400"/>
    <n v="3628800"/>
    <d v="2023-04-12T00:00:00"/>
    <s v="ATALI MAKMUR"/>
    <x v="0"/>
    <s v=""/>
    <n v="4"/>
    <s v="gluestickgs1008gramjk"/>
    <s v="gluestickgs1008gramjk18144000.1250.05"/>
    <s v="gluestickgs1008gramjk18144000.1250.05"/>
    <s v=""/>
    <s v=""/>
    <n v="9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204_101-7"/>
    <e v="#REF!"/>
    <n v="57"/>
    <m/>
    <s v="ATALI MAKMUR"/>
    <s v="ARTO MORO"/>
    <s v="SA230406101"/>
    <m/>
    <d v="2023-04-10T00:00:00"/>
    <m/>
    <x v="133"/>
    <n v="3"/>
    <n v="432"/>
    <s v="SET"/>
    <n v="10600"/>
    <m/>
    <s v="12 BOX X 12 SET"/>
    <n v="0.125"/>
    <n v="0.05"/>
    <m/>
    <m/>
    <n v="4579200"/>
    <n v="572400"/>
    <n v="200340"/>
    <n v="772740"/>
    <n v="3806460"/>
    <s v=""/>
    <s v=""/>
    <n v="1526400"/>
    <n v="4579200"/>
    <d v="2023-04-12T00:00:00"/>
    <s v="ATALI MAKMUR"/>
    <x v="0"/>
    <n v="7"/>
    <n v="4"/>
    <s v="colorpencilcp12pbjk"/>
    <s v="colorpencilcp12pbjk15264000.1250.05"/>
    <s v="colorpencilcp12pbjk15264000.1250.05"/>
    <s v="ATALI MAKMURARTO MOROSA23040610145026colorpencilcp12pbjk"/>
    <e v="#REF!"/>
    <n v="519"/>
  </r>
  <r>
    <s v=""/>
    <s v=""/>
    <s v=""/>
    <n v="57"/>
    <m/>
    <m/>
    <m/>
    <m/>
    <m/>
    <m/>
    <m/>
    <x v="166"/>
    <n v="5"/>
    <s v="100"/>
    <s v="DZ"/>
    <n v="85200"/>
    <m/>
    <s v="20 DZ"/>
    <n v="0.125"/>
    <n v="0.05"/>
    <m/>
    <m/>
    <n v="8520000"/>
    <n v="1065000"/>
    <n v="372750"/>
    <n v="1437750"/>
    <n v="7082250"/>
    <s v=""/>
    <s v=""/>
    <n v="1704000"/>
    <n v="8520000"/>
    <d v="2023-04-12T00:00:00"/>
    <s v="ATALI MAKMUR"/>
    <x v="0"/>
    <s v=""/>
    <n v="4"/>
    <s v="staplerhd10jk"/>
    <s v="staplerhd10jk17040000.1250.05"/>
    <s v="staplerhd10jk17040000.1250.05"/>
    <s v=""/>
    <s v=""/>
    <n v="2125"/>
  </r>
  <r>
    <s v=""/>
    <s v=""/>
    <s v=""/>
    <n v="57"/>
    <m/>
    <m/>
    <m/>
    <m/>
    <m/>
    <m/>
    <m/>
    <x v="167"/>
    <n v="2"/>
    <n v="240"/>
    <s v="PCS"/>
    <n v="18700"/>
    <m/>
    <s v="20 BOX X 6 PCS"/>
    <n v="0.125"/>
    <n v="0.05"/>
    <m/>
    <m/>
    <n v="4488000"/>
    <n v="561000"/>
    <n v="196350"/>
    <n v="757350"/>
    <n v="3730650"/>
    <s v=""/>
    <s v=""/>
    <n v="2244000"/>
    <n v="4488000"/>
    <d v="2023-04-12T00:00:00"/>
    <s v="ATALI MAKMUR"/>
    <x v="0"/>
    <s v=""/>
    <n v="4"/>
    <s v="staplerhd50jk"/>
    <s v="staplerhd50jk22440000.1250.05"/>
    <s v="staplerhd50jk22440000.1250.05"/>
    <s v=""/>
    <s v=""/>
    <n v="2130"/>
  </r>
  <r>
    <s v=""/>
    <s v=""/>
    <s v=""/>
    <n v="57"/>
    <m/>
    <m/>
    <m/>
    <m/>
    <m/>
    <m/>
    <m/>
    <x v="168"/>
    <n v="2"/>
    <n v="40"/>
    <s v="PCS"/>
    <n v="94500"/>
    <m/>
    <s v="20 PCS"/>
    <n v="0.125"/>
    <n v="0.05"/>
    <m/>
    <m/>
    <n v="3780000"/>
    <n v="472500"/>
    <n v="165375"/>
    <n v="637875"/>
    <n v="3142125"/>
    <s v=""/>
    <s v=""/>
    <n v="1890000"/>
    <n v="3780000"/>
    <d v="2023-04-12T00:00:00"/>
    <s v="ATALI MAKMUR"/>
    <x v="0"/>
    <s v=""/>
    <n v="4"/>
    <s v="labellermx6600a10d2linejk"/>
    <s v="labellermx6600a10d2linejk18900000.1250.05"/>
    <s v="labellermx6600a10d2linejk18900000.1250.05"/>
    <s v=""/>
    <s v=""/>
    <n v="1438"/>
  </r>
  <r>
    <s v=""/>
    <s v=""/>
    <s v=""/>
    <n v="57"/>
    <m/>
    <m/>
    <m/>
    <m/>
    <m/>
    <m/>
    <m/>
    <x v="169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4-12T00:00:00"/>
    <s v="ATALI MAKMUR"/>
    <x v="0"/>
    <s v=""/>
    <n v="4"/>
    <s v="labellb2rl1barisjk"/>
    <s v="labellb2rl1barisjk20500000.1250.05"/>
    <s v="labellb2rl1barisjk20500000.1250.05"/>
    <s v=""/>
    <s v=""/>
    <n v="1430"/>
  </r>
  <r>
    <s v=""/>
    <s v=""/>
    <s v=""/>
    <n v="57"/>
    <m/>
    <m/>
    <m/>
    <m/>
    <m/>
    <m/>
    <m/>
    <x v="170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4-12T00:00:00"/>
    <s v="ATALI MAKMUR"/>
    <x v="0"/>
    <s v=""/>
    <n v="4"/>
    <s v="labellbp2ln2barisjk"/>
    <s v="labellbp2ln2barisjk15250000.1250.05"/>
    <s v="labellbp2ln2barisjk15250000.1250.05"/>
    <s v=""/>
    <s v=""/>
    <n v="1435"/>
  </r>
  <r>
    <s v=""/>
    <s v=""/>
    <s v=""/>
    <n v="57"/>
    <m/>
    <m/>
    <m/>
    <m/>
    <m/>
    <m/>
    <m/>
    <x v="171"/>
    <n v="2"/>
    <n v="2000"/>
    <s v="ROL"/>
    <n v="3000"/>
    <m/>
    <s v="100 PAK X 10 ROL"/>
    <n v="0.125"/>
    <n v="0.05"/>
    <m/>
    <m/>
    <n v="6000000"/>
    <n v="750000"/>
    <n v="262500"/>
    <n v="1012500"/>
    <n v="4987500"/>
    <n v="5824777.5"/>
    <n v="28692422.5"/>
    <n v="3000000"/>
    <n v="6000000"/>
    <d v="2023-04-12T00:00:00"/>
    <s v="ATALI MAKMUR"/>
    <x v="0"/>
    <s v=""/>
    <n v="4"/>
    <s v="labellb1ly1barisyellowjk"/>
    <s v="labellb1ly1barisyellowjk30000000.1250.05"/>
    <s v="labellb1ly1barisyellowjk30000000.1250.05"/>
    <s v=""/>
    <s v=""/>
    <n v="14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GAD_1204_488-2"/>
    <e v="#REF!"/>
    <n v="58"/>
    <m/>
    <s v="GADING MURNI"/>
    <s v="UNTANA"/>
    <s v="E.2305488"/>
    <m/>
    <d v="2023-04-10T00:00:00"/>
    <m/>
    <x v="172"/>
    <n v="45"/>
    <n v="2700"/>
    <m/>
    <n v="35420"/>
    <m/>
    <s v="60 SET"/>
    <m/>
    <m/>
    <m/>
    <m/>
    <n v="95634000"/>
    <n v="0"/>
    <n v="0"/>
    <n v="0"/>
    <n v="95634000"/>
    <s v=""/>
    <s v=""/>
    <n v="2125200"/>
    <n v="95634000"/>
    <d v="2023-04-12T00:00:00"/>
    <s v="GADING MURNI"/>
    <x v="2"/>
    <n v="2"/>
    <n v="4"/>
    <s v="mariesacrclr81212wrn"/>
    <s v="mariesacrclr81212wrn2125200"/>
    <s v="mariesacrclr81212wrn2125200"/>
    <s v="GADING MURNIUNTANAE.230548845026mariesacrclr81212wrn"/>
    <e v="#REF!"/>
    <e v="#N/A"/>
  </r>
  <r>
    <s v=""/>
    <s v=""/>
    <s v=""/>
    <n v="58"/>
    <m/>
    <m/>
    <m/>
    <m/>
    <m/>
    <m/>
    <m/>
    <x v="173"/>
    <n v="100"/>
    <n v="9600"/>
    <s v="SET"/>
    <n v="15420"/>
    <m/>
    <s v="96 SET"/>
    <m/>
    <m/>
    <m/>
    <m/>
    <n v="148032000"/>
    <n v="0"/>
    <n v="0"/>
    <n v="0"/>
    <n v="148032000"/>
    <n v="0"/>
    <n v="243666000"/>
    <n v="1480320"/>
    <n v="148032000"/>
    <d v="2023-04-12T00:00:00"/>
    <s v="GADING MURNI"/>
    <x v="2"/>
    <s v=""/>
    <n v="4"/>
    <s v="marieswaterclre1325b12warna"/>
    <s v="marieswaterclre1325b12warna1480320"/>
    <s v="marieswaterclre1325b12warna148032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KEN_1404_860-2"/>
    <e v="#REF!"/>
    <n v="59"/>
    <d v="2023-04-14T00:00:00"/>
    <s v="KENKO SINAR INDONESIA"/>
    <s v="ARTO MORO"/>
    <s v="23040860"/>
    <s v="SA 41064"/>
    <d v="2023-04-12T00:00:00"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14T00:00:00"/>
    <s v="KENKO SINAR INDONESIA"/>
    <x v="0"/>
    <n v="2"/>
    <n v="4"/>
    <s v="kenkocutterl50018mmblade"/>
    <s v="kenkocutterl50018mmblade29520000.17"/>
    <s v="kenkocutterl50018mmblade29520000.17"/>
    <s v="KENKO SINAR INDONESIAARTO MORO23040860SA 4106445028kenkocutterl50018mmblade"/>
    <e v="#REF!"/>
    <n v="1209"/>
  </r>
  <r>
    <s v=""/>
    <s v=""/>
    <s v=""/>
    <n v="59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2398020"/>
    <n v="11707980"/>
    <n v="1050000"/>
    <s v=""/>
    <d v="2023-04-14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KEN_1404_951-3"/>
    <e v="#REF!"/>
    <n v="60"/>
    <m/>
    <s v="KENKO SINAR INDONESIA"/>
    <s v="ARTO MORO"/>
    <s v="23040951"/>
    <s v="SA 41074"/>
    <d v="2023-04-13T00:00:00"/>
    <m/>
    <x v="174"/>
    <n v="5"/>
    <m/>
    <m/>
    <m/>
    <n v="840000"/>
    <s v="40 PAK"/>
    <n v="0.17"/>
    <m/>
    <m/>
    <m/>
    <n v="4200000"/>
    <n v="714000"/>
    <n v="0"/>
    <n v="714000"/>
    <n v="3486000"/>
    <s v=""/>
    <s v=""/>
    <n v="840000"/>
    <s v=""/>
    <d v="2023-04-14T00:00:00"/>
    <s v="KENKO SINAR INDONESIA"/>
    <x v="0"/>
    <n v="3"/>
    <n v="4"/>
    <s v="kenkostaplesno101m"/>
    <s v="kenkostaplesno101m8400000.17"/>
    <s v="kenkostaplesno101m8400000.17"/>
    <s v="KENKO SINAR INDONESIAARTO MORO23040951SA 4107445029kenkostaplesno101m"/>
    <e v="#REF!"/>
    <n v="1381"/>
  </r>
  <r>
    <s v=""/>
    <s v=""/>
    <s v=""/>
    <n v="60"/>
    <m/>
    <m/>
    <m/>
    <m/>
    <m/>
    <m/>
    <m/>
    <x v="175"/>
    <n v="3"/>
    <m/>
    <m/>
    <m/>
    <n v="1548000"/>
    <s v="72 BOX"/>
    <n v="0.17"/>
    <m/>
    <m/>
    <m/>
    <n v="4644000"/>
    <n v="789480"/>
    <n v="0"/>
    <n v="789480"/>
    <n v="3854520"/>
    <s v=""/>
    <s v=""/>
    <n v="1548000"/>
    <s v=""/>
    <d v="2023-04-14T00:00:00"/>
    <s v="KENKO SINAR INDONESIA"/>
    <x v="0"/>
    <s v=""/>
    <n v="4"/>
    <s v="kenkobinderclipno2806pcsbox"/>
    <s v="kenkobinderclipno2806pcsbox15480000.17"/>
    <s v="kenkobinderclipno2806pcsbox15480000.17"/>
    <s v=""/>
    <s v=""/>
    <n v="1122"/>
  </r>
  <r>
    <s v=""/>
    <s v=""/>
    <s v=""/>
    <n v="60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n v="1738080"/>
    <n v="8485920"/>
    <n v="1380000"/>
    <s v=""/>
    <d v="2023-04-14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ATA_1404_164-6"/>
    <e v="#REF!"/>
    <n v="61"/>
    <m/>
    <s v="ATALI MAKMUR"/>
    <s v="ARTO MORO"/>
    <s v="SA230406164"/>
    <m/>
    <d v="2023-04-11T00:00:00"/>
    <m/>
    <x v="176"/>
    <n v="1"/>
    <n v="30"/>
    <s v="GRS"/>
    <n v="104400"/>
    <m/>
    <s v="30 GRS"/>
    <n v="0.125"/>
    <n v="0.05"/>
    <m/>
    <m/>
    <n v="3132000"/>
    <n v="391500"/>
    <n v="137025"/>
    <n v="528525"/>
    <n v="2603475"/>
    <s v=""/>
    <s v=""/>
    <n v="3132000"/>
    <n v="3132000"/>
    <d v="2023-04-14T00:00:00"/>
    <s v="ATALI MAKMUR"/>
    <x v="0"/>
    <n v="6"/>
    <n v="4"/>
    <s v="pencilp882bjk"/>
    <s v="pencilp882bjk31320000.1250.05"/>
    <s v="pencilp882bjk31320000.1250.05"/>
    <s v="ATALI MAKMURARTO MOROSA23040616445027pencilp882bjk"/>
    <e v="#REF!"/>
    <n v="1883"/>
  </r>
  <r>
    <s v=""/>
    <s v=""/>
    <s v=""/>
    <n v="61"/>
    <m/>
    <m/>
    <m/>
    <m/>
    <m/>
    <m/>
    <m/>
    <x v="133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4-14T00:00:00"/>
    <s v="ATALI MAKMUR"/>
    <x v="0"/>
    <s v=""/>
    <n v="4"/>
    <s v="colorpencilcp12pbjk"/>
    <s v="colorpencilcp12pbjk15264000.1250.05"/>
    <s v="colorpencilcp12pbjk15264000.1250.05"/>
    <s v=""/>
    <s v=""/>
    <n v="519"/>
  </r>
  <r>
    <s v=""/>
    <s v=""/>
    <s v=""/>
    <n v="61"/>
    <m/>
    <m/>
    <m/>
    <m/>
    <m/>
    <m/>
    <m/>
    <x v="177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4-14T00:00:00"/>
    <s v="ATALI MAKMUR"/>
    <x v="0"/>
    <s v=""/>
    <n v="4"/>
    <s v="colorpencilcps24jk"/>
    <s v="colorpencilcps24jk19872000.1250.05"/>
    <s v="colorpencilcps24jk19872000.1250.05"/>
    <s v=""/>
    <s v=""/>
    <n v="525"/>
  </r>
  <r>
    <s v=""/>
    <s v=""/>
    <s v=""/>
    <n v="61"/>
    <m/>
    <m/>
    <m/>
    <m/>
    <m/>
    <m/>
    <m/>
    <x v="178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4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61"/>
    <m/>
    <m/>
    <m/>
    <m/>
    <m/>
    <m/>
    <m/>
    <x v="179"/>
    <n v="1"/>
    <n v="50"/>
    <s v="BOX"/>
    <n v="28600"/>
    <m/>
    <s v="50 BOX X 40 PCS"/>
    <n v="0.125"/>
    <n v="0.05"/>
    <m/>
    <m/>
    <n v="1430000"/>
    <n v="178750"/>
    <n v="62562.5"/>
    <n v="241312.5"/>
    <n v="1188687.5"/>
    <s v=""/>
    <s v=""/>
    <n v="1430000"/>
    <n v="1430000"/>
    <d v="2023-04-14T00:00:00"/>
    <s v="ATALI MAKMUR"/>
    <x v="0"/>
    <s v=""/>
    <n v="4"/>
    <s v="eraser526b40cojk"/>
    <s v="eraser526b40cojk14300000.1250.05"/>
    <s v="eraser526b40cojk14300000.1250.05"/>
    <s v=""/>
    <s v=""/>
    <n v="725"/>
  </r>
  <r>
    <s v=""/>
    <s v=""/>
    <s v=""/>
    <n v="61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n v="1759488.75"/>
    <n v="8667111.25"/>
    <n v="936000"/>
    <n v="936000"/>
    <d v="2023-04-14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ATA_1404_190-8"/>
    <e v="#REF!"/>
    <n v="62"/>
    <m/>
    <s v="ATALI MAKMUR"/>
    <s v="ARTO MORO"/>
    <s v="SA230406190"/>
    <m/>
    <d v="2023-04-12T00:00:00"/>
    <m/>
    <x v="147"/>
    <n v="4"/>
    <n v="240"/>
    <s v="GRS"/>
    <n v="27600"/>
    <m/>
    <s v="60 GRS"/>
    <n v="0.125"/>
    <n v="0.05"/>
    <m/>
    <m/>
    <n v="6624000"/>
    <n v="828000"/>
    <n v="289800"/>
    <n v="1117800"/>
    <n v="5506200"/>
    <s v=""/>
    <s v=""/>
    <n v="1656000"/>
    <n v="6624000"/>
    <d v="2023-04-14T00:00:00"/>
    <s v="ATALI MAKMUR"/>
    <x v="0"/>
    <n v="8"/>
    <n v="4"/>
    <s v="binderclip105jk"/>
    <s v="binderclip105jk16560000.1250.05"/>
    <s v="binderclip105jk16560000.1250.05"/>
    <s v="ATALI MAKMURARTO MOROSA23040619045028binderclip105jk"/>
    <e v="#REF!"/>
    <n v="213"/>
  </r>
  <r>
    <s v=""/>
    <s v=""/>
    <s v=""/>
    <n v="62"/>
    <m/>
    <m/>
    <m/>
    <m/>
    <m/>
    <m/>
    <m/>
    <x v="148"/>
    <n v="6"/>
    <n v="300"/>
    <s v="GRS"/>
    <n v="31200"/>
    <m/>
    <s v="50 GRS"/>
    <n v="0.125"/>
    <n v="0.05"/>
    <m/>
    <m/>
    <n v="9360000"/>
    <n v="1170000"/>
    <n v="409500"/>
    <n v="1579500"/>
    <n v="7780500"/>
    <s v=""/>
    <s v=""/>
    <n v="1560000"/>
    <n v="9360000"/>
    <d v="2023-04-14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62"/>
    <m/>
    <m/>
    <m/>
    <m/>
    <m/>
    <m/>
    <m/>
    <x v="149"/>
    <n v="6"/>
    <n v="180"/>
    <s v="GRS"/>
    <n v="48600"/>
    <m/>
    <s v="30 GRS"/>
    <n v="0.125"/>
    <n v="0.05"/>
    <m/>
    <m/>
    <n v="8748000"/>
    <n v="1093500"/>
    <n v="382725"/>
    <n v="1476225"/>
    <n v="7271775"/>
    <s v=""/>
    <s v=""/>
    <n v="1458000"/>
    <n v="8748000"/>
    <d v="2023-04-14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62"/>
    <m/>
    <m/>
    <m/>
    <m/>
    <m/>
    <m/>
    <m/>
    <x v="150"/>
    <n v="6"/>
    <n v="120"/>
    <s v="GRS"/>
    <n v="67800"/>
    <m/>
    <s v="20 GRS"/>
    <n v="0.125"/>
    <n v="0.05"/>
    <m/>
    <m/>
    <n v="8136000"/>
    <n v="1017000"/>
    <n v="355950"/>
    <n v="1372950"/>
    <n v="6763050"/>
    <s v=""/>
    <s v=""/>
    <n v="1356000"/>
    <n v="8136000"/>
    <d v="2023-04-14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62"/>
    <m/>
    <m/>
    <m/>
    <m/>
    <m/>
    <m/>
    <m/>
    <x v="151"/>
    <n v="10"/>
    <n v="100"/>
    <s v="GRS"/>
    <n v="115800"/>
    <m/>
    <s v="10 GRS"/>
    <n v="0.125"/>
    <n v="0.05"/>
    <m/>
    <m/>
    <n v="11580000"/>
    <n v="1447500"/>
    <n v="506625"/>
    <n v="1954125"/>
    <n v="9625875"/>
    <s v=""/>
    <s v=""/>
    <n v="1158000"/>
    <n v="11580000"/>
    <d v="2023-04-14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62"/>
    <m/>
    <m/>
    <m/>
    <m/>
    <m/>
    <m/>
    <m/>
    <x v="180"/>
    <n v="10"/>
    <n v="50"/>
    <s v="GRS"/>
    <n v="177000"/>
    <m/>
    <s v="5 GRS"/>
    <n v="0.125"/>
    <n v="0.05"/>
    <m/>
    <m/>
    <n v="8850000"/>
    <n v="1106250"/>
    <n v="387187.5"/>
    <n v="1493437.5"/>
    <n v="7356562.5"/>
    <s v=""/>
    <s v=""/>
    <n v="885000"/>
    <n v="8850000"/>
    <d v="2023-04-14T00:00:00"/>
    <s v="ATALI MAKMUR"/>
    <x v="0"/>
    <s v=""/>
    <n v="4"/>
    <s v="binderclip260jk"/>
    <s v="binderclip260jk8850000.1250.05"/>
    <s v="binderclip260jk8850000.1250.05"/>
    <s v=""/>
    <s v=""/>
    <n v="222"/>
  </r>
  <r>
    <s v=""/>
    <s v=""/>
    <s v=""/>
    <n v="62"/>
    <m/>
    <m/>
    <m/>
    <m/>
    <m/>
    <m/>
    <m/>
    <x v="181"/>
    <n v="4"/>
    <n v="12"/>
    <s v="GRS"/>
    <n v="507600"/>
    <m/>
    <s v="3 GRS"/>
    <n v="0.125"/>
    <n v="0.05"/>
    <m/>
    <m/>
    <n v="6091200"/>
    <n v="761400"/>
    <n v="266490"/>
    <n v="1027890"/>
    <n v="5063310"/>
    <s v=""/>
    <s v=""/>
    <n v="1522800"/>
    <n v="6091200"/>
    <d v="2023-04-14T00:00:00"/>
    <s v="ATALI MAKMUR"/>
    <x v="0"/>
    <s v=""/>
    <n v="4"/>
    <s v="binderclip280jk"/>
    <s v="binderclip280jk15228000.1250.05"/>
    <s v="binderclip280jk15228000.1250.05"/>
    <s v=""/>
    <s v=""/>
    <n v="223"/>
  </r>
  <r>
    <s v=""/>
    <s v=""/>
    <s v=""/>
    <n v="62"/>
    <m/>
    <m/>
    <m/>
    <m/>
    <m/>
    <m/>
    <m/>
    <x v="182"/>
    <m/>
    <n v="276"/>
    <s v="DZ"/>
    <n v="13200"/>
    <m/>
    <s v="144 DZ"/>
    <n v="0.125"/>
    <n v="0.05"/>
    <n v="3028410"/>
    <s v="BONUS "/>
    <n v="3643200"/>
    <n v="455400"/>
    <n v="159390"/>
    <n v="614790"/>
    <n v="3028410"/>
    <n v="13665127.5"/>
    <n v="49367272.5"/>
    <n v="3643200"/>
    <n v="3643200"/>
    <d v="2023-04-14T00:00:00"/>
    <s v="ATALI MAKMUR"/>
    <x v="0"/>
    <s v=""/>
    <n v="4"/>
    <s v="ballpenbp34912vokustransblackjkbonus"/>
    <s v="ballpenbp34912vokustransblackjkbonus36432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PMJ_1404_828-1"/>
    <e v="#REF!"/>
    <n v="63"/>
    <m/>
    <s v="PMJP"/>
    <s v="UNTANA"/>
    <s v="01828"/>
    <m/>
    <d v="2023-04-12T00:00:00"/>
    <m/>
    <x v="183"/>
    <n v="10"/>
    <n v="1440"/>
    <s v="LSN"/>
    <n v="25000"/>
    <m/>
    <m/>
    <m/>
    <m/>
    <m/>
    <m/>
    <n v="36000000"/>
    <n v="0"/>
    <n v="0"/>
    <n v="0"/>
    <n v="36000000"/>
    <n v="0"/>
    <n v="36000000"/>
    <n v="3600000"/>
    <n v="36000000"/>
    <d v="2023-04-14T00:00:00"/>
    <s v="PMJP"/>
    <x v="2"/>
    <n v="1"/>
    <n v="4"/>
    <s v="tz8401pen4warna"/>
    <s v="tz8401pen4warna3600000"/>
    <s v="tz8401pen4warna3600000"/>
    <s v="PMJPUNTANA0182845028tz8401pen4warna"/>
    <e v="#REF!"/>
    <n v="22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PPW_1404_V23-1"/>
    <e v="#REF!"/>
    <n v="64"/>
    <m/>
    <s v="PPW"/>
    <s v="UNTANA"/>
    <s v="0128/HW/IV/23"/>
    <m/>
    <d v="2023-04-13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14T00:00:00"/>
    <s v="PPW"/>
    <x v="2"/>
    <n v="1"/>
    <n v="4"/>
    <s v="bt30cm"/>
    <s v="bt30cm26780000.20.04"/>
    <s v="bt30cm26780000.20.04"/>
    <s v="PPWUNTANA0128/HW/IV/2345029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TJ_1404_N21-1"/>
    <e v="#REF!"/>
    <n v="65"/>
    <m/>
    <s v="ETJ"/>
    <s v="UNTANA"/>
    <s v="MARTIN21"/>
    <m/>
    <d v="2023-04-12T00:00:00"/>
    <m/>
    <x v="184"/>
    <n v="20"/>
    <n v="800"/>
    <s v="PCS"/>
    <n v="17500"/>
    <m/>
    <s v="40 PCS"/>
    <n v="0.27500000000000002"/>
    <m/>
    <m/>
    <m/>
    <n v="14000000"/>
    <n v="3850000.0000000005"/>
    <n v="0"/>
    <n v="3850000.0000000005"/>
    <n v="10150000"/>
    <n v="3850000.0000000005"/>
    <n v="10150000"/>
    <n v="700000"/>
    <n v="14000000"/>
    <d v="2023-04-14T00:00:00"/>
    <s v="ETJ"/>
    <x v="2"/>
    <n v="1"/>
    <n v="4"/>
    <s v="dispkjno50"/>
    <s v="dispkjno507000000.275"/>
    <s v="dispkjno507000000.275"/>
    <s v="ETJUNTANAMARTIN2145028dispkjno50"/>
    <e v="#REF!"/>
    <n v="62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KEN_2904_239-7"/>
    <e v="#REF!"/>
    <n v="66"/>
    <d v="2023-04-29T00:00:00"/>
    <s v="KENKO SINAR INDONESIA"/>
    <s v="ARTO MORO"/>
    <s v="23041239"/>
    <s v="SA 41157"/>
    <d v="2023-04-15T00:00:00"/>
    <m/>
    <x v="185"/>
    <n v="2"/>
    <m/>
    <m/>
    <m/>
    <n v="1548000"/>
    <m/>
    <n v="0.17"/>
    <m/>
    <m/>
    <m/>
    <n v="3096000"/>
    <n v="526320"/>
    <n v="0"/>
    <n v="526320"/>
    <n v="2569680"/>
    <s v=""/>
    <s v=""/>
    <n v="1548000"/>
    <s v=""/>
    <d v="2023-04-29T00:00:00"/>
    <s v="KENKO SINAR INDONESIA"/>
    <x v="0"/>
    <n v="7"/>
    <n v="4"/>
    <s v="kenkobinderclipno2806pcsbox"/>
    <s v="kenkobinderclipno2806pcsbox15480000.17"/>
    <s v="kenkobinderclipno2806pcsbox15480000.17"/>
    <s v="KENKO SINAR INDONESIAARTO MORO23041239SA 4115745031kenkobinderclipno2806pcsbox"/>
    <e v="#REF!"/>
    <n v="1122"/>
  </r>
  <r>
    <s v=""/>
    <s v=""/>
    <s v=""/>
    <n v="66"/>
    <m/>
    <m/>
    <m/>
    <m/>
    <m/>
    <m/>
    <m/>
    <x v="28"/>
    <n v="5"/>
    <m/>
    <m/>
    <m/>
    <n v="3888000"/>
    <m/>
    <n v="0.17"/>
    <m/>
    <m/>
    <m/>
    <n v="19440000"/>
    <n v="3304800.0000000005"/>
    <n v="0"/>
    <n v="3304800.0000000005"/>
    <n v="16135200"/>
    <s v=""/>
    <s v=""/>
    <n v="3888000"/>
    <s v=""/>
    <d v="2023-04-29T00:00:00"/>
    <s v="KENKO SINAR INDONESIA"/>
    <x v="0"/>
    <s v=""/>
    <n v="4"/>
    <s v="kenkocutterbladel15018mm"/>
    <s v="kenkocutterbladel15018mm38880000.17"/>
    <s v="kenkocutterbladel15018mm38880000.17"/>
    <s v=""/>
    <s v=""/>
    <n v="1206"/>
  </r>
  <r>
    <s v=""/>
    <s v=""/>
    <s v=""/>
    <n v="66"/>
    <m/>
    <m/>
    <m/>
    <m/>
    <m/>
    <m/>
    <m/>
    <x v="186"/>
    <n v="1"/>
    <m/>
    <m/>
    <m/>
    <n v="5702400"/>
    <m/>
    <n v="0.17"/>
    <m/>
    <m/>
    <m/>
    <n v="5702400"/>
    <n v="969408.00000000012"/>
    <n v="0"/>
    <n v="969408.00000000012"/>
    <n v="4732992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6"/>
    <m/>
    <m/>
    <m/>
    <m/>
    <m/>
    <m/>
    <m/>
    <x v="187"/>
    <n v="4"/>
    <m/>
    <m/>
    <m/>
    <n v="2952000"/>
    <m/>
    <n v="0.17"/>
    <m/>
    <m/>
    <m/>
    <n v="11808000"/>
    <n v="2007360.0000000002"/>
    <n v="0"/>
    <n v="2007360.0000000002"/>
    <n v="9800640"/>
    <s v=""/>
    <s v=""/>
    <n v="2952000"/>
    <s v=""/>
    <d v="2023-04-29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66"/>
    <m/>
    <m/>
    <m/>
    <m/>
    <m/>
    <m/>
    <m/>
    <x v="188"/>
    <n v="10"/>
    <m/>
    <m/>
    <m/>
    <n v="2088000"/>
    <m/>
    <n v="0.17"/>
    <m/>
    <m/>
    <m/>
    <n v="20880000"/>
    <n v="3549600.0000000005"/>
    <n v="0"/>
    <n v="3549600.0000000005"/>
    <n v="17330400"/>
    <s v=""/>
    <s v=""/>
    <n v="2088000"/>
    <s v=""/>
    <d v="2023-04-29T00:00:00"/>
    <s v="KENKO SINAR INDONESIA"/>
    <x v="0"/>
    <s v=""/>
    <n v="4"/>
    <s v="titi12coloroilpasteltip12s"/>
    <s v="titi12coloroilpasteltip12s20880000.17"/>
    <s v="titi12coloroilpasteltip12s20880000.17"/>
    <s v=""/>
    <s v=""/>
    <n v="2211"/>
  </r>
  <r>
    <s v=""/>
    <s v=""/>
    <s v=""/>
    <n v="66"/>
    <m/>
    <m/>
    <m/>
    <m/>
    <m/>
    <m/>
    <m/>
    <x v="189"/>
    <n v="2"/>
    <m/>
    <m/>
    <m/>
    <n v="1944000"/>
    <m/>
    <n v="0.17"/>
    <m/>
    <m/>
    <m/>
    <n v="3888000"/>
    <n v="660960"/>
    <n v="0"/>
    <n v="660960"/>
    <n v="3227040"/>
    <s v=""/>
    <s v=""/>
    <n v="1944000"/>
    <s v=""/>
    <d v="2023-04-29T00:00:00"/>
    <s v="KENKO SINAR INDONESIA"/>
    <x v="0"/>
    <s v=""/>
    <n v="4"/>
    <s v="titi18coloroilpasteltip18s"/>
    <s v="titi18coloroilpasteltip18s19440000.17"/>
    <s v="titi18coloroilpasteltip18s19440000.17"/>
    <s v=""/>
    <s v=""/>
    <n v="2213"/>
  </r>
  <r>
    <s v=""/>
    <s v=""/>
    <s v=""/>
    <n v="66"/>
    <m/>
    <m/>
    <m/>
    <m/>
    <m/>
    <m/>
    <m/>
    <x v="190"/>
    <n v="1"/>
    <m/>
    <m/>
    <m/>
    <n v="1710000"/>
    <m/>
    <n v="0.17"/>
    <m/>
    <m/>
    <m/>
    <n v="1710000"/>
    <n v="290700"/>
    <n v="0"/>
    <n v="290700"/>
    <n v="1419300"/>
    <n v="11309148.000000002"/>
    <n v="55215252"/>
    <n v="1710000"/>
    <s v=""/>
    <d v="2023-04-29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KEN_2904_064-11"/>
    <e v="#REF!"/>
    <n v="67"/>
    <m/>
    <s v="KENKO SINAR INDONESIA"/>
    <s v="ARTO MORO"/>
    <s v="23041064"/>
    <s v="SA 41125"/>
    <d v="2023-04-14T00:00:00"/>
    <m/>
    <x v="114"/>
    <n v="1"/>
    <m/>
    <m/>
    <m/>
    <n v="844800"/>
    <m/>
    <n v="0.17"/>
    <m/>
    <m/>
    <m/>
    <n v="844800"/>
    <n v="143616"/>
    <n v="0"/>
    <n v="143616"/>
    <n v="701184"/>
    <s v=""/>
    <s v=""/>
    <n v="844800"/>
    <s v=""/>
    <d v="2023-04-29T00:00:00"/>
    <s v="KENKO SINAR INDONESIA"/>
    <x v="0"/>
    <n v="11"/>
    <n v="4"/>
    <s v="kenkolooseleafa5ll502070"/>
    <s v="kenkolooseleafa5ll5020708448000.17"/>
    <s v="kenkolooseleafa5ll5020708448000.17"/>
    <s v="KENKO SINAR INDONESIAARTO MORO23041064SA 4112545030kenkolooseleafa5ll502070"/>
    <e v="#REF!"/>
    <n v="1292"/>
  </r>
  <r>
    <s v=""/>
    <s v=""/>
    <s v=""/>
    <n v="67"/>
    <m/>
    <m/>
    <m/>
    <m/>
    <m/>
    <m/>
    <m/>
    <x v="115"/>
    <n v="1"/>
    <m/>
    <m/>
    <m/>
    <n v="801600"/>
    <m/>
    <n v="0.17"/>
    <m/>
    <m/>
    <m/>
    <n v="801600"/>
    <n v="136272"/>
    <n v="0"/>
    <n v="136272"/>
    <n v="665328"/>
    <s v=""/>
    <s v=""/>
    <n v="801600"/>
    <s v=""/>
    <d v="2023-04-29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67"/>
    <m/>
    <m/>
    <m/>
    <m/>
    <m/>
    <m/>
    <m/>
    <x v="117"/>
    <n v="1"/>
    <m/>
    <m/>
    <m/>
    <n v="1040000"/>
    <m/>
    <n v="0.17"/>
    <m/>
    <m/>
    <m/>
    <n v="1040000"/>
    <n v="176800"/>
    <n v="0"/>
    <n v="176800"/>
    <n v="863200"/>
    <s v=""/>
    <s v=""/>
    <n v="1040000"/>
    <s v=""/>
    <d v="2023-04-29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n v="67"/>
    <m/>
    <m/>
    <m/>
    <m/>
    <m/>
    <m/>
    <m/>
    <x v="191"/>
    <n v="3"/>
    <m/>
    <m/>
    <m/>
    <n v="732000"/>
    <m/>
    <n v="0.17"/>
    <m/>
    <m/>
    <m/>
    <n v="2196000"/>
    <n v="373320"/>
    <n v="0"/>
    <n v="373320"/>
    <n v="1822680"/>
    <s v=""/>
    <s v=""/>
    <n v="732000"/>
    <s v=""/>
    <d v="2023-04-29T00:00:00"/>
    <s v="KENKO SINAR INDONESIA"/>
    <x v="0"/>
    <s v=""/>
    <n v="4"/>
    <s v="kenkoclothtape48mmbluecoreblack"/>
    <s v="kenkoclothtape48mmbluecoreblack7320000.17"/>
    <s v="kenkoclothtape48mmbluecoreblack7320000.17"/>
    <s v=""/>
    <s v=""/>
    <n v="1153"/>
  </r>
  <r>
    <s v=""/>
    <s v=""/>
    <s v=""/>
    <n v="67"/>
    <m/>
    <m/>
    <m/>
    <m/>
    <m/>
    <m/>
    <m/>
    <x v="192"/>
    <n v="1"/>
    <m/>
    <m/>
    <m/>
    <n v="2592000"/>
    <m/>
    <n v="0.17"/>
    <m/>
    <m/>
    <m/>
    <n v="2592000"/>
    <n v="440640.00000000006"/>
    <n v="0"/>
    <n v="440640.00000000006"/>
    <n v="2151360"/>
    <s v=""/>
    <s v=""/>
    <n v="2592000"/>
    <s v=""/>
    <d v="2023-04-29T00:00:00"/>
    <s v="KENKO SINAR INDONESIA"/>
    <x v="0"/>
    <s v=""/>
    <n v="4"/>
    <s v="kenkocorrectiontapect634n8mx5mm"/>
    <s v="kenkocorrectiontapect634n8mx5mm25920000.17"/>
    <s v="kenkocorrectiontapect634n8mx5mm25920000.17"/>
    <s v=""/>
    <s v=""/>
    <n v="1189"/>
  </r>
  <r>
    <s v=""/>
    <s v=""/>
    <s v=""/>
    <n v="67"/>
    <m/>
    <m/>
    <m/>
    <m/>
    <m/>
    <m/>
    <m/>
    <x v="193"/>
    <n v="2"/>
    <m/>
    <m/>
    <m/>
    <n v="2880000"/>
    <m/>
    <n v="0.17"/>
    <m/>
    <m/>
    <m/>
    <n v="5760000"/>
    <n v="979200.00000000012"/>
    <n v="0"/>
    <n v="979200.00000000012"/>
    <n v="4780800"/>
    <s v=""/>
    <s v=""/>
    <n v="2880000"/>
    <s v=""/>
    <d v="2023-04-29T00:00:00"/>
    <s v="KENKO SINAR INDONESIA"/>
    <x v="0"/>
    <s v=""/>
    <n v="4"/>
    <s v="kenkocorrectiontapect90212mx5mm"/>
    <s v="kenkocorrectiontapect90212mx5mm28800000.17"/>
    <s v="kenkocorrectiontapect90212mx5mm28800000.17"/>
    <s v=""/>
    <s v=""/>
    <n v="1196"/>
  </r>
  <r>
    <s v=""/>
    <s v=""/>
    <s v=""/>
    <n v="67"/>
    <m/>
    <m/>
    <m/>
    <m/>
    <m/>
    <m/>
    <m/>
    <x v="194"/>
    <n v="1"/>
    <m/>
    <m/>
    <m/>
    <n v="2880000"/>
    <m/>
    <n v="0.17"/>
    <m/>
    <m/>
    <m/>
    <n v="2880000"/>
    <n v="489600.00000000006"/>
    <n v="0"/>
    <n v="489600.00000000006"/>
    <n v="2390400"/>
    <s v=""/>
    <s v=""/>
    <n v="2880000"/>
    <s v=""/>
    <d v="2023-04-29T00:00:00"/>
    <s v="KENKO SINAR INDONESIA"/>
    <x v="0"/>
    <s v=""/>
    <n v="4"/>
    <s v="kenkocorrectiontapect902p12mx5mm"/>
    <s v="kenkocorrectiontapect902p12mx5mm28800000.17"/>
    <s v="kenkocorrectiontapect902p12mx5mm28800000.17"/>
    <s v=""/>
    <s v=""/>
    <n v="1197"/>
  </r>
  <r>
    <s v=""/>
    <s v=""/>
    <s v=""/>
    <n v="67"/>
    <m/>
    <m/>
    <m/>
    <m/>
    <m/>
    <m/>
    <m/>
    <x v="195"/>
    <n v="2"/>
    <m/>
    <m/>
    <m/>
    <n v="2995200"/>
    <m/>
    <n v="0.17"/>
    <m/>
    <m/>
    <m/>
    <n v="5990400"/>
    <n v="1018368.0000000001"/>
    <n v="0"/>
    <n v="1018368.0000000001"/>
    <n v="4972032"/>
    <s v=""/>
    <s v=""/>
    <n v="2995200"/>
    <s v=""/>
    <d v="2023-04-29T00:00:00"/>
    <s v="KENKO SINAR INDONESIA"/>
    <x v="0"/>
    <s v=""/>
    <n v="4"/>
    <s v="kenkocorrectiontapect90512mx5mm"/>
    <s v="kenkocorrectiontapect90512mx5mm29952000.17"/>
    <s v="kenkocorrectiontapect90512mx5mm29952000.17"/>
    <s v=""/>
    <s v=""/>
    <n v="1200"/>
  </r>
  <r>
    <s v=""/>
    <s v=""/>
    <s v=""/>
    <n v="67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7"/>
    <m/>
    <m/>
    <m/>
    <m/>
    <m/>
    <m/>
    <m/>
    <x v="197"/>
    <n v="2"/>
    <m/>
    <m/>
    <m/>
    <n v="2764800"/>
    <m/>
    <n v="0.17"/>
    <m/>
    <m/>
    <m/>
    <n v="5529600"/>
    <n v="940032.00000000012"/>
    <n v="0"/>
    <n v="940032.00000000012"/>
    <n v="4589568"/>
    <s v=""/>
    <s v=""/>
    <n v="2764800"/>
    <s v=""/>
    <d v="2023-04-29T00:00:00"/>
    <s v="KENKO SINAR INDONESIA"/>
    <x v="0"/>
    <s v=""/>
    <n v="4"/>
    <s v="kenkogelpenke100black"/>
    <s v="kenkogelpenke100black27648000.17"/>
    <s v="kenkogelpenke100black27648000.17"/>
    <s v=""/>
    <s v=""/>
    <n v="1243"/>
  </r>
  <r>
    <s v=""/>
    <s v=""/>
    <s v=""/>
    <n v="67"/>
    <m/>
    <m/>
    <m/>
    <m/>
    <m/>
    <m/>
    <m/>
    <x v="198"/>
    <n v="1"/>
    <m/>
    <m/>
    <m/>
    <n v="1464000"/>
    <m/>
    <n v="0.17"/>
    <m/>
    <m/>
    <m/>
    <n v="1464000"/>
    <n v="248880.00000000003"/>
    <n v="0"/>
    <n v="248880.00000000003"/>
    <n v="1215120"/>
    <n v="6885544"/>
    <n v="33617656"/>
    <n v="1464000"/>
    <s v=""/>
    <d v="2023-04-29T00:00:00"/>
    <s v="KENKO SINAR INDONESIA"/>
    <x v="0"/>
    <s v=""/>
    <n v="4"/>
    <s v="kenkohighlighterhl100yellow"/>
    <s v="kenkohighlighterhl100yellow14640000.17"/>
    <s v="kenkohighlighterhl100yellow14640000.17"/>
    <s v=""/>
    <s v=""/>
    <n v="12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KEN_2904_047-7"/>
    <e v="#REF!"/>
    <n v="68"/>
    <m/>
    <s v="KENKO SINAR INDONESIA"/>
    <s v="ARTO MORO"/>
    <s v="23041047"/>
    <s v="SA 41105"/>
    <d v="2023-04-14T00:00:00"/>
    <m/>
    <x v="199"/>
    <n v="2"/>
    <m/>
    <m/>
    <m/>
    <n v="3801600"/>
    <m/>
    <n v="0.17"/>
    <m/>
    <m/>
    <m/>
    <n v="7603200"/>
    <n v="1292544"/>
    <n v="0"/>
    <n v="1292544"/>
    <n v="6310656"/>
    <s v=""/>
    <s v=""/>
    <n v="3801600"/>
    <s v=""/>
    <d v="2023-04-29T00:00:00"/>
    <s v="KENKO SINAR INDONESIA"/>
    <x v="0"/>
    <n v="7"/>
    <n v="4"/>
    <s v="kenkocolorpencilcp12halfclassic"/>
    <s v="kenkocolorpencilcp12halfclassic38016000.17"/>
    <s v="kenkocolorpencilcp12halfclassic38016000.17"/>
    <s v="KENKO SINAR INDONESIAARTO MORO23041047SA 4110545030kenkocolorpencilcp12halfclassic"/>
    <e v="#REF!"/>
    <n v="1160"/>
  </r>
  <r>
    <s v=""/>
    <s v=""/>
    <s v=""/>
    <n v="68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8"/>
    <m/>
    <m/>
    <m/>
    <m/>
    <m/>
    <m/>
    <m/>
    <x v="0"/>
    <n v="5"/>
    <m/>
    <m/>
    <m/>
    <n v="3110400"/>
    <m/>
    <n v="0.17"/>
    <m/>
    <m/>
    <m/>
    <n v="15552000"/>
    <n v="2643840"/>
    <n v="0"/>
    <n v="2643840"/>
    <n v="12908160"/>
    <s v=""/>
    <s v=""/>
    <n v="3110400"/>
    <s v=""/>
    <d v="2023-04-29T00:00:00"/>
    <s v="KENKO SINAR INDONESIA"/>
    <x v="0"/>
    <s v=""/>
    <n v="4"/>
    <s v="kenkogelpenke303tgeltriangularblack"/>
    <s v="kenkogelpenke303tgeltriangularblack31104000.17"/>
    <s v="kenkogelpenke303tgeltriangularblack31104000.17"/>
    <s v=""/>
    <s v=""/>
    <n v="1247"/>
  </r>
  <r>
    <s v=""/>
    <s v=""/>
    <s v=""/>
    <n v="68"/>
    <m/>
    <m/>
    <m/>
    <m/>
    <m/>
    <m/>
    <m/>
    <x v="200"/>
    <n v="1"/>
    <m/>
    <m/>
    <m/>
    <n v="3240000"/>
    <m/>
    <n v="0.17"/>
    <m/>
    <m/>
    <m/>
    <n v="3240000"/>
    <n v="550800"/>
    <n v="0"/>
    <n v="550800"/>
    <n v="2689200"/>
    <s v=""/>
    <s v=""/>
    <n v="3240000"/>
    <s v=""/>
    <d v="2023-04-29T00:00:00"/>
    <s v="KENKO SINAR INDONESIA"/>
    <x v="0"/>
    <s v=""/>
    <n v="4"/>
    <s v="kenkocorrectiontapect200120mx5mm"/>
    <s v="kenkocorrectiontapect200120mx5mm32400000.17"/>
    <s v="kenkocorrectiontapect200120mx5mm32400000.17"/>
    <s v=""/>
    <s v=""/>
    <n v="1179"/>
  </r>
  <r>
    <s v=""/>
    <s v=""/>
    <s v=""/>
    <n v="68"/>
    <m/>
    <m/>
    <m/>
    <m/>
    <m/>
    <m/>
    <m/>
    <x v="201"/>
    <n v="2"/>
    <m/>
    <m/>
    <m/>
    <n v="4406400"/>
    <m/>
    <n v="0.17"/>
    <m/>
    <m/>
    <m/>
    <n v="8812800"/>
    <n v="1498176"/>
    <n v="0"/>
    <n v="1498176"/>
    <n v="7314624"/>
    <s v=""/>
    <s v=""/>
    <n v="4406400"/>
    <s v=""/>
    <d v="2023-04-29T00:00:00"/>
    <s v="KENKO SINAR INDONESIA"/>
    <x v="0"/>
    <s v=""/>
    <n v="4"/>
    <s v="kenkocorrectiontapect300130mx5mm"/>
    <s v="kenkocorrectiontapect300130mx5mm44064000.17"/>
    <s v="kenkocorrectiontapect300130mx5mm44064000.17"/>
    <s v=""/>
    <s v=""/>
    <n v="1182"/>
  </r>
  <r>
    <s v=""/>
    <s v=""/>
    <s v=""/>
    <n v="68"/>
    <m/>
    <m/>
    <m/>
    <m/>
    <m/>
    <m/>
    <m/>
    <x v="202"/>
    <n v="10"/>
    <m/>
    <m/>
    <m/>
    <n v="5616000"/>
    <m/>
    <n v="0.17"/>
    <m/>
    <m/>
    <m/>
    <n v="56160000"/>
    <n v="9547200"/>
    <n v="0"/>
    <n v="9547200"/>
    <n v="46612800"/>
    <s v=""/>
    <s v=""/>
    <n v="5616000"/>
    <s v=""/>
    <d v="2023-04-29T00:00:00"/>
    <s v="KENKO SINAR INDONESIA"/>
    <x v="0"/>
    <s v=""/>
    <n v="4"/>
    <s v="kenkogelpenhitechh028mmblack"/>
    <s v="kenkogelpenhitechh028mmblack56160000.17"/>
    <s v="kenkogelpenhitechh028mmblack56160000.17"/>
    <s v=""/>
    <s v=""/>
    <n v="1227"/>
  </r>
  <r>
    <s v=""/>
    <s v=""/>
    <s v=""/>
    <n v="68"/>
    <m/>
    <m/>
    <m/>
    <m/>
    <m/>
    <m/>
    <m/>
    <x v="203"/>
    <n v="3"/>
    <m/>
    <m/>
    <m/>
    <n v="5616000"/>
    <m/>
    <n v="0.17"/>
    <m/>
    <m/>
    <m/>
    <n v="16848000"/>
    <n v="2864160"/>
    <n v="0"/>
    <n v="2864160"/>
    <n v="13983840"/>
    <n v="20335536"/>
    <n v="99285264"/>
    <n v="5616000"/>
    <s v=""/>
    <d v="2023-04-29T00:00:00"/>
    <s v="KENKO SINAR INDONESIA"/>
    <x v="0"/>
    <s v=""/>
    <n v="4"/>
    <s v="kenkogelpenhitechh028mmblue"/>
    <s v="kenkogelpenhitechh028mmblue56160000.17"/>
    <s v="kenkogelpenhitechh028mmblue56160000.17"/>
    <s v=""/>
    <s v=""/>
    <n v="12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9"/>
    <s v="ATA_2904_293-9"/>
    <e v="#REF!"/>
    <n v="69"/>
    <m/>
    <s v="ATALI MAKMUR"/>
    <s v="ARTO MORO"/>
    <s v="SA230406293"/>
    <m/>
    <d v="2023-04-14T00:00:00"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n v="9"/>
    <n v="4"/>
    <s v="highlighterhl2greenjk"/>
    <s v="highlighterhl2greenjk6660000.1250.05"/>
    <s v="highlighterhl2greenjk37000.1250.05"/>
    <s v="ATALI MAKMURARTO MOROSA23040629345030highlighterhl2greenjk"/>
    <e v="#REF!"/>
    <n v="1035"/>
  </r>
  <r>
    <s v=""/>
    <s v=""/>
    <s v=""/>
    <n v="69"/>
    <m/>
    <m/>
    <m/>
    <m/>
    <m/>
    <m/>
    <m/>
    <x v="97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3bluejk"/>
    <s v="highlighterhl3bluejk6660000.1250.05"/>
    <s v="highlighterhl3bluejk37000.1250.05"/>
    <s v=""/>
    <s v=""/>
    <n v="1036"/>
  </r>
  <r>
    <s v=""/>
    <s v=""/>
    <s v=""/>
    <n v="69"/>
    <m/>
    <m/>
    <m/>
    <m/>
    <m/>
    <m/>
    <m/>
    <x v="98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4pinkjk"/>
    <s v="highlighterhl4pinkjk6660000.1250.05"/>
    <s v="highlighterhl4pinkjk37000.1250.05"/>
    <s v=""/>
    <s v=""/>
    <n v="1037"/>
  </r>
  <r>
    <s v=""/>
    <s v=""/>
    <s v=""/>
    <n v="69"/>
    <m/>
    <m/>
    <m/>
    <m/>
    <m/>
    <m/>
    <m/>
    <x v="204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5orangejk"/>
    <s v="highlighterhl5orangejk6660000.1250.05"/>
    <s v="highlighterhl5orangejk37000.1250.05"/>
    <s v=""/>
    <s v=""/>
    <n v="1038"/>
  </r>
  <r>
    <s v=""/>
    <s v=""/>
    <s v=""/>
    <n v="69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29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69"/>
    <m/>
    <m/>
    <m/>
    <m/>
    <m/>
    <m/>
    <m/>
    <x v="205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29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69"/>
    <m/>
    <m/>
    <m/>
    <m/>
    <m/>
    <m/>
    <m/>
    <x v="206"/>
    <n v="1"/>
    <n v="48"/>
    <s v="DZ"/>
    <n v="55800"/>
    <m/>
    <s v="48 DZ"/>
    <n v="0.125"/>
    <n v="0.05"/>
    <m/>
    <m/>
    <n v="2678400"/>
    <n v="334800"/>
    <n v="117180"/>
    <n v="451980"/>
    <n v="2226420"/>
    <s v=""/>
    <s v=""/>
    <n v="2678400"/>
    <n v="2678400"/>
    <d v="2023-04-29T00:00:00"/>
    <s v="ATALI MAKMUR"/>
    <x v="0"/>
    <s v=""/>
    <n v="4"/>
    <s v="cuttera300aautolockjk"/>
    <s v="cuttera300aautolockjk26784000.1250.05"/>
    <s v="cuttera300aautolockjk26784000.1250.05"/>
    <s v=""/>
    <s v=""/>
    <n v="593"/>
  </r>
  <r>
    <s v=""/>
    <s v=""/>
    <s v=""/>
    <n v="69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29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69"/>
    <m/>
    <m/>
    <m/>
    <m/>
    <m/>
    <m/>
    <m/>
    <x v="207"/>
    <m/>
    <n v="24"/>
    <s v="DZ"/>
    <m/>
    <m/>
    <s v="40 DZ"/>
    <n v="0.125"/>
    <n v="0.05"/>
    <m/>
    <s v="BONUS"/>
    <s v=""/>
    <s v=""/>
    <s v=""/>
    <s v=""/>
    <s v=""/>
    <n v="2387880"/>
    <n v="11762520"/>
    <n v="0"/>
    <s v=""/>
    <d v="2023-04-29T00:00:00"/>
    <s v="ATALI MAKMUR"/>
    <x v="0"/>
    <s v=""/>
    <n v="4"/>
    <s v="cutterbladel150amljkbonus"/>
    <s v="cutterbladel150amljkbonus00.1250.05"/>
    <s v="cutterbladel150amljkbonus00.1250.05"/>
    <s v=""/>
    <s v=""/>
    <n v="59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84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29">
        <item x="20"/>
        <item m="1" x="476"/>
        <item m="1" x="467"/>
        <item x="31"/>
        <item m="1" x="415"/>
        <item m="1" x="245"/>
        <item m="1" x="284"/>
        <item m="1" x="369"/>
        <item m="1" x="363"/>
        <item x="68"/>
        <item x="69"/>
        <item m="1" x="394"/>
        <item m="1" x="617"/>
        <item m="1" x="555"/>
        <item m="1" x="330"/>
        <item m="1" x="549"/>
        <item m="1" x="304"/>
        <item m="1" x="365"/>
        <item m="1" x="247"/>
        <item m="1" x="414"/>
        <item m="1" x="504"/>
        <item m="1" x="409"/>
        <item m="1" x="342"/>
        <item m="1" x="264"/>
        <item m="1" x="589"/>
        <item m="1" x="480"/>
        <item m="1" x="214"/>
        <item m="1" x="606"/>
        <item m="1" x="492"/>
        <item m="1" x="410"/>
        <item m="1" x="337"/>
        <item x="199"/>
        <item x="113"/>
        <item m="1" x="368"/>
        <item m="1" x="618"/>
        <item m="1" x="299"/>
        <item m="1" x="374"/>
        <item x="16"/>
        <item m="1" x="376"/>
        <item m="1" x="389"/>
        <item m="1" x="213"/>
        <item m="1" x="353"/>
        <item m="1" x="419"/>
        <item m="1" x="279"/>
        <item m="1" x="360"/>
        <item m="1" x="422"/>
        <item m="1" x="347"/>
        <item x="107"/>
        <item m="1" x="482"/>
        <item m="1" x="267"/>
        <item m="1" x="258"/>
        <item m="1" x="312"/>
        <item x="91"/>
        <item x="127"/>
        <item x="160"/>
        <item m="1" x="407"/>
        <item m="1" x="554"/>
        <item m="1" x="276"/>
        <item m="1" x="515"/>
        <item m="1" x="395"/>
        <item m="1" x="375"/>
        <item m="1" x="540"/>
        <item m="1" x="275"/>
        <item m="1" x="572"/>
        <item m="1" x="600"/>
        <item m="1" x="580"/>
        <item m="1" x="497"/>
        <item m="1" x="305"/>
        <item m="1" x="603"/>
        <item m="1" x="335"/>
        <item m="1" x="248"/>
        <item m="1" x="306"/>
        <item m="1" x="604"/>
        <item m="1" x="339"/>
        <item m="1" x="249"/>
        <item x="9"/>
        <item x="85"/>
        <item m="1" x="530"/>
        <item m="1" x="382"/>
        <item m="1" x="322"/>
        <item x="86"/>
        <item x="87"/>
        <item x="159"/>
        <item x="150"/>
        <item m="1" x="215"/>
        <item x="100"/>
        <item x="101"/>
        <item x="164"/>
        <item m="1" x="553"/>
        <item m="1" x="460"/>
        <item m="1" x="569"/>
        <item m="1" x="218"/>
        <item m="1" x="551"/>
        <item m="1" x="392"/>
        <item m="1" x="396"/>
        <item m="1" x="398"/>
        <item m="1" x="590"/>
        <item m="1" x="324"/>
        <item m="1" x="346"/>
        <item m="1" x="272"/>
        <item m="1" x="526"/>
        <item m="1" x="434"/>
        <item m="1" x="547"/>
        <item m="1" x="616"/>
        <item m="1" x="475"/>
        <item m="1" x="523"/>
        <item m="1" x="233"/>
        <item m="1" x="584"/>
        <item m="1" x="270"/>
        <item m="1" x="512"/>
        <item x="78"/>
        <item x="79"/>
        <item m="1" x="534"/>
        <item m="1" x="232"/>
        <item m="1" x="516"/>
        <item m="1" x="405"/>
        <item m="1" x="478"/>
        <item m="1" x="281"/>
        <item m="1" x="469"/>
        <item m="1" x="393"/>
        <item m="1" x="302"/>
        <item m="1" x="351"/>
        <item m="1" x="558"/>
        <item m="1" x="329"/>
        <item m="1" x="601"/>
        <item m="1" x="274"/>
        <item m="1" x="433"/>
        <item m="1" x="371"/>
        <item m="1" x="513"/>
        <item m="1" x="610"/>
        <item m="1" x="611"/>
        <item x="34"/>
        <item m="1" x="538"/>
        <item x="49"/>
        <item m="1" x="424"/>
        <item m="1" x="429"/>
        <item m="1" x="350"/>
        <item m="1" x="463"/>
        <item m="1" x="300"/>
        <item m="1" x="420"/>
        <item m="1" x="294"/>
        <item m="1" x="466"/>
        <item m="1" x="522"/>
        <item x="118"/>
        <item m="1" x="620"/>
        <item m="1" x="263"/>
        <item m="1" x="535"/>
        <item m="1" x="256"/>
        <item m="1" x="483"/>
        <item m="1" x="520"/>
        <item m="1" x="377"/>
        <item m="1" x="378"/>
        <item m="1" x="379"/>
        <item m="1" x="380"/>
        <item m="1" x="607"/>
        <item x="47"/>
        <item m="1" x="319"/>
        <item m="1" x="568"/>
        <item m="1" x="561"/>
        <item x="83"/>
        <item m="1" x="366"/>
        <item x="128"/>
        <item x="161"/>
        <item m="1" x="412"/>
        <item m="1" x="518"/>
        <item m="1" x="428"/>
        <item m="1" x="550"/>
        <item m="1" x="273"/>
        <item m="1" x="417"/>
        <item m="1" x="343"/>
        <item m="1" x="562"/>
        <item m="1" x="563"/>
        <item m="1" x="565"/>
        <item m="1" x="468"/>
        <item m="1" x="432"/>
        <item x="166"/>
        <item m="1" x="537"/>
        <item m="1" x="310"/>
        <item m="1" x="209"/>
        <item x="60"/>
        <item m="1" x="349"/>
        <item m="1" x="292"/>
        <item m="1" x="268"/>
        <item m="1" x="326"/>
        <item m="1" x="416"/>
        <item m="1" x="257"/>
        <item m="1" x="552"/>
        <item m="1" x="479"/>
        <item m="1" x="227"/>
        <item m="1" x="436"/>
        <item m="1" x="297"/>
        <item m="1" x="501"/>
        <item x="88"/>
        <item m="1" x="411"/>
        <item m="1" x="541"/>
        <item m="1" x="280"/>
        <item m="1" x="348"/>
        <item m="1" x="229"/>
        <item m="1" x="544"/>
        <item m="1" x="219"/>
        <item m="1" x="237"/>
        <item m="1" x="244"/>
        <item m="1" x="358"/>
        <item m="1" x="359"/>
        <item m="1" x="454"/>
        <item m="1" x="560"/>
        <item m="1" x="391"/>
        <item m="1" x="623"/>
        <item m="1" x="402"/>
        <item m="1" x="474"/>
        <item m="1" x="291"/>
        <item m="1" x="308"/>
        <item m="1" x="442"/>
        <item m="1" x="399"/>
        <item m="1" x="271"/>
        <item m="1" x="265"/>
        <item x="114"/>
        <item x="117"/>
        <item m="1" x="472"/>
        <item m="1" x="494"/>
        <item m="1" x="495"/>
        <item m="1" x="496"/>
        <item m="1" x="573"/>
        <item m="1" x="293"/>
        <item m="1" x="211"/>
        <item m="1" x="408"/>
        <item m="1" x="210"/>
        <item x="18"/>
        <item m="1" x="338"/>
        <item m="1" x="619"/>
        <item x="104"/>
        <item m="1" x="254"/>
        <item m="1" x="465"/>
        <item m="1" x="627"/>
        <item m="1" x="246"/>
        <item m="1" x="489"/>
        <item m="1" x="243"/>
        <item m="1" x="242"/>
        <item m="1" x="240"/>
        <item m="1" x="238"/>
        <item m="1" x="236"/>
        <item m="1" x="235"/>
        <item m="1" x="234"/>
        <item m="1" x="461"/>
        <item m="1" x="458"/>
        <item m="1" x="456"/>
        <item m="1" x="453"/>
        <item m="1" x="451"/>
        <item m="1" x="450"/>
        <item m="1" x="449"/>
        <item m="1" x="446"/>
        <item m="1" x="255"/>
        <item m="1" x="222"/>
        <item m="1" x="559"/>
        <item m="1" x="521"/>
        <item m="1" x="500"/>
        <item m="1" x="327"/>
        <item m="1" x="356"/>
        <item m="1" x="383"/>
        <item m="1" x="586"/>
        <item m="1" x="486"/>
        <item m="1" x="252"/>
        <item m="1" x="583"/>
        <item m="1" x="487"/>
        <item m="1" x="491"/>
        <item m="1" x="493"/>
        <item m="1" x="462"/>
        <item m="1" x="251"/>
        <item m="1" x="354"/>
        <item m="1" x="579"/>
        <item m="1" x="288"/>
        <item m="1" x="397"/>
        <item m="1" x="527"/>
        <item m="1" x="509"/>
        <item m="1" x="228"/>
        <item m="1" x="477"/>
        <item m="1" x="621"/>
        <item m="1" x="438"/>
        <item m="1" x="543"/>
        <item m="1" x="289"/>
        <item x="138"/>
        <item m="1" x="533"/>
        <item x="134"/>
        <item x="177"/>
        <item m="1" x="364"/>
        <item x="102"/>
        <item x="142"/>
        <item x="154"/>
        <item x="205"/>
        <item m="1" x="387"/>
        <item m="1" x="587"/>
        <item m="1" x="470"/>
        <item m="1" x="333"/>
        <item m="1" x="404"/>
        <item m="1" x="430"/>
        <item x="133"/>
        <item m="1" x="441"/>
        <item m="1" x="498"/>
        <item m="1" x="525"/>
        <item m="1" x="285"/>
        <item m="1" x="626"/>
        <item m="1" x="250"/>
        <item m="1" x="390"/>
        <item m="1" x="317"/>
        <item m="1" x="421"/>
        <item x="162"/>
        <item m="1" x="452"/>
        <item m="1" x="435"/>
        <item m="1" x="283"/>
        <item m="1" x="320"/>
        <item m="1" x="459"/>
        <item m="1" x="400"/>
        <item x="163"/>
        <item x="82"/>
        <item m="1" x="545"/>
        <item m="1" x="484"/>
        <item m="1" x="614"/>
        <item m="1" x="455"/>
        <item m="1" x="278"/>
        <item m="1" x="591"/>
        <item m="1" x="223"/>
        <item m="1" x="309"/>
        <item m="1" x="224"/>
        <item m="1" x="295"/>
        <item m="1" x="593"/>
        <item m="1" x="384"/>
        <item m="1" x="260"/>
        <item m="1" x="608"/>
        <item m="1" x="594"/>
        <item m="1" x="385"/>
        <item m="1" x="261"/>
        <item m="1" x="609"/>
        <item m="1" x="598"/>
        <item m="1" x="401"/>
        <item m="1" x="556"/>
        <item m="1" x="582"/>
        <item x="64"/>
        <item m="1" x="557"/>
        <item x="29"/>
        <item m="1" x="303"/>
        <item x="84"/>
        <item m="1" x="316"/>
        <item m="1" x="225"/>
        <item x="129"/>
        <item m="1" x="403"/>
        <item x="196"/>
        <item m="1" x="578"/>
        <item m="1" x="269"/>
        <item m="1" x="241"/>
        <item m="1" x="488"/>
        <item m="1" x="622"/>
        <item m="1" x="262"/>
        <item m="1" x="443"/>
        <item m="1" x="290"/>
        <item m="1" x="277"/>
        <item m="1" x="511"/>
        <item m="1" x="542"/>
        <item m="1" x="457"/>
        <item m="1" x="226"/>
        <item m="1" x="345"/>
        <item m="1" x="570"/>
        <item m="1" x="221"/>
        <item m="1" x="325"/>
        <item m="1" x="361"/>
        <item m="1" x="445"/>
        <item m="1" x="418"/>
        <item x="146"/>
        <item m="1" x="595"/>
        <item m="1" x="571"/>
        <item m="1" x="341"/>
        <item m="1" x="334"/>
        <item m="1" x="313"/>
        <item m="1" x="301"/>
        <item m="1" x="336"/>
        <item m="1" x="321"/>
        <item m="1" x="539"/>
        <item m="1" x="367"/>
        <item m="1" x="381"/>
        <item m="1" x="311"/>
        <item m="1" x="505"/>
        <item m="1" x="596"/>
        <item m="1" x="298"/>
        <item m="1" x="340"/>
        <item m="1" x="624"/>
        <item m="1" x="425"/>
        <item m="1" x="426"/>
        <item m="1" x="503"/>
        <item m="1" x="318"/>
        <item m="1" x="253"/>
        <item m="1" x="588"/>
        <item m="1" x="448"/>
        <item m="1" x="485"/>
        <item m="1" x="517"/>
        <item m="1" x="315"/>
        <item m="1" x="323"/>
        <item m="1" x="362"/>
        <item m="1" x="615"/>
        <item m="1" x="217"/>
        <item m="1" x="287"/>
        <item m="1" x="536"/>
        <item m="1" x="597"/>
        <item m="1" x="499"/>
        <item m="1" x="506"/>
        <item m="1" x="296"/>
        <item m="1" x="413"/>
        <item m="1" x="208"/>
        <item m="1" x="259"/>
        <item m="1" x="406"/>
        <item m="1" x="431"/>
        <item m="1" x="508"/>
        <item m="1" x="212"/>
        <item m="1" x="599"/>
        <item m="1" x="328"/>
        <item m="1" x="357"/>
        <item m="1" x="602"/>
        <item m="1" x="546"/>
        <item m="1" x="370"/>
        <item m="1" x="423"/>
        <item m="1" x="548"/>
        <item m="1" x="332"/>
        <item m="1" x="514"/>
        <item m="1" x="585"/>
        <item m="1" x="528"/>
        <item m="1" x="437"/>
        <item m="1" x="481"/>
        <item m="1" x="239"/>
        <item m="1" x="355"/>
        <item m="1" x="372"/>
        <item m="1" x="230"/>
        <item m="1" x="519"/>
        <item m="1" x="567"/>
        <item m="1" x="464"/>
        <item m="1" x="581"/>
        <item m="1" x="444"/>
        <item m="1" x="529"/>
        <item m="1" x="447"/>
        <item m="1" x="524"/>
        <item m="1" x="490"/>
        <item m="1" x="577"/>
        <item m="1" x="576"/>
        <item m="1" x="575"/>
        <item m="1" x="574"/>
        <item m="1" x="507"/>
        <item m="1" x="286"/>
        <item m="1" x="220"/>
        <item m="1" x="331"/>
        <item m="1" x="373"/>
        <item m="1" x="531"/>
        <item m="1" x="282"/>
        <item m="1" x="605"/>
        <item m="1" x="613"/>
        <item m="1" x="344"/>
        <item m="1" x="566"/>
        <item m="1" x="564"/>
        <item m="1" x="216"/>
        <item m="1" x="625"/>
        <item m="1" x="471"/>
        <item m="1" x="473"/>
        <item m="1" x="612"/>
        <item m="1" x="510"/>
        <item m="1" x="352"/>
        <item m="1" x="231"/>
        <item m="1" x="439"/>
        <item m="1" x="592"/>
        <item m="1" x="532"/>
        <item m="1" x="502"/>
        <item x="119"/>
        <item x="51"/>
        <item m="1" x="388"/>
        <item x="115"/>
        <item x="197"/>
        <item m="1" x="440"/>
        <item m="1" x="386"/>
        <item m="1" x="314"/>
        <item m="1" x="266"/>
        <item m="1" x="427"/>
        <item m="1" x="30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7"/>
        <item x="19"/>
        <item x="21"/>
        <item x="22"/>
        <item x="23"/>
        <item x="24"/>
        <item x="25"/>
        <item x="26"/>
        <item x="27"/>
        <item x="28"/>
        <item x="30"/>
        <item x="32"/>
        <item x="33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8"/>
        <item x="50"/>
        <item x="52"/>
        <item x="53"/>
        <item x="54"/>
        <item x="55"/>
        <item x="56"/>
        <item x="57"/>
        <item x="58"/>
        <item x="59"/>
        <item x="61"/>
        <item x="62"/>
        <item x="63"/>
        <item x="65"/>
        <item x="66"/>
        <item x="67"/>
        <item x="70"/>
        <item x="71"/>
        <item x="72"/>
        <item x="73"/>
        <item x="74"/>
        <item x="75"/>
        <item x="76"/>
        <item x="77"/>
        <item x="80"/>
        <item x="81"/>
        <item x="89"/>
        <item x="90"/>
        <item x="92"/>
        <item x="93"/>
        <item x="94"/>
        <item x="95"/>
        <item x="96"/>
        <item x="97"/>
        <item x="98"/>
        <item x="99"/>
        <item x="103"/>
        <item x="105"/>
        <item x="106"/>
        <item x="108"/>
        <item x="109"/>
        <item x="110"/>
        <item x="111"/>
        <item x="112"/>
        <item x="116"/>
        <item x="120"/>
        <item x="121"/>
        <item x="122"/>
        <item x="123"/>
        <item x="124"/>
        <item x="125"/>
        <item x="126"/>
        <item x="130"/>
        <item x="131"/>
        <item x="132"/>
        <item x="135"/>
        <item x="136"/>
        <item x="137"/>
        <item x="139"/>
        <item x="140"/>
        <item x="141"/>
        <item x="143"/>
        <item x="144"/>
        <item x="145"/>
        <item x="147"/>
        <item x="148"/>
        <item x="149"/>
        <item x="151"/>
        <item x="152"/>
        <item x="153"/>
        <item x="155"/>
        <item x="156"/>
        <item x="157"/>
        <item x="158"/>
        <item x="165"/>
        <item x="167"/>
        <item x="168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8"/>
        <item x="200"/>
        <item x="201"/>
        <item x="202"/>
        <item x="203"/>
        <item x="204"/>
        <item x="206"/>
        <item x="20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68">
    <i>
      <x v="3"/>
    </i>
    <i>
      <x v="31"/>
    </i>
    <i>
      <x v="32"/>
    </i>
    <i>
      <x v="37"/>
    </i>
    <i>
      <x v="47"/>
    </i>
    <i>
      <x v="52"/>
    </i>
    <i>
      <x v="53"/>
    </i>
    <i>
      <x v="54"/>
    </i>
    <i>
      <x v="76"/>
    </i>
    <i>
      <x v="80"/>
    </i>
    <i>
      <x v="81"/>
    </i>
    <i>
      <x v="82"/>
    </i>
    <i>
      <x v="83"/>
    </i>
    <i>
      <x v="85"/>
    </i>
    <i>
      <x v="86"/>
    </i>
    <i>
      <x v="87"/>
    </i>
    <i>
      <x v="131"/>
    </i>
    <i>
      <x v="133"/>
    </i>
    <i>
      <x v="143"/>
    </i>
    <i>
      <x v="155"/>
    </i>
    <i>
      <x v="159"/>
    </i>
    <i>
      <x v="161"/>
    </i>
    <i>
      <x v="162"/>
    </i>
    <i>
      <x v="175"/>
    </i>
    <i>
      <x v="192"/>
    </i>
    <i>
      <x v="216"/>
    </i>
    <i>
      <x v="217"/>
    </i>
    <i>
      <x v="227"/>
    </i>
    <i>
      <x v="230"/>
    </i>
    <i>
      <x v="280"/>
    </i>
    <i>
      <x v="282"/>
    </i>
    <i>
      <x v="283"/>
    </i>
    <i>
      <x v="285"/>
    </i>
    <i>
      <x v="286"/>
    </i>
    <i>
      <x v="287"/>
    </i>
    <i>
      <x v="288"/>
    </i>
    <i>
      <x v="295"/>
    </i>
    <i>
      <x v="305"/>
    </i>
    <i>
      <x v="312"/>
    </i>
    <i>
      <x v="313"/>
    </i>
    <i>
      <x v="338"/>
    </i>
    <i>
      <x v="340"/>
    </i>
    <i>
      <x v="343"/>
    </i>
    <i>
      <x v="345"/>
    </i>
    <i>
      <x v="366"/>
    </i>
    <i>
      <x v="466"/>
    </i>
    <i>
      <x v="467"/>
    </i>
    <i>
      <x v="469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973" headerRowDxfId="229" dataDxfId="228">
  <autoFilter ref="A2:AP973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73"/>
  <sheetViews>
    <sheetView tabSelected="1" topLeftCell="A101" zoomScale="70" zoomScaleNormal="70" zoomScaleSheetLayoutView="55" workbookViewId="0">
      <selection activeCell="H117" sqref="H117"/>
    </sheetView>
  </sheetViews>
  <sheetFormatPr defaultRowHeight="20.100000000000001" customHeight="1" outlineLevelCol="1" x14ac:dyDescent="0.25"/>
  <cols>
    <col min="1" max="1" width="3.85546875" style="14" customWidth="1"/>
    <col min="2" max="2" width="19.710937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26" style="21" customWidth="1"/>
    <col min="9" max="9" width="10.7109375" style="14" customWidth="1"/>
    <col min="10" max="10" width="13.140625" style="16" customWidth="1"/>
    <col min="11" max="11" width="5.28515625" style="14" customWidth="1"/>
    <col min="12" max="12" width="57.140625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2.140625" style="17" customWidth="1" outlineLevel="1"/>
    <col min="17" max="17" width="14.285156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28515625" style="14" customWidth="1"/>
    <col min="22" max="22" width="45.85546875" style="27" customWidth="1"/>
    <col min="23" max="23" width="17.7109375" customWidth="1"/>
    <col min="24" max="24" width="15.42578125" style="17" customWidth="1"/>
    <col min="25" max="25" width="15.42578125" style="17" customWidth="1" outlineLevel="1"/>
    <col min="26" max="26" width="16.42578125" style="17" customWidth="1" outlineLevel="1"/>
    <col min="27" max="27" width="17.7109375" style="17" customWidth="1"/>
    <col min="28" max="28" width="16.42578125" style="17" customWidth="1"/>
    <col min="29" max="29" width="18.140625" customWidth="1"/>
    <col min="30" max="30" width="11.140625" style="19" customWidth="1"/>
    <col min="31" max="31" width="17.7109375" style="17" customWidth="1"/>
    <col min="32" max="32" width="12.42578125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10" style="14" customWidth="1"/>
    <col min="37" max="37" width="42.5703125" style="14" customWidth="1"/>
    <col min="38" max="39" width="60.7109375" customWidth="1"/>
    <col min="40" max="40" width="105.42578125" customWidth="1"/>
    <col min="41" max="41" width="27.28515625" customWidth="1"/>
    <col min="42" max="42" width="6.28515625" style="16" customWidth="1" outlineLevel="1"/>
    <col min="43" max="43" width="26.85546875" style="14" customWidth="1" outlineLevel="1"/>
    <col min="44" max="44" width="28" style="14" customWidth="1" outlineLevel="1"/>
    <col min="45" max="16384" width="9.140625" style="14"/>
  </cols>
  <sheetData>
    <row r="1" spans="1:42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  <c r="AO1" s="14"/>
      <c r="AP1" s="14"/>
    </row>
    <row r="2" spans="1:42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96</v>
      </c>
      <c r="AI2" s="14" t="s">
        <v>80</v>
      </c>
      <c r="AJ2" s="14" t="s">
        <v>53</v>
      </c>
      <c r="AK2" s="14" t="s">
        <v>111</v>
      </c>
      <c r="AL2" s="14" t="s">
        <v>110</v>
      </c>
      <c r="AM2" s="14" t="s">
        <v>144</v>
      </c>
      <c r="AN2" s="14" t="s">
        <v>145</v>
      </c>
      <c r="AO2" s="14" t="s">
        <v>146</v>
      </c>
      <c r="AP2" s="175" t="s">
        <v>112</v>
      </c>
    </row>
    <row r="3" spans="1:42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KEN_0304_005-9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45019</v>
      </c>
      <c r="F3" s="26" t="s">
        <v>23</v>
      </c>
      <c r="G3" s="26" t="s">
        <v>24</v>
      </c>
      <c r="H3" s="31" t="s">
        <v>147</v>
      </c>
      <c r="I3" s="26" t="s">
        <v>154</v>
      </c>
      <c r="J3" s="51">
        <v>45017</v>
      </c>
      <c r="K3" s="26"/>
      <c r="L3" s="26" t="s">
        <v>148</v>
      </c>
      <c r="M3" s="39">
        <v>8</v>
      </c>
      <c r="N3" s="26"/>
      <c r="O3" s="26"/>
      <c r="P3" s="49"/>
      <c r="Q3" s="52">
        <v>3110400</v>
      </c>
      <c r="R3" s="39" t="s">
        <v>155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24883200</v>
      </c>
      <c r="X3" s="54">
        <f>IF(NOTA[[#This Row],[JUMLAH]]="","",NOTA[[#This Row],[JUMLAH]]*NOTA[[#This Row],[DISC 1]])</f>
        <v>4230144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4230144</v>
      </c>
      <c r="AA3" s="54">
        <f>IF(NOTA[[#This Row],[JUMLAH]]="","",NOTA[[#This Row],[JUMLAH]]-NOTA[[#This Row],[DISC]])</f>
        <v>20653056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45019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9</v>
      </c>
      <c r="AJ3" s="38">
        <f>IF(NOTA[[#This Row],[TGL.NOTA]]="",IF(NOTA[[#This Row],[SUPPLIER_H]]="","",AJ2),MONTH(NOTA[[#This Row],[TGL.NOTA]]))</f>
        <v>4</v>
      </c>
      <c r="AK3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MORO23040005SA 4076945017kenkogelpenke303tgeltriangularblack</v>
      </c>
      <c r="AO3" s="38" t="e">
        <f>IF(NOTA[[#This Row],[CONCAT4]]="","",_xlfn.IFNA(MATCH(NOTA[[#This Row],[CONCAT4]],[2]!RAW[CONCAT_H],0),FALSE))</f>
        <v>#REF!</v>
      </c>
      <c r="AP3" s="174">
        <f>IF(NOTA[[#This Row],[CONCAT1]]="","",MATCH(NOTA[[#This Row],[CONCAT1]],[3]!db[NB NOTA_C],0)+1)</f>
        <v>366</v>
      </c>
    </row>
    <row r="4" spans="1:42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153</v>
      </c>
      <c r="M4" s="39">
        <v>2</v>
      </c>
      <c r="N4" s="26"/>
      <c r="O4" s="26"/>
      <c r="P4" s="49"/>
      <c r="Q4" s="52">
        <v>3340800</v>
      </c>
      <c r="R4" s="39" t="s">
        <v>156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6681600</v>
      </c>
      <c r="X4" s="54">
        <f>IF(NOTA[[#This Row],[JUMLAH]]="","",NOTA[[#This Row],[JUMLAH]]*NOTA[[#This Row],[DISC 1]])</f>
        <v>1135872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1135872</v>
      </c>
      <c r="AA4" s="54">
        <f>IF(NOTA[[#This Row],[JUMLAH]]="","",NOTA[[#This Row],[JUMLAH]]-NOTA[[#This Row],[DISC]])</f>
        <v>5545728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45019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4</v>
      </c>
      <c r="AK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38" t="str">
        <f>IF(NOTA[[#This Row],[CONCAT4]]="","",_xlfn.IFNA(MATCH(NOTA[[#This Row],[CONCAT4]],[2]!RAW[CONCAT_H],0),FALSE))</f>
        <v/>
      </c>
      <c r="AP4" s="174">
        <f>IF(NOTA[[#This Row],[CONCAT1]]="","",MATCH(NOTA[[#This Row],[CONCAT1]],[3]!db[NB NOTA_C],0)+1)</f>
        <v>239</v>
      </c>
    </row>
    <row r="5" spans="1:42" ht="20.100000000000001" customHeight="1" x14ac:dyDescent="0.25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9" t="str">
        <f>IF(NOTA[[#This Row],[ID_P]]="","",MATCH(NOTA[[#This Row],[ID_P]],[1]!B_MSK[N_ID],0))</f>
        <v/>
      </c>
      <c r="D5" s="29">
        <f ca="1">IF(NOTA[[#This Row],[NAMA BARANG]]="","",INDEX(NOTA[ID],MATCH(,INDIRECT(ADDRESS(ROW(NOTA[ID]),COLUMN(NOTA[ID]))&amp;":"&amp;ADDRESS(ROW(),COLUMN(NOTA[ID]))),-1)))</f>
        <v>1</v>
      </c>
      <c r="E5" s="30"/>
      <c r="F5" s="32"/>
      <c r="G5" s="32"/>
      <c r="H5" s="55"/>
      <c r="I5" s="32"/>
      <c r="J5" s="51"/>
      <c r="K5" s="32"/>
      <c r="L5" s="26" t="s">
        <v>208</v>
      </c>
      <c r="M5" s="34">
        <v>2</v>
      </c>
      <c r="N5" s="32"/>
      <c r="O5" s="26"/>
      <c r="P5" s="28"/>
      <c r="Q5" s="46">
        <v>2822400</v>
      </c>
      <c r="R5" s="39" t="s">
        <v>156</v>
      </c>
      <c r="S5" s="35">
        <v>0.17</v>
      </c>
      <c r="T5" s="35"/>
      <c r="U5" s="36"/>
      <c r="V5" s="37"/>
      <c r="W5" s="36">
        <f>IF(NOTA[[#This Row],[HARGA/ CTN]]="",NOTA[[#This Row],[JUMLAH_H]],NOTA[[#This Row],[HARGA/ CTN]]*IF(NOTA[[#This Row],[C]]="",0,NOTA[[#This Row],[C]]))</f>
        <v>5644800</v>
      </c>
      <c r="X5" s="36">
        <f>IF(NOTA[[#This Row],[JUMLAH]]="","",NOTA[[#This Row],[JUMLAH]]*NOTA[[#This Row],[DISC 1]])</f>
        <v>959616.00000000012</v>
      </c>
      <c r="Y5" s="36">
        <f>IF(NOTA[[#This Row],[JUMLAH]]="","",(NOTA[[#This Row],[JUMLAH]]-NOTA[[#This Row],[DISC 1-]])*NOTA[[#This Row],[DISC 2]])</f>
        <v>0</v>
      </c>
      <c r="Z5" s="36">
        <f>IF(NOTA[[#This Row],[JUMLAH]]="","",NOTA[[#This Row],[DISC 1-]]+NOTA[[#This Row],[DISC 2-]])</f>
        <v>959616.00000000012</v>
      </c>
      <c r="AA5" s="36">
        <f>IF(NOTA[[#This Row],[JUMLAH]]="","",NOTA[[#This Row],[JUMLAH]]-NOTA[[#This Row],[DISC]])</f>
        <v>4685184</v>
      </c>
      <c r="AB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5" s="36" t="str">
        <f>IF(OR(NOTA[[#This Row],[QTY]]="",NOTA[[#This Row],[HARGA SATUAN]]="",),"",NOTA[[#This Row],[QTY]]*NOTA[[#This Row],[HARGA SATUAN]])</f>
        <v/>
      </c>
      <c r="AF5" s="33">
        <f ca="1">IF(NOTA[ID_H]="","",INDEX(NOTA[TANGGAL],MATCH(,INDIRECT(ADDRESS(ROW(NOTA[TANGGAL]),COLUMN(NOTA[TANGGAL]))&amp;":"&amp;ADDRESS(ROW(),COLUMN(NOTA[TANGGAL]))),-1)))</f>
        <v>45019</v>
      </c>
      <c r="AG5" s="28" t="str">
        <f ca="1">IF(NOTA[[#This Row],[NAMA BARANG]]="","",INDEX(NOTA[SUPPLIER],MATCH(,INDIRECT(ADDRESS(ROW(NOTA[ID]),COLUMN(NOTA[ID]))&amp;":"&amp;ADDRESS(ROW(),COLUMN(NOTA[ID]))),-1)))</f>
        <v>KENKO SINAR INDONESIA</v>
      </c>
      <c r="AH5" s="28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 t="e">
        <f ca="1">IF(NOTA[[#This Row],[TGL.NOTA]]="",IF(NOTA[[#This Row],[SUPPLIER_H]]="","",#REF!),MONTH(NOTA[[#This Row],[TGL.NOTA]]))</f>
        <v>#REF!</v>
      </c>
      <c r="AK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38" t="str">
        <f>IF(NOTA[[#This Row],[CONCAT4]]="","",_xlfn.IFNA(MATCH(NOTA[[#This Row],[CONCAT4]],[2]!RAW[CONCAT_H],0),FALSE))</f>
        <v/>
      </c>
      <c r="AP5" s="174">
        <f>IF(NOTA[[#This Row],[CONCAT1]]="","",MATCH(NOTA[[#This Row],[CONCAT1]],[3]!db[NB NOTA_C],0)+1)</f>
        <v>247</v>
      </c>
    </row>
    <row r="6" spans="1:42" ht="20.100000000000001" customHeight="1" x14ac:dyDescent="0.25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9" t="str">
        <f>IF(NOTA[[#This Row],[ID_P]]="","",MATCH(NOTA[[#This Row],[ID_P]],[1]!B_MSK[N_ID],0))</f>
        <v/>
      </c>
      <c r="D6" s="29">
        <f ca="1">IF(NOTA[[#This Row],[NAMA BARANG]]="","",INDEX(NOTA[ID],MATCH(,INDIRECT(ADDRESS(ROW(NOTA[ID]),COLUMN(NOTA[ID]))&amp;":"&amp;ADDRESS(ROW(),COLUMN(NOTA[ID]))),-1)))</f>
        <v>1</v>
      </c>
      <c r="E6" s="30"/>
      <c r="F6" s="26"/>
      <c r="G6" s="26"/>
      <c r="H6" s="31"/>
      <c r="I6" s="32"/>
      <c r="J6" s="33"/>
      <c r="K6" s="32"/>
      <c r="L6" s="26" t="s">
        <v>460</v>
      </c>
      <c r="M6" s="34">
        <v>2</v>
      </c>
      <c r="N6" s="32"/>
      <c r="O6" s="26"/>
      <c r="P6" s="28"/>
      <c r="Q6" s="46">
        <v>2419200</v>
      </c>
      <c r="R6" s="39" t="s">
        <v>156</v>
      </c>
      <c r="S6" s="35">
        <v>0.17</v>
      </c>
      <c r="T6" s="35"/>
      <c r="U6" s="36"/>
      <c r="V6" s="37"/>
      <c r="W6" s="36">
        <f>IF(NOTA[[#This Row],[HARGA/ CTN]]="",NOTA[[#This Row],[JUMLAH_H]],NOTA[[#This Row],[HARGA/ CTN]]*IF(NOTA[[#This Row],[C]]="",0,NOTA[[#This Row],[C]]))</f>
        <v>4838400</v>
      </c>
      <c r="X6" s="36">
        <f>IF(NOTA[[#This Row],[JUMLAH]]="","",NOTA[[#This Row],[JUMLAH]]*NOTA[[#This Row],[DISC 1]])</f>
        <v>822528.00000000012</v>
      </c>
      <c r="Y6" s="36">
        <f>IF(NOTA[[#This Row],[JUMLAH]]="","",(NOTA[[#This Row],[JUMLAH]]-NOTA[[#This Row],[DISC 1-]])*NOTA[[#This Row],[DISC 2]])</f>
        <v>0</v>
      </c>
      <c r="Z6" s="36">
        <f>IF(NOTA[[#This Row],[JUMLAH]]="","",NOTA[[#This Row],[DISC 1-]]+NOTA[[#This Row],[DISC 2-]])</f>
        <v>822528.00000000012</v>
      </c>
      <c r="AA6" s="36">
        <f>IF(NOTA[[#This Row],[JUMLAH]]="","",NOTA[[#This Row],[JUMLAH]]-NOTA[[#This Row],[DISC]])</f>
        <v>4015872</v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6" s="36" t="str">
        <f>IF(OR(NOTA[[#This Row],[QTY]]="",NOTA[[#This Row],[HARGA SATUAN]]="",),"",NOTA[[#This Row],[QTY]]*NOTA[[#This Row],[HARGA SATUAN]])</f>
        <v/>
      </c>
      <c r="AF6" s="33">
        <f ca="1">IF(NOTA[ID_H]="","",INDEX(NOTA[TANGGAL],MATCH(,INDIRECT(ADDRESS(ROW(NOTA[TANGGAL]),COLUMN(NOTA[TANGGAL]))&amp;":"&amp;ADDRESS(ROW(),COLUMN(NOTA[TANGGAL]))),-1)))</f>
        <v>45019</v>
      </c>
      <c r="AG6" s="28" t="str">
        <f ca="1">IF(NOTA[[#This Row],[NAMA BARANG]]="","",INDEX(NOTA[SUPPLIER],MATCH(,INDIRECT(ADDRESS(ROW(NOTA[ID]),COLUMN(NOTA[ID]))&amp;":"&amp;ADDRESS(ROW(),COLUMN(NOTA[ID]))),-1)))</f>
        <v>KENKO SINAR INDONESIA</v>
      </c>
      <c r="AH6" s="28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 t="e">
        <f ca="1">IF(NOTA[[#This Row],[TGL.NOTA]]="",IF(NOTA[[#This Row],[SUPPLIER_H]]="","",AJ5),MONTH(NOTA[[#This Row],[TGL.NOTA]]))</f>
        <v>#REF!</v>
      </c>
      <c r="AK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38" t="str">
        <f>IF(NOTA[[#This Row],[CONCAT4]]="","",_xlfn.IFNA(MATCH(NOTA[[#This Row],[CONCAT4]],[2]!RAW[CONCAT_H],0),FALSE))</f>
        <v/>
      </c>
      <c r="AP6" s="174">
        <f>IF(NOTA[[#This Row],[CONCAT1]]="","",MATCH(NOTA[[#This Row],[CONCAT1]],[3]!db[NB NOTA_C],0)+1)</f>
        <v>248</v>
      </c>
    </row>
    <row r="7" spans="1:42" ht="20.100000000000001" customHeight="1" x14ac:dyDescent="0.25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9" t="str">
        <f>IF(NOTA[[#This Row],[ID_P]]="","",MATCH(NOTA[[#This Row],[ID_P]],[1]!B_MSK[N_ID],0))</f>
        <v/>
      </c>
      <c r="D7" s="29">
        <f ca="1">IF(NOTA[[#This Row],[NAMA BARANG]]="","",INDEX(NOTA[ID],MATCH(,INDIRECT(ADDRESS(ROW(NOTA[ID]),COLUMN(NOTA[ID]))&amp;":"&amp;ADDRESS(ROW(),COLUMN(NOTA[ID]))),-1)))</f>
        <v>1</v>
      </c>
      <c r="E7" s="30"/>
      <c r="F7" s="26"/>
      <c r="G7" s="26"/>
      <c r="H7" s="55"/>
      <c r="I7" s="32"/>
      <c r="J7" s="33"/>
      <c r="K7" s="32"/>
      <c r="L7" s="26" t="s">
        <v>461</v>
      </c>
      <c r="M7" s="34">
        <v>2</v>
      </c>
      <c r="N7" s="32"/>
      <c r="O7" s="26"/>
      <c r="P7" s="28"/>
      <c r="Q7" s="46">
        <v>2707200</v>
      </c>
      <c r="R7" s="39" t="s">
        <v>156</v>
      </c>
      <c r="S7" s="35">
        <v>0.17</v>
      </c>
      <c r="T7" s="35"/>
      <c r="U7" s="36"/>
      <c r="V7" s="37"/>
      <c r="W7" s="36">
        <f>IF(NOTA[[#This Row],[HARGA/ CTN]]="",NOTA[[#This Row],[JUMLAH_H]],NOTA[[#This Row],[HARGA/ CTN]]*IF(NOTA[[#This Row],[C]]="",0,NOTA[[#This Row],[C]]))</f>
        <v>5414400</v>
      </c>
      <c r="X7" s="36">
        <f>IF(NOTA[[#This Row],[JUMLAH]]="","",NOTA[[#This Row],[JUMLAH]]*NOTA[[#This Row],[DISC 1]])</f>
        <v>920448.00000000012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920448.00000000012</v>
      </c>
      <c r="AA7" s="36">
        <f>IF(NOTA[[#This Row],[JUMLAH]]="","",NOTA[[#This Row],[JUMLAH]]-NOTA[[#This Row],[DISC]])</f>
        <v>4493952</v>
      </c>
      <c r="AB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7" s="36" t="str">
        <f>IF(OR(NOTA[[#This Row],[QTY]]="",NOTA[[#This Row],[HARGA SATUAN]]="",),"",NOTA[[#This Row],[QTY]]*NOTA[[#This Row],[HARGA SATUAN]])</f>
        <v/>
      </c>
      <c r="AF7" s="33">
        <f ca="1">IF(NOTA[ID_H]="","",INDEX(NOTA[TANGGAL],MATCH(,INDIRECT(ADDRESS(ROW(NOTA[TANGGAL]),COLUMN(NOTA[TANGGAL]))&amp;":"&amp;ADDRESS(ROW(),COLUMN(NOTA[TANGGAL]))),-1)))</f>
        <v>45019</v>
      </c>
      <c r="AG7" s="28" t="str">
        <f ca="1">IF(NOTA[[#This Row],[NAMA BARANG]]="","",INDEX(NOTA[SUPPLIER],MATCH(,INDIRECT(ADDRESS(ROW(NOTA[ID]),COLUMN(NOTA[ID]))&amp;":"&amp;ADDRESS(ROW(),COLUMN(NOTA[ID]))),-1)))</f>
        <v>KENKO SINAR INDONESIA</v>
      </c>
      <c r="AH7" s="28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 t="e">
        <f ca="1">IF(NOTA[[#This Row],[TGL.NOTA]]="",IF(NOTA[[#This Row],[SUPPLIER_H]]="","",AJ6),MONTH(NOTA[[#This Row],[TGL.NOTA]]))</f>
        <v>#REF!</v>
      </c>
      <c r="AK7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38" t="str">
        <f>IF(NOTA[[#This Row],[CONCAT4]]="","",_xlfn.IFNA(MATCH(NOTA[[#This Row],[CONCAT4]],[2]!RAW[CONCAT_H],0),FALSE))</f>
        <v/>
      </c>
      <c r="AP7" s="174">
        <f>IF(NOTA[[#This Row],[CONCAT1]]="","",MATCH(NOTA[[#This Row],[CONCAT1]],[3]!db[NB NOTA_C],0)+1)</f>
        <v>253</v>
      </c>
    </row>
    <row r="8" spans="1:42" ht="20.100000000000001" customHeight="1" x14ac:dyDescent="0.25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9" t="str">
        <f>IF(NOTA[[#This Row],[ID_P]]="","",MATCH(NOTA[[#This Row],[ID_P]],[1]!B_MSK[N_ID],0))</f>
        <v/>
      </c>
      <c r="D8" s="29">
        <f ca="1">IF(NOTA[[#This Row],[NAMA BARANG]]="","",INDEX(NOTA[ID],MATCH(,INDIRECT(ADDRESS(ROW(NOTA[ID]),COLUMN(NOTA[ID]))&amp;":"&amp;ADDRESS(ROW(),COLUMN(NOTA[ID]))),-1)))</f>
        <v>1</v>
      </c>
      <c r="E8" s="30"/>
      <c r="F8" s="26"/>
      <c r="G8" s="26"/>
      <c r="H8" s="31"/>
      <c r="I8" s="26"/>
      <c r="J8" s="33"/>
      <c r="K8" s="32"/>
      <c r="L8" s="26" t="s">
        <v>149</v>
      </c>
      <c r="M8" s="34">
        <v>2</v>
      </c>
      <c r="N8" s="32"/>
      <c r="O8" s="26"/>
      <c r="P8" s="28"/>
      <c r="Q8" s="46">
        <v>2880000</v>
      </c>
      <c r="R8" s="39" t="s">
        <v>156</v>
      </c>
      <c r="S8" s="35">
        <v>0.17</v>
      </c>
      <c r="T8" s="35"/>
      <c r="U8" s="36"/>
      <c r="V8" s="37"/>
      <c r="W8" s="36">
        <f>IF(NOTA[[#This Row],[HARGA/ CTN]]="",NOTA[[#This Row],[JUMLAH_H]],NOTA[[#This Row],[HARGA/ CTN]]*IF(NOTA[[#This Row],[C]]="",0,NOTA[[#This Row],[C]]))</f>
        <v>5760000</v>
      </c>
      <c r="X8" s="36">
        <f>IF(NOTA[[#This Row],[JUMLAH]]="","",NOTA[[#This Row],[JUMLAH]]*NOTA[[#This Row],[DISC 1]])</f>
        <v>979200.00000000012</v>
      </c>
      <c r="Y8" s="36">
        <f>IF(NOTA[[#This Row],[JUMLAH]]="","",(NOTA[[#This Row],[JUMLAH]]-NOTA[[#This Row],[DISC 1-]])*NOTA[[#This Row],[DISC 2]])</f>
        <v>0</v>
      </c>
      <c r="Z8" s="36">
        <f>IF(NOTA[[#This Row],[JUMLAH]]="","",NOTA[[#This Row],[DISC 1-]]+NOTA[[#This Row],[DISC 2-]])</f>
        <v>979200.00000000012</v>
      </c>
      <c r="AA8" s="36">
        <f>IF(NOTA[[#This Row],[JUMLAH]]="","",NOTA[[#This Row],[JUMLAH]]-NOTA[[#This Row],[DISC]])</f>
        <v>4780800</v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8" s="36" t="str">
        <f>IF(OR(NOTA[[#This Row],[QTY]]="",NOTA[[#This Row],[HARGA SATUAN]]="",),"",NOTA[[#This Row],[QTY]]*NOTA[[#This Row],[HARGA SATUAN]])</f>
        <v/>
      </c>
      <c r="AF8" s="33">
        <f ca="1">IF(NOTA[ID_H]="","",INDEX(NOTA[TANGGAL],MATCH(,INDIRECT(ADDRESS(ROW(NOTA[TANGGAL]),COLUMN(NOTA[TANGGAL]))&amp;":"&amp;ADDRESS(ROW(),COLUMN(NOTA[TANGGAL]))),-1)))</f>
        <v>45019</v>
      </c>
      <c r="AG8" s="28" t="str">
        <f ca="1">IF(NOTA[[#This Row],[NAMA BARANG]]="","",INDEX(NOTA[SUPPLIER],MATCH(,INDIRECT(ADDRESS(ROW(NOTA[ID]),COLUMN(NOTA[ID]))&amp;":"&amp;ADDRESS(ROW(),COLUMN(NOTA[ID]))),-1)))</f>
        <v>KENKO SINAR INDONESIA</v>
      </c>
      <c r="AH8" s="28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 t="e">
        <f ca="1">IF(NOTA[[#This Row],[TGL.NOTA]]="",IF(NOTA[[#This Row],[SUPPLIER_H]]="","",AJ7),MONTH(NOTA[[#This Row],[TGL.NOTA]]))</f>
        <v>#REF!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38" t="str">
        <f>IF(NOTA[[#This Row],[CONCAT4]]="","",_xlfn.IFNA(MATCH(NOTA[[#This Row],[CONCAT4]],[2]!RAW[CONCAT_H],0),FALSE))</f>
        <v/>
      </c>
      <c r="AP8" s="174">
        <f>IF(NOTA[[#This Row],[CONCAT1]]="","",MATCH(NOTA[[#This Row],[CONCAT1]],[3]!db[NB NOTA_C],0)+1)</f>
        <v>262</v>
      </c>
    </row>
    <row r="9" spans="1:42" ht="20.100000000000001" customHeight="1" x14ac:dyDescent="0.25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9" t="str">
        <f>IF(NOTA[[#This Row],[ID_P]]="","",MATCH(NOTA[[#This Row],[ID_P]],[1]!B_MSK[N_ID],0))</f>
        <v/>
      </c>
      <c r="D9" s="29">
        <f ca="1">IF(NOTA[[#This Row],[NAMA BARANG]]="","",INDEX(NOTA[ID],MATCH(,INDIRECT(ADDRESS(ROW(NOTA[ID]),COLUMN(NOTA[ID]))&amp;":"&amp;ADDRESS(ROW(),COLUMN(NOTA[ID]))),-1)))</f>
        <v>1</v>
      </c>
      <c r="E9" s="30"/>
      <c r="F9" s="26"/>
      <c r="G9" s="26"/>
      <c r="H9" s="31"/>
      <c r="I9" s="32"/>
      <c r="J9" s="33"/>
      <c r="K9" s="32"/>
      <c r="L9" s="26" t="s">
        <v>150</v>
      </c>
      <c r="M9" s="34">
        <v>1</v>
      </c>
      <c r="N9" s="32"/>
      <c r="O9" s="26"/>
      <c r="P9" s="28"/>
      <c r="Q9" s="46">
        <v>1497600</v>
      </c>
      <c r="R9" s="39" t="s">
        <v>157</v>
      </c>
      <c r="S9" s="35">
        <v>0.17</v>
      </c>
      <c r="T9" s="35"/>
      <c r="U9" s="36"/>
      <c r="V9" s="37"/>
      <c r="W9" s="36">
        <f>IF(NOTA[[#This Row],[HARGA/ CTN]]="",NOTA[[#This Row],[JUMLAH_H]],NOTA[[#This Row],[HARGA/ CTN]]*IF(NOTA[[#This Row],[C]]="",0,NOTA[[#This Row],[C]]))</f>
        <v>1497600</v>
      </c>
      <c r="X9" s="36">
        <f>IF(NOTA[[#This Row],[JUMLAH]]="","",NOTA[[#This Row],[JUMLAH]]*NOTA[[#This Row],[DISC 1]])</f>
        <v>254592.00000000003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254592.00000000003</v>
      </c>
      <c r="AA9" s="36">
        <f>IF(NOTA[[#This Row],[JUMLAH]]="","",NOTA[[#This Row],[JUMLAH]]-NOTA[[#This Row],[DISC]])</f>
        <v>1243008</v>
      </c>
      <c r="AB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9" s="36" t="str">
        <f>IF(OR(NOTA[[#This Row],[QTY]]="",NOTA[[#This Row],[HARGA SATUAN]]="",),"",NOTA[[#This Row],[QTY]]*NOTA[[#This Row],[HARGA SATUAN]])</f>
        <v/>
      </c>
      <c r="AF9" s="33">
        <f ca="1">IF(NOTA[ID_H]="","",INDEX(NOTA[TANGGAL],MATCH(,INDIRECT(ADDRESS(ROW(NOTA[TANGGAL]),COLUMN(NOTA[TANGGAL]))&amp;":"&amp;ADDRESS(ROW(),COLUMN(NOTA[TANGGAL]))),-1)))</f>
        <v>45019</v>
      </c>
      <c r="AG9" s="28" t="str">
        <f ca="1">IF(NOTA[[#This Row],[NAMA BARANG]]="","",INDEX(NOTA[SUPPLIER],MATCH(,INDIRECT(ADDRESS(ROW(NOTA[ID]),COLUMN(NOTA[ID]))&amp;":"&amp;ADDRESS(ROW(),COLUMN(NOTA[ID]))),-1)))</f>
        <v>KENKO SINAR INDONESIA</v>
      </c>
      <c r="AH9" s="28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 t="e">
        <f ca="1">IF(NOTA[[#This Row],[TGL.NOTA]]="",IF(NOTA[[#This Row],[SUPPLIER_H]]="","",AJ8),MONTH(NOTA[[#This Row],[TGL.NOTA]]))</f>
        <v>#REF!</v>
      </c>
      <c r="AK9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38" t="str">
        <f>IF(NOTA[[#This Row],[CONCAT4]]="","",_xlfn.IFNA(MATCH(NOTA[[#This Row],[CONCAT4]],[2]!RAW[CONCAT_H],0),FALSE))</f>
        <v/>
      </c>
      <c r="AP9" s="174">
        <f>IF(NOTA[[#This Row],[CONCAT1]]="","",MATCH(NOTA[[#This Row],[CONCAT1]],[3]!db[NB NOTA_C],0)+1)</f>
        <v>636</v>
      </c>
    </row>
    <row r="10" spans="1:42" ht="20.100000000000001" customHeight="1" x14ac:dyDescent="0.25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9" t="str">
        <f>IF(NOTA[[#This Row],[ID_P]]="","",MATCH(NOTA[[#This Row],[ID_P]],[1]!B_MSK[N_ID],0))</f>
        <v/>
      </c>
      <c r="D10" s="29">
        <f ca="1">IF(NOTA[[#This Row],[NAMA BARANG]]="","",INDEX(NOTA[ID],MATCH(,INDIRECT(ADDRESS(ROW(NOTA[ID]),COLUMN(NOTA[ID]))&amp;":"&amp;ADDRESS(ROW(),COLUMN(NOTA[ID]))),-1)))</f>
        <v>1</v>
      </c>
      <c r="E10" s="30"/>
      <c r="F10" s="26"/>
      <c r="G10" s="26"/>
      <c r="H10" s="31"/>
      <c r="I10" s="32"/>
      <c r="J10" s="33"/>
      <c r="K10" s="32"/>
      <c r="L10" s="26" t="s">
        <v>151</v>
      </c>
      <c r="M10" s="34">
        <v>2</v>
      </c>
      <c r="N10" s="32"/>
      <c r="O10" s="26"/>
      <c r="P10" s="28"/>
      <c r="Q10" s="52">
        <v>1410000</v>
      </c>
      <c r="R10" s="39" t="s">
        <v>158</v>
      </c>
      <c r="S10" s="35">
        <v>0.17</v>
      </c>
      <c r="T10" s="35"/>
      <c r="U10" s="36"/>
      <c r="V10" s="37"/>
      <c r="W10" s="36">
        <f>IF(NOTA[[#This Row],[HARGA/ CTN]]="",NOTA[[#This Row],[JUMLAH_H]],NOTA[[#This Row],[HARGA/ CTN]]*IF(NOTA[[#This Row],[C]]="",0,NOTA[[#This Row],[C]]))</f>
        <v>2820000</v>
      </c>
      <c r="X10" s="36">
        <f>IF(NOTA[[#This Row],[JUMLAH]]="","",NOTA[[#This Row],[JUMLAH]]*NOTA[[#This Row],[DISC 1]])</f>
        <v>479400.00000000006</v>
      </c>
      <c r="Y10" s="36">
        <f>IF(NOTA[[#This Row],[JUMLAH]]="","",(NOTA[[#This Row],[JUMLAH]]-NOTA[[#This Row],[DISC 1-]])*NOTA[[#This Row],[DISC 2]])</f>
        <v>0</v>
      </c>
      <c r="Z10" s="36">
        <f>IF(NOTA[[#This Row],[JUMLAH]]="","",NOTA[[#This Row],[DISC 1-]]+NOTA[[#This Row],[DISC 2-]])</f>
        <v>479400.00000000006</v>
      </c>
      <c r="AA10" s="36">
        <f>IF(NOTA[[#This Row],[JUMLAH]]="","",NOTA[[#This Row],[JUMLAH]]-NOTA[[#This Row],[DISC]])</f>
        <v>2340600</v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0" s="36" t="str">
        <f>IF(OR(NOTA[[#This Row],[QTY]]="",NOTA[[#This Row],[HARGA SATUAN]]="",),"",NOTA[[#This Row],[QTY]]*NOTA[[#This Row],[HARGA SATUAN]])</f>
        <v/>
      </c>
      <c r="AF10" s="33">
        <f ca="1">IF(NOTA[ID_H]="","",INDEX(NOTA[TANGGAL],MATCH(,INDIRECT(ADDRESS(ROW(NOTA[TANGGAL]),COLUMN(NOTA[TANGGAL]))&amp;":"&amp;ADDRESS(ROW(),COLUMN(NOTA[TANGGAL]))),-1)))</f>
        <v>45019</v>
      </c>
      <c r="AG10" s="28" t="str">
        <f ca="1">IF(NOTA[[#This Row],[NAMA BARANG]]="","",INDEX(NOTA[SUPPLIER],MATCH(,INDIRECT(ADDRESS(ROW(NOTA[ID]),COLUMN(NOTA[ID]))&amp;":"&amp;ADDRESS(ROW(),COLUMN(NOTA[ID]))),-1)))</f>
        <v>KENKO SINAR INDONESIA</v>
      </c>
      <c r="AH10" s="28" t="str">
        <f ca="1">IF(NOTA[[#This Row],[ID_H]]="","",IF(NOTA[[#This Row],[FAKTUR]]="",INDIRECT(ADDRESS(ROW()-1,COLUMN())),NOTA[[#This Row],[FAKTUR]]))</f>
        <v>ARTO MORO</v>
      </c>
      <c r="AI10" s="38" t="str">
        <f ca="1">IF(NOTA[[#This Row],[ID]]="","",COUNTIF(NOTA[ID_H],NOTA[[#This Row],[ID_H]]))</f>
        <v/>
      </c>
      <c r="AJ10" s="38" t="e">
        <f ca="1">IF(NOTA[[#This Row],[TGL.NOTA]]="",IF(NOTA[[#This Row],[SUPPLIER_H]]="","",AJ9),MONTH(NOTA[[#This Row],[TGL.NOTA]]))</f>
        <v>#REF!</v>
      </c>
      <c r="AK1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38" t="str">
        <f>IF(NOTA[[#This Row],[CONCAT4]]="","",_xlfn.IFNA(MATCH(NOTA[[#This Row],[CONCAT4]],[2]!RAW[CONCAT_H],0),FALSE))</f>
        <v/>
      </c>
      <c r="AP10" s="174">
        <f>IF(NOTA[[#This Row],[CONCAT1]]="","",MATCH(NOTA[[#This Row],[CONCAT1]],[3]!db[NB NOTA_C],0)+1)</f>
        <v>439</v>
      </c>
    </row>
    <row r="11" spans="1:42" ht="20.100000000000001" customHeight="1" x14ac:dyDescent="0.25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9" t="str">
        <f>IF(NOTA[[#This Row],[ID_P]]="","",MATCH(NOTA[[#This Row],[ID_P]],[1]!B_MSK[N_ID],0))</f>
        <v/>
      </c>
      <c r="D11" s="29">
        <f ca="1">IF(NOTA[[#This Row],[NAMA BARANG]]="","",INDEX(NOTA[ID],MATCH(,INDIRECT(ADDRESS(ROW(NOTA[ID]),COLUMN(NOTA[ID]))&amp;":"&amp;ADDRESS(ROW(),COLUMN(NOTA[ID]))),-1)))</f>
        <v>1</v>
      </c>
      <c r="E11" s="30"/>
      <c r="F11" s="26"/>
      <c r="G11" s="26"/>
      <c r="H11" s="31"/>
      <c r="I11" s="32"/>
      <c r="J11" s="33"/>
      <c r="K11" s="32"/>
      <c r="L11" s="26" t="s">
        <v>152</v>
      </c>
      <c r="M11" s="34">
        <v>2</v>
      </c>
      <c r="N11" s="32"/>
      <c r="O11" s="26"/>
      <c r="P11" s="28"/>
      <c r="Q11" s="52">
        <v>1188000</v>
      </c>
      <c r="R11" s="39" t="s">
        <v>159</v>
      </c>
      <c r="S11" s="35">
        <v>0.17</v>
      </c>
      <c r="T11" s="35"/>
      <c r="U11" s="36"/>
      <c r="V11" s="37"/>
      <c r="W11" s="36">
        <f>IF(NOTA[[#This Row],[HARGA/ CTN]]="",NOTA[[#This Row],[JUMLAH_H]],NOTA[[#This Row],[HARGA/ CTN]]*IF(NOTA[[#This Row],[C]]="",0,NOTA[[#This Row],[C]]))</f>
        <v>2376000</v>
      </c>
      <c r="X11" s="36">
        <f>IF(NOTA[[#This Row],[JUMLAH]]="","",NOTA[[#This Row],[JUMLAH]]*NOTA[[#This Row],[DISC 1]])</f>
        <v>403920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403920</v>
      </c>
      <c r="AA11" s="36">
        <f>IF(NOTA[[#This Row],[JUMLAH]]="","",NOTA[[#This Row],[JUMLAH]]-NOTA[[#This Row],[DISC]])</f>
        <v>1972080</v>
      </c>
      <c r="AB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10185720</v>
      </c>
      <c r="AC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49730280</v>
      </c>
      <c r="AD11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1" s="36" t="str">
        <f>IF(OR(NOTA[[#This Row],[QTY]]="",NOTA[[#This Row],[HARGA SATUAN]]="",),"",NOTA[[#This Row],[QTY]]*NOTA[[#This Row],[HARGA SATUAN]])</f>
        <v/>
      </c>
      <c r="AF11" s="33">
        <f ca="1">IF(NOTA[ID_H]="","",INDEX(NOTA[TANGGAL],MATCH(,INDIRECT(ADDRESS(ROW(NOTA[TANGGAL]),COLUMN(NOTA[TANGGAL]))&amp;":"&amp;ADDRESS(ROW(),COLUMN(NOTA[TANGGAL]))),-1)))</f>
        <v>45019</v>
      </c>
      <c r="AG11" s="28" t="str">
        <f ca="1">IF(NOTA[[#This Row],[NAMA BARANG]]="","",INDEX(NOTA[SUPPLIER],MATCH(,INDIRECT(ADDRESS(ROW(NOTA[ID]),COLUMN(NOTA[ID]))&amp;":"&amp;ADDRESS(ROW(),COLUMN(NOTA[ID]))),-1)))</f>
        <v>KENKO SINAR INDONESIA</v>
      </c>
      <c r="AH11" s="28" t="str">
        <f ca="1">IF(NOTA[[#This Row],[ID_H]]="","",IF(NOTA[[#This Row],[FAKTUR]]="",INDIRECT(ADDRESS(ROW()-1,COLUMN())),NOTA[[#This Row],[FAKTUR]]))</f>
        <v>ARTO MORO</v>
      </c>
      <c r="AI11" s="38" t="str">
        <f ca="1">IF(NOTA[[#This Row],[ID]]="","",COUNTIF(NOTA[ID_H],NOTA[[#This Row],[ID_H]]))</f>
        <v/>
      </c>
      <c r="AJ11" s="38" t="e">
        <f ca="1">IF(NOTA[[#This Row],[TGL.NOTA]]="",IF(NOTA[[#This Row],[SUPPLIER_H]]="","",AJ10),MONTH(NOTA[[#This Row],[TGL.NOTA]]))</f>
        <v>#REF!</v>
      </c>
      <c r="AK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38" t="str">
        <f>IF(NOTA[[#This Row],[CONCAT4]]="","",_xlfn.IFNA(MATCH(NOTA[[#This Row],[CONCAT4]],[2]!RAW[CONCAT_H],0),FALSE))</f>
        <v/>
      </c>
      <c r="AP11" s="174">
        <f>IF(NOTA[[#This Row],[CONCAT1]]="","",MATCH(NOTA[[#This Row],[CONCAT1]],[3]!db[NB NOTA_C],0)+1)</f>
        <v>442</v>
      </c>
    </row>
    <row r="12" spans="1:42" ht="20.100000000000001" customHeight="1" x14ac:dyDescent="0.25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9" t="str">
        <f>IF(NOTA[[#This Row],[ID_P]]="","",MATCH(NOTA[[#This Row],[ID_P]],[1]!B_MSK[N_ID],0))</f>
        <v/>
      </c>
      <c r="D12" s="29" t="str">
        <f ca="1">IF(NOTA[[#This Row],[NAMA BARANG]]="","",INDEX(NOTA[ID],MATCH(,INDIRECT(ADDRESS(ROW(NOTA[ID]),COLUMN(NOTA[ID]))&amp;":"&amp;ADDRESS(ROW(),COLUMN(NOTA[ID]))),-1)))</f>
        <v/>
      </c>
      <c r="E12" s="30"/>
      <c r="F12" s="26"/>
      <c r="G12" s="26"/>
      <c r="H12" s="31"/>
      <c r="I12" s="32"/>
      <c r="J12" s="33"/>
      <c r="K12" s="32"/>
      <c r="L12" s="26"/>
      <c r="M12" s="34"/>
      <c r="N12" s="32"/>
      <c r="O12" s="26"/>
      <c r="P12" s="28"/>
      <c r="Q12" s="52"/>
      <c r="R12" s="39"/>
      <c r="S12" s="35"/>
      <c r="T12" s="35"/>
      <c r="U12" s="36"/>
      <c r="V12" s="37"/>
      <c r="W12" s="36" t="str">
        <f>IF(NOTA[[#This Row],[HARGA/ CTN]]="",NOTA[[#This Row],[JUMLAH_H]],NOTA[[#This Row],[HARGA/ CTN]]*IF(NOTA[[#This Row],[C]]="",0,NOTA[[#This Row],[C]]))</f>
        <v/>
      </c>
      <c r="X12" s="36" t="str">
        <f>IF(NOTA[[#This Row],[JUMLAH]]="","",NOTA[[#This Row],[JUMLAH]]*NOTA[[#This Row],[DISC 1]])</f>
        <v/>
      </c>
      <c r="Y12" s="36" t="str">
        <f>IF(NOTA[[#This Row],[JUMLAH]]="","",(NOTA[[#This Row],[JUMLAH]]-NOTA[[#This Row],[DISC 1-]])*NOTA[[#This Row],[DISC 2]])</f>
        <v/>
      </c>
      <c r="Z12" s="36" t="str">
        <f>IF(NOTA[[#This Row],[JUMLAH]]="","",NOTA[[#This Row],[DISC 1-]]+NOTA[[#This Row],[DISC 2-]])</f>
        <v/>
      </c>
      <c r="AA12" s="36" t="str">
        <f>IF(NOTA[[#This Row],[JUMLAH]]="","",NOTA[[#This Row],[JUMLAH]]-NOTA[[#This Row],[DISC]])</f>
        <v/>
      </c>
      <c r="AB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" s="36" t="str">
        <f>IF(OR(NOTA[[#This Row],[QTY]]="",NOTA[[#This Row],[HARGA SATUAN]]="",),"",NOTA[[#This Row],[QTY]]*NOTA[[#This Row],[HARGA SATUAN]])</f>
        <v/>
      </c>
      <c r="AF12" s="33" t="str">
        <f ca="1">IF(NOTA[ID_H]="","",INDEX(NOTA[TANGGAL],MATCH(,INDIRECT(ADDRESS(ROW(NOTA[TANGGAL]),COLUMN(NOTA[TANGGAL]))&amp;":"&amp;ADDRESS(ROW(),COLUMN(NOTA[TANGGAL]))),-1)))</f>
        <v/>
      </c>
      <c r="AG12" s="28" t="str">
        <f ca="1">IF(NOTA[[#This Row],[NAMA BARANG]]="","",INDEX(NOTA[SUPPLIER],MATCH(,INDIRECT(ADDRESS(ROW(NOTA[ID]),COLUMN(NOTA[ID]))&amp;":"&amp;ADDRESS(ROW(),COLUMN(NOTA[ID]))),-1)))</f>
        <v/>
      </c>
      <c r="AH12" s="28" t="str">
        <f ca="1">IF(NOTA[[#This Row],[ID_H]]="","",IF(NOTA[[#This Row],[FAKTUR]]="",INDIRECT(ADDRESS(ROW()-1,COLUMN())),NOTA[[#This Row],[FAKTUR]]))</f>
        <v/>
      </c>
      <c r="AI12" s="38" t="str">
        <f ca="1">IF(NOTA[[#This Row],[ID]]="","",COUNTIF(NOTA[ID_H],NOTA[[#This Row],[ID_H]]))</f>
        <v/>
      </c>
      <c r="AJ12" s="38" t="str">
        <f ca="1">IF(NOTA[[#This Row],[TGL.NOTA]]="",IF(NOTA[[#This Row],[SUPPLIER_H]]="","",AJ11),MONTH(NOTA[[#This Row],[TGL.NOTA]]))</f>
        <v/>
      </c>
      <c r="AK12" s="38" t="str">
        <f>LOWER(SUBSTITUTE(SUBSTITUTE(SUBSTITUTE(SUBSTITUTE(SUBSTITUTE(SUBSTITUTE(SUBSTITUTE(SUBSTITUTE(SUBSTITUTE(NOTA[NAMA BARANG]," ",),".",""),"-",""),"(",""),")",""),",",""),"/",""),"""",""),"+",""))</f>
        <v/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38" t="str">
        <f>IF(NOTA[[#This Row],[CONCAT4]]="","",_xlfn.IFNA(MATCH(NOTA[[#This Row],[CONCAT4]],[2]!RAW[CONCAT_H],0),FALSE))</f>
        <v/>
      </c>
      <c r="AP12" s="174" t="str">
        <f>IF(NOTA[[#This Row],[CONCAT1]]="","",MATCH(NOTA[[#This Row],[CONCAT1]],[3]!db[NB NOTA_C],0)+1)</f>
        <v/>
      </c>
    </row>
    <row r="13" spans="1:42" ht="20.100000000000001" customHeight="1" x14ac:dyDescent="0.25">
      <c r="A13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1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KEN_0304_058-10</v>
      </c>
      <c r="C13" s="29" t="e">
        <f ca="1">IF(NOTA[[#This Row],[ID_P]]="","",MATCH(NOTA[[#This Row],[ID_P]],[1]!B_MSK[N_ID],0))</f>
        <v>#REF!</v>
      </c>
      <c r="D13" s="29">
        <f ca="1">IF(NOTA[[#This Row],[NAMA BARANG]]="","",INDEX(NOTA[ID],MATCH(,INDIRECT(ADDRESS(ROW(NOTA[ID]),COLUMN(NOTA[ID]))&amp;":"&amp;ADDRESS(ROW(),COLUMN(NOTA[ID]))),-1)))</f>
        <v>2</v>
      </c>
      <c r="E13" s="30"/>
      <c r="F13" s="26" t="s">
        <v>23</v>
      </c>
      <c r="G13" s="26" t="s">
        <v>24</v>
      </c>
      <c r="H13" s="31" t="s">
        <v>160</v>
      </c>
      <c r="I13" s="26" t="s">
        <v>171</v>
      </c>
      <c r="J13" s="33">
        <v>45017</v>
      </c>
      <c r="K13" s="32"/>
      <c r="L13" s="26" t="s">
        <v>161</v>
      </c>
      <c r="M13" s="34">
        <v>1</v>
      </c>
      <c r="N13" s="32"/>
      <c r="O13" s="26"/>
      <c r="P13" s="28"/>
      <c r="Q13" s="52">
        <v>3800000</v>
      </c>
      <c r="R13" s="39" t="s">
        <v>168</v>
      </c>
      <c r="S13" s="35">
        <v>0.17</v>
      </c>
      <c r="T13" s="35"/>
      <c r="U13" s="36"/>
      <c r="V13" s="37"/>
      <c r="W13" s="36">
        <f>IF(NOTA[[#This Row],[HARGA/ CTN]]="",NOTA[[#This Row],[JUMLAH_H]],NOTA[[#This Row],[HARGA/ CTN]]*IF(NOTA[[#This Row],[C]]="",0,NOTA[[#This Row],[C]]))</f>
        <v>3800000</v>
      </c>
      <c r="X13" s="36">
        <f>IF(NOTA[[#This Row],[JUMLAH]]="","",NOTA[[#This Row],[JUMLAH]]*NOTA[[#This Row],[DISC 1]])</f>
        <v>646000</v>
      </c>
      <c r="Y13" s="36">
        <f>IF(NOTA[[#This Row],[JUMLAH]]="","",(NOTA[[#This Row],[JUMLAH]]-NOTA[[#This Row],[DISC 1-]])*NOTA[[#This Row],[DISC 2]])</f>
        <v>0</v>
      </c>
      <c r="Z13" s="36">
        <f>IF(NOTA[[#This Row],[JUMLAH]]="","",NOTA[[#This Row],[DISC 1-]]+NOTA[[#This Row],[DISC 2-]])</f>
        <v>646000</v>
      </c>
      <c r="AA13" s="36">
        <f>IF(NOTA[[#This Row],[JUMLAH]]="","",NOTA[[#This Row],[JUMLAH]]-NOTA[[#This Row],[DISC]])</f>
        <v>3154000</v>
      </c>
      <c r="AB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28">
        <f>IF(NOTA[[#This Row],[NAMA BARANG]]="","",IF(NOTA[[#This Row],[JUMLAH_H]]="",NOTA[[#This Row],[HARGA/ CTN]],NOTA[[#This Row],[QTY]]*NOTA[[#This Row],[HARGA SATUAN]]/IF(ISNUMBER(NOTA[[#This Row],[C]]),NOTA[[#This Row],[C]],1)))</f>
        <v>3800000</v>
      </c>
      <c r="AE13" s="36" t="str">
        <f>IF(OR(NOTA[[#This Row],[QTY]]="",NOTA[[#This Row],[HARGA SATUAN]]="",),"",NOTA[[#This Row],[QTY]]*NOTA[[#This Row],[HARGA SATUAN]])</f>
        <v/>
      </c>
      <c r="AF13" s="33">
        <f ca="1">IF(NOTA[ID_H]="","",INDEX(NOTA[TANGGAL],MATCH(,INDIRECT(ADDRESS(ROW(NOTA[TANGGAL]),COLUMN(NOTA[TANGGAL]))&amp;":"&amp;ADDRESS(ROW(),COLUMN(NOTA[TANGGAL]))),-1)))</f>
        <v>45019</v>
      </c>
      <c r="AG13" s="28" t="str">
        <f ca="1">IF(NOTA[[#This Row],[NAMA BARANG]]="","",INDEX(NOTA[SUPPLIER],MATCH(,INDIRECT(ADDRESS(ROW(NOTA[ID]),COLUMN(NOTA[ID]))&amp;":"&amp;ADDRESS(ROW(),COLUMN(NOTA[ID]))),-1)))</f>
        <v>KENKO SINAR INDONESIA</v>
      </c>
      <c r="AH13" s="28" t="str">
        <f ca="1">IF(NOTA[[#This Row],[ID_H]]="","",IF(NOTA[[#This Row],[FAKTUR]]="",INDIRECT(ADDRESS(ROW()-1,COLUMN())),NOTA[[#This Row],[FAKTUR]]))</f>
        <v>ARTO MORO</v>
      </c>
      <c r="AI13" s="38">
        <f ca="1">IF(NOTA[[#This Row],[ID]]="","",COUNTIF(NOTA[ID_H],NOTA[[#This Row],[ID_H]]))</f>
        <v>10</v>
      </c>
      <c r="AJ13" s="38">
        <f>IF(NOTA[[#This Row],[TGL.NOTA]]="",IF(NOTA[[#This Row],[SUPPLIER_H]]="","",AJ12),MONTH(NOTA[[#This Row],[TGL.NOTA]]))</f>
        <v>4</v>
      </c>
      <c r="AK13" s="38" t="str">
        <f>LOWER(SUBSTITUTE(SUBSTITUTE(SUBSTITUTE(SUBSTITUTE(SUBSTITUTE(SUBSTITUTE(SUBSTITUTE(SUBSTITUTE(SUBSTITUTE(NOTA[NAMA BARANG]," ",),".",""),"-",""),"(",""),")",""),",",""),"/",""),"""",""),"+",""))</f>
        <v>kenkohandtallycounterht302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kenkohandtallycounterht30238000000.17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kenkohandtallycounterht30238000000.17</v>
      </c>
      <c r="AN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MORO23040058SA 4079245017kenkohandtallycounterht302</v>
      </c>
      <c r="AO13" s="38" t="e">
        <f>IF(NOTA[[#This Row],[CONCAT4]]="","",_xlfn.IFNA(MATCH(NOTA[[#This Row],[CONCAT4]],[2]!RAW[CONCAT_H],0),FALSE))</f>
        <v>#REF!</v>
      </c>
      <c r="AP13" s="174">
        <f>IF(NOTA[[#This Row],[CONCAT1]]="","",MATCH(NOTA[[#This Row],[CONCAT1]],[3]!db[NB NOTA_C],0)+1)</f>
        <v>444</v>
      </c>
    </row>
    <row r="14" spans="1:42" ht="20.100000000000001" customHeight="1" x14ac:dyDescent="0.25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9" t="str">
        <f>IF(NOTA[[#This Row],[ID_P]]="","",MATCH(NOTA[[#This Row],[ID_P]],[1]!B_MSK[N_ID],0))</f>
        <v/>
      </c>
      <c r="D14" s="29">
        <f ca="1">IF(NOTA[[#This Row],[NAMA BARANG]]="","",INDEX(NOTA[ID],MATCH(,INDIRECT(ADDRESS(ROW(NOTA[ID]),COLUMN(NOTA[ID]))&amp;":"&amp;ADDRESS(ROW(),COLUMN(NOTA[ID]))),-1)))</f>
        <v>2</v>
      </c>
      <c r="E14" s="30"/>
      <c r="F14" s="26"/>
      <c r="G14" s="26"/>
      <c r="H14" s="31"/>
      <c r="I14" s="32"/>
      <c r="J14" s="33"/>
      <c r="K14" s="32"/>
      <c r="L14" s="26" t="s">
        <v>458</v>
      </c>
      <c r="M14" s="34">
        <v>1</v>
      </c>
      <c r="N14" s="32"/>
      <c r="O14" s="26"/>
      <c r="P14" s="28"/>
      <c r="Q14" s="52">
        <v>3120000</v>
      </c>
      <c r="R14" s="39" t="s">
        <v>169</v>
      </c>
      <c r="S14" s="35">
        <v>0.17</v>
      </c>
      <c r="T14" s="35"/>
      <c r="U14" s="36"/>
      <c r="V14" s="37"/>
      <c r="W14" s="36">
        <f>IF(NOTA[[#This Row],[HARGA/ CTN]]="",NOTA[[#This Row],[JUMLAH_H]],NOTA[[#This Row],[HARGA/ CTN]]*IF(NOTA[[#This Row],[C]]="",0,NOTA[[#This Row],[C]]))</f>
        <v>3120000</v>
      </c>
      <c r="X14" s="36">
        <f>IF(NOTA[[#This Row],[JUMLAH]]="","",NOTA[[#This Row],[JUMLAH]]*NOTA[[#This Row],[DISC 1]])</f>
        <v>530400</v>
      </c>
      <c r="Y14" s="36">
        <f>IF(NOTA[[#This Row],[JUMLAH]]="","",(NOTA[[#This Row],[JUMLAH]]-NOTA[[#This Row],[DISC 1-]])*NOTA[[#This Row],[DISC 2]])</f>
        <v>0</v>
      </c>
      <c r="Z14" s="36">
        <f>IF(NOTA[[#This Row],[JUMLAH]]="","",NOTA[[#This Row],[DISC 1-]]+NOTA[[#This Row],[DISC 2-]])</f>
        <v>530400</v>
      </c>
      <c r="AA14" s="36">
        <f>IF(NOTA[[#This Row],[JUMLAH]]="","",NOTA[[#This Row],[JUMLAH]]-NOTA[[#This Row],[DISC]])</f>
        <v>2589600</v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14" s="36" t="str">
        <f>IF(OR(NOTA[[#This Row],[QTY]]="",NOTA[[#This Row],[HARGA SATUAN]]="",),"",NOTA[[#This Row],[QTY]]*NOTA[[#This Row],[HARGA SATUAN]])</f>
        <v/>
      </c>
      <c r="AF14" s="33">
        <f ca="1">IF(NOTA[ID_H]="","",INDEX(NOTA[TANGGAL],MATCH(,INDIRECT(ADDRESS(ROW(NOTA[TANGGAL]),COLUMN(NOTA[TANGGAL]))&amp;":"&amp;ADDRESS(ROW(),COLUMN(NOTA[TANGGAL]))),-1)))</f>
        <v>45019</v>
      </c>
      <c r="AG14" s="28" t="str">
        <f ca="1">IF(NOTA[[#This Row],[NAMA BARANG]]="","",INDEX(NOTA[SUPPLIER],MATCH(,INDIRECT(ADDRESS(ROW(NOTA[ID]),COLUMN(NOTA[ID]))&amp;":"&amp;ADDRESS(ROW(),COLUMN(NOTA[ID]))),-1)))</f>
        <v>KENKO SINAR INDONESIA</v>
      </c>
      <c r="AH14" s="28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4</v>
      </c>
      <c r="AK14" s="38" t="str">
        <f>LOWER(SUBSTITUTE(SUBSTITUTE(SUBSTITUTE(SUBSTITUTE(SUBSTITUTE(SUBSTITUTE(SUBSTITUTE(SUBSTITUTE(SUBSTITUTE(NOTA[NAMA BARANG]," ",),".",""),"-",""),"(",""),")",""),",",""),"/",""),"""",""),"+",""))</f>
        <v>kenkohandtallycounterht303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kenkohandtallycounterht30331200000.17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kenkohandtallycounterht30331200000.17</v>
      </c>
      <c r="AN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" s="38" t="str">
        <f>IF(NOTA[[#This Row],[CONCAT4]]="","",_xlfn.IFNA(MATCH(NOTA[[#This Row],[CONCAT4]],[2]!RAW[CONCAT_H],0),FALSE))</f>
        <v/>
      </c>
      <c r="AP14" s="174">
        <f>IF(NOTA[[#This Row],[CONCAT1]]="","",MATCH(NOTA[[#This Row],[CONCAT1]],[3]!db[NB NOTA_C],0)+1)</f>
        <v>446</v>
      </c>
    </row>
    <row r="15" spans="1:42" ht="20.100000000000001" customHeight="1" x14ac:dyDescent="0.25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9" t="str">
        <f>IF(NOTA[[#This Row],[ID_P]]="","",MATCH(NOTA[[#This Row],[ID_P]],[1]!B_MSK[N_ID],0))</f>
        <v/>
      </c>
      <c r="D15" s="29">
        <f ca="1">IF(NOTA[[#This Row],[NAMA BARANG]]="","",INDEX(NOTA[ID],MATCH(,INDIRECT(ADDRESS(ROW(NOTA[ID]),COLUMN(NOTA[ID]))&amp;":"&amp;ADDRESS(ROW(),COLUMN(NOTA[ID]))),-1)))</f>
        <v>2</v>
      </c>
      <c r="E15" s="30"/>
      <c r="F15" s="26"/>
      <c r="G15" s="26"/>
      <c r="H15" s="31"/>
      <c r="I15" s="32"/>
      <c r="J15" s="33"/>
      <c r="K15" s="32"/>
      <c r="L15" s="26" t="s">
        <v>162</v>
      </c>
      <c r="M15" s="34">
        <v>5</v>
      </c>
      <c r="N15" s="32"/>
      <c r="O15" s="26"/>
      <c r="P15" s="28"/>
      <c r="Q15" s="52">
        <v>2052000</v>
      </c>
      <c r="R15" s="39" t="s">
        <v>170</v>
      </c>
      <c r="S15" s="35">
        <v>0.17</v>
      </c>
      <c r="T15" s="35"/>
      <c r="U15" s="36"/>
      <c r="V15" s="37"/>
      <c r="W15" s="36">
        <f>IF(NOTA[[#This Row],[HARGA/ CTN]]="",NOTA[[#This Row],[JUMLAH_H]],NOTA[[#This Row],[HARGA/ CTN]]*IF(NOTA[[#This Row],[C]]="",0,NOTA[[#This Row],[C]]))</f>
        <v>10260000</v>
      </c>
      <c r="X15" s="36">
        <f>IF(NOTA[[#This Row],[JUMLAH]]="","",NOTA[[#This Row],[JUMLAH]]*NOTA[[#This Row],[DISC 1]])</f>
        <v>1744200.0000000002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1744200.0000000002</v>
      </c>
      <c r="AA15" s="36">
        <f>IF(NOTA[[#This Row],[JUMLAH]]="","",NOTA[[#This Row],[JUMLAH]]-NOTA[[#This Row],[DISC]])</f>
        <v>8515800</v>
      </c>
      <c r="AB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5" s="36" t="str">
        <f>IF(OR(NOTA[[#This Row],[QTY]]="",NOTA[[#This Row],[HARGA SATUAN]]="",),"",NOTA[[#This Row],[QTY]]*NOTA[[#This Row],[HARGA SATUAN]])</f>
        <v/>
      </c>
      <c r="AF15" s="33">
        <f ca="1">IF(NOTA[ID_H]="","",INDEX(NOTA[TANGGAL],MATCH(,INDIRECT(ADDRESS(ROW(NOTA[TANGGAL]),COLUMN(NOTA[TANGGAL]))&amp;":"&amp;ADDRESS(ROW(),COLUMN(NOTA[TANGGAL]))),-1)))</f>
        <v>45019</v>
      </c>
      <c r="AG15" s="28" t="str">
        <f ca="1">IF(NOTA[[#This Row],[NAMA BARANG]]="","",INDEX(NOTA[SUPPLIER],MATCH(,INDIRECT(ADDRESS(ROW(NOTA[ID]),COLUMN(NOTA[ID]))&amp;":"&amp;ADDRESS(ROW(),COLUMN(NOTA[ID]))),-1)))</f>
        <v>KENKO SINAR INDONESIA</v>
      </c>
      <c r="AH15" s="28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4</v>
      </c>
      <c r="AK15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38" t="str">
        <f>IF(NOTA[[#This Row],[CONCAT4]]="","",_xlfn.IFNA(MATCH(NOTA[[#This Row],[CONCAT4]],[2]!RAW[CONCAT_H],0),FALSE))</f>
        <v/>
      </c>
      <c r="AP15" s="174">
        <f>IF(NOTA[[#This Row],[CONCAT1]]="","",MATCH(NOTA[[#This Row],[CONCAT1]],[3]!db[NB NOTA_C],0)+1)</f>
        <v>216</v>
      </c>
    </row>
    <row r="16" spans="1:42" ht="20.100000000000001" customHeight="1" x14ac:dyDescent="0.25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9" t="str">
        <f>IF(NOTA[[#This Row],[ID_P]]="","",MATCH(NOTA[[#This Row],[ID_P]],[1]!B_MSK[N_ID],0))</f>
        <v/>
      </c>
      <c r="D16" s="29">
        <f ca="1">IF(NOTA[[#This Row],[NAMA BARANG]]="","",INDEX(NOTA[ID],MATCH(,INDIRECT(ADDRESS(ROW(NOTA[ID]),COLUMN(NOTA[ID]))&amp;":"&amp;ADDRESS(ROW(),COLUMN(NOTA[ID]))),-1)))</f>
        <v>2</v>
      </c>
      <c r="E16" s="30"/>
      <c r="F16" s="26"/>
      <c r="G16" s="26"/>
      <c r="H16" s="31"/>
      <c r="I16" s="32"/>
      <c r="J16" s="33"/>
      <c r="K16" s="32"/>
      <c r="L16" s="26" t="s">
        <v>163</v>
      </c>
      <c r="M16" s="34">
        <v>3</v>
      </c>
      <c r="N16" s="32"/>
      <c r="O16" s="26"/>
      <c r="P16" s="28"/>
      <c r="Q16" s="52">
        <v>504000</v>
      </c>
      <c r="R16" s="39" t="s">
        <v>169</v>
      </c>
      <c r="S16" s="35">
        <v>0.17</v>
      </c>
      <c r="T16" s="35"/>
      <c r="U16" s="36"/>
      <c r="V16" s="37"/>
      <c r="W16" s="36">
        <f>IF(NOTA[[#This Row],[HARGA/ CTN]]="",NOTA[[#This Row],[JUMLAH_H]],NOTA[[#This Row],[HARGA/ CTN]]*IF(NOTA[[#This Row],[C]]="",0,NOTA[[#This Row],[C]]))</f>
        <v>1512000</v>
      </c>
      <c r="X16" s="36">
        <f>IF(NOTA[[#This Row],[JUMLAH]]="","",NOTA[[#This Row],[JUMLAH]]*NOTA[[#This Row],[DISC 1]])</f>
        <v>257040.00000000003</v>
      </c>
      <c r="Y16" s="36">
        <f>IF(NOTA[[#This Row],[JUMLAH]]="","",(NOTA[[#This Row],[JUMLAH]]-NOTA[[#This Row],[DISC 1-]])*NOTA[[#This Row],[DISC 2]])</f>
        <v>0</v>
      </c>
      <c r="Z16" s="36">
        <f>IF(NOTA[[#This Row],[JUMLAH]]="","",NOTA[[#This Row],[DISC 1-]]+NOTA[[#This Row],[DISC 2-]])</f>
        <v>257040.00000000003</v>
      </c>
      <c r="AA16" s="36">
        <f>IF(NOTA[[#This Row],[JUMLAH]]="","",NOTA[[#This Row],[JUMLAH]]-NOTA[[#This Row],[DISC]])</f>
        <v>1254960</v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6" s="36" t="str">
        <f>IF(OR(NOTA[[#This Row],[QTY]]="",NOTA[[#This Row],[HARGA SATUAN]]="",),"",NOTA[[#This Row],[QTY]]*NOTA[[#This Row],[HARGA SATUAN]])</f>
        <v/>
      </c>
      <c r="AF16" s="33">
        <f ca="1">IF(NOTA[ID_H]="","",INDEX(NOTA[TANGGAL],MATCH(,INDIRECT(ADDRESS(ROW(NOTA[TANGGAL]),COLUMN(NOTA[TANGGAL]))&amp;":"&amp;ADDRESS(ROW(),COLUMN(NOTA[TANGGAL]))),-1)))</f>
        <v>45019</v>
      </c>
      <c r="AG16" s="28" t="str">
        <f ca="1">IF(NOTA[[#This Row],[NAMA BARANG]]="","",INDEX(NOTA[SUPPLIER],MATCH(,INDIRECT(ADDRESS(ROW(NOTA[ID]),COLUMN(NOTA[ID]))&amp;":"&amp;ADDRESS(ROW(),COLUMN(NOTA[ID]))),-1)))</f>
        <v>KENKO SINAR INDONESIA</v>
      </c>
      <c r="AH16" s="28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4</v>
      </c>
      <c r="AK16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38" t="str">
        <f>IF(NOTA[[#This Row],[CONCAT4]]="","",_xlfn.IFNA(MATCH(NOTA[[#This Row],[CONCAT4]],[2]!RAW[CONCAT_H],0),FALSE))</f>
        <v/>
      </c>
      <c r="AP16" s="174">
        <f>IF(NOTA[[#This Row],[CONCAT1]]="","",MATCH(NOTA[[#This Row],[CONCAT1]],[3]!db[NB NOTA_C],0)+1)</f>
        <v>540</v>
      </c>
    </row>
    <row r="17" spans="1:42" ht="20.100000000000001" customHeight="1" x14ac:dyDescent="0.25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9" t="str">
        <f>IF(NOTA[[#This Row],[ID_P]]="","",MATCH(NOTA[[#This Row],[ID_P]],[1]!B_MSK[N_ID],0))</f>
        <v/>
      </c>
      <c r="D17" s="29">
        <f ca="1">IF(NOTA[[#This Row],[NAMA BARANG]]="","",INDEX(NOTA[ID],MATCH(,INDIRECT(ADDRESS(ROW(NOTA[ID]),COLUMN(NOTA[ID]))&amp;":"&amp;ADDRESS(ROW(),COLUMN(NOTA[ID]))),-1)))</f>
        <v>2</v>
      </c>
      <c r="E17" s="30"/>
      <c r="F17" s="26"/>
      <c r="G17" s="26"/>
      <c r="H17" s="31"/>
      <c r="I17" s="26" t="s">
        <v>174</v>
      </c>
      <c r="J17" s="33"/>
      <c r="K17" s="32"/>
      <c r="L17" s="26" t="s">
        <v>164</v>
      </c>
      <c r="M17" s="34">
        <v>10</v>
      </c>
      <c r="N17" s="32"/>
      <c r="O17" s="26"/>
      <c r="P17" s="28"/>
      <c r="Q17" s="52">
        <v>396000</v>
      </c>
      <c r="R17" s="39" t="s">
        <v>169</v>
      </c>
      <c r="S17" s="35">
        <v>0.17</v>
      </c>
      <c r="T17" s="35"/>
      <c r="U17" s="36"/>
      <c r="V17" s="37"/>
      <c r="W17" s="36">
        <f>IF(NOTA[[#This Row],[HARGA/ CTN]]="",NOTA[[#This Row],[JUMLAH_H]],NOTA[[#This Row],[HARGA/ CTN]]*IF(NOTA[[#This Row],[C]]="",0,NOTA[[#This Row],[C]]))</f>
        <v>3960000</v>
      </c>
      <c r="X17" s="36">
        <f>IF(NOTA[[#This Row],[JUMLAH]]="","",NOTA[[#This Row],[JUMLAH]]*NOTA[[#This Row],[DISC 1]])</f>
        <v>673200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673200</v>
      </c>
      <c r="AA17" s="36">
        <f>IF(NOTA[[#This Row],[JUMLAH]]="","",NOTA[[#This Row],[JUMLAH]]-NOTA[[#This Row],[DISC]])</f>
        <v>3286800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28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7" s="36" t="str">
        <f>IF(OR(NOTA[[#This Row],[QTY]]="",NOTA[[#This Row],[HARGA SATUAN]]="",),"",NOTA[[#This Row],[QTY]]*NOTA[[#This Row],[HARGA SATUAN]])</f>
        <v/>
      </c>
      <c r="AF17" s="33">
        <f ca="1">IF(NOTA[ID_H]="","",INDEX(NOTA[TANGGAL],MATCH(,INDIRECT(ADDRESS(ROW(NOTA[TANGGAL]),COLUMN(NOTA[TANGGAL]))&amp;":"&amp;ADDRESS(ROW(),COLUMN(NOTA[TANGGAL]))),-1)))</f>
        <v>45019</v>
      </c>
      <c r="AG17" s="28" t="str">
        <f ca="1">IF(NOTA[[#This Row],[NAMA BARANG]]="","",INDEX(NOTA[SUPPLIER],MATCH(,INDIRECT(ADDRESS(ROW(NOTA[ID]),COLUMN(NOTA[ID]))&amp;":"&amp;ADDRESS(ROW(),COLUMN(NOTA[ID]))),-1)))</f>
        <v>KENKO SINAR INDONESIA</v>
      </c>
      <c r="AH17" s="28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4</v>
      </c>
      <c r="AK17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38" t="str">
        <f>IF(NOTA[[#This Row],[CONCAT4]]="","",_xlfn.IFNA(MATCH(NOTA[[#This Row],[CONCAT4]],[2]!RAW[CONCAT_H],0),FALSE))</f>
        <v/>
      </c>
      <c r="AP17" s="174">
        <f>IF(NOTA[[#This Row],[CONCAT1]]="","",MATCH(NOTA[[#This Row],[CONCAT1]],[3]!db[NB NOTA_C],0)+1)</f>
        <v>539</v>
      </c>
    </row>
    <row r="18" spans="1:42" ht="20.100000000000001" customHeight="1" x14ac:dyDescent="0.25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9" t="str">
        <f>IF(NOTA[[#This Row],[ID_P]]="","",MATCH(NOTA[[#This Row],[ID_P]],[1]!B_MSK[N_ID],0))</f>
        <v/>
      </c>
      <c r="D18" s="29">
        <f ca="1">IF(NOTA[[#This Row],[NAMA BARANG]]="","",INDEX(NOTA[ID],MATCH(,INDIRECT(ADDRESS(ROW(NOTA[ID]),COLUMN(NOTA[ID]))&amp;":"&amp;ADDRESS(ROW(),COLUMN(NOTA[ID]))),-1)))</f>
        <v>2</v>
      </c>
      <c r="E18" s="30"/>
      <c r="F18" s="26"/>
      <c r="G18" s="26"/>
      <c r="H18" s="31"/>
      <c r="I18" s="26" t="s">
        <v>172</v>
      </c>
      <c r="J18" s="33"/>
      <c r="K18" s="32"/>
      <c r="L18" s="26" t="s">
        <v>165</v>
      </c>
      <c r="M18" s="34">
        <v>3</v>
      </c>
      <c r="N18" s="32"/>
      <c r="O18" s="26"/>
      <c r="P18" s="28"/>
      <c r="Q18" s="52">
        <v>2952000</v>
      </c>
      <c r="R18" s="39" t="s">
        <v>169</v>
      </c>
      <c r="S18" s="35">
        <v>0.17</v>
      </c>
      <c r="T18" s="35"/>
      <c r="U18" s="36"/>
      <c r="V18" s="37"/>
      <c r="W18" s="36">
        <f>IF(NOTA[[#This Row],[HARGA/ CTN]]="",NOTA[[#This Row],[JUMLAH_H]],NOTA[[#This Row],[HARGA/ CTN]]*IF(NOTA[[#This Row],[C]]="",0,NOTA[[#This Row],[C]]))</f>
        <v>8856000</v>
      </c>
      <c r="X18" s="36">
        <f>IF(NOTA[[#This Row],[JUMLAH]]="","",NOTA[[#This Row],[JUMLAH]]*NOTA[[#This Row],[DISC 1]])</f>
        <v>1505520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1505520</v>
      </c>
      <c r="AA18" s="36">
        <f>IF(NOTA[[#This Row],[JUMLAH]]="","",NOTA[[#This Row],[JUMLAH]]-NOTA[[#This Row],[DISC]])</f>
        <v>7350480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8" s="36" t="str">
        <f>IF(OR(NOTA[[#This Row],[QTY]]="",NOTA[[#This Row],[HARGA SATUAN]]="",),"",NOTA[[#This Row],[QTY]]*NOTA[[#This Row],[HARGA SATUAN]])</f>
        <v/>
      </c>
      <c r="AF18" s="33">
        <f ca="1">IF(NOTA[ID_H]="","",INDEX(NOTA[TANGGAL],MATCH(,INDIRECT(ADDRESS(ROW(NOTA[TANGGAL]),COLUMN(NOTA[TANGGAL]))&amp;":"&amp;ADDRESS(ROW(),COLUMN(NOTA[TANGGAL]))),-1)))</f>
        <v>45019</v>
      </c>
      <c r="AG18" s="28" t="str">
        <f ca="1">IF(NOTA[[#This Row],[NAMA BARANG]]="","",INDEX(NOTA[SUPPLIER],MATCH(,INDIRECT(ADDRESS(ROW(NOTA[ID]),COLUMN(NOTA[ID]))&amp;":"&amp;ADDRESS(ROW(),COLUMN(NOTA[ID]))),-1)))</f>
        <v>KENKO SINAR INDONESIA</v>
      </c>
      <c r="AH18" s="28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4</v>
      </c>
      <c r="AK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38" t="str">
        <f>IF(NOTA[[#This Row],[CONCAT4]]="","",_xlfn.IFNA(MATCH(NOTA[[#This Row],[CONCAT4]],[2]!RAW[CONCAT_H],0),FALSE))</f>
        <v/>
      </c>
      <c r="AP18" s="174">
        <f>IF(NOTA[[#This Row],[CONCAT1]]="","",MATCH(NOTA[[#This Row],[CONCAT1]],[3]!db[NB NOTA_C],0)+1)</f>
        <v>291</v>
      </c>
    </row>
    <row r="19" spans="1:42" ht="20.100000000000001" customHeight="1" x14ac:dyDescent="0.25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9" t="str">
        <f>IF(NOTA[[#This Row],[ID_P]]="","",MATCH(NOTA[[#This Row],[ID_P]],[1]!B_MSK[N_ID],0))</f>
        <v/>
      </c>
      <c r="D19" s="29">
        <f ca="1">IF(NOTA[[#This Row],[NAMA BARANG]]="","",INDEX(NOTA[ID],MATCH(,INDIRECT(ADDRESS(ROW(NOTA[ID]),COLUMN(NOTA[ID]))&amp;":"&amp;ADDRESS(ROW(),COLUMN(NOTA[ID]))),-1)))</f>
        <v>2</v>
      </c>
      <c r="E19" s="30"/>
      <c r="F19" s="26"/>
      <c r="G19" s="26"/>
      <c r="H19" s="31"/>
      <c r="I19" s="32"/>
      <c r="J19" s="33"/>
      <c r="K19" s="32"/>
      <c r="L19" s="26" t="s">
        <v>89</v>
      </c>
      <c r="M19" s="34">
        <v>1</v>
      </c>
      <c r="N19" s="32"/>
      <c r="O19" s="26"/>
      <c r="P19" s="28"/>
      <c r="Q19" s="52">
        <v>3542400</v>
      </c>
      <c r="R19" s="39" t="s">
        <v>155</v>
      </c>
      <c r="S19" s="35">
        <v>0.17</v>
      </c>
      <c r="T19" s="35"/>
      <c r="U19" s="36"/>
      <c r="V19" s="37"/>
      <c r="W19" s="36">
        <f>IF(NOTA[[#This Row],[HARGA/ CTN]]="",NOTA[[#This Row],[JUMLAH_H]],NOTA[[#This Row],[HARGA/ CTN]]*IF(NOTA[[#This Row],[C]]="",0,NOTA[[#This Row],[C]]))</f>
        <v>3542400</v>
      </c>
      <c r="X19" s="36">
        <f>IF(NOTA[[#This Row],[JUMLAH]]="","",NOTA[[#This Row],[JUMLAH]]*NOTA[[#This Row],[DISC 1]])</f>
        <v>602208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602208</v>
      </c>
      <c r="AA19" s="36">
        <f>IF(NOTA[[#This Row],[JUMLAH]]="","",NOTA[[#This Row],[JUMLAH]]-NOTA[[#This Row],[DISC]])</f>
        <v>2940192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19" s="36" t="str">
        <f>IF(OR(NOTA[[#This Row],[QTY]]="",NOTA[[#This Row],[HARGA SATUAN]]="",),"",NOTA[[#This Row],[QTY]]*NOTA[[#This Row],[HARGA SATUAN]])</f>
        <v/>
      </c>
      <c r="AF19" s="33">
        <f ca="1">IF(NOTA[ID_H]="","",INDEX(NOTA[TANGGAL],MATCH(,INDIRECT(ADDRESS(ROW(NOTA[TANGGAL]),COLUMN(NOTA[TANGGAL]))&amp;":"&amp;ADDRESS(ROW(),COLUMN(NOTA[TANGGAL]))),-1)))</f>
        <v>45019</v>
      </c>
      <c r="AG19" s="28" t="str">
        <f ca="1">IF(NOTA[[#This Row],[NAMA BARANG]]="","",INDEX(NOTA[SUPPLIER],MATCH(,INDIRECT(ADDRESS(ROW(NOTA[ID]),COLUMN(NOTA[ID]))&amp;":"&amp;ADDRESS(ROW(),COLUMN(NOTA[ID]))),-1)))</f>
        <v>KENKO SINAR INDONESIA</v>
      </c>
      <c r="AH19" s="28" t="str">
        <f ca="1">IF(NOTA[[#This Row],[ID_H]]="","",IF(NOTA[[#This Row],[FAKTUR]]="",INDIRECT(ADDRESS(ROW()-1,COLUMN())),NOTA[[#This Row],[FAKTUR]]))</f>
        <v>ARTO MORO</v>
      </c>
      <c r="AI19" s="38" t="str">
        <f ca="1">IF(NOTA[[#This Row],[ID]]="","",COUNTIF(NOTA[ID_H],NOTA[[#This Row],[ID_H]]))</f>
        <v/>
      </c>
      <c r="AJ19" s="38">
        <f ca="1">IF(NOTA[[#This Row],[TGL.NOTA]]="",IF(NOTA[[#This Row],[SUPPLIER_H]]="","",AJ18),MONTH(NOTA[[#This Row],[TGL.NOTA]]))</f>
        <v>4</v>
      </c>
      <c r="AK1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38" t="str">
        <f>IF(NOTA[[#This Row],[CONCAT4]]="","",_xlfn.IFNA(MATCH(NOTA[[#This Row],[CONCAT4]],[2]!RAW[CONCAT_H],0),FALSE))</f>
        <v/>
      </c>
      <c r="AP19" s="174">
        <f>IF(NOTA[[#This Row],[CONCAT1]]="","",MATCH(NOTA[[#This Row],[CONCAT1]],[3]!db[NB NOTA_C],0)+1)</f>
        <v>363</v>
      </c>
    </row>
    <row r="20" spans="1:42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32"/>
      <c r="J20" s="33"/>
      <c r="K20" s="32"/>
      <c r="L20" s="26" t="s">
        <v>166</v>
      </c>
      <c r="M20" s="34">
        <v>1</v>
      </c>
      <c r="N20" s="32"/>
      <c r="O20" s="26"/>
      <c r="P20" s="28"/>
      <c r="Q20" s="52">
        <v>3758400</v>
      </c>
      <c r="R20" s="39" t="s">
        <v>155</v>
      </c>
      <c r="S20" s="35">
        <v>0.17</v>
      </c>
      <c r="T20" s="35"/>
      <c r="U20" s="36"/>
      <c r="V20" s="37"/>
      <c r="W20" s="36">
        <f>IF(NOTA[[#This Row],[HARGA/ CTN]]="",NOTA[[#This Row],[JUMLAH_H]],NOTA[[#This Row],[HARGA/ CTN]]*IF(NOTA[[#This Row],[C]]="",0,NOTA[[#This Row],[C]]))</f>
        <v>3758400</v>
      </c>
      <c r="X20" s="36">
        <f>IF(NOTA[[#This Row],[JUMLAH]]="","",NOTA[[#This Row],[JUMLAH]]*NOTA[[#This Row],[DISC 1]])</f>
        <v>638928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638928</v>
      </c>
      <c r="AA20" s="36">
        <f>IF(NOTA[[#This Row],[JUMLAH]]="","",NOTA[[#This Row],[JUMLAH]]-NOTA[[#This Row],[DISC]])</f>
        <v>3119472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45019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4</v>
      </c>
      <c r="AK20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38" t="str">
        <f>IF(NOTA[[#This Row],[CONCAT4]]="","",_xlfn.IFNA(MATCH(NOTA[[#This Row],[CONCAT4]],[2]!RAW[CONCAT_H],0),FALSE))</f>
        <v/>
      </c>
      <c r="AP20" s="174">
        <f>IF(NOTA[[#This Row],[CONCAT1]]="","",MATCH(NOTA[[#This Row],[CONCAT1]],[3]!db[NB NOTA_C],0)+1)</f>
        <v>369</v>
      </c>
    </row>
    <row r="21" spans="1:42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2</v>
      </c>
      <c r="E21" s="30"/>
      <c r="F21" s="26"/>
      <c r="G21" s="26"/>
      <c r="H21" s="31"/>
      <c r="I21" s="32"/>
      <c r="J21" s="33"/>
      <c r="K21" s="32"/>
      <c r="L21" s="26" t="s">
        <v>120</v>
      </c>
      <c r="M21" s="34">
        <v>5</v>
      </c>
      <c r="N21" s="32"/>
      <c r="O21" s="26"/>
      <c r="P21" s="28"/>
      <c r="Q21" s="52">
        <v>3758400</v>
      </c>
      <c r="R21" s="39" t="s">
        <v>155</v>
      </c>
      <c r="S21" s="35">
        <v>0.17</v>
      </c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18792000</v>
      </c>
      <c r="X21" s="36">
        <f>IF(NOTA[[#This Row],[JUMLAH]]="","",NOTA[[#This Row],[JUMLAH]]*NOTA[[#This Row],[DISC 1]])</f>
        <v>3194640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3194640</v>
      </c>
      <c r="AA21" s="36">
        <f>IF(NOTA[[#This Row],[JUMLAH]]="","",NOTA[[#This Row],[JUMLAH]]-NOTA[[#This Row],[DISC]])</f>
        <v>15597360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" s="36" t="str">
        <f>IF(OR(NOTA[[#This Row],[QTY]]="",NOTA[[#This Row],[HARGA SATUAN]]="",),"",NOTA[[#This Row],[QTY]]*NOTA[[#This Row],[HARGA SATUAN]])</f>
        <v/>
      </c>
      <c r="AF21" s="33">
        <f ca="1">IF(NOTA[ID_H]="","",INDEX(NOTA[TANGGAL],MATCH(,INDIRECT(ADDRESS(ROW(NOTA[TANGGAL]),COLUMN(NOTA[TANGGAL]))&amp;":"&amp;ADDRESS(ROW(),COLUMN(NOTA[TANGGAL]))),-1)))</f>
        <v>45019</v>
      </c>
      <c r="AG21" s="28" t="str">
        <f ca="1">IF(NOTA[[#This Row],[NAMA BARANG]]="","",INDEX(NOTA[SUPPLIER],MATCH(,INDIRECT(ADDRESS(ROW(NOTA[ID]),COLUMN(NOTA[ID]))&amp;":"&amp;ADDRESS(ROW(),COLUMN(NOTA[ID]))),-1)))</f>
        <v>KENKO SINAR INDONESIA</v>
      </c>
      <c r="AH21" s="28" t="str">
        <f ca="1">IF(NOTA[[#This Row],[ID_H]]="","",IF(NOTA[[#This Row],[FAKTUR]]="",INDIRECT(ADDRESS(ROW()-1,COLUMN())),NOTA[[#This Row],[FAKTUR]]))</f>
        <v>ARTO MORO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4</v>
      </c>
      <c r="AK21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38" t="str">
        <f>IF(NOTA[[#This Row],[CONCAT4]]="","",_xlfn.IFNA(MATCH(NOTA[[#This Row],[CONCAT4]],[2]!RAW[CONCAT_H],0),FALSE))</f>
        <v/>
      </c>
      <c r="AP21" s="174">
        <f>IF(NOTA[[#This Row],[CONCAT1]]="","",MATCH(NOTA[[#This Row],[CONCAT1]],[3]!db[NB NOTA_C],0)+1)</f>
        <v>342</v>
      </c>
    </row>
    <row r="22" spans="1:42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2</v>
      </c>
      <c r="E22" s="30"/>
      <c r="F22" s="26"/>
      <c r="G22" s="26"/>
      <c r="H22" s="31"/>
      <c r="I22" s="26" t="s">
        <v>173</v>
      </c>
      <c r="J22" s="33"/>
      <c r="K22" s="32"/>
      <c r="L22" s="26" t="s">
        <v>167</v>
      </c>
      <c r="M22" s="34">
        <v>1</v>
      </c>
      <c r="N22" s="32"/>
      <c r="O22" s="26"/>
      <c r="P22" s="28"/>
      <c r="Q22" s="52">
        <v>1497600</v>
      </c>
      <c r="R22" s="39" t="s">
        <v>157</v>
      </c>
      <c r="S22" s="35">
        <v>0.17</v>
      </c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1497600</v>
      </c>
      <c r="X22" s="36">
        <f>IF(NOTA[[#This Row],[JUMLAH]]="","",NOTA[[#This Row],[JUMLAH]]*NOTA[[#This Row],[DISC 1]])</f>
        <v>254592.00000000003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254592.00000000003</v>
      </c>
      <c r="AA22" s="36">
        <f>IF(NOTA[[#This Row],[JUMLAH]]="","",NOTA[[#This Row],[JUMLAH]]-NOTA[[#This Row],[DISC]])</f>
        <v>1243008</v>
      </c>
      <c r="AB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10046728</v>
      </c>
      <c r="AC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49051672</v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22" s="36" t="str">
        <f>IF(OR(NOTA[[#This Row],[QTY]]="",NOTA[[#This Row],[HARGA SATUAN]]="",),"",NOTA[[#This Row],[QTY]]*NOTA[[#This Row],[HARGA SATUAN]])</f>
        <v/>
      </c>
      <c r="AF22" s="33">
        <f ca="1">IF(NOTA[ID_H]="","",INDEX(NOTA[TANGGAL],MATCH(,INDIRECT(ADDRESS(ROW(NOTA[TANGGAL]),COLUMN(NOTA[TANGGAL]))&amp;":"&amp;ADDRESS(ROW(),COLUMN(NOTA[TANGGAL]))),-1)))</f>
        <v>45019</v>
      </c>
      <c r="AG22" s="28" t="str">
        <f ca="1">IF(NOTA[[#This Row],[NAMA BARANG]]="","",INDEX(NOTA[SUPPLIER],MATCH(,INDIRECT(ADDRESS(ROW(NOTA[ID]),COLUMN(NOTA[ID]))&amp;":"&amp;ADDRESS(ROW(),COLUMN(NOTA[ID]))),-1)))</f>
        <v>KENKO SINAR INDONESIA</v>
      </c>
      <c r="AH22" s="28" t="str">
        <f ca="1">IF(NOTA[[#This Row],[ID_H]]="","",IF(NOTA[[#This Row],[FAKTUR]]="",INDIRECT(ADDRESS(ROW()-1,COLUMN())),NOTA[[#This Row],[FAKTUR]]))</f>
        <v>ARTO MORO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4</v>
      </c>
      <c r="AK22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38" t="str">
        <f>IF(NOTA[[#This Row],[CONCAT4]]="","",_xlfn.IFNA(MATCH(NOTA[[#This Row],[CONCAT4]],[2]!RAW[CONCAT_H],0),FALSE))</f>
        <v/>
      </c>
      <c r="AP22" s="174">
        <f>IF(NOTA[[#This Row],[CONCAT1]]="","",MATCH(NOTA[[#This Row],[CONCAT1]],[3]!db[NB NOTA_C],0)+1)</f>
        <v>636</v>
      </c>
    </row>
    <row r="23" spans="1:42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 t="str">
        <f ca="1">IF(NOTA[[#This Row],[NAMA BARANG]]="","",INDEX(NOTA[ID],MATCH(,INDIRECT(ADDRESS(ROW(NOTA[ID]),COLUMN(NOTA[ID]))&amp;":"&amp;ADDRESS(ROW(),COLUMN(NOTA[ID]))),-1)))</f>
        <v/>
      </c>
      <c r="E23" s="30"/>
      <c r="F23" s="26"/>
      <c r="G23" s="26"/>
      <c r="H23" s="31"/>
      <c r="I23" s="26"/>
      <c r="J23" s="33"/>
      <c r="K23" s="32"/>
      <c r="L23" s="26"/>
      <c r="M23" s="34"/>
      <c r="N23" s="32"/>
      <c r="O23" s="26"/>
      <c r="P23" s="28"/>
      <c r="Q23" s="52"/>
      <c r="R23" s="39"/>
      <c r="S23" s="35"/>
      <c r="T23" s="35"/>
      <c r="U23" s="36"/>
      <c r="V23" s="37"/>
      <c r="W23" s="36" t="str">
        <f>IF(NOTA[[#This Row],[HARGA/ CTN]]="",NOTA[[#This Row],[JUMLAH_H]],NOTA[[#This Row],[HARGA/ CTN]]*IF(NOTA[[#This Row],[C]]="",0,NOTA[[#This Row],[C]]))</f>
        <v/>
      </c>
      <c r="X23" s="36" t="str">
        <f>IF(NOTA[[#This Row],[JUMLAH]]="","",NOTA[[#This Row],[JUMLAH]]*NOTA[[#This Row],[DISC 1]])</f>
        <v/>
      </c>
      <c r="Y23" s="36" t="str">
        <f>IF(NOTA[[#This Row],[JUMLAH]]="","",(NOTA[[#This Row],[JUMLAH]]-NOTA[[#This Row],[DISC 1-]])*NOTA[[#This Row],[DISC 2]])</f>
        <v/>
      </c>
      <c r="Z23" s="36" t="str">
        <f>IF(NOTA[[#This Row],[JUMLAH]]="","",NOTA[[#This Row],[DISC 1-]]+NOTA[[#This Row],[DISC 2-]])</f>
        <v/>
      </c>
      <c r="AA23" s="36" t="str">
        <f>IF(NOTA[[#This Row],[JUMLAH]]="","",NOTA[[#This Row],[JUMLAH]]-NOTA[[#This Row],[DISC]])</f>
        <v/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36" t="str">
        <f>IF(OR(NOTA[[#This Row],[QTY]]="",NOTA[[#This Row],[HARGA SATUAN]]="",),"",NOTA[[#This Row],[QTY]]*NOTA[[#This Row],[HARGA SATUAN]])</f>
        <v/>
      </c>
      <c r="AF23" s="33" t="str">
        <f ca="1">IF(NOTA[ID_H]="","",INDEX(NOTA[TANGGAL],MATCH(,INDIRECT(ADDRESS(ROW(NOTA[TANGGAL]),COLUMN(NOTA[TANGGAL]))&amp;":"&amp;ADDRESS(ROW(),COLUMN(NOTA[TANGGAL]))),-1)))</f>
        <v/>
      </c>
      <c r="AG23" s="28" t="str">
        <f ca="1">IF(NOTA[[#This Row],[NAMA BARANG]]="","",INDEX(NOTA[SUPPLIER],MATCH(,INDIRECT(ADDRESS(ROW(NOTA[ID]),COLUMN(NOTA[ID]))&amp;":"&amp;ADDRESS(ROW(),COLUMN(NOTA[ID]))),-1)))</f>
        <v/>
      </c>
      <c r="AH23" s="28" t="str">
        <f ca="1">IF(NOTA[[#This Row],[ID_H]]="","",IF(NOTA[[#This Row],[FAKTUR]]="",INDIRECT(ADDRESS(ROW()-1,COLUMN())),NOTA[[#This Row],[FAKTUR]]))</f>
        <v/>
      </c>
      <c r="AI23" s="38" t="str">
        <f ca="1">IF(NOTA[[#This Row],[ID]]="","",COUNTIF(NOTA[ID_H],NOTA[[#This Row],[ID_H]]))</f>
        <v/>
      </c>
      <c r="AJ23" s="38" t="str">
        <f ca="1">IF(NOTA[[#This Row],[TGL.NOTA]]="",IF(NOTA[[#This Row],[SUPPLIER_H]]="","",AJ22),MONTH(NOTA[[#This Row],[TGL.NOTA]]))</f>
        <v/>
      </c>
      <c r="AK23" s="38" t="str">
        <f>LOWER(SUBSTITUTE(SUBSTITUTE(SUBSTITUTE(SUBSTITUTE(SUBSTITUTE(SUBSTITUTE(SUBSTITUTE(SUBSTITUTE(SUBSTITUTE(NOTA[NAMA BARANG]," ",),".",""),"-",""),"(",""),")",""),",",""),"/",""),"""",""),"+",""))</f>
        <v/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38" t="str">
        <f>IF(NOTA[[#This Row],[CONCAT4]]="","",_xlfn.IFNA(MATCH(NOTA[[#This Row],[CONCAT4]],[2]!RAW[CONCAT_H],0),FALSE))</f>
        <v/>
      </c>
      <c r="AP23" s="174" t="str">
        <f>IF(NOTA[[#This Row],[CONCAT1]]="","",MATCH(NOTA[[#This Row],[CONCAT1]],[3]!db[NB NOTA_C],0)+1)</f>
        <v/>
      </c>
    </row>
    <row r="24" spans="1:42" ht="20.100000000000001" customHeight="1" x14ac:dyDescent="0.25">
      <c r="A24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GLO_0304_D20-1</v>
      </c>
      <c r="C24" s="29" t="e">
        <f ca="1">IF(NOTA[[#This Row],[ID_P]]="","",MATCH(NOTA[[#This Row],[ID_P]],[1]!B_MSK[N_ID],0))</f>
        <v>#REF!</v>
      </c>
      <c r="D24" s="29">
        <f ca="1">IF(NOTA[[#This Row],[NAMA BARANG]]="","",INDEX(NOTA[ID],MATCH(,INDIRECT(ADDRESS(ROW(NOTA[ID]),COLUMN(NOTA[ID]))&amp;":"&amp;ADDRESS(ROW(),COLUMN(NOTA[ID]))),-1)))</f>
        <v>3</v>
      </c>
      <c r="E24" s="23">
        <v>45019</v>
      </c>
      <c r="F24" s="26" t="s">
        <v>175</v>
      </c>
      <c r="G24" s="26" t="s">
        <v>176</v>
      </c>
      <c r="H24" s="31" t="s">
        <v>196</v>
      </c>
      <c r="I24" s="26"/>
      <c r="J24" s="51">
        <v>45019</v>
      </c>
      <c r="K24" s="26"/>
      <c r="L24" s="26" t="s">
        <v>197</v>
      </c>
      <c r="M24" s="39"/>
      <c r="N24" s="26">
        <v>120</v>
      </c>
      <c r="O24" s="26" t="s">
        <v>198</v>
      </c>
      <c r="P24" s="49">
        <v>13000</v>
      </c>
      <c r="Q24" s="52"/>
      <c r="R24" s="39"/>
      <c r="S24" s="53"/>
      <c r="T24" s="53"/>
      <c r="U24" s="54">
        <v>78000</v>
      </c>
      <c r="V24" s="37" t="s">
        <v>199</v>
      </c>
      <c r="W24" s="36">
        <f>IF(NOTA[[#This Row],[HARGA/ CTN]]="",NOTA[[#This Row],[JUMLAH_H]],NOTA[[#This Row],[HARGA/ CTN]]*IF(NOTA[[#This Row],[C]]="",0,NOTA[[#This Row],[C]]))</f>
        <v>1560000</v>
      </c>
      <c r="X24" s="36">
        <f>IF(NOTA[[#This Row],[JUMLAH]]="","",NOTA[[#This Row],[JUMLAH]]*NOTA[[#This Row],[DISC 1]])</f>
        <v>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0</v>
      </c>
      <c r="AA24" s="36">
        <f>IF(NOTA[[#This Row],[JUMLAH]]="","",NOTA[[#This Row],[JUMLAH]]-NOTA[[#This Row],[DISC]])</f>
        <v>1560000</v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4" s="36">
        <f>IF(OR(NOTA[[#This Row],[QTY]]="",NOTA[[#This Row],[HARGA SATUAN]]="",),"",NOTA[[#This Row],[QTY]]*NOTA[[#This Row],[HARGA SATUAN]])</f>
        <v>1560000</v>
      </c>
      <c r="AF24" s="33">
        <f ca="1">IF(NOTA[ID_H]="","",INDEX(NOTA[TANGGAL],MATCH(,INDIRECT(ADDRESS(ROW(NOTA[TANGGAL]),COLUMN(NOTA[TANGGAL]))&amp;":"&amp;ADDRESS(ROW(),COLUMN(NOTA[TANGGAL]))),-1)))</f>
        <v>45019</v>
      </c>
      <c r="AG24" s="28" t="str">
        <f ca="1">IF(NOTA[[#This Row],[NAMA BARANG]]="","",INDEX(NOTA[SUPPLIER],MATCH(,INDIRECT(ADDRESS(ROW(NOTA[ID]),COLUMN(NOTA[ID]))&amp;":"&amp;ADDRESS(ROW(),COLUMN(NOTA[ID]))),-1)))</f>
        <v>GLORY</v>
      </c>
      <c r="AH24" s="28" t="str">
        <f ca="1">IF(NOTA[[#This Row],[ID_H]]="","",IF(NOTA[[#This Row],[FAKTUR]]="",INDIRECT(ADDRESS(ROW()-1,COLUMN())),NOTA[[#This Row],[FAKTUR]]))</f>
        <v>UNTANA</v>
      </c>
      <c r="AI24" s="38">
        <f ca="1">IF(NOTA[[#This Row],[ID]]="","",COUNTIF(NOTA[ID_H],NOTA[[#This Row],[ID_H]]))</f>
        <v>1</v>
      </c>
      <c r="AJ24" s="38">
        <f>IF(NOTA[[#This Row],[TGL.NOTA]]="",IF(NOTA[[#This Row],[SUPPLIER_H]]="","",AJ22),MONTH(NOTA[[#This Row],[TGL.NOTA]]))</f>
        <v>4</v>
      </c>
      <c r="AK24" s="38" t="str">
        <f>LOWER(SUBSTITUTE(SUBSTITUTE(SUBSTITUTE(SUBSTITUTE(SUBSTITUTE(SUBSTITUTE(SUBSTITUTE(SUBSTITUTE(SUBSTITUTE(NOTA[NAMA BARANG]," ",),".",""),"-",""),"(",""),")",""),",",""),"/",""),"""",""),"+",""))</f>
        <v>agckpolos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N24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GLORYUNTANAD2045019agckpolos</v>
      </c>
      <c r="AO24" s="38" t="e">
        <f>IF(NOTA[[#This Row],[CONCAT4]]="","",_xlfn.IFNA(MATCH(NOTA[[#This Row],[CONCAT4]],[2]!RAW[CONCAT_H],0),FALSE))</f>
        <v>#REF!</v>
      </c>
      <c r="AP24" s="174">
        <f>IF(NOTA[[#This Row],[CONCAT1]]="","",MATCH(NOTA[[#This Row],[CONCAT1]],[3]!db[NB NOTA_C],0)+1)</f>
        <v>861</v>
      </c>
    </row>
    <row r="25" spans="1:42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31"/>
      <c r="I25" s="32"/>
      <c r="J25" s="33"/>
      <c r="K25" s="32"/>
      <c r="L25" s="26"/>
      <c r="M25" s="34"/>
      <c r="N25" s="32"/>
      <c r="O25" s="26"/>
      <c r="P25" s="28"/>
      <c r="Q25" s="52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Row],[SUPPLIER_H]]="","",AJ22),MONTH(NOTA[[#This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38" t="str">
        <f>IF(NOTA[[#This Row],[CONCAT4]]="","",_xlfn.IFNA(MATCH(NOTA[[#This Row],[CONCAT4]],[2]!RAW[CONCAT_H],0),FALSE))</f>
        <v/>
      </c>
      <c r="AP25" s="174" t="str">
        <f>IF(NOTA[[#This Row],[CONCAT1]]="","",MATCH(NOTA[[#This Row],[CONCAT1]],[3]!db[NB NOTA_C],0)+1)</f>
        <v/>
      </c>
    </row>
    <row r="26" spans="1:42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GLO_0404_II-1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4</v>
      </c>
      <c r="E26" s="30">
        <v>45020</v>
      </c>
      <c r="F26" s="26" t="s">
        <v>175</v>
      </c>
      <c r="G26" s="26" t="s">
        <v>176</v>
      </c>
      <c r="H26" s="31" t="s">
        <v>177</v>
      </c>
      <c r="I26" s="32"/>
      <c r="J26" s="33"/>
      <c r="K26" s="32"/>
      <c r="L26" s="26" t="s">
        <v>178</v>
      </c>
      <c r="M26" s="34">
        <v>5</v>
      </c>
      <c r="N26" s="32"/>
      <c r="O26" s="26"/>
      <c r="P26" s="28"/>
      <c r="Q26" s="52"/>
      <c r="R26" s="39" t="s">
        <v>179</v>
      </c>
      <c r="S26" s="35"/>
      <c r="T26" s="35"/>
      <c r="U26" s="36"/>
      <c r="V26" s="37"/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45020</v>
      </c>
      <c r="AG26" s="28" t="str">
        <f ca="1">IF(NOTA[[#This Row],[NAMA BARANG]]="","",INDEX(NOTA[SUPPLIER],MATCH(,INDIRECT(ADDRESS(ROW(NOTA[ID]),COLUMN(NOTA[ID]))&amp;":"&amp;ADDRESS(ROW(),COLUMN(NOTA[ID]))),-1)))</f>
        <v>GLORY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1</v>
      </c>
      <c r="AJ26" s="38" t="str">
        <f ca="1">IF(NOTA[[#This Row],[TGL.NOTA]]="",IF(NOTA[[#This Row],[SUPPLIER_H]]="","",AJ25),MONTH(NOTA[[#This Row],[TGL.NOTA]]))</f>
        <v/>
      </c>
      <c r="AK26" s="38" t="str">
        <f>LOWER(SUBSTITUTE(SUBSTITUTE(SUBSTITUTE(SUBSTITUTE(SUBSTITUTE(SUBSTITUTE(SUBSTITUTE(SUBSTITUTE(SUBSTITUTE(NOTA[NAMA BARANG]," ",),".",""),"-",""),"(",""),")",""),",",""),"/",""),"""",""),"+",""))</f>
        <v>maptalisikahijau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maptalisikahijau0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maptalisikahijau0</v>
      </c>
      <c r="AN26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GLORYUNTANAIImaptalisikahijau</v>
      </c>
      <c r="AO26" s="38" t="e">
        <f>IF(NOTA[[#This Row],[CONCAT4]]="","",_xlfn.IFNA(MATCH(NOTA[[#This Row],[CONCAT4]],[2]!RAW[CONCAT_H],0),FALSE))</f>
        <v>#REF!</v>
      </c>
      <c r="AP26" s="174" t="e">
        <f>IF(NOTA[[#This Row],[CONCAT1]]="","",MATCH(NOTA[[#This Row],[CONCAT1]],[3]!db[NB NOTA_C],0)+1)</f>
        <v>#N/A</v>
      </c>
    </row>
    <row r="27" spans="1:42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32"/>
      <c r="J27" s="33"/>
      <c r="K27" s="32"/>
      <c r="L27" s="26"/>
      <c r="M27" s="34"/>
      <c r="N27" s="32"/>
      <c r="O27" s="26"/>
      <c r="P27" s="28"/>
      <c r="Q27" s="52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38" t="str">
        <f>IF(NOTA[[#This Row],[CONCAT4]]="","",_xlfn.IFNA(MATCH(NOTA[[#This Row],[CONCAT4]],[2]!RAW[CONCAT_H],0),FALSE))</f>
        <v/>
      </c>
      <c r="AP27" s="174" t="str">
        <f>IF(NOTA[[#This Row],[CONCAT1]]="","",MATCH(NOTA[[#This Row],[CONCAT1]],[3]!db[NB NOTA_C],0)+1)</f>
        <v/>
      </c>
    </row>
    <row r="28" spans="1:42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GRA_0404_045-1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23"/>
      <c r="F28" s="26" t="s">
        <v>180</v>
      </c>
      <c r="G28" s="26" t="s">
        <v>176</v>
      </c>
      <c r="H28" s="31" t="s">
        <v>181</v>
      </c>
      <c r="I28" s="26"/>
      <c r="J28" s="51">
        <v>45020</v>
      </c>
      <c r="K28" s="26"/>
      <c r="L28" s="26" t="s">
        <v>182</v>
      </c>
      <c r="M28" s="39">
        <v>5</v>
      </c>
      <c r="N28" s="26">
        <v>250</v>
      </c>
      <c r="O28" s="26" t="s">
        <v>183</v>
      </c>
      <c r="P28" s="49">
        <v>16000</v>
      </c>
      <c r="Q28" s="52"/>
      <c r="R28" s="39" t="s">
        <v>179</v>
      </c>
      <c r="S28" s="53"/>
      <c r="T28" s="53"/>
      <c r="U28" s="54"/>
      <c r="V28" s="37" t="s">
        <v>184</v>
      </c>
      <c r="W28" s="36">
        <f>IF(NOTA[[#This Row],[HARGA/ CTN]]="",NOTA[[#This Row],[JUMLAH_H]],NOTA[[#This Row],[HARGA/ CTN]]*IF(NOTA[[#This Row],[C]]="",0,NOTA[[#This Row],[C]]))</f>
        <v>4000000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4000000</v>
      </c>
      <c r="AB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4000000</v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8" s="36">
        <f>IF(OR(NOTA[[#This Row],[QTY]]="",NOTA[[#This Row],[HARGA SATUAN]]="",),"",NOTA[[#This Row],[QTY]]*NOTA[[#This Row],[HARGA SATUAN]])</f>
        <v>4000000</v>
      </c>
      <c r="AF28" s="33">
        <f ca="1">IF(NOTA[ID_H]="","",INDEX(NOTA[TANGGAL],MATCH(,INDIRECT(ADDRESS(ROW(NOTA[TANGGAL]),COLUMN(NOTA[TANGGAL]))&amp;":"&amp;ADDRESS(ROW(),COLUMN(NOTA[TANGGAL]))),-1)))</f>
        <v>45020</v>
      </c>
      <c r="AG28" s="28" t="str">
        <f ca="1">IF(NOTA[[#This Row],[NAMA BARANG]]="","",INDEX(NOTA[SUPPLIER],MATCH(,INDIRECT(ADDRESS(ROW(NOTA[ID]),COLUMN(NOTA[ID]))&amp;":"&amp;ADDRESS(ROW(),COLUMN(NOTA[ID]))),-1)))</f>
        <v>GRAFINDO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1</v>
      </c>
      <c r="AJ28" s="38">
        <f>IF(NOTA[[#This Row],[TGL.NOTA]]="",IF(NOTA[[#This Row],[SUPPLIER_H]]="","",#REF!),MONTH(NOTA[[#This Row],[TGL.NOTA]]))</f>
        <v>4</v>
      </c>
      <c r="AK28" s="38" t="str">
        <f>LOWER(SUBSTITUTE(SUBSTITUTE(SUBSTITUTE(SUBSTITUTE(SUBSTITUTE(SUBSTITUTE(SUBSTITUTE(SUBSTITUTE(SUBSTITUTE(NOTA[NAMA BARANG]," ",),".",""),"-",""),"(",""),")",""),",",""),"/",""),"""",""),"+",""))</f>
        <v>maptalisikaac05hijau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maptalisikaac05hijau800000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maptalisikaac05hijau800000</v>
      </c>
      <c r="AN28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GRAFINDOUNTANAGA-23-04-004545020maptalisikaac05hijau</v>
      </c>
      <c r="AO28" s="38" t="e">
        <f>IF(NOTA[[#This Row],[CONCAT4]]="","",_xlfn.IFNA(MATCH(NOTA[[#This Row],[CONCAT4]],[2]!RAW[CONCAT_H],0),FALSE))</f>
        <v>#REF!</v>
      </c>
      <c r="AP28" s="174" t="e">
        <f>IF(NOTA[[#This Row],[CONCAT1]]="","",MATCH(NOTA[[#This Row],[CONCAT1]],[3]!db[NB NOTA_C],0)+1)</f>
        <v>#N/A</v>
      </c>
    </row>
    <row r="29" spans="1:42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 t="str">
        <f ca="1">IF(NOTA[[#This Row],[NAMA BARANG]]="","",INDEX(NOTA[ID],MATCH(,INDIRECT(ADDRESS(ROW(NOTA[ID]),COLUMN(NOTA[ID]))&amp;":"&amp;ADDRESS(ROW(),COLUMN(NOTA[ID]))),-1)))</f>
        <v/>
      </c>
      <c r="E29" s="23"/>
      <c r="F29" s="26"/>
      <c r="G29" s="26"/>
      <c r="H29" s="31"/>
      <c r="I29" s="26"/>
      <c r="J29" s="51"/>
      <c r="K29" s="26"/>
      <c r="L29" s="26"/>
      <c r="M29" s="39"/>
      <c r="N29" s="26"/>
      <c r="O29" s="26"/>
      <c r="P29" s="49"/>
      <c r="Q29" s="52"/>
      <c r="R29" s="39"/>
      <c r="S29" s="53"/>
      <c r="T29" s="53"/>
      <c r="U29" s="54"/>
      <c r="V29" s="37"/>
      <c r="W29" s="36" t="str">
        <f>IF(NOTA[[#This Row],[HARGA/ CTN]]="",NOTA[[#This Row],[JUMLAH_H]],NOTA[[#This Row],[HARGA/ CTN]]*IF(NOTA[[#This Row],[C]]="",0,NOTA[[#This Row],[C]]))</f>
        <v/>
      </c>
      <c r="X29" s="36" t="str">
        <f>IF(NOTA[[#This Row],[JUMLAH]]="","",NOTA[[#This Row],[JUMLAH]]*NOTA[[#This Row],[DISC 1]])</f>
        <v/>
      </c>
      <c r="Y29" s="36" t="str">
        <f>IF(NOTA[[#This Row],[JUMLAH]]="","",(NOTA[[#This Row],[JUMLAH]]-NOTA[[#This Row],[DISC 1-]])*NOTA[[#This Row],[DISC 2]])</f>
        <v/>
      </c>
      <c r="Z29" s="36" t="str">
        <f>IF(NOTA[[#This Row],[JUMLAH]]="","",NOTA[[#This Row],[DISC 1-]]+NOTA[[#This Row],[DISC 2-]])</f>
        <v/>
      </c>
      <c r="AA29" s="36" t="str">
        <f>IF(NOTA[[#This Row],[JUMLAH]]="","",NOTA[[#This Row],[JUMLAH]]-NOTA[[#This Row],[DISC]])</f>
        <v/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" s="36" t="str">
        <f>IF(OR(NOTA[[#This Row],[QTY]]="",NOTA[[#This Row],[HARGA SATUAN]]="",),"",NOTA[[#This Row],[QTY]]*NOTA[[#This Row],[HARGA SATUAN]])</f>
        <v/>
      </c>
      <c r="AF29" s="33" t="str">
        <f ca="1">IF(NOTA[ID_H]="","",INDEX(NOTA[TANGGAL],MATCH(,INDIRECT(ADDRESS(ROW(NOTA[TANGGAL]),COLUMN(NOTA[TANGGAL]))&amp;":"&amp;ADDRESS(ROW(),COLUMN(NOTA[TANGGAL]))),-1)))</f>
        <v/>
      </c>
      <c r="AG29" s="28" t="str">
        <f ca="1">IF(NOTA[[#This Row],[NAMA BARANG]]="","",INDEX(NOTA[SUPPLIER],MATCH(,INDIRECT(ADDRESS(ROW(NOTA[ID]),COLUMN(NOTA[ID]))&amp;":"&amp;ADDRESS(ROW(),COLUMN(NOTA[ID]))),-1)))</f>
        <v/>
      </c>
      <c r="AH29" s="28" t="str">
        <f ca="1">IF(NOTA[[#This Row],[ID_H]]="","",IF(NOTA[[#This Row],[FAKTUR]]="",INDIRECT(ADDRESS(ROW()-1,COLUMN())),NOTA[[#This Row],[FAKTUR]]))</f>
        <v/>
      </c>
      <c r="AI29" s="38" t="str">
        <f ca="1">IF(NOTA[[#This Row],[ID]]="","",COUNTIF(NOTA[ID_H],NOTA[[#This Row],[ID_H]]))</f>
        <v/>
      </c>
      <c r="AJ29" s="38" t="str">
        <f ca="1">IF(NOTA[[#This Row],[TGL.NOTA]]="",IF(NOTA[[#This Row],[SUPPLIER_H]]="","",AJ28),MONTH(NOTA[[#This Row],[TGL.NOTA]]))</f>
        <v/>
      </c>
      <c r="AK29" s="38" t="str">
        <f>LOWER(SUBSTITUTE(SUBSTITUTE(SUBSTITUTE(SUBSTITUTE(SUBSTITUTE(SUBSTITUTE(SUBSTITUTE(SUBSTITUTE(SUBSTITUTE(NOTA[NAMA BARANG]," ",),".",""),"-",""),"(",""),")",""),",",""),"/",""),"""",""),"+",""))</f>
        <v/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38" t="str">
        <f>IF(NOTA[[#This Row],[CONCAT4]]="","",_xlfn.IFNA(MATCH(NOTA[[#This Row],[CONCAT4]],[2]!RAW[CONCAT_H],0),FALSE))</f>
        <v/>
      </c>
      <c r="AP29" s="174" t="str">
        <f>IF(NOTA[[#This Row],[CONCAT1]]="","",MATCH(NOTA[[#This Row],[CONCAT1]],[3]!db[NB NOTA_C],0)+1)</f>
        <v/>
      </c>
    </row>
    <row r="30" spans="1:42" ht="20.100000000000001" customHeight="1" x14ac:dyDescent="0.25">
      <c r="A30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LES_0404_218-1</v>
      </c>
      <c r="C30" s="50" t="e">
        <f ca="1">IF(NOTA[[#This Row],[ID_P]]="","",MATCH(NOTA[[#This Row],[ID_P]],[1]!B_MSK[N_ID],0))</f>
        <v>#REF!</v>
      </c>
      <c r="D30" s="50">
        <f ca="1">IF(NOTA[[#This Row],[NAMA BARANG]]="","",INDEX(NOTA[ID],MATCH(,INDIRECT(ADDRESS(ROW(NOTA[ID]),COLUMN(NOTA[ID]))&amp;":"&amp;ADDRESS(ROW(),COLUMN(NOTA[ID]))),-1)))</f>
        <v>6</v>
      </c>
      <c r="E30" s="23"/>
      <c r="F30" s="26" t="s">
        <v>185</v>
      </c>
      <c r="G30" s="26" t="s">
        <v>176</v>
      </c>
      <c r="H30" s="31" t="s">
        <v>186</v>
      </c>
      <c r="I30" s="51"/>
      <c r="J30" s="51">
        <v>45017</v>
      </c>
      <c r="K30" s="26"/>
      <c r="L30" s="26" t="s">
        <v>187</v>
      </c>
      <c r="M30" s="39">
        <v>90</v>
      </c>
      <c r="N30" s="26">
        <v>900</v>
      </c>
      <c r="O30" s="26" t="s">
        <v>188</v>
      </c>
      <c r="P30" s="49">
        <v>76000</v>
      </c>
      <c r="Q30" s="52"/>
      <c r="R30" s="39" t="s">
        <v>189</v>
      </c>
      <c r="S30" s="53"/>
      <c r="T30" s="53"/>
      <c r="U30" s="54"/>
      <c r="V30" s="37"/>
      <c r="W30" s="54">
        <f>IF(NOTA[[#This Row],[HARGA/ CTN]]="",NOTA[[#This Row],[JUMLAH_H]],NOTA[[#This Row],[HARGA/ CTN]]*IF(NOTA[[#This Row],[C]]="",0,NOTA[[#This Row],[C]]))</f>
        <v>68400000</v>
      </c>
      <c r="X30" s="54">
        <f>IF(NOTA[[#This Row],[JUMLAH]]="","",NOTA[[#This Row],[JUMLAH]]*NOTA[[#This Row],[DISC 1]])</f>
        <v>0</v>
      </c>
      <c r="Y30" s="54">
        <f>IF(NOTA[[#This Row],[JUMLAH]]="","",(NOTA[[#This Row],[JUMLAH]]-NOTA[[#This Row],[DISC 1-]])*NOTA[[#This Row],[DISC 2]])</f>
        <v>0</v>
      </c>
      <c r="Z30" s="54">
        <f>IF(NOTA[[#This Row],[JUMLAH]]="","",NOTA[[#This Row],[DISC 1-]]+NOTA[[#This Row],[DISC 2-]])</f>
        <v>0</v>
      </c>
      <c r="AA30" s="54">
        <f>IF(NOTA[[#This Row],[JUMLAH]]="","",NOTA[[#This Row],[JUMLAH]]-NOTA[[#This Row],[DISC]])</f>
        <v>68400000</v>
      </c>
      <c r="AB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68400000</v>
      </c>
      <c r="AD30" s="49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E30" s="54">
        <f>IF(OR(NOTA[[#This Row],[QTY]]="",NOTA[[#This Row],[HARGA SATUAN]]="",),"",NOTA[[#This Row],[QTY]]*NOTA[[#This Row],[HARGA SATUAN]])</f>
        <v>68400000</v>
      </c>
      <c r="AF30" s="51">
        <f ca="1">IF(NOTA[ID_H]="","",INDEX(NOTA[TANGGAL],MATCH(,INDIRECT(ADDRESS(ROW(NOTA[TANGGAL]),COLUMN(NOTA[TANGGAL]))&amp;":"&amp;ADDRESS(ROW(),COLUMN(NOTA[TANGGAL]))),-1)))</f>
        <v>45020</v>
      </c>
      <c r="AG30" s="65" t="str">
        <f ca="1">IF(NOTA[[#This Row],[NAMA BARANG]]="","",INDEX(NOTA[SUPPLIER],MATCH(,INDIRECT(ADDRESS(ROW(NOTA[ID]),COLUMN(NOTA[ID]))&amp;":"&amp;ADDRESS(ROW(),COLUMN(NOTA[ID]))),-1)))</f>
        <v>LESTARI</v>
      </c>
      <c r="AH30" s="65" t="str">
        <f ca="1">IF(NOTA[[#This Row],[ID_H]]="","",IF(NOTA[[#This Row],[FAKTUR]]="",INDIRECT(ADDRESS(ROW()-1,COLUMN())),NOTA[[#This Row],[FAKTUR]]))</f>
        <v>UNTANA</v>
      </c>
      <c r="AI30" s="38">
        <f ca="1">IF(NOTA[[#This Row],[ID]]="","",COUNTIF(NOTA[ID_H],NOTA[[#This Row],[ID_H]]))</f>
        <v>1</v>
      </c>
      <c r="AJ30" s="38">
        <f>IF(NOTA[[#This Row],[TGL.NOTA]]="",IF(NOTA[[#This Row],[SUPPLIER_H]]="","",AJ68),MONTH(NOTA[[#This Row],[TGL.NOTA]]))</f>
        <v>4</v>
      </c>
      <c r="AK30" s="38" t="str">
        <f>LOWER(SUBSTITUTE(SUBSTITUTE(SUBSTITUTE(SUBSTITUTE(SUBSTITUTE(SUBSTITUTE(SUBSTITUTE(SUBSTITUTE(SUBSTITUTE(NOTA[NAMA BARANG]," ",),".",""),"-",""),"(",""),")",""),",",""),"/",""),"""",""),"+",""))</f>
        <v>pianikabluelovely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pianikabluelovely760000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pianikabluelovely760000</v>
      </c>
      <c r="AN30" s="38" t="str">
        <f>IF(NOTA[[#This Row],[SUPPLIER]]="","",NOTA[[#This Row],[SUPPLIER]]&amp;NOTA[[#This Row],[FAKTUR]]&amp;NOTA[[#This Row],[NO.NOTA]]&amp;NOTA[[#This Row],[NO.SJ]]&amp;NOTA[[#This Row],[TGL.NOTA]]&amp;NOTA[[#This Row],[CONCAT1]])</f>
        <v>LESTARIUNTANA44421845017pianikabluelovely</v>
      </c>
      <c r="AO30" s="38" t="e">
        <f>IF(NOTA[[#This Row],[CONCAT4]]="","",_xlfn.IFNA(MATCH(NOTA[[#This Row],[CONCAT4]],[2]!RAW[CONCAT_H],0),FALSE))</f>
        <v>#REF!</v>
      </c>
      <c r="AP30" s="174">
        <f>IF(NOTA[[#This Row],[CONCAT1]]="","",MATCH(NOTA[[#This Row],[CONCAT1]],[3]!db[NB NOTA_C],0)+1)</f>
        <v>2102</v>
      </c>
    </row>
    <row r="31" spans="1:42" ht="20.100000000000001" customHeight="1" x14ac:dyDescent="0.25">
      <c r="A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50" t="str">
        <f>IF(NOTA[[#This Row],[ID_P]]="","",MATCH(NOTA[[#This Row],[ID_P]],[1]!B_MSK[N_ID],0))</f>
        <v/>
      </c>
      <c r="D31" s="50" t="str">
        <f ca="1">IF(NOTA[[#This Row],[NAMA BARANG]]="","",INDEX(NOTA[ID],MATCH(,INDIRECT(ADDRESS(ROW(NOTA[ID]),COLUMN(NOTA[ID]))&amp;":"&amp;ADDRESS(ROW(),COLUMN(NOTA[ID]))),-1)))</f>
        <v/>
      </c>
      <c r="E31" s="23"/>
      <c r="F31" s="26"/>
      <c r="G31" s="26"/>
      <c r="H31" s="31"/>
      <c r="I31" s="26"/>
      <c r="J31" s="51"/>
      <c r="K31" s="26"/>
      <c r="L31" s="26"/>
      <c r="M31" s="39"/>
      <c r="N31" s="26"/>
      <c r="O31" s="26"/>
      <c r="P31" s="49"/>
      <c r="Q31" s="52"/>
      <c r="R31" s="39"/>
      <c r="S31" s="53"/>
      <c r="T31" s="53"/>
      <c r="U31" s="54"/>
      <c r="V31" s="37"/>
      <c r="W31" s="54" t="str">
        <f>IF(NOTA[[#This Row],[HARGA/ CTN]]="",NOTA[[#This Row],[JUMLAH_H]],NOTA[[#This Row],[HARGA/ CTN]]*IF(NOTA[[#This Row],[C]]="",0,NOTA[[#This Row],[C]]))</f>
        <v/>
      </c>
      <c r="X31" s="54" t="str">
        <f>IF(NOTA[[#This Row],[JUMLAH]]="","",NOTA[[#This Row],[JUMLAH]]*NOTA[[#This Row],[DISC 1]])</f>
        <v/>
      </c>
      <c r="Y31" s="54" t="str">
        <f>IF(NOTA[[#This Row],[JUMLAH]]="","",(NOTA[[#This Row],[JUMLAH]]-NOTA[[#This Row],[DISC 1-]])*NOTA[[#This Row],[DISC 2]])</f>
        <v/>
      </c>
      <c r="Z31" s="54" t="str">
        <f>IF(NOTA[[#This Row],[JUMLAH]]="","",NOTA[[#This Row],[DISC 1-]]+NOTA[[#This Row],[DISC 2-]])</f>
        <v/>
      </c>
      <c r="AA31" s="54" t="str">
        <f>IF(NOTA[[#This Row],[JUMLAH]]="","",NOTA[[#This Row],[JUMLAH]]-NOTA[[#This Row],[DISC]])</f>
        <v/>
      </c>
      <c r="AB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" s="54" t="str">
        <f>IF(OR(NOTA[[#This Row],[QTY]]="",NOTA[[#This Row],[HARGA SATUAN]]="",),"",NOTA[[#This Row],[QTY]]*NOTA[[#This Row],[HARGA SATUAN]])</f>
        <v/>
      </c>
      <c r="AF31" s="51" t="str">
        <f ca="1">IF(NOTA[ID_H]="","",INDEX(NOTA[TANGGAL],MATCH(,INDIRECT(ADDRESS(ROW(NOTA[TANGGAL]),COLUMN(NOTA[TANGGAL]))&amp;":"&amp;ADDRESS(ROW(),COLUMN(NOTA[TANGGAL]))),-1)))</f>
        <v/>
      </c>
      <c r="AG31" s="65" t="str">
        <f ca="1">IF(NOTA[[#This Row],[NAMA BARANG]]="","",INDEX(NOTA[SUPPLIER],MATCH(,INDIRECT(ADDRESS(ROW(NOTA[ID]),COLUMN(NOTA[ID]))&amp;":"&amp;ADDRESS(ROW(),COLUMN(NOTA[ID]))),-1)))</f>
        <v/>
      </c>
      <c r="AH31" s="65" t="str">
        <f ca="1">IF(NOTA[[#This Row],[ID_H]]="","",IF(NOTA[[#This Row],[FAKTUR]]="",INDIRECT(ADDRESS(ROW()-1,COLUMN())),NOTA[[#This Row],[FAKTUR]]))</f>
        <v/>
      </c>
      <c r="AI31" s="38" t="str">
        <f ca="1">IF(NOTA[[#This Row],[ID]]="","",COUNTIF(NOTA[ID_H],NOTA[[#This Row],[ID_H]]))</f>
        <v/>
      </c>
      <c r="AJ31" s="38" t="str">
        <f ca="1">IF(NOTA[[#This Row],[TGL.NOTA]]="",IF(NOTA[[#This Row],[SUPPLIER_H]]="","",AJ30),MONTH(NOTA[[#This Row],[TGL.NOTA]]))</f>
        <v/>
      </c>
      <c r="AK31" s="38" t="str">
        <f>LOWER(SUBSTITUTE(SUBSTITUTE(SUBSTITUTE(SUBSTITUTE(SUBSTITUTE(SUBSTITUTE(SUBSTITUTE(SUBSTITUTE(SUBSTITUTE(NOTA[NAMA BARANG]," ",),".",""),"-",""),"(",""),")",""),",",""),"/",""),"""",""),"+",""))</f>
        <v/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" s="38" t="str">
        <f>IF(NOTA[[#This Row],[CONCAT4]]="","",_xlfn.IFNA(MATCH(NOTA[[#This Row],[CONCAT4]],[2]!RAW[CONCAT_H],0),FALSE))</f>
        <v/>
      </c>
      <c r="AP31" s="174" t="str">
        <f>IF(NOTA[[#This Row],[CONCAT1]]="","",MATCH(NOTA[[#This Row],[CONCAT1]],[3]!db[NB NOTA_C],0)+1)</f>
        <v/>
      </c>
    </row>
    <row r="32" spans="1:42" ht="20.100000000000001" customHeight="1" x14ac:dyDescent="0.25">
      <c r="A32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WIR_0404_840-4</v>
      </c>
      <c r="C32" s="50" t="e">
        <f ca="1">IF(NOTA[[#This Row],[ID_P]]="","",MATCH(NOTA[[#This Row],[ID_P]],[1]!B_MSK[N_ID],0))</f>
        <v>#REF!</v>
      </c>
      <c r="D32" s="50">
        <f ca="1">IF(NOTA[[#This Row],[NAMA BARANG]]="","",INDEX(NOTA[ID],MATCH(,INDIRECT(ADDRESS(ROW(NOTA[ID]),COLUMN(NOTA[ID]))&amp;":"&amp;ADDRESS(ROW(),COLUMN(NOTA[ID]))),-1)))</f>
        <v>7</v>
      </c>
      <c r="E32" s="23"/>
      <c r="F32" s="26" t="s">
        <v>190</v>
      </c>
      <c r="G32" s="26" t="s">
        <v>176</v>
      </c>
      <c r="H32" s="31" t="s">
        <v>191</v>
      </c>
      <c r="I32" s="26"/>
      <c r="J32" s="51">
        <v>45015</v>
      </c>
      <c r="K32" s="26"/>
      <c r="L32" s="26" t="s">
        <v>192</v>
      </c>
      <c r="M32" s="39"/>
      <c r="N32" s="26">
        <v>50</v>
      </c>
      <c r="O32" s="26" t="s">
        <v>183</v>
      </c>
      <c r="P32" s="49">
        <v>20580</v>
      </c>
      <c r="Q32" s="52"/>
      <c r="R32" s="39" t="s">
        <v>179</v>
      </c>
      <c r="S32" s="53"/>
      <c r="T32" s="53"/>
      <c r="U32" s="54"/>
      <c r="V32" s="37"/>
      <c r="W32" s="54">
        <f>IF(NOTA[[#This Row],[HARGA/ CTN]]="",NOTA[[#This Row],[JUMLAH_H]],NOTA[[#This Row],[HARGA/ CTN]]*IF(NOTA[[#This Row],[C]]="",0,NOTA[[#This Row],[C]]))</f>
        <v>1029000</v>
      </c>
      <c r="X32" s="54">
        <f>IF(NOTA[[#This Row],[JUMLAH]]="","",NOTA[[#This Row],[JUMLAH]]*NOTA[[#This Row],[DISC 1]])</f>
        <v>0</v>
      </c>
      <c r="Y32" s="54">
        <f>IF(NOTA[[#This Row],[JUMLAH]]="","",(NOTA[[#This Row],[JUMLAH]]-NOTA[[#This Row],[DISC 1-]])*NOTA[[#This Row],[DISC 2]])</f>
        <v>0</v>
      </c>
      <c r="Z32" s="54">
        <f>IF(NOTA[[#This Row],[JUMLAH]]="","",NOTA[[#This Row],[DISC 1-]]+NOTA[[#This Row],[DISC 2-]])</f>
        <v>0</v>
      </c>
      <c r="AA32" s="54">
        <f>IF(NOTA[[#This Row],[JUMLAH]]="","",NOTA[[#This Row],[JUMLAH]]-NOTA[[#This Row],[DISC]])</f>
        <v>1029000</v>
      </c>
      <c r="AB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2" s="54">
        <f>IF(OR(NOTA[[#This Row],[QTY]]="",NOTA[[#This Row],[HARGA SATUAN]]="",),"",NOTA[[#This Row],[QTY]]*NOTA[[#This Row],[HARGA SATUAN]])</f>
        <v>1029000</v>
      </c>
      <c r="AF32" s="51">
        <f ca="1">IF(NOTA[ID_H]="","",INDEX(NOTA[TANGGAL],MATCH(,INDIRECT(ADDRESS(ROW(NOTA[TANGGAL]),COLUMN(NOTA[TANGGAL]))&amp;":"&amp;ADDRESS(ROW(),COLUMN(NOTA[TANGGAL]))),-1)))</f>
        <v>45020</v>
      </c>
      <c r="AG32" s="65" t="str">
        <f ca="1">IF(NOTA[[#This Row],[NAMA BARANG]]="","",INDEX(NOTA[SUPPLIER],MATCH(,INDIRECT(ADDRESS(ROW(NOTA[ID]),COLUMN(NOTA[ID]))&amp;":"&amp;ADDRESS(ROW(),COLUMN(NOTA[ID]))),-1)))</f>
        <v>WIRA INDO SPUNBOUND</v>
      </c>
      <c r="AH32" s="65" t="str">
        <f ca="1">IF(NOTA[[#This Row],[ID_H]]="","",IF(NOTA[[#This Row],[FAKTUR]]="",INDIRECT(ADDRESS(ROW()-1,COLUMN())),NOTA[[#This Row],[FAKTUR]]))</f>
        <v>UNTANA</v>
      </c>
      <c r="AI32" s="38">
        <f ca="1">IF(NOTA[[#This Row],[ID]]="","",COUNTIF(NOTA[ID_H],NOTA[[#This Row],[ID_H]]))</f>
        <v>4</v>
      </c>
      <c r="AJ32" s="38">
        <f>IF(NOTA[[#This Row],[TGL.NOTA]]="",IF(NOTA[[#This Row],[SUPPLIER_H]]="","",AJ31),MONTH(NOTA[[#This Row],[TGL.NOTA]]))</f>
        <v>3</v>
      </c>
      <c r="AK32" s="38" t="str">
        <f>LOWER(SUBSTITUTE(SUBSTITUTE(SUBSTITUTE(SUBSTITUTE(SUBSTITUTE(SUBSTITUTE(SUBSTITUTE(SUBSTITUTE(SUBSTITUTE(NOTA[NAMA BARANG]," ",),".",""),"-",""),"(",""),")",""),",",""),"/",""),"""",""),"+",""))</f>
        <v>hlsifl30x40x8kuningwby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hlsifl30x40x8kuningwby1029000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hlsifl30x40x8kuningwby20580</v>
      </c>
      <c r="AN32" s="38" t="str">
        <f>IF(NOTA[[#This Row],[SUPPLIER]]="","",NOTA[[#This Row],[SUPPLIER]]&amp;NOTA[[#This Row],[FAKTUR]]&amp;NOTA[[#This Row],[NO.NOTA]]&amp;NOTA[[#This Row],[NO.SJ]]&amp;NOTA[[#This Row],[TGL.NOTA]]&amp;NOTA[[#This Row],[CONCAT1]])</f>
        <v>WIRA INDO SPUNBOUNDUNTANAINV/ WIRA/ 23/ 03/ 084045015hlsifl30x40x8kuningwby</v>
      </c>
      <c r="AO32" s="38" t="e">
        <f>IF(NOTA[[#This Row],[CONCAT4]]="","",_xlfn.IFNA(MATCH(NOTA[[#This Row],[CONCAT4]],[2]!RAW[CONCAT_H],0),FALSE))</f>
        <v>#REF!</v>
      </c>
      <c r="AP32" s="174">
        <f>IF(NOTA[[#This Row],[CONCAT1]]="","",MATCH(NOTA[[#This Row],[CONCAT1]],[3]!db[NB NOTA_C],0)+1)</f>
        <v>2388</v>
      </c>
    </row>
    <row r="33" spans="1:42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Row],[ID_P]]="","",MATCH(NOTA[[#This Row],[ID_P]],[1]!B_MSK[N_ID],0))</f>
        <v/>
      </c>
      <c r="D33" s="50">
        <f ca="1">IF(NOTA[[#This Row],[NAMA BARANG]]="","",INDEX(NOTA[ID],MATCH(,INDIRECT(ADDRESS(ROW(NOTA[ID]),COLUMN(NOTA[ID]))&amp;":"&amp;ADDRESS(ROW(),COLUMN(NOTA[ID]))),-1)))</f>
        <v>7</v>
      </c>
      <c r="E33" s="23"/>
      <c r="F33" s="26"/>
      <c r="G33" s="26"/>
      <c r="H33" s="31"/>
      <c r="I33" s="26"/>
      <c r="J33" s="51"/>
      <c r="K33" s="26"/>
      <c r="L33" s="26" t="s">
        <v>193</v>
      </c>
      <c r="M33" s="39"/>
      <c r="N33" s="26">
        <v>50</v>
      </c>
      <c r="O33" s="26" t="s">
        <v>183</v>
      </c>
      <c r="P33" s="49">
        <v>20580</v>
      </c>
      <c r="Q33" s="52"/>
      <c r="R33" s="39" t="s">
        <v>179</v>
      </c>
      <c r="S33" s="53"/>
      <c r="T33" s="53"/>
      <c r="U33" s="54"/>
      <c r="V33" s="37"/>
      <c r="W33" s="54">
        <f>IF(NOTA[[#This Row],[HARGA/ CTN]]="",NOTA[[#This Row],[JUMLAH_H]],NOTA[[#This Row],[HARGA/ CTN]]*IF(NOTA[[#This Row],[C]]="",0,NOTA[[#This Row],[C]]))</f>
        <v>1029000</v>
      </c>
      <c r="X33" s="54">
        <f>IF(NOTA[[#This Row],[JUMLAH]]="","",NOTA[[#This Row],[JUMLAH]]*NOTA[[#This Row],[DISC 1]])</f>
        <v>0</v>
      </c>
      <c r="Y33" s="54">
        <f>IF(NOTA[[#This Row],[JUMLAH]]="","",(NOTA[[#This Row],[JUMLAH]]-NOTA[[#This Row],[DISC 1-]])*NOTA[[#This Row],[DISC 2]])</f>
        <v>0</v>
      </c>
      <c r="Z33" s="54">
        <f>IF(NOTA[[#This Row],[JUMLAH]]="","",NOTA[[#This Row],[DISC 1-]]+NOTA[[#This Row],[DISC 2-]])</f>
        <v>0</v>
      </c>
      <c r="AA33" s="54">
        <f>IF(NOTA[[#This Row],[JUMLAH]]="","",NOTA[[#This Row],[JUMLAH]]-NOTA[[#This Row],[DISC]])</f>
        <v>1029000</v>
      </c>
      <c r="AB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3" s="54">
        <f>IF(OR(NOTA[[#This Row],[QTY]]="",NOTA[[#This Row],[HARGA SATUAN]]="",),"",NOTA[[#This Row],[QTY]]*NOTA[[#This Row],[HARGA SATUAN]])</f>
        <v>1029000</v>
      </c>
      <c r="AF33" s="51">
        <f ca="1">IF(NOTA[ID_H]="","",INDEX(NOTA[TANGGAL],MATCH(,INDIRECT(ADDRESS(ROW(NOTA[TANGGAL]),COLUMN(NOTA[TANGGAL]))&amp;":"&amp;ADDRESS(ROW(),COLUMN(NOTA[TANGGAL]))),-1)))</f>
        <v>45020</v>
      </c>
      <c r="AG33" s="65" t="str">
        <f ca="1">IF(NOTA[[#This Row],[NAMA BARANG]]="","",INDEX(NOTA[SUPPLIER],MATCH(,INDIRECT(ADDRESS(ROW(NOTA[ID]),COLUMN(NOTA[ID]))&amp;":"&amp;ADDRESS(ROW(),COLUMN(NOTA[ID]))),-1)))</f>
        <v>WIRA INDO SPUNBOUND</v>
      </c>
      <c r="AH33" s="65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Row],[SUPPLIER_H]]="","",AJ64),MONTH(NOTA[[#This Row],[TGL.NOTA]]))</f>
        <v>4</v>
      </c>
      <c r="AK33" s="38" t="str">
        <f>LOWER(SUBSTITUTE(SUBSTITUTE(SUBSTITUTE(SUBSTITUTE(SUBSTITUTE(SUBSTITUTE(SUBSTITUTE(SUBSTITUTE(SUBSTITUTE(NOTA[NAMA BARANG]," ",),".",""),"-",""),"(",""),")",""),",",""),"/",""),"""",""),"+",""))</f>
        <v>hlsifl30x40x8hijaustabilowsg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hlsifl30x40x8hijaustabilowsg1029000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hlsifl30x40x8hijaustabilowsg20580</v>
      </c>
      <c r="AN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38" t="str">
        <f>IF(NOTA[[#This Row],[CONCAT4]]="","",_xlfn.IFNA(MATCH(NOTA[[#This Row],[CONCAT4]],[2]!RAW[CONCAT_H],0),FALSE))</f>
        <v/>
      </c>
      <c r="AP33" s="174">
        <f>IF(NOTA[[#This Row],[CONCAT1]]="","",MATCH(NOTA[[#This Row],[CONCAT1]],[3]!db[NB NOTA_C],0)+1)</f>
        <v>2389</v>
      </c>
    </row>
    <row r="34" spans="1:42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Row],[ID_P]]="","",MATCH(NOTA[[#This Row],[ID_P]],[1]!B_MSK[N_ID],0))</f>
        <v/>
      </c>
      <c r="D34" s="50">
        <f ca="1">IF(NOTA[[#This Row],[NAMA BARANG]]="","",INDEX(NOTA[ID],MATCH(,INDIRECT(ADDRESS(ROW(NOTA[ID]),COLUMN(NOTA[ID]))&amp;":"&amp;ADDRESS(ROW(),COLUMN(NOTA[ID]))),-1)))</f>
        <v>7</v>
      </c>
      <c r="E34" s="23"/>
      <c r="F34" s="26"/>
      <c r="G34" s="26"/>
      <c r="H34" s="31"/>
      <c r="I34" s="26"/>
      <c r="J34" s="51"/>
      <c r="K34" s="26"/>
      <c r="L34" s="26" t="s">
        <v>194</v>
      </c>
      <c r="M34" s="39"/>
      <c r="N34" s="26">
        <v>50</v>
      </c>
      <c r="O34" s="26" t="s">
        <v>183</v>
      </c>
      <c r="P34" s="49">
        <v>25480</v>
      </c>
      <c r="Q34" s="52"/>
      <c r="R34" s="39" t="s">
        <v>179</v>
      </c>
      <c r="S34" s="53"/>
      <c r="T34" s="53"/>
      <c r="U34" s="54"/>
      <c r="V34" s="37"/>
      <c r="W34" s="54">
        <f>IF(NOTA[[#This Row],[HARGA/ CTN]]="",NOTA[[#This Row],[JUMLAH_H]],NOTA[[#This Row],[HARGA/ CTN]]*IF(NOTA[[#This Row],[C]]="",0,NOTA[[#This Row],[C]]))</f>
        <v>1274000</v>
      </c>
      <c r="X34" s="54">
        <f>IF(NOTA[[#This Row],[JUMLAH]]="","",NOTA[[#This Row],[JUMLAH]]*NOTA[[#This Row],[DISC 1]])</f>
        <v>0</v>
      </c>
      <c r="Y34" s="54">
        <f>IF(NOTA[[#This Row],[JUMLAH]]="","",(NOTA[[#This Row],[JUMLAH]]-NOTA[[#This Row],[DISC 1-]])*NOTA[[#This Row],[DISC 2]])</f>
        <v>0</v>
      </c>
      <c r="Z34" s="54">
        <f>IF(NOTA[[#This Row],[JUMLAH]]="","",NOTA[[#This Row],[DISC 1-]]+NOTA[[#This Row],[DISC 2-]])</f>
        <v>0</v>
      </c>
      <c r="AA34" s="54">
        <f>IF(NOTA[[#This Row],[JUMLAH]]="","",NOTA[[#This Row],[JUMLAH]]-NOTA[[#This Row],[DISC]])</f>
        <v>1274000</v>
      </c>
      <c r="AB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4" s="54">
        <f>IF(OR(NOTA[[#This Row],[QTY]]="",NOTA[[#This Row],[HARGA SATUAN]]="",),"",NOTA[[#This Row],[QTY]]*NOTA[[#This Row],[HARGA SATUAN]])</f>
        <v>1274000</v>
      </c>
      <c r="AF34" s="51">
        <f ca="1">IF(NOTA[ID_H]="","",INDEX(NOTA[TANGGAL],MATCH(,INDIRECT(ADDRESS(ROW(NOTA[TANGGAL]),COLUMN(NOTA[TANGGAL]))&amp;":"&amp;ADDRESS(ROW(),COLUMN(NOTA[TANGGAL]))),-1)))</f>
        <v>45020</v>
      </c>
      <c r="AG34" s="65" t="str">
        <f ca="1">IF(NOTA[[#This Row],[NAMA BARANG]]="","",INDEX(NOTA[SUPPLIER],MATCH(,INDIRECT(ADDRESS(ROW(NOTA[ID]),COLUMN(NOTA[ID]))&amp;":"&amp;ADDRESS(ROW(),COLUMN(NOTA[ID]))),-1)))</f>
        <v>WIRA INDO SPUNBOUND</v>
      </c>
      <c r="AH34" s="65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4</v>
      </c>
      <c r="AK34" s="38" t="str">
        <f>LOWER(SUBSTITUTE(SUBSTITUTE(SUBSTITUTE(SUBSTITUTE(SUBSTITUTE(SUBSTITUTE(SUBSTITUTE(SUBSTITUTE(SUBSTITUTE(NOTA[NAMA BARANG]," ",),".",""),"-",""),"(",""),")",""),",",""),"/",""),"""",""),"+",""))</f>
        <v>hlsifl38x45x8kuningwby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hlsifl38x45x8kuningwby1274000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hlsifl38x45x8kuningwby25480</v>
      </c>
      <c r="AN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38" t="str">
        <f>IF(NOTA[[#This Row],[CONCAT4]]="","",_xlfn.IFNA(MATCH(NOTA[[#This Row],[CONCAT4]],[2]!RAW[CONCAT_H],0),FALSE))</f>
        <v/>
      </c>
      <c r="AP34" s="174">
        <f>IF(NOTA[[#This Row],[CONCAT1]]="","",MATCH(NOTA[[#This Row],[CONCAT1]],[3]!db[NB NOTA_C],0)+1)</f>
        <v>2390</v>
      </c>
    </row>
    <row r="35" spans="1:42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Row],[ID_P]]="","",MATCH(NOTA[[#This Row],[ID_P]],[1]!B_MSK[N_ID],0))</f>
        <v/>
      </c>
      <c r="D35" s="50">
        <f ca="1">IF(NOTA[[#This Row],[NAMA BARANG]]="","",INDEX(NOTA[ID],MATCH(,INDIRECT(ADDRESS(ROW(NOTA[ID]),COLUMN(NOTA[ID]))&amp;":"&amp;ADDRESS(ROW(),COLUMN(NOTA[ID]))),-1)))</f>
        <v>7</v>
      </c>
      <c r="E35" s="23"/>
      <c r="F35" s="26"/>
      <c r="G35" s="26"/>
      <c r="H35" s="31"/>
      <c r="I35" s="26"/>
      <c r="J35" s="51"/>
      <c r="K35" s="26"/>
      <c r="L35" s="26" t="s">
        <v>195</v>
      </c>
      <c r="M35" s="39"/>
      <c r="N35" s="26">
        <v>50</v>
      </c>
      <c r="O35" s="26" t="s">
        <v>183</v>
      </c>
      <c r="P35" s="49">
        <v>25480</v>
      </c>
      <c r="Q35" s="52"/>
      <c r="R35" s="39" t="s">
        <v>179</v>
      </c>
      <c r="S35" s="53"/>
      <c r="T35" s="53"/>
      <c r="U35" s="54"/>
      <c r="V35" s="37"/>
      <c r="W35" s="54">
        <f>IF(NOTA[[#This Row],[HARGA/ CTN]]="",NOTA[[#This Row],[JUMLAH_H]],NOTA[[#This Row],[HARGA/ CTN]]*IF(NOTA[[#This Row],[C]]="",0,NOTA[[#This Row],[C]]))</f>
        <v>1274000</v>
      </c>
      <c r="X35" s="54">
        <f>IF(NOTA[[#This Row],[JUMLAH]]="","",NOTA[[#This Row],[JUMLAH]]*NOTA[[#This Row],[DISC 1]])</f>
        <v>0</v>
      </c>
      <c r="Y35" s="54">
        <f>IF(NOTA[[#This Row],[JUMLAH]]="","",(NOTA[[#This Row],[JUMLAH]]-NOTA[[#This Row],[DISC 1-]])*NOTA[[#This Row],[DISC 2]])</f>
        <v>0</v>
      </c>
      <c r="Z35" s="54">
        <f>IF(NOTA[[#This Row],[JUMLAH]]="","",NOTA[[#This Row],[DISC 1-]]+NOTA[[#This Row],[DISC 2-]])</f>
        <v>0</v>
      </c>
      <c r="AA35" s="54">
        <f>IF(NOTA[[#This Row],[JUMLAH]]="","",NOTA[[#This Row],[JUMLAH]]-NOTA[[#This Row],[DISC]])</f>
        <v>1274000</v>
      </c>
      <c r="AB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4606000</v>
      </c>
      <c r="AD35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5" s="54">
        <f>IF(OR(NOTA[[#This Row],[QTY]]="",NOTA[[#This Row],[HARGA SATUAN]]="",),"",NOTA[[#This Row],[QTY]]*NOTA[[#This Row],[HARGA SATUAN]])</f>
        <v>1274000</v>
      </c>
      <c r="AF35" s="51">
        <f ca="1">IF(NOTA[ID_H]="","",INDEX(NOTA[TANGGAL],MATCH(,INDIRECT(ADDRESS(ROW(NOTA[TANGGAL]),COLUMN(NOTA[TANGGAL]))&amp;":"&amp;ADDRESS(ROW(),COLUMN(NOTA[TANGGAL]))),-1)))</f>
        <v>45020</v>
      </c>
      <c r="AG35" s="65" t="str">
        <f ca="1">IF(NOTA[[#This Row],[NAMA BARANG]]="","",INDEX(NOTA[SUPPLIER],MATCH(,INDIRECT(ADDRESS(ROW(NOTA[ID]),COLUMN(NOTA[ID]))&amp;":"&amp;ADDRESS(ROW(),COLUMN(NOTA[ID]))),-1)))</f>
        <v>WIRA INDO SPUNBOUND</v>
      </c>
      <c r="AH35" s="65" t="str">
        <f ca="1">IF(NOTA[[#This Row],[ID_H]]="","",IF(NOTA[[#This Row],[FAKTUR]]="",INDIRECT(ADDRESS(ROW()-1,COLUMN())),NOTA[[#This Row],[FAKTUR]]))</f>
        <v>UNTANA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4</v>
      </c>
      <c r="AK35" s="38" t="str">
        <f>LOWER(SUBSTITUTE(SUBSTITUTE(SUBSTITUTE(SUBSTITUTE(SUBSTITUTE(SUBSTITUTE(SUBSTITUTE(SUBSTITUTE(SUBSTITUTE(NOTA[NAMA BARANG]," ",),".",""),"-",""),"(",""),")",""),",",""),"/",""),"""",""),"+",""))</f>
        <v>hlsifl38x45x8hijau</v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hlsifl38x45x8hijau1274000</v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hlsifl38x45x8hijau25480</v>
      </c>
      <c r="AN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38" t="str">
        <f>IF(NOTA[[#This Row],[CONCAT4]]="","",_xlfn.IFNA(MATCH(NOTA[[#This Row],[CONCAT4]],[2]!RAW[CONCAT_H],0),FALSE))</f>
        <v/>
      </c>
      <c r="AP35" s="174">
        <f>IF(NOTA[[#This Row],[CONCAT1]]="","",MATCH(NOTA[[#This Row],[CONCAT1]],[3]!db[NB NOTA_C],0)+1)</f>
        <v>2391</v>
      </c>
    </row>
    <row r="36" spans="1:42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Row],[ID_P]]="","",MATCH(NOTA[[#This Row],[ID_P]],[1]!B_MSK[N_ID],0))</f>
        <v/>
      </c>
      <c r="D36" s="50" t="str">
        <f ca="1">IF(NOTA[[#This Row],[NAMA BARANG]]="","",INDEX(NOTA[ID],MATCH(,INDIRECT(ADDRESS(ROW(NOTA[ID]),COLUMN(NOTA[ID]))&amp;":"&amp;ADDRESS(ROW(),COLUMN(NOTA[ID]))),-1)))</f>
        <v/>
      </c>
      <c r="E36" s="23"/>
      <c r="F36" s="26"/>
      <c r="G36" s="26"/>
      <c r="H36" s="31"/>
      <c r="I36" s="26"/>
      <c r="J36" s="51"/>
      <c r="K36" s="26"/>
      <c r="L36" s="26"/>
      <c r="M36" s="39"/>
      <c r="N36" s="26"/>
      <c r="O36" s="26"/>
      <c r="P36" s="49"/>
      <c r="Q36" s="52"/>
      <c r="R36" s="39"/>
      <c r="S36" s="53"/>
      <c r="T36" s="53"/>
      <c r="U36" s="54"/>
      <c r="V36" s="37"/>
      <c r="W36" s="54" t="str">
        <f>IF(NOTA[[#This Row],[HARGA/ CTN]]="",NOTA[[#This Row],[JUMLAH_H]],NOTA[[#This Row],[HARGA/ CTN]]*IF(NOTA[[#This Row],[C]]="",0,NOTA[[#This Row],[C]]))</f>
        <v/>
      </c>
      <c r="X36" s="54" t="str">
        <f>IF(NOTA[[#This Row],[JUMLAH]]="","",NOTA[[#This Row],[JUMLAH]]*NOTA[[#This Row],[DISC 1]])</f>
        <v/>
      </c>
      <c r="Y36" s="54" t="str">
        <f>IF(NOTA[[#This Row],[JUMLAH]]="","",(NOTA[[#This Row],[JUMLAH]]-NOTA[[#This Row],[DISC 1-]])*NOTA[[#This Row],[DISC 2]])</f>
        <v/>
      </c>
      <c r="Z36" s="54" t="str">
        <f>IF(NOTA[[#This Row],[JUMLAH]]="","",NOTA[[#This Row],[DISC 1-]]+NOTA[[#This Row],[DISC 2-]])</f>
        <v/>
      </c>
      <c r="AA36" s="54" t="str">
        <f>IF(NOTA[[#This Row],[JUMLAH]]="","",NOTA[[#This Row],[JUMLAH]]-NOTA[[#This Row],[DISC]])</f>
        <v/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54" t="str">
        <f>IF(OR(NOTA[[#This Row],[QTY]]="",NOTA[[#This Row],[HARGA SATUAN]]="",),"",NOTA[[#This Row],[QTY]]*NOTA[[#This Row],[HARGA SATUAN]])</f>
        <v/>
      </c>
      <c r="AF36" s="51" t="str">
        <f ca="1">IF(NOTA[ID_H]="","",INDEX(NOTA[TANGGAL],MATCH(,INDIRECT(ADDRESS(ROW(NOTA[TANGGAL]),COLUMN(NOTA[TANGGAL]))&amp;":"&amp;ADDRESS(ROW(),COLUMN(NOTA[TANGGAL]))),-1)))</f>
        <v/>
      </c>
      <c r="AG36" s="65" t="str">
        <f ca="1">IF(NOTA[[#This Row],[NAMA BARANG]]="","",INDEX(NOTA[SUPPLIER],MATCH(,INDIRECT(ADDRESS(ROW(NOTA[ID]),COLUMN(NOTA[ID]))&amp;":"&amp;ADDRESS(ROW(),COLUMN(NOTA[ID]))),-1)))</f>
        <v/>
      </c>
      <c r="AH36" s="65" t="str">
        <f ca="1">IF(NOTA[[#This Row],[ID_H]]="","",IF(NOTA[[#This Row],[FAKTUR]]="",INDIRECT(ADDRESS(ROW()-1,COLUMN())),NOTA[[#This Row],[FAKTUR]]))</f>
        <v/>
      </c>
      <c r="AI36" s="38" t="str">
        <f ca="1">IF(NOTA[[#This Row],[ID]]="","",COUNTIF(NOTA[ID_H],NOTA[[#This Row],[ID_H]]))</f>
        <v/>
      </c>
      <c r="AJ36" s="38" t="str">
        <f ca="1">IF(NOTA[[#This Row],[TGL.NOTA]]="",IF(NOTA[[#This Row],[SUPPLIER_H]]="","",AJ35),MONTH(NOTA[[#This Row],[TGL.NOTA]]))</f>
        <v/>
      </c>
      <c r="AK36" s="38" t="str">
        <f>LOWER(SUBSTITUTE(SUBSTITUTE(SUBSTITUTE(SUBSTITUTE(SUBSTITUTE(SUBSTITUTE(SUBSTITUTE(SUBSTITUTE(SUBSTITUTE(NOTA[NAMA BARANG]," ",),".",""),"-",""),"(",""),")",""),",",""),"/",""),"""",""),"+",""))</f>
        <v/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38" t="str">
        <f>IF(NOTA[[#This Row],[CONCAT4]]="","",_xlfn.IFNA(MATCH(NOTA[[#This Row],[CONCAT4]],[2]!RAW[CONCAT_H],0),FALSE))</f>
        <v/>
      </c>
      <c r="AP36" s="174" t="str">
        <f>IF(NOTA[[#This Row],[CONCAT1]]="","",MATCH(NOTA[[#This Row],[CONCAT1]],[3]!db[NB NOTA_C],0)+1)</f>
        <v/>
      </c>
    </row>
    <row r="37" spans="1:42" s="48" customFormat="1" ht="20.100000000000001" customHeight="1" x14ac:dyDescent="0.25">
      <c r="A37" s="224">
        <f ca="1">IF(INDIRECT(ADDRESS(ROW()-1,COLUMN(NOTA[[#Headers],[ID]])))="ID",1,IF(NOTA[[#This Row],[FAKTUR]]="","",COUNT(INDIRECT(ADDRESS(ROW(NOTA[ID]),COLUMN(NOTA[ID]))&amp;":"&amp;ADDRESS(ROW()-1,COLUMN(NOTA[ID]))))+1))</f>
        <v>8</v>
      </c>
      <c r="B37" s="2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KEN_0404_152-1</v>
      </c>
      <c r="C37" s="225" t="e">
        <f ca="1">IF(NOTA[[#This Row],[ID_P]]="","",MATCH(NOTA[[#This Row],[ID_P]],[1]!B_MSK[N_ID],0))</f>
        <v>#REF!</v>
      </c>
      <c r="D37" s="225">
        <f ca="1">IF(NOTA[[#This Row],[NAMA BARANG]]="","",INDEX(NOTA[ID],MATCH(,INDIRECT(ADDRESS(ROW(NOTA[ID]),COLUMN(NOTA[ID]))&amp;":"&amp;ADDRESS(ROW(),COLUMN(NOTA[ID]))),-1)))</f>
        <v>8</v>
      </c>
      <c r="E37" s="226"/>
      <c r="F37" s="227" t="s">
        <v>23</v>
      </c>
      <c r="G37" s="227" t="s">
        <v>24</v>
      </c>
      <c r="H37" s="228" t="s">
        <v>466</v>
      </c>
      <c r="I37" s="227" t="s">
        <v>467</v>
      </c>
      <c r="J37" s="229">
        <v>45019</v>
      </c>
      <c r="K37" s="227"/>
      <c r="L37" s="227" t="s">
        <v>468</v>
      </c>
      <c r="M37" s="230">
        <v>5</v>
      </c>
      <c r="N37" s="227"/>
      <c r="O37" s="227"/>
      <c r="P37" s="224"/>
      <c r="Q37" s="231">
        <v>3888000</v>
      </c>
      <c r="R37" s="230" t="s">
        <v>469</v>
      </c>
      <c r="S37" s="232">
        <v>0.17</v>
      </c>
      <c r="T37" s="232"/>
      <c r="U37" s="233"/>
      <c r="V37" s="234"/>
      <c r="W37" s="233">
        <f>IF(NOTA[[#This Row],[HARGA/ CTN]]="",NOTA[[#This Row],[JUMLAH_H]],NOTA[[#This Row],[HARGA/ CTN]]*IF(NOTA[[#This Row],[C]]="",0,NOTA[[#This Row],[C]]))</f>
        <v>19440000</v>
      </c>
      <c r="X37" s="233">
        <f>IF(NOTA[[#This Row],[JUMLAH]]="","",NOTA[[#This Row],[JUMLAH]]*NOTA[[#This Row],[DISC 1]])</f>
        <v>3304800.0000000005</v>
      </c>
      <c r="Y37" s="233">
        <f>IF(NOTA[[#This Row],[JUMLAH]]="","",(NOTA[[#This Row],[JUMLAH]]-NOTA[[#This Row],[DISC 1-]])*NOTA[[#This Row],[DISC 2]])</f>
        <v>0</v>
      </c>
      <c r="Z37" s="233">
        <f>IF(NOTA[[#This Row],[JUMLAH]]="","",NOTA[[#This Row],[DISC 1-]]+NOTA[[#This Row],[DISC 2-]])</f>
        <v>3304800.0000000005</v>
      </c>
      <c r="AA37" s="233">
        <f>IF(NOTA[[#This Row],[JUMLAH]]="","",NOTA[[#This Row],[JUMLAH]]-NOTA[[#This Row],[DISC]])</f>
        <v>16135200</v>
      </c>
      <c r="AB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3304800.0000000005</v>
      </c>
      <c r="AC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16135200</v>
      </c>
      <c r="AD37" s="22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7" s="233" t="str">
        <f>IF(OR(NOTA[[#This Row],[QTY]]="",NOTA[[#This Row],[HARGA SATUAN]]="",),"",NOTA[[#This Row],[QTY]]*NOTA[[#This Row],[HARGA SATUAN]])</f>
        <v/>
      </c>
      <c r="AF37" s="229">
        <f ca="1">IF(NOTA[ID_H]="","",INDEX(NOTA[TANGGAL],MATCH(,INDIRECT(ADDRESS(ROW(NOTA[TANGGAL]),COLUMN(NOTA[TANGGAL]))&amp;":"&amp;ADDRESS(ROW(),COLUMN(NOTA[TANGGAL]))),-1)))</f>
        <v>45020</v>
      </c>
      <c r="AG37" s="235" t="str">
        <f ca="1">IF(NOTA[[#This Row],[NAMA BARANG]]="","",INDEX(NOTA[SUPPLIER],MATCH(,INDIRECT(ADDRESS(ROW(NOTA[ID]),COLUMN(NOTA[ID]))&amp;":"&amp;ADDRESS(ROW(),COLUMN(NOTA[ID]))),-1)))</f>
        <v>KENKO SINAR INDONESIA</v>
      </c>
      <c r="AH37" s="235" t="str">
        <f ca="1">IF(NOTA[[#This Row],[ID_H]]="","",IF(NOTA[[#This Row],[FAKTUR]]="",INDIRECT(ADDRESS(ROW()-1,COLUMN())),NOTA[[#This Row],[FAKTUR]]))</f>
        <v>ARTO MORO</v>
      </c>
      <c r="AI37" s="48">
        <f ca="1">IF(NOTA[[#This Row],[ID]]="","",COUNTIF(NOTA[ID_H],NOTA[[#This Row],[ID_H]]))</f>
        <v>1</v>
      </c>
      <c r="AJ37" s="48">
        <f>IF(NOTA[[#This Row],[TGL.NOTA]]="",IF(NOTA[[#This Row],[SUPPLIER_H]]="","",AJ36),MONTH(NOTA[[#This Row],[TGL.NOTA]]))</f>
        <v>4</v>
      </c>
      <c r="AK37" s="4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7" s="4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7" s="4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7" s="4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MORO23040152SA 4087345019kenkocutterbladel15018mm</v>
      </c>
      <c r="AO37" s="48" t="e">
        <f>IF(NOTA[[#This Row],[CONCAT4]]="","",_xlfn.IFNA(MATCH(NOTA[[#This Row],[CONCAT4]],[2]!RAW[CONCAT_H],0),FALSE))</f>
        <v>#REF!</v>
      </c>
      <c r="AP37" s="236">
        <f>IF(NOTA[[#This Row],[CONCAT1]]="","",MATCH(NOTA[[#This Row],[CONCAT1]],[3]!db[NB NOTA_C],0)+1)</f>
        <v>478</v>
      </c>
    </row>
    <row r="38" spans="1:42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 t="str">
        <f ca="1">IF(NOTA[[#This Row],[NAMA BARANG]]="","",INDEX(NOTA[ID],MATCH(,INDIRECT(ADDRESS(ROW(NOTA[ID]),COLUMN(NOTA[ID]))&amp;":"&amp;ADDRESS(ROW(),COLUMN(NOTA[ID]))),-1)))</f>
        <v/>
      </c>
      <c r="E38" s="23"/>
      <c r="F38" s="26"/>
      <c r="G38" s="26"/>
      <c r="H38" s="31"/>
      <c r="I38" s="26"/>
      <c r="J38" s="51"/>
      <c r="K38" s="26"/>
      <c r="L38" s="26"/>
      <c r="M38" s="39"/>
      <c r="N38" s="26"/>
      <c r="O38" s="26"/>
      <c r="P38" s="49"/>
      <c r="Q38" s="52"/>
      <c r="R38" s="39"/>
      <c r="S38" s="53"/>
      <c r="T38" s="53"/>
      <c r="U38" s="54"/>
      <c r="V38" s="37"/>
      <c r="W38" s="54" t="str">
        <f>IF(NOTA[[#This Row],[HARGA/ CTN]]="",NOTA[[#This Row],[JUMLAH_H]],NOTA[[#This Row],[HARGA/ CTN]]*IF(NOTA[[#This Row],[C]]="",0,NOTA[[#This Row],[C]]))</f>
        <v/>
      </c>
      <c r="X38" s="54" t="str">
        <f>IF(NOTA[[#This Row],[JUMLAH]]="","",NOTA[[#This Row],[JUMLAH]]*NOTA[[#This Row],[DISC 1]])</f>
        <v/>
      </c>
      <c r="Y38" s="54" t="str">
        <f>IF(NOTA[[#This Row],[JUMLAH]]="","",(NOTA[[#This Row],[JUMLAH]]-NOTA[[#This Row],[DISC 1-]])*NOTA[[#This Row],[DISC 2]])</f>
        <v/>
      </c>
      <c r="Z38" s="54" t="str">
        <f>IF(NOTA[[#This Row],[JUMLAH]]="","",NOTA[[#This Row],[DISC 1-]]+NOTA[[#This Row],[DISC 2-]])</f>
        <v/>
      </c>
      <c r="AA38" s="54" t="str">
        <f>IF(NOTA[[#This Row],[JUMLAH]]="","",NOTA[[#This Row],[JUMLAH]]-NOTA[[#This Row],[DISC]])</f>
        <v/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" s="54" t="str">
        <f>IF(OR(NOTA[[#This Row],[QTY]]="",NOTA[[#This Row],[HARGA SATUAN]]="",),"",NOTA[[#This Row],[QTY]]*NOTA[[#This Row],[HARGA SATUAN]])</f>
        <v/>
      </c>
      <c r="AF38" s="51" t="str">
        <f ca="1">IF(NOTA[ID_H]="","",INDEX(NOTA[TANGGAL],MATCH(,INDIRECT(ADDRESS(ROW(NOTA[TANGGAL]),COLUMN(NOTA[TANGGAL]))&amp;":"&amp;ADDRESS(ROW(),COLUMN(NOTA[TANGGAL]))),-1)))</f>
        <v/>
      </c>
      <c r="AG38" s="65" t="str">
        <f ca="1">IF(NOTA[[#This Row],[NAMA BARANG]]="","",INDEX(NOTA[SUPPLIER],MATCH(,INDIRECT(ADDRESS(ROW(NOTA[ID]),COLUMN(NOTA[ID]))&amp;":"&amp;ADDRESS(ROW(),COLUMN(NOTA[ID]))),-1)))</f>
        <v/>
      </c>
      <c r="AH38" s="65" t="str">
        <f ca="1">IF(NOTA[[#This Row],[ID_H]]="","",IF(NOTA[[#This Row],[FAKTUR]]="",INDIRECT(ADDRESS(ROW()-1,COLUMN())),NOTA[[#This Row],[FAKTUR]]))</f>
        <v/>
      </c>
      <c r="AI38" s="38" t="str">
        <f ca="1">IF(NOTA[[#This Row],[ID]]="","",COUNTIF(NOTA[ID_H],NOTA[[#This Row],[ID_H]]))</f>
        <v/>
      </c>
      <c r="AJ38" s="38" t="str">
        <f ca="1">IF(NOTA[[#This Row],[TGL.NOTA]]="",IF(NOTA[[#This Row],[SUPPLIER_H]]="","",AJ37),MONTH(NOTA[[#This Row],[TGL.NOTA]]))</f>
        <v/>
      </c>
      <c r="AK38" s="38" t="str">
        <f>LOWER(SUBSTITUTE(SUBSTITUTE(SUBSTITUTE(SUBSTITUTE(SUBSTITUTE(SUBSTITUTE(SUBSTITUTE(SUBSTITUTE(SUBSTITUTE(NOTA[NAMA BARANG]," ",),".",""),"-",""),"(",""),")",""),",",""),"/",""),"""",""),"+",""))</f>
        <v/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38" t="str">
        <f>IF(NOTA[[#This Row],[CONCAT4]]="","",_xlfn.IFNA(MATCH(NOTA[[#This Row],[CONCAT4]],[2]!RAW[CONCAT_H],0),FALSE))</f>
        <v/>
      </c>
      <c r="AP38" s="174" t="str">
        <f>IF(NOTA[[#This Row],[CONCAT1]]="","",MATCH(NOTA[[#This Row],[CONCAT1]],[3]!db[NB NOTA_C],0)+1)</f>
        <v/>
      </c>
    </row>
    <row r="39" spans="1:42" ht="20.100000000000001" customHeight="1" x14ac:dyDescent="0.25">
      <c r="A39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LAY_0504_011-1</v>
      </c>
      <c r="C39" s="50" t="e">
        <f ca="1">IF(NOTA[[#This Row],[ID_P]]="","",MATCH(NOTA[[#This Row],[ID_P]],[1]!B_MSK[N_ID],0))</f>
        <v>#REF!</v>
      </c>
      <c r="D39" s="50">
        <f ca="1">IF(NOTA[[#This Row],[NAMA BARANG]]="","",INDEX(NOTA[ID],MATCH(,INDIRECT(ADDRESS(ROW(NOTA[ID]),COLUMN(NOTA[ID]))&amp;":"&amp;ADDRESS(ROW(),COLUMN(NOTA[ID]))),-1)))</f>
        <v>9</v>
      </c>
      <c r="E39" s="23">
        <v>45021</v>
      </c>
      <c r="F39" s="26" t="s">
        <v>28</v>
      </c>
      <c r="G39" s="26" t="s">
        <v>24</v>
      </c>
      <c r="H39" s="31" t="s">
        <v>465</v>
      </c>
      <c r="I39" s="26"/>
      <c r="J39" s="51">
        <v>45019</v>
      </c>
      <c r="K39" s="26"/>
      <c r="L39" s="26" t="s">
        <v>136</v>
      </c>
      <c r="M39" s="39">
        <v>20</v>
      </c>
      <c r="N39" s="26">
        <v>2000</v>
      </c>
      <c r="O39" s="26" t="s">
        <v>200</v>
      </c>
      <c r="P39" s="49">
        <v>14000</v>
      </c>
      <c r="Q39" s="52"/>
      <c r="R39" s="39" t="s">
        <v>201</v>
      </c>
      <c r="S39" s="53">
        <v>0.1</v>
      </c>
      <c r="T39" s="53"/>
      <c r="U39" s="54"/>
      <c r="V39" s="37"/>
      <c r="W39" s="54">
        <f>IF(NOTA[[#This Row],[HARGA/ CTN]]="",NOTA[[#This Row],[JUMLAH_H]],NOTA[[#This Row],[HARGA/ CTN]]*IF(NOTA[[#This Row],[C]]="",0,NOTA[[#This Row],[C]]))</f>
        <v>28000000</v>
      </c>
      <c r="X39" s="54">
        <f>IF(NOTA[[#This Row],[JUMLAH]]="","",NOTA[[#This Row],[JUMLAH]]*NOTA[[#This Row],[DISC 1]])</f>
        <v>2800000</v>
      </c>
      <c r="Y39" s="54">
        <f>IF(NOTA[[#This Row],[JUMLAH]]="","",(NOTA[[#This Row],[JUMLAH]]-NOTA[[#This Row],[DISC 1-]])*NOTA[[#This Row],[DISC 2]])</f>
        <v>0</v>
      </c>
      <c r="Z39" s="54">
        <f>IF(NOTA[[#This Row],[JUMLAH]]="","",NOTA[[#This Row],[DISC 1-]]+NOTA[[#This Row],[DISC 2-]])</f>
        <v>2800000</v>
      </c>
      <c r="AA39" s="54">
        <f>IF(NOTA[[#This Row],[JUMLAH]]="","",NOTA[[#This Row],[JUMLAH]]-NOTA[[#This Row],[DISC]])</f>
        <v>25200000</v>
      </c>
      <c r="AB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39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39" s="54">
        <f>IF(OR(NOTA[[#This Row],[QTY]]="",NOTA[[#This Row],[HARGA SATUAN]]="",),"",NOTA[[#This Row],[QTY]]*NOTA[[#This Row],[HARGA SATUAN]])</f>
        <v>28000000</v>
      </c>
      <c r="AF39" s="51">
        <f ca="1">IF(NOTA[ID_H]="","",INDEX(NOTA[TANGGAL],MATCH(,INDIRECT(ADDRESS(ROW(NOTA[TANGGAL]),COLUMN(NOTA[TANGGAL]))&amp;":"&amp;ADDRESS(ROW(),COLUMN(NOTA[TANGGAL]))),-1)))</f>
        <v>45021</v>
      </c>
      <c r="AG39" s="65" t="str">
        <f ca="1">IF(NOTA[[#This Row],[NAMA BARANG]]="","",INDEX(NOTA[SUPPLIER],MATCH(,INDIRECT(ADDRESS(ROW(NOTA[ID]),COLUMN(NOTA[ID]))&amp;":"&amp;ADDRESS(ROW(),COLUMN(NOTA[ID]))),-1)))</f>
        <v>LAYS</v>
      </c>
      <c r="AH39" s="65" t="str">
        <f ca="1">IF(NOTA[[#This Row],[ID_H]]="","",IF(NOTA[[#This Row],[FAKTUR]]="",INDIRECT(ADDRESS(ROW()-1,COLUMN())),NOTA[[#This Row],[FAKTUR]]))</f>
        <v>ARTO MORO</v>
      </c>
      <c r="AI39" s="38">
        <f ca="1">IF(NOTA[[#This Row],[ID]]="","",COUNTIF(NOTA[ID_H],NOTA[[#This Row],[ID_H]]))</f>
        <v>1</v>
      </c>
      <c r="AJ39" s="38">
        <f>IF(NOTA[[#This Row],[TGL.NOTA]]="",IF(NOTA[[#This Row],[SUPPLIER_H]]="","",AJ38),MONTH(NOTA[[#This Row],[TGL.NOTA]]))</f>
        <v>4</v>
      </c>
      <c r="AK39" s="38" t="str">
        <f>LOWER(SUBSTITUTE(SUBSTITUTE(SUBSTITUTE(SUBSTITUTE(SUBSTITUTE(SUBSTITUTE(SUBSTITUTE(SUBSTITUTE(SUBSTITUTE(NOTA[NAMA BARANG]," ",),".",""),"-",""),"(",""),")",""),",",""),"/",""),"""",""),"+",""))</f>
        <v>isigwno10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39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MOROL10401145019isigwno10</v>
      </c>
      <c r="AO39" s="38" t="e">
        <f>IF(NOTA[[#This Row],[CONCAT4]]="","",_xlfn.IFNA(MATCH(NOTA[[#This Row],[CONCAT4]],[2]!RAW[CONCAT_H],0),FALSE))</f>
        <v>#REF!</v>
      </c>
      <c r="AP39" s="174">
        <f>IF(NOTA[[#This Row],[CONCAT1]]="","",MATCH(NOTA[[#This Row],[CONCAT1]],[3]!db[NB NOTA_C],0)+1)</f>
        <v>489</v>
      </c>
    </row>
    <row r="40" spans="1:42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Row],[ID_P]]="","",MATCH(NOTA[[#This Row],[ID_P]],[1]!B_MSK[N_ID],0))</f>
        <v/>
      </c>
      <c r="D40" s="50" t="str">
        <f ca="1">IF(NOTA[[#This Row],[NAMA BARANG]]="","",INDEX(NOTA[ID],MATCH(,INDIRECT(ADDRESS(ROW(NOTA[ID]),COLUMN(NOTA[ID]))&amp;":"&amp;ADDRESS(ROW(),COLUMN(NOTA[ID]))),-1)))</f>
        <v/>
      </c>
      <c r="E40" s="23"/>
      <c r="F40" s="26"/>
      <c r="G40" s="26"/>
      <c r="H40" s="31"/>
      <c r="I40" s="26"/>
      <c r="J40" s="51"/>
      <c r="K40" s="26"/>
      <c r="L40" s="26"/>
      <c r="M40" s="39"/>
      <c r="N40" s="26"/>
      <c r="O40" s="26"/>
      <c r="P40" s="49"/>
      <c r="Q40" s="52"/>
      <c r="R40" s="39"/>
      <c r="S40" s="53"/>
      <c r="T40" s="53"/>
      <c r="U40" s="54"/>
      <c r="V40" s="37"/>
      <c r="W40" s="54" t="str">
        <f>IF(NOTA[[#This Row],[HARGA/ CTN]]="",NOTA[[#This Row],[JUMLAH_H]],NOTA[[#This Row],[HARGA/ CTN]]*IF(NOTA[[#This Row],[C]]="",0,NOTA[[#This Row],[C]]))</f>
        <v/>
      </c>
      <c r="X40" s="54" t="str">
        <f>IF(NOTA[[#This Row],[JUMLAH]]="","",NOTA[[#This Row],[JUMLAH]]*NOTA[[#This Row],[DISC 1]])</f>
        <v/>
      </c>
      <c r="Y40" s="54" t="str">
        <f>IF(NOTA[[#This Row],[JUMLAH]]="","",(NOTA[[#This Row],[JUMLAH]]-NOTA[[#This Row],[DISC 1-]])*NOTA[[#This Row],[DISC 2]])</f>
        <v/>
      </c>
      <c r="Z40" s="54" t="str">
        <f>IF(NOTA[[#This Row],[JUMLAH]]="","",NOTA[[#This Row],[DISC 1-]]+NOTA[[#This Row],[DISC 2-]])</f>
        <v/>
      </c>
      <c r="AA40" s="54" t="str">
        <f>IF(NOTA[[#This Row],[JUMLAH]]="","",NOTA[[#This Row],[JUMLAH]]-NOTA[[#This Row],[DISC]])</f>
        <v/>
      </c>
      <c r="AB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" s="54" t="str">
        <f>IF(OR(NOTA[[#This Row],[QTY]]="",NOTA[[#This Row],[HARGA SATUAN]]="",),"",NOTA[[#This Row],[QTY]]*NOTA[[#This Row],[HARGA SATUAN]])</f>
        <v/>
      </c>
      <c r="AF40" s="51" t="str">
        <f ca="1">IF(NOTA[ID_H]="","",INDEX(NOTA[TANGGAL],MATCH(,INDIRECT(ADDRESS(ROW(NOTA[TANGGAL]),COLUMN(NOTA[TANGGAL]))&amp;":"&amp;ADDRESS(ROW(),COLUMN(NOTA[TANGGAL]))),-1)))</f>
        <v/>
      </c>
      <c r="AG40" s="65" t="str">
        <f ca="1">IF(NOTA[[#This Row],[NAMA BARANG]]="","",INDEX(NOTA[SUPPLIER],MATCH(,INDIRECT(ADDRESS(ROW(NOTA[ID]),COLUMN(NOTA[ID]))&amp;":"&amp;ADDRESS(ROW(),COLUMN(NOTA[ID]))),-1)))</f>
        <v/>
      </c>
      <c r="AH40" s="65" t="str">
        <f ca="1">IF(NOTA[[#This Row],[ID_H]]="","",IF(NOTA[[#This Row],[FAKTUR]]="",INDIRECT(ADDRESS(ROW()-1,COLUMN())),NOTA[[#This Row],[FAKTUR]]))</f>
        <v/>
      </c>
      <c r="AI40" s="38" t="str">
        <f ca="1">IF(NOTA[[#This Row],[ID]]="","",COUNTIF(NOTA[ID_H],NOTA[[#This Row],[ID_H]]))</f>
        <v/>
      </c>
      <c r="AJ40" s="38" t="str">
        <f ca="1">IF(NOTA[[#This Row],[TGL.NOTA]]="",IF(NOTA[[#This Row],[SUPPLIER_H]]="","",AJ66),MONTH(NOTA[[#This Row],[TGL.NOTA]]))</f>
        <v/>
      </c>
      <c r="AK40" s="38" t="str">
        <f>LOWER(SUBSTITUTE(SUBSTITUTE(SUBSTITUTE(SUBSTITUTE(SUBSTITUTE(SUBSTITUTE(SUBSTITUTE(SUBSTITUTE(SUBSTITUTE(NOTA[NAMA BARANG]," ",),".",""),"-",""),"(",""),")",""),",",""),"/",""),"""",""),"+",""))</f>
        <v/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" s="38" t="str">
        <f>IF(NOTA[[#This Row],[CONCAT4]]="","",_xlfn.IFNA(MATCH(NOTA[[#This Row],[CONCAT4]],[2]!RAW[CONCAT_H],0),FALSE))</f>
        <v/>
      </c>
      <c r="AP40" s="174" t="str">
        <f>IF(NOTA[[#This Row],[CONCAT1]]="","",MATCH(NOTA[[#This Row],[CONCAT1]],[3]!db[NB NOTA_C],0)+1)</f>
        <v/>
      </c>
    </row>
    <row r="41" spans="1:42" ht="20.100000000000001" customHeight="1" x14ac:dyDescent="0.25">
      <c r="A4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KUN_0604_506-2</v>
      </c>
      <c r="C41" s="50" t="e">
        <f ca="1">IF(NOTA[[#This Row],[ID_P]]="","",MATCH(NOTA[[#This Row],[ID_P]],[1]!B_MSK[N_ID],0))</f>
        <v>#REF!</v>
      </c>
      <c r="D41" s="50">
        <f ca="1">IF(NOTA[[#This Row],[NAMA BARANG]]="","",INDEX(NOTA[ID],MATCH(,INDIRECT(ADDRESS(ROW(NOTA[ID]),COLUMN(NOTA[ID]))&amp;":"&amp;ADDRESS(ROW(),COLUMN(NOTA[ID]))),-1)))</f>
        <v>10</v>
      </c>
      <c r="E41" s="23">
        <v>45022</v>
      </c>
      <c r="F41" s="26" t="s">
        <v>82</v>
      </c>
      <c r="G41" s="26" t="s">
        <v>24</v>
      </c>
      <c r="H41" s="31" t="s">
        <v>522</v>
      </c>
      <c r="I41" s="26"/>
      <c r="J41" s="51">
        <v>45020</v>
      </c>
      <c r="K41" s="26"/>
      <c r="L41" s="26" t="s">
        <v>202</v>
      </c>
      <c r="M41" s="39">
        <v>5</v>
      </c>
      <c r="N41" s="26">
        <v>500</v>
      </c>
      <c r="O41" s="26" t="s">
        <v>203</v>
      </c>
      <c r="P41" s="49">
        <v>6610</v>
      </c>
      <c r="Q41" s="52"/>
      <c r="R41" s="39" t="s">
        <v>205</v>
      </c>
      <c r="S41" s="53"/>
      <c r="T41" s="53"/>
      <c r="U41" s="54"/>
      <c r="V41" s="37"/>
      <c r="W41" s="54">
        <f>IF(NOTA[[#This Row],[HARGA/ CTN]]="",NOTA[[#This Row],[JUMLAH_H]],NOTA[[#This Row],[HARGA/ CTN]]*IF(NOTA[[#This Row],[C]]="",0,NOTA[[#This Row],[C]]))</f>
        <v>3305000</v>
      </c>
      <c r="X41" s="54">
        <f>IF(NOTA[[#This Row],[JUMLAH]]="","",NOTA[[#This Row],[JUMLAH]]*NOTA[[#This Row],[DISC 1]])</f>
        <v>0</v>
      </c>
      <c r="Y41" s="54">
        <f>IF(NOTA[[#This Row],[JUMLAH]]="","",(NOTA[[#This Row],[JUMLAH]]-NOTA[[#This Row],[DISC 1-]])*NOTA[[#This Row],[DISC 2]])</f>
        <v>0</v>
      </c>
      <c r="Z41" s="54">
        <f>IF(NOTA[[#This Row],[JUMLAH]]="","",NOTA[[#This Row],[DISC 1-]]+NOTA[[#This Row],[DISC 2-]])</f>
        <v>0</v>
      </c>
      <c r="AA41" s="54">
        <f>IF(NOTA[[#This Row],[JUMLAH]]="","",NOTA[[#This Row],[JUMLAH]]-NOTA[[#This Row],[DISC]])</f>
        <v>3305000</v>
      </c>
      <c r="AB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49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E41" s="54">
        <f>IF(OR(NOTA[[#This Row],[QTY]]="",NOTA[[#This Row],[HARGA SATUAN]]="",),"",NOTA[[#This Row],[QTY]]*NOTA[[#This Row],[HARGA SATUAN]])</f>
        <v>3305000</v>
      </c>
      <c r="AF41" s="51">
        <f ca="1">IF(NOTA[ID_H]="","",INDEX(NOTA[TANGGAL],MATCH(,INDIRECT(ADDRESS(ROW(NOTA[TANGGAL]),COLUMN(NOTA[TANGGAL]))&amp;":"&amp;ADDRESS(ROW(),COLUMN(NOTA[TANGGAL]))),-1)))</f>
        <v>45022</v>
      </c>
      <c r="AG41" s="65" t="str">
        <f ca="1">IF(NOTA[[#This Row],[NAMA BARANG]]="","",INDEX(NOTA[SUPPLIER],MATCH(,INDIRECT(ADDRESS(ROW(NOTA[ID]),COLUMN(NOTA[ID]))&amp;":"&amp;ADDRESS(ROW(),COLUMN(NOTA[ID]))),-1)))</f>
        <v>KUNCI MATAHARI</v>
      </c>
      <c r="AH41" s="65" t="str">
        <f ca="1">IF(NOTA[[#This Row],[ID_H]]="","",IF(NOTA[[#This Row],[FAKTUR]]="",INDIRECT(ADDRESS(ROW()-1,COLUMN())),NOTA[[#This Row],[FAKTUR]]))</f>
        <v>ARTO MORO</v>
      </c>
      <c r="AI41" s="38">
        <f ca="1">IF(NOTA[[#This Row],[ID]]="","",COUNTIF(NOTA[ID_H],NOTA[[#This Row],[ID_H]]))</f>
        <v>2</v>
      </c>
      <c r="AJ41" s="38">
        <f>IF(NOTA[[#This Row],[TGL.NOTA]]="",IF(NOTA[[#This Row],[SUPPLIER_H]]="","",AJ40),MONTH(NOTA[[#This Row],[TGL.NOTA]]))</f>
        <v>4</v>
      </c>
      <c r="AK41" s="38" t="str">
        <f>LOWER(SUBSTITUTE(SUBSTITUTE(SUBSTITUTE(SUBSTITUTE(SUBSTITUTE(SUBSTITUTE(SUBSTITUTE(SUBSTITUTE(SUBSTITUTE(NOTA[NAMA BARANG]," ",),".",""),"-",""),"(",""),")",""),",",""),"/",""),"""",""),"+",""))</f>
        <v>bkkaskwarto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N41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MORO00550645020bkkaskwarto</v>
      </c>
      <c r="AO41" s="38" t="e">
        <f>IF(NOTA[[#This Row],[CONCAT4]]="","",_xlfn.IFNA(MATCH(NOTA[[#This Row],[CONCAT4]],[2]!RAW[CONCAT_H],0),FALSE))</f>
        <v>#REF!</v>
      </c>
      <c r="AP41" s="174">
        <f>IF(NOTA[[#This Row],[CONCAT1]]="","",MATCH(NOTA[[#This Row],[CONCAT1]],[3]!db[NB NOTA_C],0)+1)</f>
        <v>120</v>
      </c>
    </row>
    <row r="42" spans="1:42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Row],[ID_P]]="","",MATCH(NOTA[[#This Row],[ID_P]],[1]!B_MSK[N_ID],0))</f>
        <v/>
      </c>
      <c r="D42" s="50">
        <f ca="1">IF(NOTA[[#This Row],[NAMA BARANG]]="","",INDEX(NOTA[ID],MATCH(,INDIRECT(ADDRESS(ROW(NOTA[ID]),COLUMN(NOTA[ID]))&amp;":"&amp;ADDRESS(ROW(),COLUMN(NOTA[ID]))),-1)))</f>
        <v>10</v>
      </c>
      <c r="E42" s="23"/>
      <c r="F42" s="26"/>
      <c r="G42" s="26"/>
      <c r="H42" s="31"/>
      <c r="I42" s="26"/>
      <c r="J42" s="51"/>
      <c r="K42" s="26"/>
      <c r="L42" s="26" t="s">
        <v>90</v>
      </c>
      <c r="M42" s="39">
        <v>3</v>
      </c>
      <c r="N42" s="26">
        <v>150</v>
      </c>
      <c r="O42" s="26" t="s">
        <v>204</v>
      </c>
      <c r="P42" s="49">
        <v>12870</v>
      </c>
      <c r="Q42" s="52"/>
      <c r="R42" s="39" t="s">
        <v>206</v>
      </c>
      <c r="S42" s="53"/>
      <c r="T42" s="53"/>
      <c r="U42" s="54"/>
      <c r="V42" s="37"/>
      <c r="W42" s="54">
        <f>IF(NOTA[[#This Row],[HARGA/ CTN]]="",NOTA[[#This Row],[JUMLAH_H]],NOTA[[#This Row],[HARGA/ CTN]]*IF(NOTA[[#This Row],[C]]="",0,NOTA[[#This Row],[C]]))</f>
        <v>1930500</v>
      </c>
      <c r="X42" s="54">
        <f>IF(NOTA[[#This Row],[JUMLAH]]="","",NOTA[[#This Row],[JUMLAH]]*NOTA[[#This Row],[DISC 1]])</f>
        <v>0</v>
      </c>
      <c r="Y42" s="54">
        <f>IF(NOTA[[#This Row],[JUMLAH]]="","",(NOTA[[#This Row],[JUMLAH]]-NOTA[[#This Row],[DISC 1-]])*NOTA[[#This Row],[DISC 2]])</f>
        <v>0</v>
      </c>
      <c r="Z42" s="54">
        <f>IF(NOTA[[#This Row],[JUMLAH]]="","",NOTA[[#This Row],[DISC 1-]]+NOTA[[#This Row],[DISC 2-]])</f>
        <v>0</v>
      </c>
      <c r="AA42" s="54">
        <f>IF(NOTA[[#This Row],[JUMLAH]]="","",NOTA[[#This Row],[JUMLAH]]-NOTA[[#This Row],[DISC]])</f>
        <v>1930500</v>
      </c>
      <c r="AB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5235500</v>
      </c>
      <c r="AD42" s="49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42" s="54">
        <f>IF(OR(NOTA[[#This Row],[QTY]]="",NOTA[[#This Row],[HARGA SATUAN]]="",),"",NOTA[[#This Row],[QTY]]*NOTA[[#This Row],[HARGA SATUAN]])</f>
        <v>1930500</v>
      </c>
      <c r="AF42" s="51">
        <f ca="1">IF(NOTA[ID_H]="","",INDEX(NOTA[TANGGAL],MATCH(,INDIRECT(ADDRESS(ROW(NOTA[TANGGAL]),COLUMN(NOTA[TANGGAL]))&amp;":"&amp;ADDRESS(ROW(),COLUMN(NOTA[TANGGAL]))),-1)))</f>
        <v>45022</v>
      </c>
      <c r="AG42" s="65" t="str">
        <f ca="1">IF(NOTA[[#This Row],[NAMA BARANG]]="","",INDEX(NOTA[SUPPLIER],MATCH(,INDIRECT(ADDRESS(ROW(NOTA[ID]),COLUMN(NOTA[ID]))&amp;":"&amp;ADDRESS(ROW(),COLUMN(NOTA[ID]))),-1)))</f>
        <v>KUNCI MATAHARI</v>
      </c>
      <c r="AH42" s="65" t="str">
        <f ca="1">IF(NOTA[[#This Row],[ID_H]]="","",IF(NOTA[[#This Row],[FAKTUR]]="",INDIRECT(ADDRESS(ROW()-1,COLUMN())),NOTA[[#This Row],[FAKTUR]]))</f>
        <v>ARTO MORO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4</v>
      </c>
      <c r="AK42" s="38" t="str">
        <f>LOWER(SUBSTITUTE(SUBSTITUTE(SUBSTITUTE(SUBSTITUTE(SUBSTITUTE(SUBSTITUTE(SUBSTITUTE(SUBSTITUTE(SUBSTITUTE(NOTA[NAMA BARANG]," ",),".",""),"-",""),"(",""),")",""),",",""),"/",""),"""",""),"+",""))</f>
        <v>bkkasfolio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N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" s="38" t="str">
        <f>IF(NOTA[[#This Row],[CONCAT4]]="","",_xlfn.IFNA(MATCH(NOTA[[#This Row],[CONCAT4]],[2]!RAW[CONCAT_H],0),FALSE))</f>
        <v/>
      </c>
      <c r="AP42" s="174">
        <f>IF(NOTA[[#This Row],[CONCAT1]]="","",MATCH(NOTA[[#This Row],[CONCAT1]],[3]!db[NB NOTA_C],0)+1)</f>
        <v>119</v>
      </c>
    </row>
    <row r="43" spans="1:42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Row],[ID_P]]="","",MATCH(NOTA[[#This Row],[ID_P]],[1]!B_MSK[N_ID],0))</f>
        <v/>
      </c>
      <c r="D43" s="50" t="str">
        <f ca="1">IF(NOTA[[#This Row],[NAMA BARANG]]="","",INDEX(NOTA[ID],MATCH(,INDIRECT(ADDRESS(ROW(NOTA[ID]),COLUMN(NOTA[ID]))&amp;":"&amp;ADDRESS(ROW(),COLUMN(NOTA[ID]))),-1)))</f>
        <v/>
      </c>
      <c r="E43" s="23"/>
      <c r="F43" s="26"/>
      <c r="G43" s="26"/>
      <c r="H43" s="31"/>
      <c r="I43" s="26"/>
      <c r="J43" s="51"/>
      <c r="K43" s="26"/>
      <c r="L43" s="26"/>
      <c r="M43" s="39"/>
      <c r="N43" s="26"/>
      <c r="O43" s="26"/>
      <c r="P43" s="49"/>
      <c r="Q43" s="52"/>
      <c r="R43" s="39"/>
      <c r="S43" s="53"/>
      <c r="T43" s="53"/>
      <c r="U43" s="54"/>
      <c r="V43" s="37"/>
      <c r="W43" s="54" t="str">
        <f>IF(NOTA[[#This Row],[HARGA/ CTN]]="",NOTA[[#This Row],[JUMLAH_H]],NOTA[[#This Row],[HARGA/ CTN]]*IF(NOTA[[#This Row],[C]]="",0,NOTA[[#This Row],[C]]))</f>
        <v/>
      </c>
      <c r="X43" s="54" t="str">
        <f>IF(NOTA[[#This Row],[JUMLAH]]="","",NOTA[[#This Row],[JUMLAH]]*NOTA[[#This Row],[DISC 1]])</f>
        <v/>
      </c>
      <c r="Y43" s="54" t="str">
        <f>IF(NOTA[[#This Row],[JUMLAH]]="","",(NOTA[[#This Row],[JUMLAH]]-NOTA[[#This Row],[DISC 1-]])*NOTA[[#This Row],[DISC 2]])</f>
        <v/>
      </c>
      <c r="Z43" s="54" t="str">
        <f>IF(NOTA[[#This Row],[JUMLAH]]="","",NOTA[[#This Row],[DISC 1-]]+NOTA[[#This Row],[DISC 2-]])</f>
        <v/>
      </c>
      <c r="AA43" s="54" t="str">
        <f>IF(NOTA[[#This Row],[JUMLAH]]="","",NOTA[[#This Row],[JUMLAH]]-NOTA[[#This Row],[DISC]])</f>
        <v/>
      </c>
      <c r="AB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54" t="str">
        <f>IF(OR(NOTA[[#This Row],[QTY]]="",NOTA[[#This Row],[HARGA SATUAN]]="",),"",NOTA[[#This Row],[QTY]]*NOTA[[#This Row],[HARGA SATUAN]])</f>
        <v/>
      </c>
      <c r="AF43" s="51" t="str">
        <f ca="1">IF(NOTA[ID_H]="","",INDEX(NOTA[TANGGAL],MATCH(,INDIRECT(ADDRESS(ROW(NOTA[TANGGAL]),COLUMN(NOTA[TANGGAL]))&amp;":"&amp;ADDRESS(ROW(),COLUMN(NOTA[TANGGAL]))),-1)))</f>
        <v/>
      </c>
      <c r="AG43" s="65" t="str">
        <f ca="1">IF(NOTA[[#This Row],[NAMA BARANG]]="","",INDEX(NOTA[SUPPLIER],MATCH(,INDIRECT(ADDRESS(ROW(NOTA[ID]),COLUMN(NOTA[ID]))&amp;":"&amp;ADDRESS(ROW(),COLUMN(NOTA[ID]))),-1)))</f>
        <v/>
      </c>
      <c r="AH43" s="65" t="str">
        <f ca="1">IF(NOTA[[#This Row],[ID_H]]="","",IF(NOTA[[#This Row],[FAKTUR]]="",INDIRECT(ADDRESS(ROW()-1,COLUMN())),NOTA[[#This Row],[FAKTUR]]))</f>
        <v/>
      </c>
      <c r="AI43" s="38" t="str">
        <f ca="1">IF(NOTA[[#This Row],[ID]]="","",COUNTIF(NOTA[ID_H],NOTA[[#This Row],[ID_H]]))</f>
        <v/>
      </c>
      <c r="AJ43" s="38" t="str">
        <f ca="1">IF(NOTA[[#This Row],[TGL.NOTA]]="",IF(NOTA[[#This Row],[SUPPLIER_H]]="","",AJ42),MONTH(NOTA[[#This Row],[TGL.NOTA]]))</f>
        <v/>
      </c>
      <c r="AK43" s="38" t="str">
        <f>LOWER(SUBSTITUTE(SUBSTITUTE(SUBSTITUTE(SUBSTITUTE(SUBSTITUTE(SUBSTITUTE(SUBSTITUTE(SUBSTITUTE(SUBSTITUTE(NOTA[NAMA BARANG]," ",),".",""),"-",""),"(",""),")",""),",",""),"/",""),"""",""),"+",""))</f>
        <v/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38" t="str">
        <f>IF(NOTA[[#This Row],[CONCAT4]]="","",_xlfn.IFNA(MATCH(NOTA[[#This Row],[CONCAT4]],[2]!RAW[CONCAT_H],0),FALSE))</f>
        <v/>
      </c>
      <c r="AP43" s="174" t="str">
        <f>IF(NOTA[[#This Row],[CONCAT1]]="","",MATCH(NOTA[[#This Row],[CONCAT1]],[3]!db[NB NOTA_C],0)+1)</f>
        <v/>
      </c>
    </row>
    <row r="44" spans="1:42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KEN_0504_230-7</v>
      </c>
      <c r="C44" s="29" t="e">
        <f ca="1">IF(NOTA[[#This Row],[ID_P]]="","",MATCH(NOTA[[#This Row],[ID_P]],[1]!B_MSK[N_ID],0))</f>
        <v>#REF!</v>
      </c>
      <c r="D44" s="29">
        <f ca="1">IF(NOTA[[#This Row],[NAMA BARANG]]="","",INDEX(NOTA[ID],MATCH(,INDIRECT(ADDRESS(ROW(NOTA[ID]),COLUMN(NOTA[ID]))&amp;":"&amp;ADDRESS(ROW(),COLUMN(NOTA[ID]))),-1)))</f>
        <v>11</v>
      </c>
      <c r="E44" s="30">
        <v>45021</v>
      </c>
      <c r="F44" s="26" t="s">
        <v>23</v>
      </c>
      <c r="G44" s="26" t="s">
        <v>24</v>
      </c>
      <c r="H44" s="31" t="s">
        <v>207</v>
      </c>
      <c r="I44" s="26" t="s">
        <v>227</v>
      </c>
      <c r="J44" s="51">
        <v>45019</v>
      </c>
      <c r="K44" s="33"/>
      <c r="L44" s="26" t="s">
        <v>213</v>
      </c>
      <c r="M44" s="34">
        <v>1</v>
      </c>
      <c r="N44" s="32"/>
      <c r="O44" s="26"/>
      <c r="P44" s="28"/>
      <c r="Q44" s="46">
        <v>3340800</v>
      </c>
      <c r="R44" s="39" t="s">
        <v>156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3340800</v>
      </c>
      <c r="X44" s="36">
        <f>IF(NOTA[[#This Row],[JUMLAH]]="","",NOTA[[#This Row],[JUMLAH]]*NOTA[[#This Row],[DISC 1]])</f>
        <v>567936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567936</v>
      </c>
      <c r="AA44" s="36">
        <f>IF(NOTA[[#This Row],[JUMLAH]]="","",NOTA[[#This Row],[JUMLAH]]-NOTA[[#This Row],[DISC]])</f>
        <v>2772864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45021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>
        <f ca="1">IF(NOTA[[#This Row],[ID]]="","",COUNTIF(NOTA[ID_H],NOTA[[#This Row],[ID_H]]))</f>
        <v>7</v>
      </c>
      <c r="AJ44" s="38">
        <f>IF(NOTA[[#This Row],[TGL.NOTA]]="",IF(NOTA[[#This Row],[SUPPLIER_H]]="","",AJ29),MONTH(NOTA[[#This Row],[TGL.NOTA]]))</f>
        <v>4</v>
      </c>
      <c r="AK4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MORO23040230SA 4090845019kenkocorrectiontapect1505fc15mx5mm</v>
      </c>
      <c r="AO44" s="38" t="e">
        <f>IF(NOTA[[#This Row],[CONCAT4]]="","",_xlfn.IFNA(MATCH(NOTA[[#This Row],[CONCAT4]],[2]!RAW[CONCAT_H],0),FALSE))</f>
        <v>#REF!</v>
      </c>
      <c r="AP44" s="174">
        <f>IF(NOTA[[#This Row],[CONCAT1]]="","",MATCH(NOTA[[#This Row],[CONCAT1]],[3]!db[NB NOTA_C],0)+1)</f>
        <v>239</v>
      </c>
    </row>
    <row r="45" spans="1:42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11</v>
      </c>
      <c r="E45" s="30"/>
      <c r="F45" s="26"/>
      <c r="G45" s="26"/>
      <c r="H45" s="31"/>
      <c r="I45" s="32"/>
      <c r="J45" s="33"/>
      <c r="K45" s="32"/>
      <c r="L45" s="26" t="s">
        <v>208</v>
      </c>
      <c r="M45" s="34">
        <v>1</v>
      </c>
      <c r="N45" s="32"/>
      <c r="O45" s="26"/>
      <c r="P45" s="28"/>
      <c r="Q45" s="46">
        <v>2822400</v>
      </c>
      <c r="R45" s="39" t="s">
        <v>156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2822400</v>
      </c>
      <c r="X45" s="36">
        <f>IF(NOTA[[#This Row],[JUMLAH]]="","",NOTA[[#This Row],[JUMLAH]]*NOTA[[#This Row],[DISC 1]])</f>
        <v>479808.00000000006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479808.00000000006</v>
      </c>
      <c r="AA45" s="36">
        <f>IF(NOTA[[#This Row],[JUMLAH]]="","",NOTA[[#This Row],[JUMLAH]]-NOTA[[#This Row],[DISC]])</f>
        <v>2342592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45021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4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" s="38" t="str">
        <f>IF(NOTA[[#This Row],[CONCAT4]]="","",_xlfn.IFNA(MATCH(NOTA[[#This Row],[CONCAT4]],[2]!RAW[CONCAT_H],0),FALSE))</f>
        <v/>
      </c>
      <c r="AP45" s="174">
        <f>IF(NOTA[[#This Row],[CONCAT1]]="","",MATCH(NOTA[[#This Row],[CONCAT1]],[3]!db[NB NOTA_C],0)+1)</f>
        <v>247</v>
      </c>
    </row>
    <row r="46" spans="1:42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11</v>
      </c>
      <c r="E46" s="30"/>
      <c r="F46" s="32"/>
      <c r="G46" s="32"/>
      <c r="H46" s="55"/>
      <c r="I46" s="32"/>
      <c r="J46" s="33"/>
      <c r="K46" s="32"/>
      <c r="L46" s="26" t="s">
        <v>209</v>
      </c>
      <c r="M46" s="34">
        <v>1</v>
      </c>
      <c r="N46" s="32"/>
      <c r="O46" s="26"/>
      <c r="P46" s="28"/>
      <c r="Q46" s="46">
        <v>2419200</v>
      </c>
      <c r="R46" s="39" t="s">
        <v>156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2419200</v>
      </c>
      <c r="X46" s="36">
        <f>IF(NOTA[[#This Row],[JUMLAH]]="","",NOTA[[#This Row],[JUMLAH]]*NOTA[[#This Row],[DISC 1]])</f>
        <v>411264.00000000006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411264.00000000006</v>
      </c>
      <c r="AA46" s="36">
        <f>IF(NOTA[[#This Row],[JUMLAH]]="","",NOTA[[#This Row],[JUMLAH]]-NOTA[[#This Row],[DISC]])</f>
        <v>2007936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45021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4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38" t="str">
        <f>IF(NOTA[[#This Row],[CONCAT4]]="","",_xlfn.IFNA(MATCH(NOTA[[#This Row],[CONCAT4]],[2]!RAW[CONCAT_H],0),FALSE))</f>
        <v/>
      </c>
      <c r="AP46" s="174">
        <f>IF(NOTA[[#This Row],[CONCAT1]]="","",MATCH(NOTA[[#This Row],[CONCAT1]],[3]!db[NB NOTA_C],0)+1)</f>
        <v>248</v>
      </c>
    </row>
    <row r="47" spans="1:42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11</v>
      </c>
      <c r="E47" s="30"/>
      <c r="F47" s="32"/>
      <c r="G47" s="32"/>
      <c r="H47" s="55"/>
      <c r="I47" s="32"/>
      <c r="J47" s="33"/>
      <c r="K47" s="32"/>
      <c r="L47" s="26" t="s">
        <v>106</v>
      </c>
      <c r="M47" s="34">
        <v>4</v>
      </c>
      <c r="N47" s="32"/>
      <c r="O47" s="26"/>
      <c r="P47" s="28"/>
      <c r="Q47" s="46">
        <v>1375000</v>
      </c>
      <c r="R47" s="39" t="s">
        <v>225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5500000</v>
      </c>
      <c r="X47" s="36">
        <f>IF(NOTA[[#This Row],[JUMLAH]]="","",NOTA[[#This Row],[JUMLAH]]*NOTA[[#This Row],[DISC 1]])</f>
        <v>935000.00000000012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935000.00000000012</v>
      </c>
      <c r="AA47" s="36">
        <f>IF(NOTA[[#This Row],[JUMLAH]]="","",NOTA[[#This Row],[JUMLAH]]-NOTA[[#This Row],[DISC]])</f>
        <v>4565000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45021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4</v>
      </c>
      <c r="AK47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N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38" t="str">
        <f>IF(NOTA[[#This Row],[CONCAT4]]="","",_xlfn.IFNA(MATCH(NOTA[[#This Row],[CONCAT4]],[2]!RAW[CONCAT_H],0),FALSE))</f>
        <v/>
      </c>
      <c r="AP47" s="174">
        <f>IF(NOTA[[#This Row],[CONCAT1]]="","",MATCH(NOTA[[#This Row],[CONCAT1]],[3]!db[NB NOTA_C],0)+1)</f>
        <v>789</v>
      </c>
    </row>
    <row r="48" spans="1:42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11</v>
      </c>
      <c r="E48" s="30"/>
      <c r="F48" s="26"/>
      <c r="G48" s="26"/>
      <c r="H48" s="31"/>
      <c r="I48" s="32"/>
      <c r="J48" s="33"/>
      <c r="K48" s="32"/>
      <c r="L48" s="26" t="s">
        <v>210</v>
      </c>
      <c r="M48" s="34">
        <v>5</v>
      </c>
      <c r="N48" s="32"/>
      <c r="O48" s="26"/>
      <c r="P48" s="28"/>
      <c r="Q48" s="46">
        <v>2256000</v>
      </c>
      <c r="R48" s="39" t="s">
        <v>226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11280000</v>
      </c>
      <c r="X48" s="36">
        <f>IF(NOTA[[#This Row],[JUMLAH]]="","",NOTA[[#This Row],[JUMLAH]]*NOTA[[#This Row],[DISC 1]])</f>
        <v>1917600.0000000002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1917600.0000000002</v>
      </c>
      <c r="AA48" s="36">
        <f>IF(NOTA[[#This Row],[JUMLAH]]="","",NOTA[[#This Row],[JUMLAH]]-NOTA[[#This Row],[DISC]])</f>
        <v>9362400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45021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4</v>
      </c>
      <c r="AK48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N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38" t="str">
        <f>IF(NOTA[[#This Row],[CONCAT4]]="","",_xlfn.IFNA(MATCH(NOTA[[#This Row],[CONCAT4]],[2]!RAW[CONCAT_H],0),FALSE))</f>
        <v/>
      </c>
      <c r="AP48" s="174">
        <f>IF(NOTA[[#This Row],[CONCAT1]]="","",MATCH(NOTA[[#This Row],[CONCAT1]],[3]!db[NB NOTA_C],0)+1)</f>
        <v>660</v>
      </c>
    </row>
    <row r="49" spans="1:42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11</v>
      </c>
      <c r="E49" s="30"/>
      <c r="F49" s="32"/>
      <c r="G49" s="32"/>
      <c r="H49" s="55"/>
      <c r="I49" s="32"/>
      <c r="J49" s="33"/>
      <c r="K49" s="32"/>
      <c r="L49" s="26" t="s">
        <v>211</v>
      </c>
      <c r="M49" s="34">
        <v>2</v>
      </c>
      <c r="N49" s="32"/>
      <c r="O49" s="26"/>
      <c r="P49" s="28"/>
      <c r="Q49" s="46">
        <v>1995000</v>
      </c>
      <c r="R49" s="39" t="s">
        <v>158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3990000</v>
      </c>
      <c r="X49" s="36">
        <f>IF(NOTA[[#This Row],[JUMLAH]]="","",NOTA[[#This Row],[JUMLAH]]*NOTA[[#This Row],[DISC 1]])</f>
        <v>678300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678300</v>
      </c>
      <c r="AA49" s="36">
        <f>IF(NOTA[[#This Row],[JUMLAH]]="","",NOTA[[#This Row],[JUMLAH]]-NOTA[[#This Row],[DISC]])</f>
        <v>3311700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45021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4</v>
      </c>
      <c r="AK4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38" t="str">
        <f>IF(NOTA[[#This Row],[CONCAT4]]="","",_xlfn.IFNA(MATCH(NOTA[[#This Row],[CONCAT4]],[2]!RAW[CONCAT_H],0),FALSE))</f>
        <v/>
      </c>
      <c r="AP49" s="174">
        <f>IF(NOTA[[#This Row],[CONCAT1]]="","",MATCH(NOTA[[#This Row],[CONCAT1]],[3]!db[NB NOTA_C],0)+1)</f>
        <v>440</v>
      </c>
    </row>
    <row r="50" spans="1:42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Row],[ID_P]]="","",MATCH(NOTA[[#This Row],[ID_P]],[1]!B_MSK[N_ID],0))</f>
        <v/>
      </c>
      <c r="D50" s="29">
        <f ca="1">IF(NOTA[[#This Row],[NAMA BARANG]]="","",INDEX(NOTA[ID],MATCH(,INDIRECT(ADDRESS(ROW(NOTA[ID]),COLUMN(NOTA[ID]))&amp;":"&amp;ADDRESS(ROW(),COLUMN(NOTA[ID]))),-1)))</f>
        <v>11</v>
      </c>
      <c r="E50" s="30"/>
      <c r="F50" s="26"/>
      <c r="G50" s="26"/>
      <c r="H50" s="31"/>
      <c r="I50" s="32"/>
      <c r="J50" s="33"/>
      <c r="K50" s="32"/>
      <c r="L50" s="26" t="s">
        <v>212</v>
      </c>
      <c r="M50" s="34">
        <v>1</v>
      </c>
      <c r="N50" s="32"/>
      <c r="O50" s="26"/>
      <c r="P50" s="28"/>
      <c r="Q50" s="46">
        <v>2250000</v>
      </c>
      <c r="R50" s="39" t="s">
        <v>206</v>
      </c>
      <c r="S50" s="35">
        <v>0.17</v>
      </c>
      <c r="T50" s="35"/>
      <c r="U50" s="36"/>
      <c r="V50" s="37"/>
      <c r="W50" s="36">
        <f>IF(NOTA[[#This Row],[HARGA/ CTN]]="",NOTA[[#This Row],[JUMLAH_H]],NOTA[[#This Row],[HARGA/ CTN]]*IF(NOTA[[#This Row],[C]]="",0,NOTA[[#This Row],[C]]))</f>
        <v>2250000</v>
      </c>
      <c r="X50" s="36">
        <f>IF(NOTA[[#This Row],[JUMLAH]]="","",NOTA[[#This Row],[JUMLAH]]*NOTA[[#This Row],[DISC 1]])</f>
        <v>382500</v>
      </c>
      <c r="Y50" s="36">
        <f>IF(NOTA[[#This Row],[JUMLAH]]="","",(NOTA[[#This Row],[JUMLAH]]-NOTA[[#This Row],[DISC 1-]])*NOTA[[#This Row],[DISC 2]])</f>
        <v>0</v>
      </c>
      <c r="Z50" s="36">
        <f>IF(NOTA[[#This Row],[JUMLAH]]="","",NOTA[[#This Row],[DISC 1-]]+NOTA[[#This Row],[DISC 2-]])</f>
        <v>382500</v>
      </c>
      <c r="AA50" s="36">
        <f>IF(NOTA[[#This Row],[JUMLAH]]="","",NOTA[[#This Row],[JUMLAH]]-NOTA[[#This Row],[DISC]])</f>
        <v>1867500</v>
      </c>
      <c r="AB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5372408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26229992</v>
      </c>
      <c r="AD5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50" s="36" t="str">
        <f>IF(OR(NOTA[[#This Row],[QTY]]="",NOTA[[#This Row],[HARGA SATUAN]]="",),"",NOTA[[#This Row],[QTY]]*NOTA[[#This Row],[HARGA SATUAN]])</f>
        <v/>
      </c>
      <c r="AF50" s="33">
        <f ca="1">IF(NOTA[ID_H]="","",INDEX(NOTA[TANGGAL],MATCH(,INDIRECT(ADDRESS(ROW(NOTA[TANGGAL]),COLUMN(NOTA[TANGGAL]))&amp;":"&amp;ADDRESS(ROW(),COLUMN(NOTA[TANGGAL]))),-1)))</f>
        <v>45021</v>
      </c>
      <c r="AG50" s="28" t="str">
        <f ca="1">IF(NOTA[[#This Row],[NAMA BARANG]]="","",INDEX(NOTA[SUPPLIER],MATCH(,INDIRECT(ADDRESS(ROW(NOTA[ID]),COLUMN(NOTA[ID]))&amp;":"&amp;ADDRESS(ROW(),COLUMN(NOTA[ID]))),-1)))</f>
        <v>KENKO SINAR INDONESIA</v>
      </c>
      <c r="AH50" s="28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4</v>
      </c>
      <c r="AK50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" s="38" t="str">
        <f>IF(NOTA[[#This Row],[CONCAT4]]="","",_xlfn.IFNA(MATCH(NOTA[[#This Row],[CONCAT4]],[2]!RAW[CONCAT_H],0),FALSE))</f>
        <v/>
      </c>
      <c r="AP50" s="174">
        <f>IF(NOTA[[#This Row],[CONCAT1]]="","",MATCH(NOTA[[#This Row],[CONCAT1]],[3]!db[NB NOTA_C],0)+1)</f>
        <v>583</v>
      </c>
    </row>
    <row r="51" spans="1:42" ht="20.100000000000001" customHeight="1" x14ac:dyDescent="0.25">
      <c r="A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 t="str">
        <f ca="1">IF(NOTA[[#This Row],[NAMA BARANG]]="","",INDEX(NOTA[ID],MATCH(,INDIRECT(ADDRESS(ROW(NOTA[ID]),COLUMN(NOTA[ID]))&amp;":"&amp;ADDRESS(ROW(),COLUMN(NOTA[ID]))),-1)))</f>
        <v/>
      </c>
      <c r="E51" s="23"/>
      <c r="F51" s="26"/>
      <c r="G51" s="26"/>
      <c r="H51" s="31"/>
      <c r="I51" s="51"/>
      <c r="J51" s="51"/>
      <c r="K51" s="26"/>
      <c r="L51" s="26"/>
      <c r="M51" s="39"/>
      <c r="N51" s="26"/>
      <c r="O51" s="26"/>
      <c r="P51" s="49"/>
      <c r="Q51" s="52"/>
      <c r="R51" s="39"/>
      <c r="S51" s="35"/>
      <c r="T51" s="35"/>
      <c r="U51" s="54"/>
      <c r="V51" s="37"/>
      <c r="W51" s="54" t="str">
        <f>IF(NOTA[[#This Row],[HARGA/ CTN]]="",NOTA[[#This Row],[JUMLAH_H]],NOTA[[#This Row],[HARGA/ CTN]]*IF(NOTA[[#This Row],[C]]="",0,NOTA[[#This Row],[C]]))</f>
        <v/>
      </c>
      <c r="X51" s="54" t="str">
        <f>IF(NOTA[[#This Row],[JUMLAH]]="","",NOTA[[#This Row],[JUMLAH]]*NOTA[[#This Row],[DISC 1]])</f>
        <v/>
      </c>
      <c r="Y51" s="54" t="str">
        <f>IF(NOTA[[#This Row],[JUMLAH]]="","",(NOTA[[#This Row],[JUMLAH]]-NOTA[[#This Row],[DISC 1-]])*NOTA[[#This Row],[DISC 2]])</f>
        <v/>
      </c>
      <c r="Z51" s="54" t="str">
        <f>IF(NOTA[[#This Row],[JUMLAH]]="","",NOTA[[#This Row],[DISC 1-]]+NOTA[[#This Row],[DISC 2-]])</f>
        <v/>
      </c>
      <c r="AA51" s="54" t="str">
        <f>IF(NOTA[[#This Row],[JUMLAH]]="","",NOTA[[#This Row],[JUMLAH]]-NOTA[[#This Row],[DISC]])</f>
        <v/>
      </c>
      <c r="AB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" s="54" t="str">
        <f>IF(OR(NOTA[[#This Row],[QTY]]="",NOTA[[#This Row],[HARGA SATUAN]]="",),"",NOTA[[#This Row],[QTY]]*NOTA[[#This Row],[HARGA SATUAN]])</f>
        <v/>
      </c>
      <c r="AF51" s="51" t="str">
        <f ca="1">IF(NOTA[ID_H]="","",INDEX(NOTA[TANGGAL],MATCH(,INDIRECT(ADDRESS(ROW(NOTA[TANGGAL]),COLUMN(NOTA[TANGGAL]))&amp;":"&amp;ADDRESS(ROW(),COLUMN(NOTA[TANGGAL]))),-1)))</f>
        <v/>
      </c>
      <c r="AG51" s="65" t="str">
        <f ca="1">IF(NOTA[[#This Row],[NAMA BARANG]]="","",INDEX(NOTA[SUPPLIER],MATCH(,INDIRECT(ADDRESS(ROW(NOTA[ID]),COLUMN(NOTA[ID]))&amp;":"&amp;ADDRESS(ROW(),COLUMN(NOTA[ID]))),-1)))</f>
        <v/>
      </c>
      <c r="AH51" s="65" t="str">
        <f ca="1">IF(NOTA[[#This Row],[ID_H]]="","",IF(NOTA[[#This Row],[FAKTUR]]="",INDIRECT(ADDRESS(ROW()-1,COLUMN())),NOTA[[#This Row],[FAKTUR]]))</f>
        <v/>
      </c>
      <c r="AI51" s="38" t="str">
        <f ca="1">IF(NOTA[[#This Row],[ID]]="","",COUNTIF(NOTA[ID_H],NOTA[[#This Row],[ID_H]]))</f>
        <v/>
      </c>
      <c r="AJ51" s="38" t="str">
        <f ca="1">IF(NOTA[[#This Row],[TGL.NOTA]]="",IF(NOTA[[#This Row],[SUPPLIER_H]]="","",AJ50),MONTH(NOTA[[#This Row],[TGL.NOTA]]))</f>
        <v/>
      </c>
      <c r="AK51" s="38" t="str">
        <f>LOWER(SUBSTITUTE(SUBSTITUTE(SUBSTITUTE(SUBSTITUTE(SUBSTITUTE(SUBSTITUTE(SUBSTITUTE(SUBSTITUTE(SUBSTITUTE(NOTA[NAMA BARANG]," ",),".",""),"-",""),"(",""),")",""),",",""),"/",""),"""",""),"+",""))</f>
        <v/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38" t="str">
        <f>IF(NOTA[[#This Row],[CONCAT4]]="","",_xlfn.IFNA(MATCH(NOTA[[#This Row],[CONCAT4]],[2]!RAW[CONCAT_H],0),FALSE))</f>
        <v/>
      </c>
      <c r="AP51" s="174" t="str">
        <f>IF(NOTA[[#This Row],[CONCAT1]]="","",MATCH(NOTA[[#This Row],[CONCAT1]],[3]!db[NB NOTA_C],0)+1)</f>
        <v/>
      </c>
    </row>
    <row r="52" spans="1:42" ht="20.100000000000001" customHeight="1" x14ac:dyDescent="0.25">
      <c r="A52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5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KEN_0504_242-5</v>
      </c>
      <c r="C52" s="26" t="e">
        <f ca="1">IF(NOTA[[#This Row],[ID_P]]="","",MATCH(NOTA[[#This Row],[ID_P]],[1]!B_MSK[N_ID],0))</f>
        <v>#REF!</v>
      </c>
      <c r="D52" s="26">
        <f ca="1">IF(NOTA[[#This Row],[NAMA BARANG]]="","",INDEX(NOTA[ID],MATCH(,INDIRECT(ADDRESS(ROW(NOTA[ID]),COLUMN(NOTA[ID]))&amp;":"&amp;ADDRESS(ROW(),COLUMN(NOTA[ID]))),-1)))</f>
        <v>12</v>
      </c>
      <c r="E52" s="23"/>
      <c r="F52" s="26" t="s">
        <v>23</v>
      </c>
      <c r="G52" s="26" t="s">
        <v>24</v>
      </c>
      <c r="H52" s="31" t="s">
        <v>219</v>
      </c>
      <c r="I52" s="26" t="s">
        <v>224</v>
      </c>
      <c r="J52" s="51">
        <v>45019</v>
      </c>
      <c r="K52" s="26"/>
      <c r="L52" s="26" t="s">
        <v>214</v>
      </c>
      <c r="M52" s="39">
        <v>2</v>
      </c>
      <c r="N52" s="26"/>
      <c r="O52" s="26"/>
      <c r="P52" s="49"/>
      <c r="Q52" s="52">
        <v>1944000</v>
      </c>
      <c r="R52" s="39" t="s">
        <v>220</v>
      </c>
      <c r="S52" s="35">
        <v>0.17</v>
      </c>
      <c r="T52" s="35"/>
      <c r="U52" s="54"/>
      <c r="V52" s="37"/>
      <c r="W52" s="54">
        <f>IF(NOTA[[#This Row],[HARGA/ CTN]]="",NOTA[[#This Row],[JUMLAH_H]],NOTA[[#This Row],[HARGA/ CTN]]*IF(NOTA[[#This Row],[C]]="",0,NOTA[[#This Row],[C]]))</f>
        <v>3888000</v>
      </c>
      <c r="X52" s="54">
        <f>IF(NOTA[[#This Row],[JUMLAH]]="","",NOTA[[#This Row],[JUMLAH]]*NOTA[[#This Row],[DISC 1]])</f>
        <v>660960</v>
      </c>
      <c r="Y52" s="54">
        <f>IF(NOTA[[#This Row],[JUMLAH]]="","",(NOTA[[#This Row],[JUMLAH]]-NOTA[[#This Row],[DISC 1-]])*NOTA[[#This Row],[DISC 2]])</f>
        <v>0</v>
      </c>
      <c r="Z52" s="54">
        <f>IF(NOTA[[#This Row],[JUMLAH]]="","",NOTA[[#This Row],[DISC 1-]]+NOTA[[#This Row],[DISC 2-]])</f>
        <v>660960</v>
      </c>
      <c r="AA52" s="54">
        <f>IF(NOTA[[#This Row],[JUMLAH]]="","",NOTA[[#This Row],[JUMLAH]]-NOTA[[#This Row],[DISC]])</f>
        <v>3227040</v>
      </c>
      <c r="AB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52" s="54" t="str">
        <f>IF(OR(NOTA[[#This Row],[QTY]]="",NOTA[[#This Row],[HARGA SATUAN]]="",),"",NOTA[[#This Row],[QTY]]*NOTA[[#This Row],[HARGA SATUAN]])</f>
        <v/>
      </c>
      <c r="AF52" s="51">
        <f ca="1">IF(NOTA[ID_H]="","",INDEX(NOTA[TANGGAL],MATCH(,INDIRECT(ADDRESS(ROW(NOTA[TANGGAL]),COLUMN(NOTA[TANGGAL]))&amp;":"&amp;ADDRESS(ROW(),COLUMN(NOTA[TANGGAL]))),-1)))</f>
        <v>45021</v>
      </c>
      <c r="AG52" s="65" t="str">
        <f ca="1">IF(NOTA[[#This Row],[NAMA BARANG]]="","",INDEX(NOTA[SUPPLIER],MATCH(,INDIRECT(ADDRESS(ROW(NOTA[ID]),COLUMN(NOTA[ID]))&amp;":"&amp;ADDRESS(ROW(),COLUMN(NOTA[ID]))),-1)))</f>
        <v>KENKO SINAR INDONESIA</v>
      </c>
      <c r="AH52" s="65" t="str">
        <f ca="1">IF(NOTA[[#This Row],[ID_H]]="","",IF(NOTA[[#This Row],[FAKTUR]]="",INDIRECT(ADDRESS(ROW()-1,COLUMN())),NOTA[[#This Row],[FAKTUR]]))</f>
        <v>ARTO MORO</v>
      </c>
      <c r="AI52" s="38">
        <f ca="1">IF(NOTA[[#This Row],[ID]]="","",COUNTIF(NOTA[ID_H],NOTA[[#This Row],[ID_H]]))</f>
        <v>5</v>
      </c>
      <c r="AJ52" s="38">
        <f>IF(NOTA[[#This Row],[TGL.NOTA]]="",IF(NOTA[[#This Row],[SUPPLIER_H]]="","",AJ51),MONTH(NOTA[[#This Row],[TGL.NOTA]]))</f>
        <v>4</v>
      </c>
      <c r="AK52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5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MORO23040242SA 4092145019titi18coloroilpasteltip18s</v>
      </c>
      <c r="AO52" s="38" t="e">
        <f>IF(NOTA[[#This Row],[CONCAT4]]="","",_xlfn.IFNA(MATCH(NOTA[[#This Row],[CONCAT4]],[2]!RAW[CONCAT_H],0),FALSE))</f>
        <v>#REF!</v>
      </c>
      <c r="AP52" s="174">
        <f>IF(NOTA[[#This Row],[CONCAT1]]="","",MATCH(NOTA[[#This Row],[CONCAT1]],[3]!db[NB NOTA_C],0)+1)</f>
        <v>283</v>
      </c>
    </row>
    <row r="53" spans="1:42" ht="20.100000000000001" customHeight="1" x14ac:dyDescent="0.25">
      <c r="A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6" t="str">
        <f>IF(NOTA[[#This Row],[ID_P]]="","",MATCH(NOTA[[#This Row],[ID_P]],[1]!B_MSK[N_ID],0))</f>
        <v/>
      </c>
      <c r="D53" s="26">
        <f ca="1">IF(NOTA[[#This Row],[NAMA BARANG]]="","",INDEX(NOTA[ID],MATCH(,INDIRECT(ADDRESS(ROW(NOTA[ID]),COLUMN(NOTA[ID]))&amp;":"&amp;ADDRESS(ROW(),COLUMN(NOTA[ID]))),-1)))</f>
        <v>12</v>
      </c>
      <c r="E53" s="23"/>
      <c r="F53" s="26"/>
      <c r="G53" s="26"/>
      <c r="H53" s="31"/>
      <c r="I53" s="26"/>
      <c r="J53" s="51"/>
      <c r="K53" s="26"/>
      <c r="L53" s="26" t="s">
        <v>215</v>
      </c>
      <c r="M53" s="39">
        <v>2</v>
      </c>
      <c r="N53" s="26"/>
      <c r="O53" s="26"/>
      <c r="P53" s="49"/>
      <c r="Q53" s="52">
        <v>1632000</v>
      </c>
      <c r="R53" s="39" t="s">
        <v>221</v>
      </c>
      <c r="S53" s="53">
        <v>0.17</v>
      </c>
      <c r="T53" s="53"/>
      <c r="U53" s="54"/>
      <c r="V53" s="37"/>
      <c r="W53" s="54">
        <f>IF(NOTA[[#This Row],[HARGA/ CTN]]="",NOTA[[#This Row],[JUMLAH_H]],NOTA[[#This Row],[HARGA/ CTN]]*IF(NOTA[[#This Row],[C]]="",0,NOTA[[#This Row],[C]]))</f>
        <v>3264000</v>
      </c>
      <c r="X53" s="54">
        <f>IF(NOTA[[#This Row],[JUMLAH]]="","",NOTA[[#This Row],[JUMLAH]]*NOTA[[#This Row],[DISC 1]])</f>
        <v>554880</v>
      </c>
      <c r="Y53" s="54">
        <f>IF(NOTA[[#This Row],[JUMLAH]]="","",(NOTA[[#This Row],[JUMLAH]]-NOTA[[#This Row],[DISC 1-]])*NOTA[[#This Row],[DISC 2]])</f>
        <v>0</v>
      </c>
      <c r="Z53" s="54">
        <f>IF(NOTA[[#This Row],[JUMLAH]]="","",NOTA[[#This Row],[DISC 1-]]+NOTA[[#This Row],[DISC 2-]])</f>
        <v>554880</v>
      </c>
      <c r="AA53" s="54">
        <f>IF(NOTA[[#This Row],[JUMLAH]]="","",NOTA[[#This Row],[JUMLAH]]-NOTA[[#This Row],[DISC]])</f>
        <v>2709120</v>
      </c>
      <c r="AB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53" s="54" t="str">
        <f>IF(OR(NOTA[[#This Row],[QTY]]="",NOTA[[#This Row],[HARGA SATUAN]]="",),"",NOTA[[#This Row],[QTY]]*NOTA[[#This Row],[HARGA SATUAN]])</f>
        <v/>
      </c>
      <c r="AF53" s="51">
        <f ca="1">IF(NOTA[ID_H]="","",INDEX(NOTA[TANGGAL],MATCH(,INDIRECT(ADDRESS(ROW(NOTA[TANGGAL]),COLUMN(NOTA[TANGGAL]))&amp;":"&amp;ADDRESS(ROW(),COLUMN(NOTA[TANGGAL]))),-1)))</f>
        <v>45021</v>
      </c>
      <c r="AG53" s="65" t="str">
        <f ca="1">IF(NOTA[[#This Row],[NAMA BARANG]]="","",INDEX(NOTA[SUPPLIER],MATCH(,INDIRECT(ADDRESS(ROW(NOTA[ID]),COLUMN(NOTA[ID]))&amp;":"&amp;ADDRESS(ROW(),COLUMN(NOTA[ID]))),-1)))</f>
        <v>KENKO SINAR INDONESIA</v>
      </c>
      <c r="AH53" s="65" t="str">
        <f ca="1">IF(NOTA[[#This Row],[ID_H]]="","",IF(NOTA[[#This Row],[FAKTUR]]="",INDIRECT(ADDRESS(ROW()-1,COLUMN())),NOTA[[#This Row],[FAKTUR]]))</f>
        <v>ARTO MORO</v>
      </c>
      <c r="AI53" s="38" t="str">
        <f ca="1">IF(NOTA[[#This Row],[ID]]="","",COUNTIF(NOTA[ID_H],NOTA[[#This Row],[ID_H]]))</f>
        <v/>
      </c>
      <c r="AJ53" s="38">
        <f ca="1">IF(NOTA[[#This Row],[TGL.NOTA]]="",IF(NOTA[[#This Row],[SUPPLIER_H]]="","",AJ52),MONTH(NOTA[[#This Row],[TGL.NOTA]]))</f>
        <v>4</v>
      </c>
      <c r="AK53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38" t="str">
        <f>IF(NOTA[[#This Row],[CONCAT4]]="","",_xlfn.IFNA(MATCH(NOTA[[#This Row],[CONCAT4]],[2]!RAW[CONCAT_H],0),FALSE))</f>
        <v/>
      </c>
      <c r="AP53" s="174">
        <f>IF(NOTA[[#This Row],[CONCAT1]]="","",MATCH(NOTA[[#This Row],[CONCAT1]],[3]!db[NB NOTA_C],0)+1)</f>
        <v>284</v>
      </c>
    </row>
    <row r="54" spans="1:42" ht="20.100000000000001" customHeight="1" x14ac:dyDescent="0.25">
      <c r="A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6" t="str">
        <f>IF(NOTA[[#This Row],[ID_P]]="","",MATCH(NOTA[[#This Row],[ID_P]],[1]!B_MSK[N_ID],0))</f>
        <v/>
      </c>
      <c r="D54" s="26">
        <f ca="1">IF(NOTA[[#This Row],[NAMA BARANG]]="","",INDEX(NOTA[ID],MATCH(,INDIRECT(ADDRESS(ROW(NOTA[ID]),COLUMN(NOTA[ID]))&amp;":"&amp;ADDRESS(ROW(),COLUMN(NOTA[ID]))),-1)))</f>
        <v>12</v>
      </c>
      <c r="E54" s="23"/>
      <c r="F54" s="26"/>
      <c r="G54" s="26"/>
      <c r="H54" s="31"/>
      <c r="I54" s="26"/>
      <c r="J54" s="51"/>
      <c r="K54" s="26"/>
      <c r="L54" s="26" t="s">
        <v>216</v>
      </c>
      <c r="M54" s="39">
        <v>1</v>
      </c>
      <c r="N54" s="26"/>
      <c r="O54" s="26"/>
      <c r="P54" s="49"/>
      <c r="Q54" s="52">
        <v>1710000</v>
      </c>
      <c r="R54" s="39" t="s">
        <v>223</v>
      </c>
      <c r="S54" s="53">
        <v>0.17</v>
      </c>
      <c r="T54" s="53"/>
      <c r="U54" s="54"/>
      <c r="V54" s="37"/>
      <c r="W54" s="54">
        <f>IF(NOTA[[#This Row],[HARGA/ CTN]]="",NOTA[[#This Row],[JUMLAH_H]],NOTA[[#This Row],[HARGA/ CTN]]*IF(NOTA[[#This Row],[C]]="",0,NOTA[[#This Row],[C]]))</f>
        <v>1710000</v>
      </c>
      <c r="X54" s="54">
        <f>IF(NOTA[[#This Row],[JUMLAH]]="","",NOTA[[#This Row],[JUMLAH]]*NOTA[[#This Row],[DISC 1]])</f>
        <v>290700</v>
      </c>
      <c r="Y54" s="54">
        <f>IF(NOTA[[#This Row],[JUMLAH]]="","",(NOTA[[#This Row],[JUMLAH]]-NOTA[[#This Row],[DISC 1-]])*NOTA[[#This Row],[DISC 2]])</f>
        <v>0</v>
      </c>
      <c r="Z54" s="54">
        <f>IF(NOTA[[#This Row],[JUMLAH]]="","",NOTA[[#This Row],[DISC 1-]]+NOTA[[#This Row],[DISC 2-]])</f>
        <v>290700</v>
      </c>
      <c r="AA54" s="54">
        <f>IF(NOTA[[#This Row],[JUMLAH]]="","",NOTA[[#This Row],[JUMLAH]]-NOTA[[#This Row],[DISC]])</f>
        <v>1419300</v>
      </c>
      <c r="AB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54" s="54" t="str">
        <f>IF(OR(NOTA[[#This Row],[QTY]]="",NOTA[[#This Row],[HARGA SATUAN]]="",),"",NOTA[[#This Row],[QTY]]*NOTA[[#This Row],[HARGA SATUAN]])</f>
        <v/>
      </c>
      <c r="AF54" s="51">
        <f ca="1">IF(NOTA[ID_H]="","",INDEX(NOTA[TANGGAL],MATCH(,INDIRECT(ADDRESS(ROW(NOTA[TANGGAL]),COLUMN(NOTA[TANGGAL]))&amp;":"&amp;ADDRESS(ROW(),COLUMN(NOTA[TANGGAL]))),-1)))</f>
        <v>45021</v>
      </c>
      <c r="AG54" s="65" t="str">
        <f ca="1">IF(NOTA[[#This Row],[NAMA BARANG]]="","",INDEX(NOTA[SUPPLIER],MATCH(,INDIRECT(ADDRESS(ROW(NOTA[ID]),COLUMN(NOTA[ID]))&amp;":"&amp;ADDRESS(ROW(),COLUMN(NOTA[ID]))),-1)))</f>
        <v>KENKO SINAR INDONESIA</v>
      </c>
      <c r="AH54" s="65" t="str">
        <f ca="1">IF(NOTA[[#This Row],[ID_H]]="","",IF(NOTA[[#This Row],[FAKTUR]]="",INDIRECT(ADDRESS(ROW()-1,COLUMN())),NOTA[[#This Row],[FAKTUR]]))</f>
        <v>ARTO MORO</v>
      </c>
      <c r="AI54" s="38" t="str">
        <f ca="1">IF(NOTA[[#This Row],[ID]]="","",COUNTIF(NOTA[ID_H],NOTA[[#This Row],[ID_H]]))</f>
        <v/>
      </c>
      <c r="AJ54" s="38">
        <f ca="1">IF(NOTA[[#This Row],[TGL.NOTA]]="",IF(NOTA[[#This Row],[SUPPLIER_H]]="","",AJ53),MONTH(NOTA[[#This Row],[TGL.NOTA]]))</f>
        <v>4</v>
      </c>
      <c r="AK5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38" t="str">
        <f>IF(NOTA[[#This Row],[CONCAT4]]="","",_xlfn.IFNA(MATCH(NOTA[[#This Row],[CONCAT4]],[2]!RAW[CONCAT_H],0),FALSE))</f>
        <v/>
      </c>
      <c r="AP54" s="174">
        <f>IF(NOTA[[#This Row],[CONCAT1]]="","",MATCH(NOTA[[#This Row],[CONCAT1]],[3]!db[NB NOTA_C],0)+1)</f>
        <v>285</v>
      </c>
    </row>
    <row r="55" spans="1:42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30"/>
      <c r="F55" s="26"/>
      <c r="G55" s="26"/>
      <c r="H55" s="31"/>
      <c r="I55" s="32"/>
      <c r="J55" s="33"/>
      <c r="K55" s="32"/>
      <c r="L55" s="26" t="s">
        <v>217</v>
      </c>
      <c r="M55" s="34">
        <v>1</v>
      </c>
      <c r="N55" s="26"/>
      <c r="O55" s="26"/>
      <c r="P55" s="28"/>
      <c r="Q55" s="46">
        <v>1656000</v>
      </c>
      <c r="R55" s="39" t="s">
        <v>222</v>
      </c>
      <c r="S55" s="35">
        <v>0.17</v>
      </c>
      <c r="T55" s="35"/>
      <c r="U55" s="36"/>
      <c r="V55" s="37"/>
      <c r="W55" s="36">
        <f>IF(NOTA[[#This Row],[HARGA/ CTN]]="",NOTA[[#This Row],[JUMLAH_H]],NOTA[[#This Row],[HARGA/ CTN]]*IF(NOTA[[#This Row],[C]]="",0,NOTA[[#This Row],[C]]))</f>
        <v>1656000</v>
      </c>
      <c r="X55" s="36">
        <f>IF(NOTA[[#This Row],[JUMLAH]]="","",NOTA[[#This Row],[JUMLAH]]*NOTA[[#This Row],[DISC 1]])</f>
        <v>281520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281520</v>
      </c>
      <c r="AA55" s="36">
        <f>IF(NOTA[[#This Row],[JUMLAH]]="","",NOTA[[#This Row],[JUMLAH]]-NOTA[[#This Row],[DISC]])</f>
        <v>1374480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5" s="36" t="str">
        <f>IF(OR(NOTA[[#This Row],[QTY]]="",NOTA[[#This Row],[HARGA SATUAN]]="",),"",NOTA[[#This Row],[QTY]]*NOTA[[#This Row],[HARGA SATUAN]])</f>
        <v/>
      </c>
      <c r="AF55" s="33">
        <f ca="1">IF(NOTA[ID_H]="","",INDEX(NOTA[TANGGAL],MATCH(,INDIRECT(ADDRESS(ROW(NOTA[TANGGAL]),COLUMN(NOTA[TANGGAL]))&amp;":"&amp;ADDRESS(ROW(),COLUMN(NOTA[TANGGAL]))),-1)))</f>
        <v>45021</v>
      </c>
      <c r="AG55" s="28" t="str">
        <f ca="1">IF(NOTA[[#This Row],[NAMA BARANG]]="","",INDEX(NOTA[SUPPLIER],MATCH(,INDIRECT(ADDRESS(ROW(NOTA[ID]),COLUMN(NOTA[ID]))&amp;":"&amp;ADDRESS(ROW(),COLUMN(NOTA[ID]))),-1)))</f>
        <v>KENKO SINAR INDONESIA</v>
      </c>
      <c r="AH55" s="28" t="str">
        <f ca="1">IF(NOTA[[#This Row],[ID_H]]="","",IF(NOTA[[#This Row],[FAKTUR]]="",INDIRECT(ADDRESS(ROW()-1,COLUMN())),NOTA[[#This Row],[FAKTUR]]))</f>
        <v>ARTO MORO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4</v>
      </c>
      <c r="AK55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" s="38" t="str">
        <f>IF(NOTA[[#This Row],[CONCAT4]]="","",_xlfn.IFNA(MATCH(NOTA[[#This Row],[CONCAT4]],[2]!RAW[CONCAT_H],0),FALSE))</f>
        <v/>
      </c>
      <c r="AP55" s="174">
        <f>IF(NOTA[[#This Row],[CONCAT1]]="","",MATCH(NOTA[[#This Row],[CONCAT1]],[3]!db[NB NOTA_C],0)+1)</f>
        <v>286</v>
      </c>
    </row>
    <row r="56" spans="1:42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30"/>
      <c r="F56" s="26"/>
      <c r="G56" s="26"/>
      <c r="H56" s="31"/>
      <c r="I56" s="32"/>
      <c r="J56" s="33"/>
      <c r="K56" s="32"/>
      <c r="L56" s="26" t="s">
        <v>218</v>
      </c>
      <c r="M56" s="34">
        <v>2</v>
      </c>
      <c r="N56" s="32"/>
      <c r="O56" s="26"/>
      <c r="P56" s="28"/>
      <c r="Q56" s="46">
        <v>1824000</v>
      </c>
      <c r="R56" s="39" t="s">
        <v>222</v>
      </c>
      <c r="S56" s="35">
        <v>0.17</v>
      </c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3648000</v>
      </c>
      <c r="X56" s="36">
        <f>IF(NOTA[[#This Row],[JUMLAH]]="","",NOTA[[#This Row],[JUMLAH]]*NOTA[[#This Row],[DISC 1]])</f>
        <v>620160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620160</v>
      </c>
      <c r="AA56" s="36">
        <f>IF(NOTA[[#This Row],[JUMLAH]]="","",NOTA[[#This Row],[JUMLAH]]-NOTA[[#This Row],[DISC]])</f>
        <v>3027840</v>
      </c>
      <c r="AB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2408220</v>
      </c>
      <c r="AC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11757780</v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56" s="36" t="str">
        <f>IF(OR(NOTA[[#This Row],[QTY]]="",NOTA[[#This Row],[HARGA SATUAN]]="",),"",NOTA[[#This Row],[QTY]]*NOTA[[#This Row],[HARGA SATUAN]])</f>
        <v/>
      </c>
      <c r="AF56" s="33">
        <f ca="1">IF(NOTA[ID_H]="","",INDEX(NOTA[TANGGAL],MATCH(,INDIRECT(ADDRESS(ROW(NOTA[TANGGAL]),COLUMN(NOTA[TANGGAL]))&amp;":"&amp;ADDRESS(ROW(),COLUMN(NOTA[TANGGAL]))),-1)))</f>
        <v>45021</v>
      </c>
      <c r="AG56" s="28" t="str">
        <f ca="1">IF(NOTA[[#This Row],[NAMA BARANG]]="","",INDEX(NOTA[SUPPLIER],MATCH(,INDIRECT(ADDRESS(ROW(NOTA[ID]),COLUMN(NOTA[ID]))&amp;":"&amp;ADDRESS(ROW(),COLUMN(NOTA[ID]))),-1)))</f>
        <v>KENKO SINAR INDONESIA</v>
      </c>
      <c r="AH56" s="28" t="str">
        <f ca="1">IF(NOTA[[#This Row],[ID_H]]="","",IF(NOTA[[#This Row],[FAKTUR]]="",INDIRECT(ADDRESS(ROW()-1,COLUMN())),NOTA[[#This Row],[FAKTUR]]))</f>
        <v>ARTO MORO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4</v>
      </c>
      <c r="AK56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38" t="str">
        <f>IF(NOTA[[#This Row],[CONCAT4]]="","",_xlfn.IFNA(MATCH(NOTA[[#This Row],[CONCAT4]],[2]!RAW[CONCAT_H],0),FALSE))</f>
        <v/>
      </c>
      <c r="AP56" s="174">
        <f>IF(NOTA[[#This Row],[CONCAT1]]="","",MATCH(NOTA[[#This Row],[CONCAT1]],[3]!db[NB NOTA_C],0)+1)</f>
        <v>287</v>
      </c>
    </row>
    <row r="57" spans="1:42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 t="str">
        <f ca="1">IF(NOTA[[#This Row],[NAMA BARANG]]="","",INDEX(NOTA[ID],MATCH(,INDIRECT(ADDRESS(ROW(NOTA[ID]),COLUMN(NOTA[ID]))&amp;":"&amp;ADDRESS(ROW(),COLUMN(NOTA[ID]))),-1)))</f>
        <v/>
      </c>
      <c r="E57" s="30"/>
      <c r="F57" s="26"/>
      <c r="G57" s="26"/>
      <c r="H57" s="31"/>
      <c r="I57" s="32"/>
      <c r="J57" s="33"/>
      <c r="K57" s="32"/>
      <c r="L57" s="26"/>
      <c r="M57" s="34"/>
      <c r="N57" s="32"/>
      <c r="O57" s="26"/>
      <c r="P57" s="28"/>
      <c r="Q57" s="46"/>
      <c r="R57" s="39"/>
      <c r="S57" s="35"/>
      <c r="T57" s="35"/>
      <c r="U57" s="36"/>
      <c r="V57" s="37"/>
      <c r="W57" s="36" t="str">
        <f>IF(NOTA[[#This Row],[HARGA/ CTN]]="",NOTA[[#This Row],[JUMLAH_H]],NOTA[[#This Row],[HARGA/ CTN]]*IF(NOTA[[#This Row],[C]]="",0,NOTA[[#This Row],[C]]))</f>
        <v/>
      </c>
      <c r="X57" s="36" t="str">
        <f>IF(NOTA[[#This Row],[JUMLAH]]="","",NOTA[[#This Row],[JUMLAH]]*NOTA[[#This Row],[DISC 1]])</f>
        <v/>
      </c>
      <c r="Y57" s="36" t="str">
        <f>IF(NOTA[[#This Row],[JUMLAH]]="","",(NOTA[[#This Row],[JUMLAH]]-NOTA[[#This Row],[DISC 1-]])*NOTA[[#This Row],[DISC 2]])</f>
        <v/>
      </c>
      <c r="Z57" s="36" t="str">
        <f>IF(NOTA[[#This Row],[JUMLAH]]="","",NOTA[[#This Row],[DISC 1-]]+NOTA[[#This Row],[DISC 2-]])</f>
        <v/>
      </c>
      <c r="AA57" s="36" t="str">
        <f>IF(NOTA[[#This Row],[JUMLAH]]="","",NOTA[[#This Row],[JUMLAH]]-NOTA[[#This Row],[DISC]])</f>
        <v/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" s="36" t="str">
        <f>IF(OR(NOTA[[#This Row],[QTY]]="",NOTA[[#This Row],[HARGA SATUAN]]="",),"",NOTA[[#This Row],[QTY]]*NOTA[[#This Row],[HARGA SATUAN]])</f>
        <v/>
      </c>
      <c r="AF57" s="33" t="str">
        <f ca="1">IF(NOTA[ID_H]="","",INDEX(NOTA[TANGGAL],MATCH(,INDIRECT(ADDRESS(ROW(NOTA[TANGGAL]),COLUMN(NOTA[TANGGAL]))&amp;":"&amp;ADDRESS(ROW(),COLUMN(NOTA[TANGGAL]))),-1)))</f>
        <v/>
      </c>
      <c r="AG57" s="28" t="str">
        <f ca="1">IF(NOTA[[#This Row],[NAMA BARANG]]="","",INDEX(NOTA[SUPPLIER],MATCH(,INDIRECT(ADDRESS(ROW(NOTA[ID]),COLUMN(NOTA[ID]))&amp;":"&amp;ADDRESS(ROW(),COLUMN(NOTA[ID]))),-1)))</f>
        <v/>
      </c>
      <c r="AH57" s="28" t="str">
        <f ca="1">IF(NOTA[[#This Row],[ID_H]]="","",IF(NOTA[[#This Row],[FAKTUR]]="",INDIRECT(ADDRESS(ROW()-1,COLUMN())),NOTA[[#This Row],[FAKTUR]]))</f>
        <v/>
      </c>
      <c r="AI57" s="38" t="str">
        <f ca="1">IF(NOTA[[#This Row],[ID]]="","",COUNTIF(NOTA[ID_H],NOTA[[#This Row],[ID_H]]))</f>
        <v/>
      </c>
      <c r="AJ57" s="38" t="str">
        <f ca="1">IF(NOTA[[#This Row],[TGL.NOTA]]="",IF(NOTA[[#This Row],[SUPPLIER_H]]="","",AJ56),MONTH(NOTA[[#This Row],[TGL.NOTA]]))</f>
        <v/>
      </c>
      <c r="AK57" s="38" t="str">
        <f>LOWER(SUBSTITUTE(SUBSTITUTE(SUBSTITUTE(SUBSTITUTE(SUBSTITUTE(SUBSTITUTE(SUBSTITUTE(SUBSTITUTE(SUBSTITUTE(NOTA[NAMA BARANG]," ",),".",""),"-",""),"(",""),")",""),",",""),"/",""),"""",""),"+",""))</f>
        <v/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38" t="str">
        <f>IF(NOTA[[#This Row],[CONCAT4]]="","",_xlfn.IFNA(MATCH(NOTA[[#This Row],[CONCAT4]],[2]!RAW[CONCAT_H],0),FALSE))</f>
        <v/>
      </c>
      <c r="AP57" s="174" t="str">
        <f>IF(NOTA[[#This Row],[CONCAT1]]="","",MATCH(NOTA[[#This Row],[CONCAT1]],[3]!db[NB NOTA_C],0)+1)</f>
        <v/>
      </c>
    </row>
    <row r="58" spans="1:42" ht="20.100000000000001" customHeight="1" x14ac:dyDescent="0.25">
      <c r="A58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5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KEN_0604_306-10</v>
      </c>
      <c r="C58" s="29" t="e">
        <f ca="1">IF(NOTA[[#This Row],[ID_P]]="","",MATCH(NOTA[[#This Row],[ID_P]],[1]!B_MSK[N_ID],0))</f>
        <v>#REF!</v>
      </c>
      <c r="D58" s="29">
        <f ca="1">IF(NOTA[[#This Row],[NAMA BARANG]]="","",INDEX(NOTA[ID],MATCH(,INDIRECT(ADDRESS(ROW(NOTA[ID]),COLUMN(NOTA[ID]))&amp;":"&amp;ADDRESS(ROW(),COLUMN(NOTA[ID]))),-1)))</f>
        <v>13</v>
      </c>
      <c r="E58" s="30">
        <v>45022</v>
      </c>
      <c r="F58" s="26" t="s">
        <v>23</v>
      </c>
      <c r="G58" s="26" t="s">
        <v>24</v>
      </c>
      <c r="H58" s="31" t="s">
        <v>228</v>
      </c>
      <c r="I58" s="26" t="s">
        <v>250</v>
      </c>
      <c r="J58" s="33">
        <v>45020</v>
      </c>
      <c r="K58" s="32"/>
      <c r="L58" s="26" t="s">
        <v>229</v>
      </c>
      <c r="M58" s="34">
        <v>1</v>
      </c>
      <c r="N58" s="32"/>
      <c r="O58" s="26"/>
      <c r="P58" s="28"/>
      <c r="Q58" s="46">
        <v>2707200</v>
      </c>
      <c r="R58" s="39" t="s">
        <v>156</v>
      </c>
      <c r="S58" s="35">
        <v>0.17</v>
      </c>
      <c r="T58" s="35"/>
      <c r="U58" s="36"/>
      <c r="V58" s="37"/>
      <c r="W58" s="36">
        <f>IF(NOTA[[#This Row],[HARGA/ CTN]]="",NOTA[[#This Row],[JUMLAH_H]],NOTA[[#This Row],[HARGA/ CTN]]*IF(NOTA[[#This Row],[C]]="",0,NOTA[[#This Row],[C]]))</f>
        <v>2707200</v>
      </c>
      <c r="X58" s="36">
        <f>IF(NOTA[[#This Row],[JUMLAH]]="","",NOTA[[#This Row],[JUMLAH]]*NOTA[[#This Row],[DISC 1]])</f>
        <v>460224.00000000006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460224.00000000006</v>
      </c>
      <c r="AA58" s="36">
        <f>IF(NOTA[[#This Row],[JUMLAH]]="","",NOTA[[#This Row],[JUMLAH]]-NOTA[[#This Row],[DISC]])</f>
        <v>2246976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58" s="36" t="str">
        <f>IF(OR(NOTA[[#This Row],[QTY]]="",NOTA[[#This Row],[HARGA SATUAN]]="",),"",NOTA[[#This Row],[QTY]]*NOTA[[#This Row],[HARGA SATUAN]])</f>
        <v/>
      </c>
      <c r="AF58" s="33">
        <f ca="1">IF(NOTA[ID_H]="","",INDEX(NOTA[TANGGAL],MATCH(,INDIRECT(ADDRESS(ROW(NOTA[TANGGAL]),COLUMN(NOTA[TANGGAL]))&amp;":"&amp;ADDRESS(ROW(),COLUMN(NOTA[TANGGAL]))),-1)))</f>
        <v>45022</v>
      </c>
      <c r="AG58" s="28" t="str">
        <f ca="1">IF(NOTA[[#This Row],[NAMA BARANG]]="","",INDEX(NOTA[SUPPLIER],MATCH(,INDIRECT(ADDRESS(ROW(NOTA[ID]),COLUMN(NOTA[ID]))&amp;":"&amp;ADDRESS(ROW(),COLUMN(NOTA[ID]))),-1)))</f>
        <v>KENKO SINAR INDONESIA</v>
      </c>
      <c r="AH58" s="28" t="str">
        <f ca="1">IF(NOTA[[#This Row],[ID_H]]="","",IF(NOTA[[#This Row],[FAKTUR]]="",INDIRECT(ADDRESS(ROW()-1,COLUMN())),NOTA[[#This Row],[FAKTUR]]))</f>
        <v>ARTO MORO</v>
      </c>
      <c r="AI58" s="38">
        <f ca="1">IF(NOTA[[#This Row],[ID]]="","",COUNTIF(NOTA[ID_H],NOTA[[#This Row],[ID_H]]))</f>
        <v>10</v>
      </c>
      <c r="AJ58" s="38">
        <f>IF(NOTA[[#This Row],[TGL.NOTA]]="",IF(NOTA[[#This Row],[SUPPLIER_H]]="","",AJ57),MONTH(NOTA[[#This Row],[TGL.NOTA]]))</f>
        <v>4</v>
      </c>
      <c r="AK58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5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MORO23040306SA 4093845020kenkocorrectiontapect8188mx5mm</v>
      </c>
      <c r="AO58" s="38" t="e">
        <f>IF(NOTA[[#This Row],[CONCAT4]]="","",_xlfn.IFNA(MATCH(NOTA[[#This Row],[CONCAT4]],[2]!RAW[CONCAT_H],0),FALSE))</f>
        <v>#REF!</v>
      </c>
      <c r="AP58" s="174">
        <f>IF(NOTA[[#This Row],[CONCAT1]]="","",MATCH(NOTA[[#This Row],[CONCAT1]],[3]!db[NB NOTA_C],0)+1)</f>
        <v>253</v>
      </c>
    </row>
    <row r="59" spans="1:42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13</v>
      </c>
      <c r="E59" s="30"/>
      <c r="F59" s="26"/>
      <c r="G59" s="26"/>
      <c r="H59" s="31"/>
      <c r="I59" s="32"/>
      <c r="J59" s="33"/>
      <c r="K59" s="32"/>
      <c r="L59" s="26" t="s">
        <v>230</v>
      </c>
      <c r="M59" s="34">
        <v>1</v>
      </c>
      <c r="N59" s="32"/>
      <c r="O59" s="26"/>
      <c r="P59" s="28"/>
      <c r="Q59" s="46">
        <v>2376000</v>
      </c>
      <c r="R59" s="39" t="s">
        <v>243</v>
      </c>
      <c r="S59" s="35">
        <v>0.17</v>
      </c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2376000</v>
      </c>
      <c r="X59" s="36">
        <f>IF(NOTA[[#This Row],[JUMLAH]]="","",NOTA[[#This Row],[JUMLAH]]*NOTA[[#This Row],[DISC 1]])</f>
        <v>403920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403920</v>
      </c>
      <c r="AA59" s="36">
        <f>IF(NOTA[[#This Row],[JUMLAH]]="","",NOTA[[#This Row],[JUMLAH]]-NOTA[[#This Row],[DISC]])</f>
        <v>1972080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9" s="36" t="str">
        <f>IF(OR(NOTA[[#This Row],[QTY]]="",NOTA[[#This Row],[HARGA SATUAN]]="",),"",NOTA[[#This Row],[QTY]]*NOTA[[#This Row],[HARGA SATUAN]])</f>
        <v/>
      </c>
      <c r="AF59" s="33">
        <f ca="1">IF(NOTA[ID_H]="","",INDEX(NOTA[TANGGAL],MATCH(,INDIRECT(ADDRESS(ROW(NOTA[TANGGAL]),COLUMN(NOTA[TANGGAL]))&amp;":"&amp;ADDRESS(ROW(),COLUMN(NOTA[TANGGAL]))),-1)))</f>
        <v>45022</v>
      </c>
      <c r="AG59" s="28" t="str">
        <f ca="1">IF(NOTA[[#This Row],[NAMA BARANG]]="","",INDEX(NOTA[SUPPLIER],MATCH(,INDIRECT(ADDRESS(ROW(NOTA[ID]),COLUMN(NOTA[ID]))&amp;":"&amp;ADDRESS(ROW(),COLUMN(NOTA[ID]))),-1)))</f>
        <v>KENKO SINAR INDONESIA</v>
      </c>
      <c r="AH59" s="28" t="str">
        <f ca="1">IF(NOTA[[#This Row],[ID_H]]="","",IF(NOTA[[#This Row],[FAKTUR]]="",INDIRECT(ADDRESS(ROW()-1,COLUMN())),NOTA[[#This Row],[FAKTUR]]))</f>
        <v>ARTO MORO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4</v>
      </c>
      <c r="AK5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38" t="str">
        <f>IF(NOTA[[#This Row],[CONCAT4]]="","",_xlfn.IFNA(MATCH(NOTA[[#This Row],[CONCAT4]],[2]!RAW[CONCAT_H],0),FALSE))</f>
        <v/>
      </c>
      <c r="AP59" s="174">
        <f>IF(NOTA[[#This Row],[CONCAT1]]="","",MATCH(NOTA[[#This Row],[CONCAT1]],[3]!db[NB NOTA_C],0)+1)</f>
        <v>556</v>
      </c>
    </row>
    <row r="60" spans="1:42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13</v>
      </c>
      <c r="E60" s="30"/>
      <c r="F60" s="26"/>
      <c r="G60" s="26"/>
      <c r="H60" s="31"/>
      <c r="I60" s="32"/>
      <c r="J60" s="33"/>
      <c r="K60" s="26"/>
      <c r="L60" s="26" t="s">
        <v>231</v>
      </c>
      <c r="M60" s="34">
        <v>1</v>
      </c>
      <c r="N60" s="32"/>
      <c r="O60" s="26"/>
      <c r="P60" s="28"/>
      <c r="Q60" s="46">
        <v>1464000</v>
      </c>
      <c r="R60" s="39" t="s">
        <v>244</v>
      </c>
      <c r="S60" s="35">
        <v>0.17</v>
      </c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1464000</v>
      </c>
      <c r="X60" s="36">
        <f>IF(NOTA[[#This Row],[JUMLAH]]="","",NOTA[[#This Row],[JUMLAH]]*NOTA[[#This Row],[DISC 1]])</f>
        <v>248880.00000000003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248880.00000000003</v>
      </c>
      <c r="AA60" s="36">
        <f>IF(NOTA[[#This Row],[JUMLAH]]="","",NOTA[[#This Row],[JUMLAH]]-NOTA[[#This Row],[DISC]])</f>
        <v>1215120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0" s="36" t="str">
        <f>IF(OR(NOTA[[#This Row],[QTY]]="",NOTA[[#This Row],[HARGA SATUAN]]="",),"",NOTA[[#This Row],[QTY]]*NOTA[[#This Row],[HARGA SATUAN]])</f>
        <v/>
      </c>
      <c r="AF60" s="33">
        <f ca="1">IF(NOTA[ID_H]="","",INDEX(NOTA[TANGGAL],MATCH(,INDIRECT(ADDRESS(ROW(NOTA[TANGGAL]),COLUMN(NOTA[TANGGAL]))&amp;":"&amp;ADDRESS(ROW(),COLUMN(NOTA[TANGGAL]))),-1)))</f>
        <v>45022</v>
      </c>
      <c r="AG60" s="28" t="str">
        <f ca="1">IF(NOTA[[#This Row],[NAMA BARANG]]="","",INDEX(NOTA[SUPPLIER],MATCH(,INDIRECT(ADDRESS(ROW(NOTA[ID]),COLUMN(NOTA[ID]))&amp;":"&amp;ADDRESS(ROW(),COLUMN(NOTA[ID]))),-1)))</f>
        <v>KENKO SINAR INDONESIA</v>
      </c>
      <c r="AH60" s="28" t="str">
        <f ca="1">IF(NOTA[[#This Row],[ID_H]]="","",IF(NOTA[[#This Row],[FAKTUR]]="",INDIRECT(ADDRESS(ROW()-1,COLUMN())),NOTA[[#This Row],[FAKTUR]]))</f>
        <v>ARTO MORO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4</v>
      </c>
      <c r="AK60" s="38" t="str">
        <f>LOWER(SUBSTITUTE(SUBSTITUTE(SUBSTITUTE(SUBSTITUTE(SUBSTITUTE(SUBSTITUTE(SUBSTITUTE(SUBSTITUTE(SUBSTITUTE(NOTA[NAMA BARANG]," ",),".",""),"-",""),"(",""),")",""),",",""),"/",""),"""",""),"+",""))</f>
        <v>kenkohighlighterhl100pink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kenkohighlighterhl100pink14640000.17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kenkohighlighterhl100pink14640000.17</v>
      </c>
      <c r="AN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38" t="str">
        <f>IF(NOTA[[#This Row],[CONCAT4]]="","",_xlfn.IFNA(MATCH(NOTA[[#This Row],[CONCAT4]],[2]!RAW[CONCAT_H],0),FALSE))</f>
        <v/>
      </c>
      <c r="AP60" s="174">
        <f>IF(NOTA[[#This Row],[CONCAT1]]="","",MATCH(NOTA[[#This Row],[CONCAT1]],[3]!db[NB NOTA_C],0)+1)</f>
        <v>464</v>
      </c>
    </row>
    <row r="61" spans="1:42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13</v>
      </c>
      <c r="E61" s="30"/>
      <c r="F61" s="26"/>
      <c r="G61" s="26"/>
      <c r="H61" s="31"/>
      <c r="I61" s="32"/>
      <c r="J61" s="33"/>
      <c r="K61" s="26"/>
      <c r="L61" s="26" t="s">
        <v>232</v>
      </c>
      <c r="M61" s="34">
        <v>1</v>
      </c>
      <c r="N61" s="32"/>
      <c r="O61" s="26"/>
      <c r="P61" s="49"/>
      <c r="Q61" s="46">
        <v>1464000</v>
      </c>
      <c r="R61" s="39" t="s">
        <v>244</v>
      </c>
      <c r="S61" s="35">
        <v>0.17</v>
      </c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1464000</v>
      </c>
      <c r="X61" s="36">
        <f>IF(NOTA[[#This Row],[JUMLAH]]="","",NOTA[[#This Row],[JUMLAH]]*NOTA[[#This Row],[DISC 1]])</f>
        <v>248880.00000000003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248880.00000000003</v>
      </c>
      <c r="AA61" s="36">
        <f>IF(NOTA[[#This Row],[JUMLAH]]="","",NOTA[[#This Row],[JUMLAH]]-NOTA[[#This Row],[DISC]])</f>
        <v>1215120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1" s="36" t="str">
        <f>IF(OR(NOTA[[#This Row],[QTY]]="",NOTA[[#This Row],[HARGA SATUAN]]="",),"",NOTA[[#This Row],[QTY]]*NOTA[[#This Row],[HARGA SATUAN]])</f>
        <v/>
      </c>
      <c r="AF61" s="33">
        <f ca="1">IF(NOTA[ID_H]="","",INDEX(NOTA[TANGGAL],MATCH(,INDIRECT(ADDRESS(ROW(NOTA[TANGGAL]),COLUMN(NOTA[TANGGAL]))&amp;":"&amp;ADDRESS(ROW(),COLUMN(NOTA[TANGGAL]))),-1)))</f>
        <v>45022</v>
      </c>
      <c r="AG61" s="28" t="str">
        <f ca="1">IF(NOTA[[#This Row],[NAMA BARANG]]="","",INDEX(NOTA[SUPPLIER],MATCH(,INDIRECT(ADDRESS(ROW(NOTA[ID]),COLUMN(NOTA[ID]))&amp;":"&amp;ADDRESS(ROW(),COLUMN(NOTA[ID]))),-1)))</f>
        <v>KENKO SINAR INDONESIA</v>
      </c>
      <c r="AH61" s="28" t="str">
        <f ca="1">IF(NOTA[[#This Row],[ID_H]]="","",IF(NOTA[[#This Row],[FAKTUR]]="",INDIRECT(ADDRESS(ROW()-1,COLUMN())),NOTA[[#This Row],[FAKTUR]]))</f>
        <v>ARTO MORO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4</v>
      </c>
      <c r="AK61" s="38" t="str">
        <f>LOWER(SUBSTITUTE(SUBSTITUTE(SUBSTITUTE(SUBSTITUTE(SUBSTITUTE(SUBSTITUTE(SUBSTITUTE(SUBSTITUTE(SUBSTITUTE(NOTA[NAMA BARANG]," ",),".",""),"-",""),"(",""),")",""),",",""),"/",""),"""",""),"+",""))</f>
        <v>kenkohighlighterhl100green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kenkohighlighterhl100green14640000.17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kenkohighlighterhl100green14640000.17</v>
      </c>
      <c r="AN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" s="38" t="str">
        <f>IF(NOTA[[#This Row],[CONCAT4]]="","",_xlfn.IFNA(MATCH(NOTA[[#This Row],[CONCAT4]],[2]!RAW[CONCAT_H],0),FALSE))</f>
        <v/>
      </c>
      <c r="AP61" s="174">
        <f>IF(NOTA[[#This Row],[CONCAT1]]="","",MATCH(NOTA[[#This Row],[CONCAT1]],[3]!db[NB NOTA_C],0)+1)</f>
        <v>461</v>
      </c>
    </row>
    <row r="62" spans="1:42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13</v>
      </c>
      <c r="E62" s="30"/>
      <c r="F62" s="26"/>
      <c r="G62" s="26"/>
      <c r="H62" s="31"/>
      <c r="I62" s="26"/>
      <c r="J62" s="33"/>
      <c r="K62" s="32"/>
      <c r="L62" s="26" t="s">
        <v>109</v>
      </c>
      <c r="M62" s="34">
        <v>10</v>
      </c>
      <c r="N62" s="32"/>
      <c r="O62" s="26"/>
      <c r="P62" s="28"/>
      <c r="Q62" s="46">
        <v>1954800</v>
      </c>
      <c r="R62" s="39" t="s">
        <v>245</v>
      </c>
      <c r="S62" s="35">
        <v>0.17</v>
      </c>
      <c r="T62" s="35"/>
      <c r="U62" s="54"/>
      <c r="V62" s="37"/>
      <c r="W62" s="36">
        <f>IF(NOTA[[#This Row],[HARGA/ CTN]]="",NOTA[[#This Row],[JUMLAH_H]],NOTA[[#This Row],[HARGA/ CTN]]*IF(NOTA[[#This Row],[C]]="",0,NOTA[[#This Row],[C]]))</f>
        <v>19548000</v>
      </c>
      <c r="X62" s="36">
        <f>IF(NOTA[[#This Row],[JUMLAH]]="","",NOTA[[#This Row],[JUMLAH]]*NOTA[[#This Row],[DISC 1]])</f>
        <v>3323160.0000000005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3323160.0000000005</v>
      </c>
      <c r="AA62" s="36">
        <f>IF(NOTA[[#This Row],[JUMLAH]]="","",NOTA[[#This Row],[JUMLAH]]-NOTA[[#This Row],[DISC]])</f>
        <v>16224840</v>
      </c>
      <c r="AB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62" s="36" t="str">
        <f>IF(OR(NOTA[[#This Row],[QTY]]="",NOTA[[#This Row],[HARGA SATUAN]]="",),"",NOTA[[#This Row],[QTY]]*NOTA[[#This Row],[HARGA SATUAN]])</f>
        <v/>
      </c>
      <c r="AF62" s="33">
        <f ca="1">IF(NOTA[ID_H]="","",INDEX(NOTA[TANGGAL],MATCH(,INDIRECT(ADDRESS(ROW(NOTA[TANGGAL]),COLUMN(NOTA[TANGGAL]))&amp;":"&amp;ADDRESS(ROW(),COLUMN(NOTA[TANGGAL]))),-1)))</f>
        <v>45022</v>
      </c>
      <c r="AG62" s="28" t="str">
        <f ca="1">IF(NOTA[[#This Row],[NAMA BARANG]]="","",INDEX(NOTA[SUPPLIER],MATCH(,INDIRECT(ADDRESS(ROW(NOTA[ID]),COLUMN(NOTA[ID]))&amp;":"&amp;ADDRESS(ROW(),COLUMN(NOTA[ID]))),-1)))</f>
        <v>KENKO SINAR INDONESIA</v>
      </c>
      <c r="AH62" s="28" t="str">
        <f ca="1">IF(NOTA[[#This Row],[ID_H]]="","",IF(NOTA[[#This Row],[FAKTUR]]="",INDIRECT(ADDRESS(ROW()-1,COLUMN())),NOTA[[#This Row],[FAKTUR]]))</f>
        <v>ARTO MORO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4</v>
      </c>
      <c r="AK62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38" t="str">
        <f>IF(NOTA[[#This Row],[CONCAT4]]="","",_xlfn.IFNA(MATCH(NOTA[[#This Row],[CONCAT4]],[2]!RAW[CONCAT_H],0),FALSE))</f>
        <v/>
      </c>
      <c r="AP62" s="174">
        <f>IF(NOTA[[#This Row],[CONCAT1]]="","",MATCH(NOTA[[#This Row],[CONCAT1]],[3]!db[NB NOTA_C],0)+1)</f>
        <v>212</v>
      </c>
    </row>
    <row r="63" spans="1:42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>
        <f ca="1">IF(NOTA[[#This Row],[NAMA BARANG]]="","",INDEX(NOTA[ID],MATCH(,INDIRECT(ADDRESS(ROW(NOTA[ID]),COLUMN(NOTA[ID]))&amp;":"&amp;ADDRESS(ROW(),COLUMN(NOTA[ID]))),-1)))</f>
        <v>13</v>
      </c>
      <c r="E63" s="23"/>
      <c r="F63" s="26"/>
      <c r="G63" s="26"/>
      <c r="H63" s="31"/>
      <c r="I63" s="26"/>
      <c r="J63" s="51"/>
      <c r="K63" s="26"/>
      <c r="L63" s="26" t="s">
        <v>235</v>
      </c>
      <c r="M63" s="39">
        <v>4</v>
      </c>
      <c r="N63" s="26"/>
      <c r="O63" s="26"/>
      <c r="P63" s="49"/>
      <c r="Q63" s="52">
        <v>840000</v>
      </c>
      <c r="R63" s="39" t="s">
        <v>246</v>
      </c>
      <c r="S63" s="53">
        <v>0.17</v>
      </c>
      <c r="T63" s="53"/>
      <c r="U63" s="54"/>
      <c r="V63" s="37"/>
      <c r="W63" s="54">
        <f>IF(NOTA[[#This Row],[HARGA/ CTN]]="",NOTA[[#This Row],[JUMLAH_H]],NOTA[[#This Row],[HARGA/ CTN]]*IF(NOTA[[#This Row],[C]]="",0,NOTA[[#This Row],[C]]))</f>
        <v>3360000</v>
      </c>
      <c r="X63" s="54">
        <f>IF(NOTA[[#This Row],[JUMLAH]]="","",NOTA[[#This Row],[JUMLAH]]*NOTA[[#This Row],[DISC 1]])</f>
        <v>571200</v>
      </c>
      <c r="Y63" s="54">
        <f>IF(NOTA[[#This Row],[JUMLAH]]="","",(NOTA[[#This Row],[JUMLAH]]-NOTA[[#This Row],[DISC 1-]])*NOTA[[#This Row],[DISC 2]])</f>
        <v>0</v>
      </c>
      <c r="Z63" s="54">
        <f>IF(NOTA[[#This Row],[JUMLAH]]="","",NOTA[[#This Row],[DISC 1-]]+NOTA[[#This Row],[DISC 2-]])</f>
        <v>571200</v>
      </c>
      <c r="AA63" s="54">
        <f>IF(NOTA[[#This Row],[JUMLAH]]="","",NOTA[[#This Row],[JUMLAH]]-NOTA[[#This Row],[DISC]])</f>
        <v>2788800</v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63" s="54" t="str">
        <f>IF(OR(NOTA[[#This Row],[QTY]]="",NOTA[[#This Row],[HARGA SATUAN]]="",),"",NOTA[[#This Row],[QTY]]*NOTA[[#This Row],[HARGA SATUAN]])</f>
        <v/>
      </c>
      <c r="AF63" s="51">
        <f ca="1">IF(NOTA[ID_H]="","",INDEX(NOTA[TANGGAL],MATCH(,INDIRECT(ADDRESS(ROW(NOTA[TANGGAL]),COLUMN(NOTA[TANGGAL]))&amp;":"&amp;ADDRESS(ROW(),COLUMN(NOTA[TANGGAL]))),-1)))</f>
        <v>45022</v>
      </c>
      <c r="AG63" s="65" t="str">
        <f ca="1">IF(NOTA[[#This Row],[NAMA BARANG]]="","",INDEX(NOTA[SUPPLIER],MATCH(,INDIRECT(ADDRESS(ROW(NOTA[ID]),COLUMN(NOTA[ID]))&amp;":"&amp;ADDRESS(ROW(),COLUMN(NOTA[ID]))),-1)))</f>
        <v>KENKO SINAR INDONESIA</v>
      </c>
      <c r="AH63" s="65" t="str">
        <f ca="1">IF(NOTA[[#This Row],[ID_H]]="","",IF(NOTA[[#This Row],[FAKTUR]]="",INDIRECT(ADDRESS(ROW()-1,COLUMN())),NOTA[[#This Row],[FAKTUR]]))</f>
        <v>ARTO MORO</v>
      </c>
      <c r="AI63" s="38" t="str">
        <f ca="1">IF(NOTA[[#This Row],[ID]]="","",COUNTIF(NOTA[ID_H],NOTA[[#This Row],[ID_H]]))</f>
        <v/>
      </c>
      <c r="AJ63" s="38">
        <f ca="1">IF(NOTA[[#This Row],[TGL.NOTA]]="",IF(NOTA[[#This Row],[SUPPLIER_H]]="","",AJ62),MONTH(NOTA[[#This Row],[TGL.NOTA]]))</f>
        <v>4</v>
      </c>
      <c r="AK63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38" t="str">
        <f>IF(NOTA[[#This Row],[CONCAT4]]="","",_xlfn.IFNA(MATCH(NOTA[[#This Row],[CONCAT4]],[2]!RAW[CONCAT_H],0),FALSE))</f>
        <v/>
      </c>
      <c r="AP63" s="174">
        <f>IF(NOTA[[#This Row],[CONCAT1]]="","",MATCH(NOTA[[#This Row],[CONCAT1]],[3]!db[NB NOTA_C],0)+1)</f>
        <v>490</v>
      </c>
    </row>
    <row r="64" spans="1:42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>
        <f ca="1">IF(NOTA[[#This Row],[NAMA BARANG]]="","",INDEX(NOTA[ID],MATCH(,INDIRECT(ADDRESS(ROW(NOTA[ID]),COLUMN(NOTA[ID]))&amp;":"&amp;ADDRESS(ROW(),COLUMN(NOTA[ID]))),-1)))</f>
        <v>13</v>
      </c>
      <c r="E64" s="23"/>
      <c r="F64" s="26"/>
      <c r="G64" s="26"/>
      <c r="H64" s="31"/>
      <c r="I64" s="26"/>
      <c r="J64" s="51"/>
      <c r="K64" s="26"/>
      <c r="L64" s="26" t="s">
        <v>107</v>
      </c>
      <c r="M64" s="39">
        <v>2</v>
      </c>
      <c r="N64" s="26"/>
      <c r="O64" s="26"/>
      <c r="P64" s="49"/>
      <c r="Q64" s="52">
        <v>1410000</v>
      </c>
      <c r="R64" s="39" t="s">
        <v>158</v>
      </c>
      <c r="S64" s="53">
        <v>0.17</v>
      </c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2820000</v>
      </c>
      <c r="X64" s="54">
        <f>IF(NOTA[[#This Row],[JUMLAH]]="","",NOTA[[#This Row],[JUMLAH]]*NOTA[[#This Row],[DISC 1]])</f>
        <v>479400.00000000006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479400.00000000006</v>
      </c>
      <c r="AA64" s="54">
        <f>IF(NOTA[[#This Row],[JUMLAH]]="","",NOTA[[#This Row],[JUMLAH]]-NOTA[[#This Row],[DISC]])</f>
        <v>2340600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45022</v>
      </c>
      <c r="AG64" s="65" t="str">
        <f ca="1">IF(NOTA[[#This Row],[NAMA BARANG]]="","",INDEX(NOTA[SUPPLIER],MATCH(,INDIRECT(ADDRESS(ROW(NOTA[ID]),COLUMN(NOTA[ID]))&amp;":"&amp;ADDRESS(ROW(),COLUMN(NOTA[ID]))),-1)))</f>
        <v>KENKO SINAR INDONESIA</v>
      </c>
      <c r="AH64" s="65" t="str">
        <f ca="1">IF(NOTA[[#This Row],[ID_H]]="","",IF(NOTA[[#This Row],[FAKTUR]]="",INDIRECT(ADDRESS(ROW()-1,COLUMN())),NOTA[[#This Row],[FAKTUR]]))</f>
        <v>ARTO MORO</v>
      </c>
      <c r="AI64" s="38" t="str">
        <f ca="1">IF(NOTA[[#This Row],[ID]]="","",COUNTIF(NOTA[ID_H],NOTA[[#This Row],[ID_H]]))</f>
        <v/>
      </c>
      <c r="AJ64" s="38">
        <f ca="1">IF(NOTA[[#This Row],[TGL.NOTA]]="",IF(NOTA[[#This Row],[SUPPLIER_H]]="","",AJ63),MONTH(NOTA[[#This Row],[TGL.NOTA]]))</f>
        <v>4</v>
      </c>
      <c r="AK64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38" t="str">
        <f>IF(NOTA[[#This Row],[CONCAT4]]="","",_xlfn.IFNA(MATCH(NOTA[[#This Row],[CONCAT4]],[2]!RAW[CONCAT_H],0),FALSE))</f>
        <v/>
      </c>
      <c r="AP64" s="174">
        <f>IF(NOTA[[#This Row],[CONCAT1]]="","",MATCH(NOTA[[#This Row],[CONCAT1]],[3]!db[NB NOTA_C],0)+1)</f>
        <v>439</v>
      </c>
    </row>
    <row r="65" spans="1:42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13</v>
      </c>
      <c r="E65" s="23"/>
      <c r="F65" s="26"/>
      <c r="G65" s="26"/>
      <c r="H65" s="31"/>
      <c r="I65" s="26"/>
      <c r="J65" s="51"/>
      <c r="K65" s="26"/>
      <c r="L65" s="26" t="s">
        <v>233</v>
      </c>
      <c r="M65" s="39">
        <v>1</v>
      </c>
      <c r="N65" s="26"/>
      <c r="O65" s="26"/>
      <c r="P65" s="49"/>
      <c r="Q65" s="52">
        <v>3240000</v>
      </c>
      <c r="R65" s="39" t="s">
        <v>247</v>
      </c>
      <c r="S65" s="53">
        <v>0.17</v>
      </c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3240000</v>
      </c>
      <c r="X65" s="54">
        <f>IF(NOTA[[#This Row],[JUMLAH]]="","",NOTA[[#This Row],[JUMLAH]]*NOTA[[#This Row],[DISC 1]])</f>
        <v>550800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550800</v>
      </c>
      <c r="AA65" s="54">
        <f>IF(NOTA[[#This Row],[JUMLAH]]="","",NOTA[[#This Row],[JUMLAH]]-NOTA[[#This Row],[DISC]])</f>
        <v>2689200</v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65" s="54" t="str">
        <f>IF(OR(NOTA[[#This Row],[QTY]]="",NOTA[[#This Row],[HARGA SATUAN]]="",),"",NOTA[[#This Row],[QTY]]*NOTA[[#This Row],[HARGA SATUAN]])</f>
        <v/>
      </c>
      <c r="AF65" s="51">
        <f ca="1">IF(NOTA[ID_H]="","",INDEX(NOTA[TANGGAL],MATCH(,INDIRECT(ADDRESS(ROW(NOTA[TANGGAL]),COLUMN(NOTA[TANGGAL]))&amp;":"&amp;ADDRESS(ROW(),COLUMN(NOTA[TANGGAL]))),-1)))</f>
        <v>45022</v>
      </c>
      <c r="AG65" s="65" t="str">
        <f ca="1">IF(NOTA[[#This Row],[NAMA BARANG]]="","",INDEX(NOTA[SUPPLIER],MATCH(,INDIRECT(ADDRESS(ROW(NOTA[ID]),COLUMN(NOTA[ID]))&amp;":"&amp;ADDRESS(ROW(),COLUMN(NOTA[ID]))),-1)))</f>
        <v>KENKO SINAR INDONESIA</v>
      </c>
      <c r="AH65" s="65" t="str">
        <f ca="1">IF(NOTA[[#This Row],[ID_H]]="","",IF(NOTA[[#This Row],[FAKTUR]]="",INDIRECT(ADDRESS(ROW()-1,COLUMN())),NOTA[[#This Row],[FAKTUR]]))</f>
        <v>ARTO MORO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Row],[SUPPLIER_H]]="","",AJ39),MONTH(NOTA[[#This Row],[TGL.NOTA]]))</f>
        <v>4</v>
      </c>
      <c r="AK65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38" t="str">
        <f>IF(NOTA[[#This Row],[CONCAT4]]="","",_xlfn.IFNA(MATCH(NOTA[[#This Row],[CONCAT4]],[2]!RAW[CONCAT_H],0),FALSE))</f>
        <v/>
      </c>
      <c r="AP65" s="174">
        <f>IF(NOTA[[#This Row],[CONCAT1]]="","",MATCH(NOTA[[#This Row],[CONCAT1]],[3]!db[NB NOTA_C],0)+1)</f>
        <v>483</v>
      </c>
    </row>
    <row r="66" spans="1:42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/>
      <c r="G66" s="26"/>
      <c r="H66" s="31"/>
      <c r="I66" s="26"/>
      <c r="J66" s="51"/>
      <c r="K66" s="26"/>
      <c r="L66" s="26" t="s">
        <v>141</v>
      </c>
      <c r="M66" s="39">
        <v>1</v>
      </c>
      <c r="N66" s="26"/>
      <c r="O66" s="26"/>
      <c r="P66" s="49"/>
      <c r="Q66" s="52">
        <v>1200000</v>
      </c>
      <c r="R66" s="39" t="s">
        <v>248</v>
      </c>
      <c r="S66" s="53">
        <v>0.17</v>
      </c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1200000</v>
      </c>
      <c r="X66" s="54">
        <f>IF(NOTA[[#This Row],[JUMLAH]]="","",NOTA[[#This Row],[JUMLAH]]*NOTA[[#This Row],[DISC 1]])</f>
        <v>204000.00000000003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204000.00000000003</v>
      </c>
      <c r="AA66" s="54">
        <f>IF(NOTA[[#This Row],[JUMLAH]]="","",NOTA[[#This Row],[JUMLAH]]-NOTA[[#This Row],[DISC]])</f>
        <v>996000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66" s="54" t="str">
        <f>IF(OR(NOTA[[#This Row],[QTY]]="",NOTA[[#This Row],[HARGA SATUAN]]="",),"",NOTA[[#This Row],[QTY]]*NOTA[[#This Row],[HARGA SATUAN]])</f>
        <v/>
      </c>
      <c r="AF66" s="51">
        <f ca="1">IF(NOTA[ID_H]="","",INDEX(NOTA[TANGGAL],MATCH(,INDIRECT(ADDRESS(ROW(NOTA[TANGGAL]),COLUMN(NOTA[TANGGAL]))&amp;":"&amp;ADDRESS(ROW(),COLUMN(NOTA[TANGGAL]))),-1)))</f>
        <v>45022</v>
      </c>
      <c r="AG66" s="65" t="str">
        <f ca="1">IF(NOTA[[#This Row],[NAMA BARANG]]="","",INDEX(NOTA[SUPPLIER],MATCH(,INDIRECT(ADDRESS(ROW(NOTA[ID]),COLUMN(NOTA[ID]))&amp;":"&amp;ADDRESS(ROW(),COLUMN(NOTA[ID]))),-1)))</f>
        <v>KENKO SINAR INDONESIA</v>
      </c>
      <c r="AH66" s="65" t="str">
        <f ca="1">IF(NOTA[[#This Row],[ID_H]]="","",IF(NOTA[[#This Row],[FAKTUR]]="",INDIRECT(ADDRESS(ROW()-1,COLUMN())),NOTA[[#This Row],[FAKTUR]]))</f>
        <v>ARTO MORO</v>
      </c>
      <c r="AI66" s="38" t="str">
        <f ca="1">IF(NOTA[[#This Row],[ID]]="","",COUNTIF(NOTA[ID_H],NOTA[[#This Row],[ID_H]]))</f>
        <v/>
      </c>
      <c r="AJ66" s="38">
        <f ca="1">IF(NOTA[[#This Row],[TGL.NOTA]]="",IF(NOTA[[#This Row],[SUPPLIER_H]]="","",AJ65),MONTH(NOTA[[#This Row],[TGL.NOTA]]))</f>
        <v>4</v>
      </c>
      <c r="AK66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38" t="str">
        <f>IF(NOTA[[#This Row],[CONCAT4]]="","",_xlfn.IFNA(MATCH(NOTA[[#This Row],[CONCAT4]],[2]!RAW[CONCAT_H],0),FALSE))</f>
        <v/>
      </c>
      <c r="AP66" s="174">
        <f>IF(NOTA[[#This Row],[CONCAT1]]="","",MATCH(NOTA[[#This Row],[CONCAT1]],[3]!db[NB NOTA_C],0)+1)</f>
        <v>47</v>
      </c>
    </row>
    <row r="67" spans="1:42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234</v>
      </c>
      <c r="M67" s="39">
        <v>1</v>
      </c>
      <c r="N67" s="26"/>
      <c r="O67" s="26"/>
      <c r="P67" s="49"/>
      <c r="Q67" s="52">
        <v>1566000</v>
      </c>
      <c r="R67" s="39" t="s">
        <v>249</v>
      </c>
      <c r="S67" s="53">
        <v>0.17</v>
      </c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1566000</v>
      </c>
      <c r="X67" s="54">
        <f>IF(NOTA[[#This Row],[JUMLAH]]="","",NOTA[[#This Row],[JUMLAH]]*NOTA[[#This Row],[DISC 1]])</f>
        <v>266220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266220</v>
      </c>
      <c r="AA67" s="54">
        <f>IF(NOTA[[#This Row],[JUMLAH]]="","",NOTA[[#This Row],[JUMLAH]]-NOTA[[#This Row],[DISC]])</f>
        <v>1299780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6756684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32988516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67" s="54" t="str">
        <f>IF(OR(NOTA[[#This Row],[QTY]]="",NOTA[[#This Row],[HARGA SATUAN]]="",),"",NOTA[[#This Row],[QTY]]*NOTA[[#This Row],[HARGA SATUAN]])</f>
        <v/>
      </c>
      <c r="AF67" s="51">
        <f ca="1">IF(NOTA[ID_H]="","",INDEX(NOTA[TANGGAL],MATCH(,INDIRECT(ADDRESS(ROW(NOTA[TANGGAL]),COLUMN(NOTA[TANGGAL]))&amp;":"&amp;ADDRESS(ROW(),COLUMN(NOTA[TANGGAL]))),-1)))</f>
        <v>45022</v>
      </c>
      <c r="AG67" s="65" t="str">
        <f ca="1">IF(NOTA[[#This Row],[NAMA BARANG]]="","",INDEX(NOTA[SUPPLIER],MATCH(,INDIRECT(ADDRESS(ROW(NOTA[ID]),COLUMN(NOTA[ID]))&amp;":"&amp;ADDRESS(ROW(),COLUMN(NOTA[ID]))),-1)))</f>
        <v>KENKO SINAR INDONESIA</v>
      </c>
      <c r="AH67" s="65" t="str">
        <f ca="1">IF(NOTA[[#This Row],[ID_H]]="","",IF(NOTA[[#This Row],[FAKTUR]]="",INDIRECT(ADDRESS(ROW()-1,COLUMN())),NOTA[[#This Row],[FAKTUR]]))</f>
        <v>ARTO MORO</v>
      </c>
      <c r="AI67" s="38" t="str">
        <f ca="1">IF(NOTA[[#This Row],[ID]]="","",COUNTIF(NOTA[ID_H],NOTA[[#This Row],[ID_H]]))</f>
        <v/>
      </c>
      <c r="AJ67" s="38" t="str">
        <f ca="1">IF(NOTA[[#This Row],[TGL.NOTA]]="",IF(NOTA[[#This Row],[SUPPLIER_H]]="","",AJ43),MONTH(NOTA[[#This Row],[TGL.NOTA]]))</f>
        <v/>
      </c>
      <c r="AK6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38" t="str">
        <f>IF(NOTA[[#This Row],[CONCAT4]]="","",_xlfn.IFNA(MATCH(NOTA[[#This Row],[CONCAT4]],[2]!RAW[CONCAT_H],0),FALSE))</f>
        <v/>
      </c>
      <c r="AP67" s="174">
        <f>IF(NOTA[[#This Row],[CONCAT1]]="","",MATCH(NOTA[[#This Row],[CONCAT1]],[3]!db[NB NOTA_C],0)+1)</f>
        <v>295</v>
      </c>
    </row>
    <row r="68" spans="1:42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38" t="str">
        <f>IF(NOTA[[#This Row],[CONCAT4]]="","",_xlfn.IFNA(MATCH(NOTA[[#This Row],[CONCAT4]],[2]!RAW[CONCAT_H],0),FALSE))</f>
        <v/>
      </c>
      <c r="AP68" s="174" t="str">
        <f>IF(NOTA[[#This Row],[CONCAT1]]="","",MATCH(NOTA[[#This Row],[CONCAT1]],[3]!db[NB NOTA_C],0)+1)</f>
        <v/>
      </c>
    </row>
    <row r="69" spans="1:42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KEN_0604_289-4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14</v>
      </c>
      <c r="E69" s="23"/>
      <c r="F69" s="26" t="s">
        <v>23</v>
      </c>
      <c r="G69" s="26" t="s">
        <v>24</v>
      </c>
      <c r="H69" s="31" t="s">
        <v>236</v>
      </c>
      <c r="I69" s="26" t="s">
        <v>253</v>
      </c>
      <c r="J69" s="51">
        <v>45020</v>
      </c>
      <c r="K69" s="26"/>
      <c r="L69" s="26" t="s">
        <v>213</v>
      </c>
      <c r="M69" s="39">
        <v>1</v>
      </c>
      <c r="N69" s="26"/>
      <c r="O69" s="26"/>
      <c r="P69" s="49"/>
      <c r="Q69" s="52">
        <v>3340800</v>
      </c>
      <c r="R69" s="39" t="s">
        <v>251</v>
      </c>
      <c r="S69" s="53">
        <v>0.17</v>
      </c>
      <c r="T69" s="53"/>
      <c r="U69" s="54"/>
      <c r="V69" s="37"/>
      <c r="W69" s="54">
        <f>IF(NOTA[[#This Row],[HARGA/ CTN]]="",NOTA[[#This Row],[JUMLAH_H]],NOTA[[#This Row],[HARGA/ CTN]]*IF(NOTA[[#This Row],[C]]="",0,NOTA[[#This Row],[C]]))</f>
        <v>3340800</v>
      </c>
      <c r="X69" s="54">
        <f>IF(NOTA[[#This Row],[JUMLAH]]="","",NOTA[[#This Row],[JUMLAH]]*NOTA[[#This Row],[DISC 1]])</f>
        <v>567936</v>
      </c>
      <c r="Y69" s="54">
        <f>IF(NOTA[[#This Row],[JUMLAH]]="","",(NOTA[[#This Row],[JUMLAH]]-NOTA[[#This Row],[DISC 1-]])*NOTA[[#This Row],[DISC 2]])</f>
        <v>0</v>
      </c>
      <c r="Z69" s="54">
        <f>IF(NOTA[[#This Row],[JUMLAH]]="","",NOTA[[#This Row],[DISC 1-]]+NOTA[[#This Row],[DISC 2-]])</f>
        <v>567936</v>
      </c>
      <c r="AA69" s="54">
        <f>IF(NOTA[[#This Row],[JUMLAH]]="","",NOTA[[#This Row],[JUMLAH]]-NOTA[[#This Row],[DISC]])</f>
        <v>2772864</v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45022</v>
      </c>
      <c r="AG69" s="65" t="str">
        <f ca="1">IF(NOTA[[#This Row],[NAMA BARANG]]="","",INDEX(NOTA[SUPPLIER],MATCH(,INDIRECT(ADDRESS(ROW(NOTA[ID]),COLUMN(NOTA[ID]))&amp;":"&amp;ADDRESS(ROW(),COLUMN(NOTA[ID]))),-1)))</f>
        <v>KENKO SINAR INDONESIA</v>
      </c>
      <c r="AH69" s="65" t="str">
        <f ca="1">IF(NOTA[[#This Row],[ID_H]]="","",IF(NOTA[[#This Row],[FAKTUR]]="",INDIRECT(ADDRESS(ROW()-1,COLUMN())),NOTA[[#This Row],[FAKTUR]]))</f>
        <v>ARTO MORO</v>
      </c>
      <c r="AI69" s="38">
        <f ca="1">IF(NOTA[[#This Row],[ID]]="","",COUNTIF(NOTA[ID_H],NOTA[[#This Row],[ID_H]]))</f>
        <v>4</v>
      </c>
      <c r="AJ69" s="38">
        <f>IF(NOTA[[#This Row],[TGL.NOTA]]="",IF(NOTA[[#This Row],[SUPPLIER_H]]="","",AJ32),MONTH(NOTA[[#This Row],[TGL.NOTA]]))</f>
        <v>4</v>
      </c>
      <c r="AK69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6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MORO23040289SA 4094245020kenkocorrectiontapect1505fc15mx5mm</v>
      </c>
      <c r="AO69" s="38" t="e">
        <f>IF(NOTA[[#This Row],[CONCAT4]]="","",_xlfn.IFNA(MATCH(NOTA[[#This Row],[CONCAT4]],[2]!RAW[CONCAT_H],0),FALSE))</f>
        <v>#REF!</v>
      </c>
      <c r="AP69" s="174">
        <f>IF(NOTA[[#This Row],[CONCAT1]]="","",MATCH(NOTA[[#This Row],[CONCAT1]],[3]!db[NB NOTA_C],0)+1)</f>
        <v>239</v>
      </c>
    </row>
    <row r="70" spans="1:42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>
        <f ca="1">IF(NOTA[[#This Row],[NAMA BARANG]]="","",INDEX(NOTA[ID],MATCH(,INDIRECT(ADDRESS(ROW(NOTA[ID]),COLUMN(NOTA[ID]))&amp;":"&amp;ADDRESS(ROW(),COLUMN(NOTA[ID]))),-1)))</f>
        <v>14</v>
      </c>
      <c r="E70" s="23"/>
      <c r="F70" s="26"/>
      <c r="G70" s="26"/>
      <c r="H70" s="31"/>
      <c r="I70" s="26"/>
      <c r="J70" s="51"/>
      <c r="K70" s="26"/>
      <c r="L70" s="26" t="s">
        <v>209</v>
      </c>
      <c r="M70" s="39">
        <v>1</v>
      </c>
      <c r="N70" s="26"/>
      <c r="O70" s="26"/>
      <c r="P70" s="49"/>
      <c r="Q70" s="52">
        <v>2419200</v>
      </c>
      <c r="R70" s="39" t="s">
        <v>251</v>
      </c>
      <c r="S70" s="53">
        <v>0.17</v>
      </c>
      <c r="T70" s="53"/>
      <c r="U70" s="54"/>
      <c r="V70" s="37"/>
      <c r="W70" s="54">
        <f>IF(NOTA[[#This Row],[HARGA/ CTN]]="",NOTA[[#This Row],[JUMLAH_H]],NOTA[[#This Row],[HARGA/ CTN]]*IF(NOTA[[#This Row],[C]]="",0,NOTA[[#This Row],[C]]))</f>
        <v>2419200</v>
      </c>
      <c r="X70" s="54">
        <f>IF(NOTA[[#This Row],[JUMLAH]]="","",NOTA[[#This Row],[JUMLAH]]*NOTA[[#This Row],[DISC 1]])</f>
        <v>411264.00000000006</v>
      </c>
      <c r="Y70" s="54">
        <f>IF(NOTA[[#This Row],[JUMLAH]]="","",(NOTA[[#This Row],[JUMLAH]]-NOTA[[#This Row],[DISC 1-]])*NOTA[[#This Row],[DISC 2]])</f>
        <v>0</v>
      </c>
      <c r="Z70" s="54">
        <f>IF(NOTA[[#This Row],[JUMLAH]]="","",NOTA[[#This Row],[DISC 1-]]+NOTA[[#This Row],[DISC 2-]])</f>
        <v>411264.00000000006</v>
      </c>
      <c r="AA70" s="54">
        <f>IF(NOTA[[#This Row],[JUMLAH]]="","",NOTA[[#This Row],[JUMLAH]]-NOTA[[#This Row],[DISC]])</f>
        <v>2007936</v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70" s="54" t="str">
        <f>IF(OR(NOTA[[#This Row],[QTY]]="",NOTA[[#This Row],[HARGA SATUAN]]="",),"",NOTA[[#This Row],[QTY]]*NOTA[[#This Row],[HARGA SATUAN]])</f>
        <v/>
      </c>
      <c r="AF70" s="51">
        <f ca="1">IF(NOTA[ID_H]="","",INDEX(NOTA[TANGGAL],MATCH(,INDIRECT(ADDRESS(ROW(NOTA[TANGGAL]),COLUMN(NOTA[TANGGAL]))&amp;":"&amp;ADDRESS(ROW(),COLUMN(NOTA[TANGGAL]))),-1)))</f>
        <v>45022</v>
      </c>
      <c r="AG70" s="65" t="str">
        <f ca="1">IF(NOTA[[#This Row],[NAMA BARANG]]="","",INDEX(NOTA[SUPPLIER],MATCH(,INDIRECT(ADDRESS(ROW(NOTA[ID]),COLUMN(NOTA[ID]))&amp;":"&amp;ADDRESS(ROW(),COLUMN(NOTA[ID]))),-1)))</f>
        <v>KENKO SINAR INDONESIA</v>
      </c>
      <c r="AH70" s="65" t="str">
        <f ca="1">IF(NOTA[[#This Row],[ID_H]]="","",IF(NOTA[[#This Row],[FAKTUR]]="",INDIRECT(ADDRESS(ROW()-1,COLUMN())),NOTA[[#This Row],[FAKTUR]]))</f>
        <v>ARTO MORO</v>
      </c>
      <c r="AI70" s="38" t="str">
        <f ca="1">IF(NOTA[[#This Row],[ID]]="","",COUNTIF(NOTA[ID_H],NOTA[[#This Row],[ID_H]]))</f>
        <v/>
      </c>
      <c r="AJ70" s="38">
        <f ca="1">IF(NOTA[[#This Row],[TGL.NOTA]]="",IF(NOTA[[#This Row],[SUPPLIER_H]]="","",AJ69),MONTH(NOTA[[#This Row],[TGL.NOTA]]))</f>
        <v>4</v>
      </c>
      <c r="AK70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38" t="str">
        <f>IF(NOTA[[#This Row],[CONCAT4]]="","",_xlfn.IFNA(MATCH(NOTA[[#This Row],[CONCAT4]],[2]!RAW[CONCAT_H],0),FALSE))</f>
        <v/>
      </c>
      <c r="AP70" s="174">
        <f>IF(NOTA[[#This Row],[CONCAT1]]="","",MATCH(NOTA[[#This Row],[CONCAT1]],[3]!db[NB NOTA_C],0)+1)</f>
        <v>248</v>
      </c>
    </row>
    <row r="71" spans="1:42" ht="20.100000000000001" customHeight="1" x14ac:dyDescent="0.25">
      <c r="A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50" t="str">
        <f>IF(NOTA[[#This Row],[ID_P]]="","",MATCH(NOTA[[#This Row],[ID_P]],[1]!B_MSK[N_ID],0))</f>
        <v/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/>
      <c r="G71" s="26"/>
      <c r="H71" s="31"/>
      <c r="I71" s="26"/>
      <c r="J71" s="51"/>
      <c r="K71" s="26"/>
      <c r="L71" s="26" t="s">
        <v>462</v>
      </c>
      <c r="M71" s="39">
        <v>1</v>
      </c>
      <c r="N71" s="26"/>
      <c r="O71" s="26"/>
      <c r="P71" s="49"/>
      <c r="Q71" s="52">
        <v>588000</v>
      </c>
      <c r="R71" s="39" t="s">
        <v>252</v>
      </c>
      <c r="S71" s="53">
        <v>0.17</v>
      </c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588000</v>
      </c>
      <c r="X71" s="54">
        <f>IF(NOTA[[#This Row],[JUMLAH]]="","",NOTA[[#This Row],[JUMLAH]]*NOTA[[#This Row],[DISC 1]])</f>
        <v>99960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99960</v>
      </c>
      <c r="AA71" s="54">
        <f>IF(NOTA[[#This Row],[JUMLAH]]="","",NOTA[[#This Row],[JUMLAH]]-NOTA[[#This Row],[DISC]])</f>
        <v>488040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71" s="54" t="str">
        <f>IF(OR(NOTA[[#This Row],[QTY]]="",NOTA[[#This Row],[HARGA SATUAN]]="",),"",NOTA[[#This Row],[QTY]]*NOTA[[#This Row],[HARGA SATUAN]])</f>
        <v/>
      </c>
      <c r="AF71" s="51">
        <f ca="1">IF(NOTA[ID_H]="","",INDEX(NOTA[TANGGAL],MATCH(,INDIRECT(ADDRESS(ROW(NOTA[TANGGAL]),COLUMN(NOTA[TANGGAL]))&amp;":"&amp;ADDRESS(ROW(),COLUMN(NOTA[TANGGAL]))),-1)))</f>
        <v>45022</v>
      </c>
      <c r="AG71" s="65" t="str">
        <f ca="1">IF(NOTA[[#This Row],[NAMA BARANG]]="","",INDEX(NOTA[SUPPLIER],MATCH(,INDIRECT(ADDRESS(ROW(NOTA[ID]),COLUMN(NOTA[ID]))&amp;":"&amp;ADDRESS(ROW(),COLUMN(NOTA[ID]))),-1)))</f>
        <v>KENKO SINAR INDONESIA</v>
      </c>
      <c r="AH71" s="65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4</v>
      </c>
      <c r="AK71" s="38" t="str">
        <f>LOWER(SUBSTITUTE(SUBSTITUTE(SUBSTITUTE(SUBSTITUTE(SUBSTITUTE(SUBSTITUTE(SUBSTITUTE(SUBSTITUTE(SUBSTITUTE(NOTA[NAMA BARANG]," ",),".",""),"-",""),"(",""),")",""),",",""),"/",""),"""",""),"+",""))</f>
        <v>kenkodoubletape6mmhgbluecore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kenkodoubletape6mmhgbluecore5880000.17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kenkodoubletape6mmhgbluecore5880000.17</v>
      </c>
      <c r="AN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38" t="str">
        <f>IF(NOTA[[#This Row],[CONCAT4]]="","",_xlfn.IFNA(MATCH(NOTA[[#This Row],[CONCAT4]],[2]!RAW[CONCAT_H],0),FALSE))</f>
        <v/>
      </c>
      <c r="AP71" s="174">
        <f>IF(NOTA[[#This Row],[CONCAT1]]="","",MATCH(NOTA[[#This Row],[CONCAT1]],[3]!db[NB NOTA_C],0)+1)</f>
        <v>312</v>
      </c>
    </row>
    <row r="72" spans="1:42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 t="s">
        <v>254</v>
      </c>
      <c r="J72" s="51"/>
      <c r="K72" s="26"/>
      <c r="L72" s="26" t="s">
        <v>164</v>
      </c>
      <c r="M72" s="39">
        <v>2</v>
      </c>
      <c r="N72" s="26"/>
      <c r="O72" s="26"/>
      <c r="P72" s="49"/>
      <c r="Q72" s="52">
        <v>396000</v>
      </c>
      <c r="R72" s="39" t="s">
        <v>169</v>
      </c>
      <c r="S72" s="53">
        <v>0.17</v>
      </c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792000</v>
      </c>
      <c r="X72" s="54">
        <f>IF(NOTA[[#This Row],[JUMLAH]]="","",NOTA[[#This Row],[JUMLAH]]*NOTA[[#This Row],[DISC 1]])</f>
        <v>134640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134640</v>
      </c>
      <c r="AA72" s="54">
        <f>IF(NOTA[[#This Row],[JUMLAH]]="","",NOTA[[#This Row],[JUMLAH]]-NOTA[[#This Row],[DISC]])</f>
        <v>657360</v>
      </c>
      <c r="AB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1213800</v>
      </c>
      <c r="AC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5926200</v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72" s="54" t="str">
        <f>IF(OR(NOTA[[#This Row],[QTY]]="",NOTA[[#This Row],[HARGA SATUAN]]="",),"",NOTA[[#This Row],[QTY]]*NOTA[[#This Row],[HARGA SATUAN]])</f>
        <v/>
      </c>
      <c r="AF72" s="51">
        <f ca="1">IF(NOTA[ID_H]="","",INDEX(NOTA[TANGGAL],MATCH(,INDIRECT(ADDRESS(ROW(NOTA[TANGGAL]),COLUMN(NOTA[TANGGAL]))&amp;":"&amp;ADDRESS(ROW(),COLUMN(NOTA[TANGGAL]))),-1)))</f>
        <v>45022</v>
      </c>
      <c r="AG72" s="65" t="str">
        <f ca="1">IF(NOTA[[#This Row],[NAMA BARANG]]="","",INDEX(NOTA[SUPPLIER],MATCH(,INDIRECT(ADDRESS(ROW(NOTA[ID]),COLUMN(NOTA[ID]))&amp;":"&amp;ADDRESS(ROW(),COLUMN(NOTA[ID]))),-1)))</f>
        <v>KENKO SINAR INDONESIA</v>
      </c>
      <c r="AH72" s="65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4</v>
      </c>
      <c r="AK72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38" t="str">
        <f>IF(NOTA[[#This Row],[CONCAT4]]="","",_xlfn.IFNA(MATCH(NOTA[[#This Row],[CONCAT4]],[2]!RAW[CONCAT_H],0),FALSE))</f>
        <v/>
      </c>
      <c r="AP72" s="174">
        <f>IF(NOTA[[#This Row],[CONCAT1]]="","",MATCH(NOTA[[#This Row],[CONCAT1]],[3]!db[NB NOTA_C],0)+1)</f>
        <v>539</v>
      </c>
    </row>
    <row r="73" spans="1:42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 t="str">
        <f ca="1">IF(NOTA[[#This Row],[NAMA BARANG]]="","",INDEX(NOTA[ID],MATCH(,INDIRECT(ADDRESS(ROW(NOTA[ID]),COLUMN(NOTA[ID]))&amp;":"&amp;ADDRESS(ROW(),COLUMN(NOTA[ID]))),-1)))</f>
        <v/>
      </c>
      <c r="E73" s="23"/>
      <c r="F73" s="26"/>
      <c r="G73" s="26"/>
      <c r="H73" s="31"/>
      <c r="I73" s="26"/>
      <c r="J73" s="51"/>
      <c r="K73" s="26"/>
      <c r="L73" s="26"/>
      <c r="M73" s="39"/>
      <c r="N73" s="26"/>
      <c r="O73" s="26"/>
      <c r="P73" s="49"/>
      <c r="Q73" s="52"/>
      <c r="R73" s="39"/>
      <c r="S73" s="53"/>
      <c r="T73" s="53"/>
      <c r="U73" s="54"/>
      <c r="V73" s="37"/>
      <c r="W73" s="54" t="str">
        <f>IF(NOTA[[#This Row],[HARGA/ CTN]]="",NOTA[[#This Row],[JUMLAH_H]],NOTA[[#This Row],[HARGA/ CTN]]*IF(NOTA[[#This Row],[C]]="",0,NOTA[[#This Row],[C]]))</f>
        <v/>
      </c>
      <c r="X73" s="54" t="str">
        <f>IF(NOTA[[#This Row],[JUMLAH]]="","",NOTA[[#This Row],[JUMLAH]]*NOTA[[#This Row],[DISC 1]])</f>
        <v/>
      </c>
      <c r="Y73" s="54" t="str">
        <f>IF(NOTA[[#This Row],[JUMLAH]]="","",(NOTA[[#This Row],[JUMLAH]]-NOTA[[#This Row],[DISC 1-]])*NOTA[[#This Row],[DISC 2]])</f>
        <v/>
      </c>
      <c r="Z73" s="54" t="str">
        <f>IF(NOTA[[#This Row],[JUMLAH]]="","",NOTA[[#This Row],[DISC 1-]]+NOTA[[#This Row],[DISC 2-]])</f>
        <v/>
      </c>
      <c r="AA73" s="54" t="str">
        <f>IF(NOTA[[#This Row],[JUMLAH]]="","",NOTA[[#This Row],[JUMLAH]]-NOTA[[#This Row],[DISC]])</f>
        <v/>
      </c>
      <c r="AB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" s="54" t="str">
        <f>IF(OR(NOTA[[#This Row],[QTY]]="",NOTA[[#This Row],[HARGA SATUAN]]="",),"",NOTA[[#This Row],[QTY]]*NOTA[[#This Row],[HARGA SATUAN]])</f>
        <v/>
      </c>
      <c r="AF73" s="51" t="str">
        <f ca="1">IF(NOTA[ID_H]="","",INDEX(NOTA[TANGGAL],MATCH(,INDIRECT(ADDRESS(ROW(NOTA[TANGGAL]),COLUMN(NOTA[TANGGAL]))&amp;":"&amp;ADDRESS(ROW(),COLUMN(NOTA[TANGGAL]))),-1)))</f>
        <v/>
      </c>
      <c r="AG73" s="65" t="str">
        <f ca="1">IF(NOTA[[#This Row],[NAMA BARANG]]="","",INDEX(NOTA[SUPPLIER],MATCH(,INDIRECT(ADDRESS(ROW(NOTA[ID]),COLUMN(NOTA[ID]))&amp;":"&amp;ADDRESS(ROW(),COLUMN(NOTA[ID]))),-1)))</f>
        <v/>
      </c>
      <c r="AH73" s="65" t="str">
        <f ca="1">IF(NOTA[[#This Row],[ID_H]]="","",IF(NOTA[[#This Row],[FAKTUR]]="",INDIRECT(ADDRESS(ROW()-1,COLUMN())),NOTA[[#This Row],[FAKTUR]]))</f>
        <v/>
      </c>
      <c r="AI73" s="38" t="str">
        <f ca="1">IF(NOTA[[#This Row],[ID]]="","",COUNTIF(NOTA[ID_H],NOTA[[#This Row],[ID_H]]))</f>
        <v/>
      </c>
      <c r="AJ73" s="38" t="str">
        <f ca="1">IF(NOTA[[#This Row],[TGL.NOTA]]="",IF(NOTA[[#This Row],[SUPPLIER_H]]="","",AJ72),MONTH(NOTA[[#This Row],[TGL.NOTA]]))</f>
        <v/>
      </c>
      <c r="AK73" s="38" t="str">
        <f>LOWER(SUBSTITUTE(SUBSTITUTE(SUBSTITUTE(SUBSTITUTE(SUBSTITUTE(SUBSTITUTE(SUBSTITUTE(SUBSTITUTE(SUBSTITUTE(NOTA[NAMA BARANG]," ",),".",""),"-",""),"(",""),")",""),",",""),"/",""),"""",""),"+",""))</f>
        <v/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38" t="str">
        <f>IF(NOTA[[#This Row],[CONCAT4]]="","",_xlfn.IFNA(MATCH(NOTA[[#This Row],[CONCAT4]],[2]!RAW[CONCAT_H],0),FALSE))</f>
        <v/>
      </c>
      <c r="AP73" s="174" t="str">
        <f>IF(NOTA[[#This Row],[CONCAT1]]="","",MATCH(NOTA[[#This Row],[CONCAT1]],[3]!db[NB NOTA_C],0)+1)</f>
        <v/>
      </c>
    </row>
    <row r="74" spans="1:42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KEN_0604_384-2</v>
      </c>
      <c r="C74" s="50" t="e">
        <f ca="1">IF(NOTA[[#This Row],[ID_P]]="","",MATCH(NOTA[[#This Row],[ID_P]],[1]!B_MSK[N_ID],0))</f>
        <v>#REF!</v>
      </c>
      <c r="D74" s="50">
        <f ca="1">IF(NOTA[[#This Row],[NAMA BARANG]]="","",INDEX(NOTA[ID],MATCH(,INDIRECT(ADDRESS(ROW(NOTA[ID]),COLUMN(NOTA[ID]))&amp;":"&amp;ADDRESS(ROW(),COLUMN(NOTA[ID]))),-1)))</f>
        <v>15</v>
      </c>
      <c r="E74" s="23"/>
      <c r="F74" s="26" t="s">
        <v>23</v>
      </c>
      <c r="G74" s="26" t="s">
        <v>24</v>
      </c>
      <c r="H74" s="31" t="s">
        <v>237</v>
      </c>
      <c r="I74" s="26" t="s">
        <v>255</v>
      </c>
      <c r="J74" s="51">
        <v>45021</v>
      </c>
      <c r="K74" s="26"/>
      <c r="L74" s="26" t="s">
        <v>238</v>
      </c>
      <c r="M74" s="39">
        <v>1</v>
      </c>
      <c r="N74" s="26"/>
      <c r="O74" s="26"/>
      <c r="P74" s="49"/>
      <c r="Q74" s="52">
        <v>3542400</v>
      </c>
      <c r="R74" s="39" t="s">
        <v>155</v>
      </c>
      <c r="S74" s="53">
        <v>0.17</v>
      </c>
      <c r="T74" s="53"/>
      <c r="U74" s="54"/>
      <c r="V74" s="37"/>
      <c r="W74" s="54">
        <f>IF(NOTA[[#This Row],[HARGA/ CTN]]="",NOTA[[#This Row],[JUMLAH_H]],NOTA[[#This Row],[HARGA/ CTN]]*IF(NOTA[[#This Row],[C]]="",0,NOTA[[#This Row],[C]]))</f>
        <v>3542400</v>
      </c>
      <c r="X74" s="54">
        <f>IF(NOTA[[#This Row],[JUMLAH]]="","",NOTA[[#This Row],[JUMLAH]]*NOTA[[#This Row],[DISC 1]])</f>
        <v>602208</v>
      </c>
      <c r="Y74" s="54">
        <f>IF(NOTA[[#This Row],[JUMLAH]]="","",(NOTA[[#This Row],[JUMLAH]]-NOTA[[#This Row],[DISC 1-]])*NOTA[[#This Row],[DISC 2]])</f>
        <v>0</v>
      </c>
      <c r="Z74" s="54">
        <f>IF(NOTA[[#This Row],[JUMLAH]]="","",NOTA[[#This Row],[DISC 1-]]+NOTA[[#This Row],[DISC 2-]])</f>
        <v>602208</v>
      </c>
      <c r="AA74" s="54">
        <f>IF(NOTA[[#This Row],[JUMLAH]]="","",NOTA[[#This Row],[JUMLAH]]-NOTA[[#This Row],[DISC]])</f>
        <v>2940192</v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74" s="54" t="str">
        <f>IF(OR(NOTA[[#This Row],[QTY]]="",NOTA[[#This Row],[HARGA SATUAN]]="",),"",NOTA[[#This Row],[QTY]]*NOTA[[#This Row],[HARGA SATUAN]])</f>
        <v/>
      </c>
      <c r="AF74" s="51">
        <f ca="1">IF(NOTA[ID_H]="","",INDEX(NOTA[TANGGAL],MATCH(,INDIRECT(ADDRESS(ROW(NOTA[TANGGAL]),COLUMN(NOTA[TANGGAL]))&amp;":"&amp;ADDRESS(ROW(),COLUMN(NOTA[TANGGAL]))),-1)))</f>
        <v>45022</v>
      </c>
      <c r="AG74" s="65" t="str">
        <f ca="1">IF(NOTA[[#This Row],[NAMA BARANG]]="","",INDEX(NOTA[SUPPLIER],MATCH(,INDIRECT(ADDRESS(ROW(NOTA[ID]),COLUMN(NOTA[ID]))&amp;":"&amp;ADDRESS(ROW(),COLUMN(NOTA[ID]))),-1)))</f>
        <v>KENKO SINAR INDONESIA</v>
      </c>
      <c r="AH74" s="65" t="str">
        <f ca="1">IF(NOTA[[#This Row],[ID_H]]="","",IF(NOTA[[#This Row],[FAKTUR]]="",INDIRECT(ADDRESS(ROW()-1,COLUMN())),NOTA[[#This Row],[FAKTUR]]))</f>
        <v>ARTO MORO</v>
      </c>
      <c r="AI74" s="38">
        <f ca="1">IF(NOTA[[#This Row],[ID]]="","",COUNTIF(NOTA[ID_H],NOTA[[#This Row],[ID_H]]))</f>
        <v>2</v>
      </c>
      <c r="AJ74" s="38">
        <f>IF(NOTA[[#This Row],[TGL.NOTA]]="",IF(NOTA[[#This Row],[SUPPLIER_H]]="","",AJ73),MONTH(NOTA[[#This Row],[TGL.NOTA]]))</f>
        <v>4</v>
      </c>
      <c r="AK74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7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MORO23040384SA 4095545021kenkogelpenke200black</v>
      </c>
      <c r="AO74" s="38" t="e">
        <f>IF(NOTA[[#This Row],[CONCAT4]]="","",_xlfn.IFNA(MATCH(NOTA[[#This Row],[CONCAT4]],[2]!RAW[CONCAT_H],0),FALSE))</f>
        <v>#REF!</v>
      </c>
      <c r="AP74" s="174">
        <f>IF(NOTA[[#This Row],[CONCAT1]]="","",MATCH(NOTA[[#This Row],[CONCAT1]],[3]!db[NB NOTA_C],0)+1)</f>
        <v>363</v>
      </c>
    </row>
    <row r="75" spans="1:42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239</v>
      </c>
      <c r="M75" s="39">
        <v>5</v>
      </c>
      <c r="N75" s="26"/>
      <c r="O75" s="26"/>
      <c r="P75" s="49"/>
      <c r="Q75" s="52">
        <v>2280000</v>
      </c>
      <c r="R75" s="39" t="s">
        <v>159</v>
      </c>
      <c r="S75" s="53">
        <v>0.17</v>
      </c>
      <c r="T75" s="53"/>
      <c r="U75" s="54"/>
      <c r="V75" s="37"/>
      <c r="W75" s="54">
        <f>IF(NOTA[[#This Row],[HARGA/ CTN]]="",NOTA[[#This Row],[JUMLAH_H]],NOTA[[#This Row],[HARGA/ CTN]]*IF(NOTA[[#This Row],[C]]="",0,NOTA[[#This Row],[C]]))</f>
        <v>11400000</v>
      </c>
      <c r="X75" s="54">
        <f>IF(NOTA[[#This Row],[JUMLAH]]="","",NOTA[[#This Row],[JUMLAH]]*NOTA[[#This Row],[DISC 1]])</f>
        <v>1938000.0000000002</v>
      </c>
      <c r="Y75" s="54">
        <f>IF(NOTA[[#This Row],[JUMLAH]]="","",(NOTA[[#This Row],[JUMLAH]]-NOTA[[#This Row],[DISC 1-]])*NOTA[[#This Row],[DISC 2]])</f>
        <v>0</v>
      </c>
      <c r="Z75" s="54">
        <f>IF(NOTA[[#This Row],[JUMLAH]]="","",NOTA[[#This Row],[DISC 1-]]+NOTA[[#This Row],[DISC 2-]])</f>
        <v>1938000.0000000002</v>
      </c>
      <c r="AA75" s="54">
        <f>IF(NOTA[[#This Row],[JUMLAH]]="","",NOTA[[#This Row],[JUMLAH]]-NOTA[[#This Row],[DISC]])</f>
        <v>9462000</v>
      </c>
      <c r="AB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2540208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12402192</v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45022</v>
      </c>
      <c r="AG75" s="65" t="str">
        <f ca="1">IF(NOTA[[#This Row],[NAMA BARANG]]="","",INDEX(NOTA[SUPPLIER],MATCH(,INDIRECT(ADDRESS(ROW(NOTA[ID]),COLUMN(NOTA[ID]))&amp;":"&amp;ADDRESS(ROW(),COLUMN(NOTA[ID]))),-1)))</f>
        <v>KENKO SINAR INDONESIA</v>
      </c>
      <c r="AH75" s="65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4</v>
      </c>
      <c r="AK75" s="38" t="str">
        <f>LOWER(SUBSTITUTE(SUBSTITUTE(SUBSTITUTE(SUBSTITUTE(SUBSTITUTE(SUBSTITUTE(SUBSTITUTE(SUBSTITUTE(SUBSTITUTE(NOTA[NAMA BARANG]," ",),".",""),"-",""),"(",""),")",""),",",""),"/",""),"""",""),"+",""))</f>
        <v>kenkostaplerhd50newcolor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kenkostaplerhd50newcolor22800000.17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kenkostaplerhd50newcolor22800000.17</v>
      </c>
      <c r="AN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38" t="str">
        <f>IF(NOTA[[#This Row],[CONCAT4]]="","",_xlfn.IFNA(MATCH(NOTA[[#This Row],[CONCAT4]],[2]!RAW[CONCAT_H],0),FALSE))</f>
        <v/>
      </c>
      <c r="AP75" s="174">
        <f>IF(NOTA[[#This Row],[CONCAT1]]="","",MATCH(NOTA[[#This Row],[CONCAT1]],[3]!db[NB NOTA_C],0)+1)</f>
        <v>769</v>
      </c>
    </row>
    <row r="76" spans="1:42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 t="str">
        <f ca="1">IF(NOTA[[#This Row],[NAMA BARANG]]="","",INDEX(NOTA[ID],MATCH(,INDIRECT(ADDRESS(ROW(NOTA[ID]),COLUMN(NOTA[ID]))&amp;":"&amp;ADDRESS(ROW(),COLUMN(NOTA[ID]))),-1)))</f>
        <v/>
      </c>
      <c r="E76" s="23"/>
      <c r="F76" s="26"/>
      <c r="G76" s="26"/>
      <c r="H76" s="31"/>
      <c r="I76" s="26"/>
      <c r="J76" s="51"/>
      <c r="K76" s="26"/>
      <c r="L76" s="26"/>
      <c r="M76" s="39"/>
      <c r="N76" s="26"/>
      <c r="O76" s="26"/>
      <c r="P76" s="49"/>
      <c r="Q76" s="52"/>
      <c r="R76" s="39"/>
      <c r="S76" s="53"/>
      <c r="T76" s="53"/>
      <c r="U76" s="54"/>
      <c r="V76" s="37"/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54" t="str">
        <f>IF(OR(NOTA[[#This Row],[QTY]]="",NOTA[[#This Row],[HARGA SATUAN]]="",),"",NOTA[[#This Row],[QTY]]*NOTA[[#This Row],[HARGA SATUAN]])</f>
        <v/>
      </c>
      <c r="AF76" s="51" t="str">
        <f ca="1">IF(NOTA[ID_H]="","",INDEX(NOTA[TANGGAL],MATCH(,INDIRECT(ADDRESS(ROW(NOTA[TANGGAL]),COLUMN(NOTA[TANGGAL]))&amp;":"&amp;ADDRESS(ROW(),COLUMN(NOTA[TANGGAL]))),-1)))</f>
        <v/>
      </c>
      <c r="AG76" s="65" t="str">
        <f ca="1">IF(NOTA[[#This Row],[NAMA BARANG]]="","",INDEX(NOTA[SUPPLIER],MATCH(,INDIRECT(ADDRESS(ROW(NOTA[ID]),COLUMN(NOTA[ID]))&amp;":"&amp;ADDRESS(ROW(),COLUMN(NOTA[ID]))),-1)))</f>
        <v/>
      </c>
      <c r="AH76" s="65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" s="38" t="str">
        <f>IF(NOTA[[#This Row],[CONCAT4]]="","",_xlfn.IFNA(MATCH(NOTA[[#This Row],[CONCAT4]],[2]!RAW[CONCAT_H],0),FALSE))</f>
        <v/>
      </c>
      <c r="AP76" s="174" t="str">
        <f>IF(NOTA[[#This Row],[CONCAT1]]="","",MATCH(NOTA[[#This Row],[CONCAT1]],[3]!db[NB NOTA_C],0)+1)</f>
        <v/>
      </c>
    </row>
    <row r="77" spans="1:42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KEN_0604_401-2</v>
      </c>
      <c r="C77" s="50" t="e">
        <f ca="1">IF(NOTA[[#This Row],[ID_P]]="","",MATCH(NOTA[[#This Row],[ID_P]],[1]!B_MSK[N_ID],0))</f>
        <v>#REF!</v>
      </c>
      <c r="D77" s="50">
        <f ca="1">IF(NOTA[[#This Row],[NAMA BARANG]]="","",INDEX(NOTA[ID],MATCH(,INDIRECT(ADDRESS(ROW(NOTA[ID]),COLUMN(NOTA[ID]))&amp;":"&amp;ADDRESS(ROW(),COLUMN(NOTA[ID]))),-1)))</f>
        <v>16</v>
      </c>
      <c r="E77" s="23"/>
      <c r="F77" s="26" t="s">
        <v>23</v>
      </c>
      <c r="G77" s="26" t="s">
        <v>24</v>
      </c>
      <c r="H77" s="31" t="s">
        <v>240</v>
      </c>
      <c r="I77" s="26" t="s">
        <v>256</v>
      </c>
      <c r="J77" s="51">
        <v>45021</v>
      </c>
      <c r="K77" s="26"/>
      <c r="L77" s="26" t="s">
        <v>241</v>
      </c>
      <c r="M77" s="39">
        <v>1</v>
      </c>
      <c r="N77" s="26"/>
      <c r="O77" s="26"/>
      <c r="P77" s="49"/>
      <c r="Q77" s="52">
        <v>444000</v>
      </c>
      <c r="R77" s="39" t="s">
        <v>257</v>
      </c>
      <c r="S77" s="53">
        <v>0.17</v>
      </c>
      <c r="T77" s="53"/>
      <c r="U77" s="54"/>
      <c r="V77" s="37"/>
      <c r="W77" s="54">
        <f>IF(NOTA[[#This Row],[HARGA/ CTN]]="",NOTA[[#This Row],[JUMLAH_H]],NOTA[[#This Row],[HARGA/ CTN]]*IF(NOTA[[#This Row],[C]]="",0,NOTA[[#This Row],[C]]))</f>
        <v>444000</v>
      </c>
      <c r="X77" s="54">
        <f>IF(NOTA[[#This Row],[JUMLAH]]="","",NOTA[[#This Row],[JUMLAH]]*NOTA[[#This Row],[DISC 1]])</f>
        <v>75480</v>
      </c>
      <c r="Y77" s="54">
        <f>IF(NOTA[[#This Row],[JUMLAH]]="","",(NOTA[[#This Row],[JUMLAH]]-NOTA[[#This Row],[DISC 1-]])*NOTA[[#This Row],[DISC 2]])</f>
        <v>0</v>
      </c>
      <c r="Z77" s="54">
        <f>IF(NOTA[[#This Row],[JUMLAH]]="","",NOTA[[#This Row],[DISC 1-]]+NOTA[[#This Row],[DISC 2-]])</f>
        <v>75480</v>
      </c>
      <c r="AA77" s="54">
        <f>IF(NOTA[[#This Row],[JUMLAH]]="","",NOTA[[#This Row],[JUMLAH]]-NOTA[[#This Row],[DISC]])</f>
        <v>368520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45022</v>
      </c>
      <c r="AG77" s="65" t="str">
        <f ca="1">IF(NOTA[[#This Row],[NAMA BARANG]]="","",INDEX(NOTA[SUPPLIER],MATCH(,INDIRECT(ADDRESS(ROW(NOTA[ID]),COLUMN(NOTA[ID]))&amp;":"&amp;ADDRESS(ROW(),COLUMN(NOTA[ID]))),-1)))</f>
        <v>KENKO SINAR INDONESIA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2</v>
      </c>
      <c r="AJ77" s="38">
        <f>IF(NOTA[[#This Row],[TGL.NOTA]]="",IF(NOTA[[#This Row],[SUPPLIER_H]]="","",AJ76),MONTH(NOTA[[#This Row],[TGL.NOTA]]))</f>
        <v>4</v>
      </c>
      <c r="AK77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7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MORO23040401SA 4097145021kenkotapedispensertd3211&amp;3core</v>
      </c>
      <c r="AO77" s="38" t="e">
        <f>IF(NOTA[[#This Row],[CONCAT4]]="","",_xlfn.IFNA(MATCH(NOTA[[#This Row],[CONCAT4]],[2]!RAW[CONCAT_H],0),FALSE))</f>
        <v>#REF!</v>
      </c>
      <c r="AP77" s="174">
        <f>IF(NOTA[[#This Row],[CONCAT1]]="","",MATCH(NOTA[[#This Row],[CONCAT1]],[3]!db[NB NOTA_C],0)+1)</f>
        <v>808</v>
      </c>
    </row>
    <row r="78" spans="1:42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16</v>
      </c>
      <c r="E78" s="23"/>
      <c r="F78" s="26"/>
      <c r="G78" s="26"/>
      <c r="H78" s="31"/>
      <c r="I78" s="26"/>
      <c r="J78" s="51"/>
      <c r="K78" s="26"/>
      <c r="L78" s="26" t="s">
        <v>242</v>
      </c>
      <c r="M78" s="39">
        <v>15</v>
      </c>
      <c r="N78" s="26"/>
      <c r="O78" s="26"/>
      <c r="P78" s="49"/>
      <c r="Q78" s="52">
        <v>462000</v>
      </c>
      <c r="R78" s="39" t="s">
        <v>257</v>
      </c>
      <c r="S78" s="53">
        <v>0.17</v>
      </c>
      <c r="T78" s="53"/>
      <c r="U78" s="54"/>
      <c r="V78" s="37"/>
      <c r="W78" s="54">
        <f>IF(NOTA[[#This Row],[HARGA/ CTN]]="",NOTA[[#This Row],[JUMLAH_H]],NOTA[[#This Row],[HARGA/ CTN]]*IF(NOTA[[#This Row],[C]]="",0,NOTA[[#This Row],[C]]))</f>
        <v>6930000</v>
      </c>
      <c r="X78" s="54">
        <f>IF(NOTA[[#This Row],[JUMLAH]]="","",NOTA[[#This Row],[JUMLAH]]*NOTA[[#This Row],[DISC 1]])</f>
        <v>1178100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1178100</v>
      </c>
      <c r="AA78" s="54">
        <f>IF(NOTA[[#This Row],[JUMLAH]]="","",NOTA[[#This Row],[JUMLAH]]-NOTA[[#This Row],[DISC]])</f>
        <v>5751900</v>
      </c>
      <c r="AB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1253580</v>
      </c>
      <c r="AC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6120420</v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8" s="54" t="str">
        <f>IF(OR(NOTA[[#This Row],[QTY]]="",NOTA[[#This Row],[HARGA SATUAN]]="",),"",NOTA[[#This Row],[QTY]]*NOTA[[#This Row],[HARGA SATUAN]])</f>
        <v/>
      </c>
      <c r="AF78" s="51">
        <f ca="1">IF(NOTA[ID_H]="","",INDEX(NOTA[TANGGAL],MATCH(,INDIRECT(ADDRESS(ROW(NOTA[TANGGAL]),COLUMN(NOTA[TANGGAL]))&amp;":"&amp;ADDRESS(ROW(),COLUMN(NOTA[TANGGAL]))),-1)))</f>
        <v>45022</v>
      </c>
      <c r="AG78" s="65" t="str">
        <f ca="1">IF(NOTA[[#This Row],[NAMA BARANG]]="","",INDEX(NOTA[SUPPLIER],MATCH(,INDIRECT(ADDRESS(ROW(NOTA[ID]),COLUMN(NOTA[ID]))&amp;":"&amp;ADDRESS(ROW(),COLUMN(NOTA[ID]))),-1)))</f>
        <v>KENKO SINAR INDONESIA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4</v>
      </c>
      <c r="AK78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38" t="str">
        <f>IF(NOTA[[#This Row],[CONCAT4]]="","",_xlfn.IFNA(MATCH(NOTA[[#This Row],[CONCAT4]],[2]!RAW[CONCAT_H],0),FALSE))</f>
        <v/>
      </c>
      <c r="AP78" s="174">
        <f>IF(NOTA[[#This Row],[CONCAT1]]="","",MATCH(NOTA[[#This Row],[CONCAT1]],[3]!db[NB NOTA_C],0)+1)</f>
        <v>809</v>
      </c>
    </row>
    <row r="79" spans="1:42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 t="str">
        <f ca="1">IF(NOTA[[#This Row],[NAMA BARANG]]="","",INDEX(NOTA[ID],MATCH(,INDIRECT(ADDRESS(ROW(NOTA[ID]),COLUMN(NOTA[ID]))&amp;":"&amp;ADDRESS(ROW(),COLUMN(NOTA[ID]))),-1)))</f>
        <v/>
      </c>
      <c r="E79" s="23"/>
      <c r="F79" s="26"/>
      <c r="G79" s="26"/>
      <c r="H79" s="31"/>
      <c r="I79" s="26"/>
      <c r="J79" s="51"/>
      <c r="K79" s="26"/>
      <c r="L79" s="26"/>
      <c r="M79" s="39"/>
      <c r="N79" s="26"/>
      <c r="O79" s="26"/>
      <c r="P79" s="49"/>
      <c r="Q79" s="52"/>
      <c r="R79" s="39"/>
      <c r="S79" s="53"/>
      <c r="T79" s="53"/>
      <c r="U79" s="54"/>
      <c r="V79" s="37"/>
      <c r="W79" s="54" t="str">
        <f>IF(NOTA[[#This Row],[HARGA/ CTN]]="",NOTA[[#This Row],[JUMLAH_H]],NOTA[[#This Row],[HARGA/ CTN]]*IF(NOTA[[#This Row],[C]]="",0,NOTA[[#This Row],[C]]))</f>
        <v/>
      </c>
      <c r="X79" s="54" t="str">
        <f>IF(NOTA[[#This Row],[JUMLAH]]="","",NOTA[[#This Row],[JUMLAH]]*NOTA[[#This Row],[DISC 1]])</f>
        <v/>
      </c>
      <c r="Y79" s="54" t="str">
        <f>IF(NOTA[[#This Row],[JUMLAH]]="","",(NOTA[[#This Row],[JUMLAH]]-NOTA[[#This Row],[DISC 1-]])*NOTA[[#This Row],[DISC 2]])</f>
        <v/>
      </c>
      <c r="Z79" s="54" t="str">
        <f>IF(NOTA[[#This Row],[JUMLAH]]="","",NOTA[[#This Row],[DISC 1-]]+NOTA[[#This Row],[DISC 2-]])</f>
        <v/>
      </c>
      <c r="AA79" s="54" t="str">
        <f>IF(NOTA[[#This Row],[JUMLAH]]="","",NOTA[[#This Row],[JUMLAH]]-NOTA[[#This Row],[DISC]])</f>
        <v/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" s="54" t="str">
        <f>IF(OR(NOTA[[#This Row],[QTY]]="",NOTA[[#This Row],[HARGA SATUAN]]="",),"",NOTA[[#This Row],[QTY]]*NOTA[[#This Row],[HARGA SATUAN]])</f>
        <v/>
      </c>
      <c r="AF79" s="51" t="str">
        <f ca="1">IF(NOTA[ID_H]="","",INDEX(NOTA[TANGGAL],MATCH(,INDIRECT(ADDRESS(ROW(NOTA[TANGGAL]),COLUMN(NOTA[TANGGAL]))&amp;":"&amp;ADDRESS(ROW(),COLUMN(NOTA[TANGGAL]))),-1)))</f>
        <v/>
      </c>
      <c r="AG79" s="65" t="str">
        <f ca="1">IF(NOTA[[#This Row],[NAMA BARANG]]="","",INDEX(NOTA[SUPPLIER],MATCH(,INDIRECT(ADDRESS(ROW(NOTA[ID]),COLUMN(NOTA[ID]))&amp;":"&amp;ADDRESS(ROW(),COLUMN(NOTA[ID]))),-1)))</f>
        <v/>
      </c>
      <c r="AH79" s="65" t="str">
        <f ca="1">IF(NOTA[[#This Row],[ID_H]]="","",IF(NOTA[[#This Row],[FAKTUR]]="",INDIRECT(ADDRESS(ROW()-1,COLUMN())),NOTA[[#This Row],[FAKTUR]]))</f>
        <v/>
      </c>
      <c r="AI79" s="38" t="str">
        <f ca="1">IF(NOTA[[#This Row],[ID]]="","",COUNTIF(NOTA[ID_H],NOTA[[#This Row],[ID_H]]))</f>
        <v/>
      </c>
      <c r="AJ79" s="38" t="str">
        <f ca="1">IF(NOTA[[#This Row],[TGL.NOTA]]="",IF(NOTA[[#This Row],[SUPPLIER_H]]="","",AJ78),MONTH(NOTA[[#This Row],[TGL.NOTA]]))</f>
        <v/>
      </c>
      <c r="AK79" s="38" t="str">
        <f>LOWER(SUBSTITUTE(SUBSTITUTE(SUBSTITUTE(SUBSTITUTE(SUBSTITUTE(SUBSTITUTE(SUBSTITUTE(SUBSTITUTE(SUBSTITUTE(NOTA[NAMA BARANG]," ",),".",""),"-",""),"(",""),")",""),",",""),"/",""),"""",""),"+",""))</f>
        <v/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38" t="str">
        <f>IF(NOTA[[#This Row],[CONCAT4]]="","",_xlfn.IFNA(MATCH(NOTA[[#This Row],[CONCAT4]],[2]!RAW[CONCAT_H],0),FALSE))</f>
        <v/>
      </c>
      <c r="AP79" s="174" t="str">
        <f>IF(NOTA[[#This Row],[CONCAT1]]="","",MATCH(NOTA[[#This Row],[CONCAT1]],[3]!db[NB NOTA_C],0)+1)</f>
        <v/>
      </c>
    </row>
    <row r="80" spans="1:42" ht="20.100000000000001" customHeight="1" x14ac:dyDescent="0.25">
      <c r="A8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COM_0504_404-2</v>
      </c>
      <c r="C80" s="50" t="e">
        <f ca="1">IF(NOTA[[#This Row],[ID_P]]="","",MATCH(NOTA[[#This Row],[ID_P]],[1]!B_MSK[N_ID],0))</f>
        <v>#REF!</v>
      </c>
      <c r="D80" s="50">
        <f ca="1">IF(NOTA[[#This Row],[NAMA BARANG]]="","",INDEX(NOTA[ID],MATCH(,INDIRECT(ADDRESS(ROW(NOTA[ID]),COLUMN(NOTA[ID]))&amp;":"&amp;ADDRESS(ROW(),COLUMN(NOTA[ID]))),-1)))</f>
        <v>17</v>
      </c>
      <c r="E80" s="23">
        <v>45021</v>
      </c>
      <c r="F80" s="26" t="s">
        <v>258</v>
      </c>
      <c r="G80" s="26" t="s">
        <v>176</v>
      </c>
      <c r="H80" s="31" t="s">
        <v>259</v>
      </c>
      <c r="I80" s="26"/>
      <c r="J80" s="51">
        <v>45021</v>
      </c>
      <c r="K80" s="26"/>
      <c r="L80" s="26" t="s">
        <v>260</v>
      </c>
      <c r="M80" s="39"/>
      <c r="N80" s="26">
        <v>8</v>
      </c>
      <c r="O80" s="26" t="s">
        <v>261</v>
      </c>
      <c r="P80" s="49">
        <v>195000</v>
      </c>
      <c r="Q80" s="52"/>
      <c r="R80" s="39" t="s">
        <v>262</v>
      </c>
      <c r="S80" s="53"/>
      <c r="T80" s="53"/>
      <c r="U80" s="54"/>
      <c r="V80" s="37"/>
      <c r="W80" s="54">
        <f>IF(NOTA[[#This Row],[HARGA/ CTN]]="",NOTA[[#This Row],[JUMLAH_H]],NOTA[[#This Row],[HARGA/ CTN]]*IF(NOTA[[#This Row],[C]]="",0,NOTA[[#This Row],[C]]))</f>
        <v>1560000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1560000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0" s="54">
        <f>IF(OR(NOTA[[#This Row],[QTY]]="",NOTA[[#This Row],[HARGA SATUAN]]="",),"",NOTA[[#This Row],[QTY]]*NOTA[[#This Row],[HARGA SATUAN]])</f>
        <v>1560000</v>
      </c>
      <c r="AF80" s="51">
        <f ca="1">IF(NOTA[ID_H]="","",INDEX(NOTA[TANGGAL],MATCH(,INDIRECT(ADDRESS(ROW(NOTA[TANGGAL]),COLUMN(NOTA[TANGGAL]))&amp;":"&amp;ADDRESS(ROW(),COLUMN(NOTA[TANGGAL]))),-1)))</f>
        <v>45021</v>
      </c>
      <c r="AG80" s="65" t="str">
        <f ca="1">IF(NOTA[[#This Row],[NAMA BARANG]]="","",INDEX(NOTA[SUPPLIER],MATCH(,INDIRECT(ADDRESS(ROW(NOTA[ID]),COLUMN(NOTA[ID]))&amp;":"&amp;ADDRESS(ROW(),COLUMN(NOTA[ID]))),-1)))</f>
        <v>COMBI</v>
      </c>
      <c r="AH80" s="65" t="str">
        <f ca="1">IF(NOTA[[#This Row],[ID_H]]="","",IF(NOTA[[#This Row],[FAKTUR]]="",INDIRECT(ADDRESS(ROW()-1,COLUMN())),NOTA[[#This Row],[FAKTUR]]))</f>
        <v>UNTANA</v>
      </c>
      <c r="AI80" s="38">
        <f ca="1">IF(NOTA[[#This Row],[ID]]="","",COUNTIF(NOTA[ID_H],NOTA[[#This Row],[ID_H]]))</f>
        <v>2</v>
      </c>
      <c r="AJ80" s="38">
        <f>IF(NOTA[[#This Row],[TGL.NOTA]]="",IF(NOTA[[#This Row],[SUPPLIER_H]]="","",AJ79),MONTH(NOTA[[#This Row],[TGL.NOTA]]))</f>
        <v>4</v>
      </c>
      <c r="AK80" s="38" t="str">
        <f>LOWER(SUBSTITUTE(SUBSTITUTE(SUBSTITUTE(SUBSTITUTE(SUBSTITUTE(SUBSTITUTE(SUBSTITUTE(SUBSTITUTE(SUBSTITUTE(NOTA[NAMA BARANG]," ",),".",""),"-",""),"(",""),")",""),",",""),"/",""),"""",""),"+",""))</f>
        <v>docrestprestige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docrestprestige1560000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docrestprestige195000</v>
      </c>
      <c r="AN80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COMBIUNTANA040445021docrestprestige</v>
      </c>
      <c r="AO80" s="38" t="e">
        <f>IF(NOTA[[#This Row],[CONCAT4]]="","",_xlfn.IFNA(MATCH(NOTA[[#This Row],[CONCAT4]],[2]!RAW[CONCAT_H],0),FALSE))</f>
        <v>#REF!</v>
      </c>
      <c r="AP80" s="174" t="e">
        <f>IF(NOTA[[#This Row],[CONCAT1]]="","",MATCH(NOTA[[#This Row],[CONCAT1]],[3]!db[NB NOTA_C],0)+1)</f>
        <v>#N/A</v>
      </c>
    </row>
    <row r="81" spans="1:42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17</v>
      </c>
      <c r="E81" s="23"/>
      <c r="F81" s="26"/>
      <c r="G81" s="26"/>
      <c r="H81" s="31"/>
      <c r="I81" s="26"/>
      <c r="J81" s="51"/>
      <c r="K81" s="26"/>
      <c r="L81" s="26" t="s">
        <v>263</v>
      </c>
      <c r="M81" s="39"/>
      <c r="N81" s="26">
        <v>8</v>
      </c>
      <c r="O81" s="26" t="s">
        <v>261</v>
      </c>
      <c r="P81" s="49">
        <v>180000</v>
      </c>
      <c r="Q81" s="52"/>
      <c r="R81" s="39" t="s">
        <v>262</v>
      </c>
      <c r="S81" s="53"/>
      <c r="T81" s="53"/>
      <c r="U81" s="54"/>
      <c r="V81" s="37"/>
      <c r="W81" s="54">
        <f>IF(NOTA[[#This Row],[HARGA/ CTN]]="",NOTA[[#This Row],[JUMLAH_H]],NOTA[[#This Row],[HARGA/ CTN]]*IF(NOTA[[#This Row],[C]]="",0,NOTA[[#This Row],[C]]))</f>
        <v>1440000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1440000</v>
      </c>
      <c r="AB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81" s="54">
        <f>IF(OR(NOTA[[#This Row],[QTY]]="",NOTA[[#This Row],[HARGA SATUAN]]="",),"",NOTA[[#This Row],[QTY]]*NOTA[[#This Row],[HARGA SATUAN]])</f>
        <v>1440000</v>
      </c>
      <c r="AF81" s="51">
        <f ca="1">IF(NOTA[ID_H]="","",INDEX(NOTA[TANGGAL],MATCH(,INDIRECT(ADDRESS(ROW(NOTA[TANGGAL]),COLUMN(NOTA[TANGGAL]))&amp;":"&amp;ADDRESS(ROW(),COLUMN(NOTA[TANGGAL]))),-1)))</f>
        <v>45021</v>
      </c>
      <c r="AG81" s="65" t="str">
        <f ca="1">IF(NOTA[[#This Row],[NAMA BARANG]]="","",INDEX(NOTA[SUPPLIER],MATCH(,INDIRECT(ADDRESS(ROW(NOTA[ID]),COLUMN(NOTA[ID]))&amp;":"&amp;ADDRESS(ROW(),COLUMN(NOTA[ID]))),-1)))</f>
        <v>COMBI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4</v>
      </c>
      <c r="AK81" s="38" t="str">
        <f>LOWER(SUBSTITUTE(SUBSTITUTE(SUBSTITUTE(SUBSTITUTE(SUBSTITUTE(SUBSTITUTE(SUBSTITUTE(SUBSTITUTE(SUBSTITUTE(NOTA[NAMA BARANG]," ",),".",""),"-",""),"(",""),")",""),",",""),"/",""),"""",""),"+",""))</f>
        <v>docrestinfinity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docrestinfinity1440000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docrestinfinity180000</v>
      </c>
      <c r="AN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38" t="str">
        <f>IF(NOTA[[#This Row],[CONCAT4]]="","",_xlfn.IFNA(MATCH(NOTA[[#This Row],[CONCAT4]],[2]!RAW[CONCAT_H],0),FALSE))</f>
        <v/>
      </c>
      <c r="AP81" s="174" t="e">
        <f>IF(NOTA[[#This Row],[CONCAT1]]="","",MATCH(NOTA[[#This Row],[CONCAT1]],[3]!db[NB NOTA_C],0)+1)</f>
        <v>#N/A</v>
      </c>
    </row>
    <row r="82" spans="1:42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 t="str">
        <f ca="1">IF(NOTA[[#This Row],[NAMA BARANG]]="","",INDEX(NOTA[ID],MATCH(,INDIRECT(ADDRESS(ROW(NOTA[ID]),COLUMN(NOTA[ID]))&amp;":"&amp;ADDRESS(ROW(),COLUMN(NOTA[ID]))),-1)))</f>
        <v/>
      </c>
      <c r="E82" s="23"/>
      <c r="F82" s="26"/>
      <c r="G82" s="26"/>
      <c r="H82" s="31"/>
      <c r="I82" s="26"/>
      <c r="J82" s="51"/>
      <c r="K82" s="26"/>
      <c r="L82" s="26"/>
      <c r="M82" s="39"/>
      <c r="N82" s="26"/>
      <c r="O82" s="26"/>
      <c r="P82" s="49"/>
      <c r="Q82" s="52"/>
      <c r="R82" s="39"/>
      <c r="S82" s="53"/>
      <c r="T82" s="53"/>
      <c r="U82" s="54"/>
      <c r="V82" s="37"/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54" t="str">
        <f>IF(OR(NOTA[[#This Row],[QTY]]="",NOTA[[#This Row],[HARGA SATUAN]]="",),"",NOTA[[#This Row],[QTY]]*NOTA[[#This Row],[HARGA SATUAN]])</f>
        <v/>
      </c>
      <c r="AF82" s="51" t="str">
        <f ca="1">IF(NOTA[ID_H]="","",INDEX(NOTA[TANGGAL],MATCH(,INDIRECT(ADDRESS(ROW(NOTA[TANGGAL]),COLUMN(NOTA[TANGGAL]))&amp;":"&amp;ADDRESS(ROW(),COLUMN(NOTA[TANGGAL]))),-1)))</f>
        <v/>
      </c>
      <c r="AG82" s="65" t="str">
        <f ca="1">IF(NOTA[[#This Row],[NAMA BARANG]]="","",INDEX(NOTA[SUPPLIER],MATCH(,INDIRECT(ADDRESS(ROW(NOTA[ID]),COLUMN(NOTA[ID]))&amp;":"&amp;ADDRESS(ROW(),COLUMN(NOTA[ID]))),-1)))</f>
        <v/>
      </c>
      <c r="AH82" s="65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38" t="str">
        <f>IF(NOTA[[#This Row],[CONCAT4]]="","",_xlfn.IFNA(MATCH(NOTA[[#This Row],[CONCAT4]],[2]!RAW[CONCAT_H],0),FALSE))</f>
        <v/>
      </c>
      <c r="AP82" s="174" t="str">
        <f>IF(NOTA[[#This Row],[CONCAT1]]="","",MATCH(NOTA[[#This Row],[CONCAT1]],[3]!db[NB NOTA_C],0)+1)</f>
        <v/>
      </c>
    </row>
    <row r="83" spans="1:42" ht="20.100000000000001" customHeight="1" x14ac:dyDescent="0.25">
      <c r="A8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8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PPW_0504_V23-1</v>
      </c>
      <c r="C83" s="50" t="e">
        <f ca="1">IF(NOTA[[#This Row],[ID_P]]="","",MATCH(NOTA[[#This Row],[ID_P]],[1]!B_MSK[N_ID],0))</f>
        <v>#REF!</v>
      </c>
      <c r="D83" s="50">
        <f ca="1">IF(NOTA[[#This Row],[NAMA BARANG]]="","",INDEX(NOTA[ID],MATCH(,INDIRECT(ADDRESS(ROW(NOTA[ID]),COLUMN(NOTA[ID]))&amp;":"&amp;ADDRESS(ROW(),COLUMN(NOTA[ID]))),-1)))</f>
        <v>18</v>
      </c>
      <c r="E83" s="23"/>
      <c r="F83" s="26" t="s">
        <v>264</v>
      </c>
      <c r="G83" s="26" t="s">
        <v>176</v>
      </c>
      <c r="H83" s="31" t="s">
        <v>265</v>
      </c>
      <c r="I83" s="26"/>
      <c r="J83" s="51">
        <v>45017</v>
      </c>
      <c r="K83" s="26"/>
      <c r="L83" s="26" t="s">
        <v>266</v>
      </c>
      <c r="M83" s="39">
        <v>5</v>
      </c>
      <c r="N83" s="26">
        <v>500</v>
      </c>
      <c r="O83" s="26" t="s">
        <v>261</v>
      </c>
      <c r="P83" s="49">
        <v>26780</v>
      </c>
      <c r="Q83" s="52"/>
      <c r="R83" s="39" t="s">
        <v>267</v>
      </c>
      <c r="S83" s="53">
        <v>0.2</v>
      </c>
      <c r="T83" s="53">
        <v>0.04</v>
      </c>
      <c r="U83" s="66"/>
      <c r="V83" s="37"/>
      <c r="W83" s="54">
        <f>IF(NOTA[[#This Row],[HARGA/ CTN]]="",NOTA[[#This Row],[JUMLAH_H]],NOTA[[#This Row],[HARGA/ CTN]]*IF(NOTA[[#This Row],[C]]="",0,NOTA[[#This Row],[C]]))</f>
        <v>13390000</v>
      </c>
      <c r="X83" s="54">
        <f>IF(NOTA[[#This Row],[JUMLAH]]="","",NOTA[[#This Row],[JUMLAH]]*NOTA[[#This Row],[DISC 1]])</f>
        <v>2678000</v>
      </c>
      <c r="Y83" s="54">
        <f>IF(NOTA[[#This Row],[JUMLAH]]="","",(NOTA[[#This Row],[JUMLAH]]-NOTA[[#This Row],[DISC 1-]])*NOTA[[#This Row],[DISC 2]])</f>
        <v>428480</v>
      </c>
      <c r="Z83" s="54">
        <f>IF(NOTA[[#This Row],[JUMLAH]]="","",NOTA[[#This Row],[DISC 1-]]+NOTA[[#This Row],[DISC 2-]])</f>
        <v>3106480</v>
      </c>
      <c r="AA83" s="54">
        <f>IF(NOTA[[#This Row],[JUMLAH]]="","",NOTA[[#This Row],[JUMLAH]]-NOTA[[#This Row],[DISC]])</f>
        <v>10283520</v>
      </c>
      <c r="AB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83" s="54">
        <f>IF(OR(NOTA[[#This Row],[QTY]]="",NOTA[[#This Row],[HARGA SATUAN]]="",),"",NOTA[[#This Row],[QTY]]*NOTA[[#This Row],[HARGA SATUAN]])</f>
        <v>13390000</v>
      </c>
      <c r="AF83" s="51">
        <f ca="1">IF(NOTA[ID_H]="","",INDEX(NOTA[TANGGAL],MATCH(,INDIRECT(ADDRESS(ROW(NOTA[TANGGAL]),COLUMN(NOTA[TANGGAL]))&amp;":"&amp;ADDRESS(ROW(),COLUMN(NOTA[TANGGAL]))),-1)))</f>
        <v>45021</v>
      </c>
      <c r="AG83" s="65" t="str">
        <f ca="1">IF(NOTA[[#This Row],[NAMA BARANG]]="","",INDEX(NOTA[SUPPLIER],MATCH(,INDIRECT(ADDRESS(ROW(NOTA[ID]),COLUMN(NOTA[ID]))&amp;":"&amp;ADDRESS(ROW(),COLUMN(NOTA[ID]))),-1)))</f>
        <v>PPW</v>
      </c>
      <c r="AH83" s="65" t="str">
        <f ca="1">IF(NOTA[[#This Row],[ID_H]]="","",IF(NOTA[[#This Row],[FAKTUR]]="",INDIRECT(ADDRESS(ROW()-1,COLUMN())),NOTA[[#This Row],[FAKTUR]]))</f>
        <v>UNTANA</v>
      </c>
      <c r="AI83" s="38">
        <f ca="1">IF(NOTA[[#This Row],[ID]]="","",COUNTIF(NOTA[ID_H],NOTA[[#This Row],[ID_H]]))</f>
        <v>1</v>
      </c>
      <c r="AJ83" s="38">
        <f>IF(NOTA[[#This Row],[TGL.NOTA]]="",IF(NOTA[[#This Row],[SUPPLIER_H]]="","",AJ82),MONTH(NOTA[[#This Row],[TGL.NOTA]]))</f>
        <v>4</v>
      </c>
      <c r="AK83" s="38" t="str">
        <f>LOWER(SUBSTITUTE(SUBSTITUTE(SUBSTITUTE(SUBSTITUTE(SUBSTITUTE(SUBSTITUTE(SUBSTITUTE(SUBSTITUTE(SUBSTITUTE(NOTA[NAMA BARANG]," ",),".",""),"-",""),"(",""),")",""),",",""),"/",""),"""",""),"+",""))</f>
        <v>bt30cm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83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PPWUNTANA0003/HW/IV/2345017bt30cm</v>
      </c>
      <c r="AO83" s="38" t="e">
        <f>IF(NOTA[[#This Row],[CONCAT4]]="","",_xlfn.IFNA(MATCH(NOTA[[#This Row],[CONCAT4]],[2]!RAW[CONCAT_H],0),FALSE))</f>
        <v>#REF!</v>
      </c>
      <c r="AP83" s="174">
        <f>IF(NOTA[[#This Row],[CONCAT1]]="","",MATCH(NOTA[[#This Row],[CONCAT1]],[3]!db[NB NOTA_C],0)+1)</f>
        <v>1061</v>
      </c>
    </row>
    <row r="84" spans="1:42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 t="str">
        <f ca="1">IF(NOTA[[#This Row],[NAMA BARANG]]="","",INDEX(NOTA[ID],MATCH(,INDIRECT(ADDRESS(ROW(NOTA[ID]),COLUMN(NOTA[ID]))&amp;":"&amp;ADDRESS(ROW(),COLUMN(NOTA[ID]))),-1)))</f>
        <v/>
      </c>
      <c r="E84" s="23"/>
      <c r="F84" s="26"/>
      <c r="G84" s="26"/>
      <c r="H84" s="31"/>
      <c r="I84" s="26"/>
      <c r="J84" s="51"/>
      <c r="K84" s="26"/>
      <c r="L84" s="26"/>
      <c r="M84" s="39"/>
      <c r="N84" s="26"/>
      <c r="O84" s="26"/>
      <c r="P84" s="49"/>
      <c r="Q84" s="52"/>
      <c r="R84" s="39"/>
      <c r="S84" s="53"/>
      <c r="T84" s="53"/>
      <c r="U84" s="54"/>
      <c r="V84" s="37"/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" s="54" t="str">
        <f>IF(OR(NOTA[[#This Row],[QTY]]="",NOTA[[#This Row],[HARGA SATUAN]]="",),"",NOTA[[#This Row],[QTY]]*NOTA[[#This Row],[HARGA SATUAN]])</f>
        <v/>
      </c>
      <c r="AF84" s="51" t="str">
        <f ca="1">IF(NOTA[ID_H]="","",INDEX(NOTA[TANGGAL],MATCH(,INDIRECT(ADDRESS(ROW(NOTA[TANGGAL]),COLUMN(NOTA[TANGGAL]))&amp;":"&amp;ADDRESS(ROW(),COLUMN(NOTA[TANGGAL]))),-1)))</f>
        <v/>
      </c>
      <c r="AG84" s="65" t="str">
        <f ca="1">IF(NOTA[[#This Row],[NAMA BARANG]]="","",INDEX(NOTA[SUPPLIER],MATCH(,INDIRECT(ADDRESS(ROW(NOTA[ID]),COLUMN(NOTA[ID]))&amp;":"&amp;ADDRESS(ROW(),COLUMN(NOTA[ID]))),-1)))</f>
        <v/>
      </c>
      <c r="AH84" s="65" t="str">
        <f ca="1">IF(NOTA[[#This Row],[ID_H]]="","",IF(NOTA[[#This Row],[FAKTUR]]="",INDIRECT(ADDRESS(ROW()-1,COLUMN())),NOTA[[#This Row],[FAKTUR]]))</f>
        <v/>
      </c>
      <c r="AI84" s="38" t="str">
        <f ca="1">IF(NOTA[[#This Row],[ID]]="","",COUNTIF(NOTA[ID_H],NOTA[[#This Row],[ID_H]]))</f>
        <v/>
      </c>
      <c r="AJ84" s="38" t="str">
        <f ca="1">IF(NOTA[[#This Row],[TGL.NOTA]]="",IF(NOTA[[#This Row],[SUPPLIER_H]]="","",AJ83),MONTH(NOTA[[#This Row],[TGL.NOTA]]))</f>
        <v/>
      </c>
      <c r="AK84" s="38" t="str">
        <f>LOWER(SUBSTITUTE(SUBSTITUTE(SUBSTITUTE(SUBSTITUTE(SUBSTITUTE(SUBSTITUTE(SUBSTITUTE(SUBSTITUTE(SUBSTITUTE(NOTA[NAMA BARANG]," ",),".",""),"-",""),"(",""),")",""),",",""),"/",""),"""",""),"+",""))</f>
        <v/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38" t="str">
        <f>IF(NOTA[[#This Row],[CONCAT4]]="","",_xlfn.IFNA(MATCH(NOTA[[#This Row],[CONCAT4]],[2]!RAW[CONCAT_H],0),FALSE))</f>
        <v/>
      </c>
      <c r="AP84" s="174" t="str">
        <f>IF(NOTA[[#This Row],[CONCAT1]]="","",MATCH(NOTA[[#This Row],[CONCAT1]],[3]!db[NB NOTA_C],0)+1)</f>
        <v/>
      </c>
    </row>
    <row r="85" spans="1:42" ht="20.100000000000001" customHeight="1" x14ac:dyDescent="0.25">
      <c r="A8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SIN_0504_841-1</v>
      </c>
      <c r="C85" s="50" t="e">
        <f ca="1">IF(NOTA[[#This Row],[ID_P]]="","",MATCH(NOTA[[#This Row],[ID_P]],[1]!B_MSK[N_ID],0))</f>
        <v>#REF!</v>
      </c>
      <c r="D85" s="50">
        <f ca="1">IF(NOTA[[#This Row],[NAMA BARANG]]="","",INDEX(NOTA[ID],MATCH(,INDIRECT(ADDRESS(ROW(NOTA[ID]),COLUMN(NOTA[ID]))&amp;":"&amp;ADDRESS(ROW(),COLUMN(NOTA[ID]))),-1)))</f>
        <v>19</v>
      </c>
      <c r="E85" s="23"/>
      <c r="F85" s="26" t="s">
        <v>300</v>
      </c>
      <c r="G85" s="26" t="s">
        <v>176</v>
      </c>
      <c r="H85" s="31" t="s">
        <v>268</v>
      </c>
      <c r="I85" s="26"/>
      <c r="J85" s="51">
        <v>45016</v>
      </c>
      <c r="K85" s="26"/>
      <c r="L85" s="26" t="s">
        <v>269</v>
      </c>
      <c r="M85" s="39">
        <v>4</v>
      </c>
      <c r="N85" s="26">
        <v>360</v>
      </c>
      <c r="O85" s="26" t="s">
        <v>198</v>
      </c>
      <c r="P85" s="49">
        <v>12000</v>
      </c>
      <c r="Q85" s="52"/>
      <c r="R85" s="39" t="s">
        <v>270</v>
      </c>
      <c r="S85" s="53"/>
      <c r="T85" s="53"/>
      <c r="U85" s="54"/>
      <c r="V85" s="37"/>
      <c r="W85" s="54">
        <f>IF(NOTA[[#This Row],[HARGA/ CTN]]="",NOTA[[#This Row],[JUMLAH_H]],NOTA[[#This Row],[HARGA/ CTN]]*IF(NOTA[[#This Row],[C]]="",0,NOTA[[#This Row],[C]]))</f>
        <v>4320000</v>
      </c>
      <c r="X85" s="54">
        <f>IF(NOTA[[#This Row],[JUMLAH]]="","",NOTA[[#This Row],[JUMLAH]]*NOTA[[#This Row],[DISC 1]])</f>
        <v>0</v>
      </c>
      <c r="Y85" s="54">
        <f>IF(NOTA[[#This Row],[JUMLAH]]="","",(NOTA[[#This Row],[JUMLAH]]-NOTA[[#This Row],[DISC 1-]])*NOTA[[#This Row],[DISC 2]])</f>
        <v>0</v>
      </c>
      <c r="Z85" s="54">
        <f>IF(NOTA[[#This Row],[JUMLAH]]="","",NOTA[[#This Row],[DISC 1-]]+NOTA[[#This Row],[DISC 2-]])</f>
        <v>0</v>
      </c>
      <c r="AA85" s="54">
        <f>IF(NOTA[[#This Row],[JUMLAH]]="","",NOTA[[#This Row],[JUMLAH]]-NOTA[[#This Row],[DISC]])</f>
        <v>4320000</v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5" s="54">
        <f>IF(OR(NOTA[[#This Row],[QTY]]="",NOTA[[#This Row],[HARGA SATUAN]]="",),"",NOTA[[#This Row],[QTY]]*NOTA[[#This Row],[HARGA SATUAN]])</f>
        <v>4320000</v>
      </c>
      <c r="AF85" s="51">
        <f ca="1">IF(NOTA[ID_H]="","",INDEX(NOTA[TANGGAL],MATCH(,INDIRECT(ADDRESS(ROW(NOTA[TANGGAL]),COLUMN(NOTA[TANGGAL]))&amp;":"&amp;ADDRESS(ROW(),COLUMN(NOTA[TANGGAL]))),-1)))</f>
        <v>45021</v>
      </c>
      <c r="AG85" s="65" t="str">
        <f ca="1">IF(NOTA[[#This Row],[NAMA BARANG]]="","",INDEX(NOTA[SUPPLIER],MATCH(,INDIRECT(ADDRESS(ROW(NOTA[ID]),COLUMN(NOTA[ID]))&amp;":"&amp;ADDRESS(ROW(),COLUMN(NOTA[ID]))),-1)))</f>
        <v>SINAR KOTA</v>
      </c>
      <c r="AH85" s="65" t="str">
        <f ca="1">IF(NOTA[[#This Row],[ID_H]]="","",IF(NOTA[[#This Row],[FAKTUR]]="",INDIRECT(ADDRESS(ROW()-1,COLUMN())),NOTA[[#This Row],[FAKTUR]]))</f>
        <v>UNTANA</v>
      </c>
      <c r="AI85" s="38">
        <f ca="1">IF(NOTA[[#This Row],[ID]]="","",COUNTIF(NOTA[ID_H],NOTA[[#This Row],[ID_H]]))</f>
        <v>1</v>
      </c>
      <c r="AJ85" s="38">
        <f>IF(NOTA[[#This Row],[TGL.NOTA]]="",IF(NOTA[[#This Row],[SUPPLIER_H]]="","",AJ84),MONTH(NOTA[[#This Row],[TGL.NOTA]]))</f>
        <v>3</v>
      </c>
      <c r="AK85" s="38" t="str">
        <f>LOWER(SUBSTITUTE(SUBSTITUTE(SUBSTITUTE(SUBSTITUTE(SUBSTITUTE(SUBSTITUTE(SUBSTITUTE(SUBSTITUTE(SUBSTITUTE(NOTA[NAMA BARANG]," ",),".",""),"-",""),"(",""),")",""),",",""),"/",""),"""",""),"+",""))</f>
        <v>agenda702525k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agenda702525k1080000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agenda702525k1080000</v>
      </c>
      <c r="AN85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KOTAUNTANA7584145016agenda702525k</v>
      </c>
      <c r="AO85" s="38" t="e">
        <f>IF(NOTA[[#This Row],[CONCAT4]]="","",_xlfn.IFNA(MATCH(NOTA[[#This Row],[CONCAT4]],[2]!RAW[CONCAT_H],0),FALSE))</f>
        <v>#REF!</v>
      </c>
      <c r="AP85" s="174">
        <f>IF(NOTA[[#This Row],[CONCAT1]]="","",MATCH(NOTA[[#This Row],[CONCAT1]],[3]!db[NB NOTA_C],0)+1)</f>
        <v>2396</v>
      </c>
    </row>
    <row r="86" spans="1:42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38" t="str">
        <f>IF(NOTA[[#This Row],[CONCAT4]]="","",_xlfn.IFNA(MATCH(NOTA[[#This Row],[CONCAT4]],[2]!RAW[CONCAT_H],0),FALSE))</f>
        <v/>
      </c>
      <c r="AP86" s="174" t="str">
        <f>IF(NOTA[[#This Row],[CONCAT1]]="","",MATCH(NOTA[[#This Row],[CONCAT1]],[3]!db[NB NOTA_C],0)+1)</f>
        <v/>
      </c>
    </row>
    <row r="87" spans="1:42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DBS_0504_223-2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20</v>
      </c>
      <c r="E87" s="23"/>
      <c r="F87" s="26" t="s">
        <v>271</v>
      </c>
      <c r="G87" s="26" t="s">
        <v>176</v>
      </c>
      <c r="H87" s="31" t="s">
        <v>272</v>
      </c>
      <c r="I87" s="26"/>
      <c r="J87" s="51">
        <v>45017</v>
      </c>
      <c r="K87" s="26"/>
      <c r="L87" s="26" t="s">
        <v>273</v>
      </c>
      <c r="M87" s="39">
        <v>5</v>
      </c>
      <c r="N87" s="26">
        <v>480</v>
      </c>
      <c r="O87" s="26" t="s">
        <v>183</v>
      </c>
      <c r="P87" s="49">
        <v>31500</v>
      </c>
      <c r="Q87" s="52"/>
      <c r="R87" s="39" t="s">
        <v>274</v>
      </c>
      <c r="S87" s="53"/>
      <c r="T87" s="53"/>
      <c r="U87" s="54"/>
      <c r="V87" s="37"/>
      <c r="W87" s="54">
        <f>IF(NOTA[[#This Row],[HARGA/ CTN]]="",NOTA[[#This Row],[JUMLAH_H]],NOTA[[#This Row],[HARGA/ CTN]]*IF(NOTA[[#This Row],[C]]="",0,NOTA[[#This Row],[C]]))</f>
        <v>15120000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15120000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87" s="54">
        <f>IF(OR(NOTA[[#This Row],[QTY]]="",NOTA[[#This Row],[HARGA SATUAN]]="",),"",NOTA[[#This Row],[QTY]]*NOTA[[#This Row],[HARGA SATUAN]])</f>
        <v>15120000</v>
      </c>
      <c r="AF87" s="51">
        <f ca="1">IF(NOTA[ID_H]="","",INDEX(NOTA[TANGGAL],MATCH(,INDIRECT(ADDRESS(ROW(NOTA[TANGGAL]),COLUMN(NOTA[TANGGAL]))&amp;":"&amp;ADDRESS(ROW(),COLUMN(NOTA[TANGGAL]))),-1)))</f>
        <v>45021</v>
      </c>
      <c r="AG87" s="65" t="str">
        <f ca="1">IF(NOTA[[#This Row],[NAMA BARANG]]="","",INDEX(NOTA[SUPPLIER],MATCH(,INDIRECT(ADDRESS(ROW(NOTA[ID]),COLUMN(NOTA[ID]))&amp;":"&amp;ADDRESS(ROW(),COLUMN(NOTA[ID]))),-1)))</f>
        <v>DB STATIONERY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4</v>
      </c>
      <c r="AK87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87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STATIONERYUNTANAJUD032/2345017gelpentizo10tg340</v>
      </c>
      <c r="AO87" s="38" t="e">
        <f>IF(NOTA[[#This Row],[CONCAT4]]="","",_xlfn.IFNA(MATCH(NOTA[[#This Row],[CONCAT4]],[2]!RAW[CONCAT_H],0),FALSE))</f>
        <v>#REF!</v>
      </c>
      <c r="AP87" s="174">
        <f>IF(NOTA[[#This Row],[CONCAT1]]="","",MATCH(NOTA[[#This Row],[CONCAT1]],[3]!db[NB NOTA_C],0)+1)</f>
        <v>381</v>
      </c>
    </row>
    <row r="88" spans="1:42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20</v>
      </c>
      <c r="E88" s="23"/>
      <c r="F88" s="26"/>
      <c r="G88" s="26"/>
      <c r="H88" s="31"/>
      <c r="I88" s="26"/>
      <c r="J88" s="51"/>
      <c r="K88" s="26"/>
      <c r="L88" s="26" t="s">
        <v>275</v>
      </c>
      <c r="M88" s="39">
        <v>2</v>
      </c>
      <c r="N88" s="26">
        <v>192</v>
      </c>
      <c r="O88" s="26" t="s">
        <v>183</v>
      </c>
      <c r="P88" s="49">
        <v>29000</v>
      </c>
      <c r="Q88" s="52"/>
      <c r="R88" s="39" t="s">
        <v>274</v>
      </c>
      <c r="S88" s="53"/>
      <c r="T88" s="53"/>
      <c r="U88" s="54"/>
      <c r="V88" s="37"/>
      <c r="W88" s="54">
        <f>IF(NOTA[[#This Row],[HARGA/ CTN]]="",NOTA[[#This Row],[JUMLAH_H]],NOTA[[#This Row],[HARGA/ CTN]]*IF(NOTA[[#This Row],[C]]="",0,NOTA[[#This Row],[C]]))</f>
        <v>5568000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5568000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20688000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88" s="54">
        <f>IF(OR(NOTA[[#This Row],[QTY]]="",NOTA[[#This Row],[HARGA SATUAN]]="",),"",NOTA[[#This Row],[QTY]]*NOTA[[#This Row],[HARGA SATUAN]])</f>
        <v>5568000</v>
      </c>
      <c r="AF88" s="51">
        <f ca="1">IF(NOTA[ID_H]="","",INDEX(NOTA[TANGGAL],MATCH(,INDIRECT(ADDRESS(ROW(NOTA[TANGGAL]),COLUMN(NOTA[TANGGAL]))&amp;":"&amp;ADDRESS(ROW(),COLUMN(NOTA[TANGGAL]))),-1)))</f>
        <v>45021</v>
      </c>
      <c r="AG88" s="65" t="str">
        <f ca="1">IF(NOTA[[#This Row],[NAMA BARANG]]="","",INDEX(NOTA[SUPPLIER],MATCH(,INDIRECT(ADDRESS(ROW(NOTA[ID]),COLUMN(NOTA[ID]))&amp;":"&amp;ADDRESS(ROW(),COLUMN(NOTA[ID]))),-1)))</f>
        <v>DB STATIONERY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4</v>
      </c>
      <c r="AK88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38" t="str">
        <f>IF(NOTA[[#This Row],[CONCAT4]]="","",_xlfn.IFNA(MATCH(NOTA[[#This Row],[CONCAT4]],[2]!RAW[CONCAT_H],0),FALSE))</f>
        <v/>
      </c>
      <c r="AP88" s="174">
        <f>IF(NOTA[[#This Row],[CONCAT1]]="","",MATCH(NOTA[[#This Row],[CONCAT1]],[3]!db[NB NOTA_C],0)+1)</f>
        <v>1796</v>
      </c>
    </row>
    <row r="89" spans="1:42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" s="38" t="str">
        <f>IF(NOTA[[#This Row],[CONCAT4]]="","",_xlfn.IFNA(MATCH(NOTA[[#This Row],[CONCAT4]],[2]!RAW[CONCAT_H],0),FALSE))</f>
        <v/>
      </c>
      <c r="AP89" s="174" t="str">
        <f>IF(NOTA[[#This Row],[CONCAT1]]="","",MATCH(NOTA[[#This Row],[CONCAT1]],[3]!db[NB NOTA_C],0)+1)</f>
        <v/>
      </c>
    </row>
    <row r="90" spans="1:42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HAN_0604_064-1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21</v>
      </c>
      <c r="E90" s="23">
        <v>45022</v>
      </c>
      <c r="F90" s="26" t="s">
        <v>276</v>
      </c>
      <c r="G90" s="26" t="s">
        <v>176</v>
      </c>
      <c r="H90" s="31" t="s">
        <v>277</v>
      </c>
      <c r="I90" s="26"/>
      <c r="J90" s="51">
        <v>45022</v>
      </c>
      <c r="K90" s="26"/>
      <c r="L90" s="26" t="s">
        <v>278</v>
      </c>
      <c r="M90" s="39"/>
      <c r="N90" s="26">
        <v>60</v>
      </c>
      <c r="O90" s="26" t="s">
        <v>198</v>
      </c>
      <c r="P90" s="49">
        <v>5200</v>
      </c>
      <c r="Q90" s="52"/>
      <c r="R90" s="39"/>
      <c r="S90" s="53"/>
      <c r="T90" s="53"/>
      <c r="U90" s="54"/>
      <c r="V90" s="37" t="s">
        <v>279</v>
      </c>
      <c r="W90" s="54">
        <f>IF(NOTA[[#This Row],[HARGA/ CTN]]="",NOTA[[#This Row],[JUMLAH_H]],NOTA[[#This Row],[HARGA/ CTN]]*IF(NOTA[[#This Row],[C]]="",0,NOTA[[#This Row],[C]]))</f>
        <v>312000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312000</v>
      </c>
      <c r="AB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</v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90" s="54">
        <f>IF(OR(NOTA[[#This Row],[QTY]]="",NOTA[[#This Row],[HARGA SATUAN]]="",),"",NOTA[[#This Row],[QTY]]*NOTA[[#This Row],[HARGA SATUAN]])</f>
        <v>312000</v>
      </c>
      <c r="AF90" s="51">
        <f ca="1">IF(NOTA[ID_H]="","",INDEX(NOTA[TANGGAL],MATCH(,INDIRECT(ADDRESS(ROW(NOTA[TANGGAL]),COLUMN(NOTA[TANGGAL]))&amp;":"&amp;ADDRESS(ROW(),COLUMN(NOTA[TANGGAL]))),-1)))</f>
        <v>45022</v>
      </c>
      <c r="AG90" s="65" t="str">
        <f ca="1">IF(NOTA[[#This Row],[NAMA BARANG]]="","",INDEX(NOTA[SUPPLIER],MATCH(,INDIRECT(ADDRESS(ROW(NOTA[ID]),COLUMN(NOTA[ID]))&amp;":"&amp;ADDRESS(ROW(),COLUMN(NOTA[ID]))),-1)))</f>
        <v>HANSA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1</v>
      </c>
      <c r="AJ90" s="38">
        <f>IF(NOTA[[#This Row],[TGL.NOTA]]="",IF(NOTA[[#This Row],[SUPPLIER_H]]="","",AJ89),MONTH(NOTA[[#This Row],[TGL.NOTA]]))</f>
        <v>4</v>
      </c>
      <c r="AK90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malamshintoengb1wpolos5200</v>
      </c>
      <c r="AN90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HANSAUNTANAHN04202306445022malamshintoengb1wpolos</v>
      </c>
      <c r="AO90" s="38" t="e">
        <f>IF(NOTA[[#This Row],[CONCAT4]]="","",_xlfn.IFNA(MATCH(NOTA[[#This Row],[CONCAT4]],[2]!RAW[CONCAT_H],0),FALSE))</f>
        <v>#REF!</v>
      </c>
      <c r="AP90" s="174">
        <f>IF(NOTA[[#This Row],[CONCAT1]]="","",MATCH(NOTA[[#This Row],[CONCAT1]],[3]!db[NB NOTA_C],0)+1)</f>
        <v>1703</v>
      </c>
    </row>
    <row r="91" spans="1:42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 t="str">
        <f ca="1">IF(NOTA[[#This Row],[NAMA BARANG]]="","",INDEX(NOTA[ID],MATCH(,INDIRECT(ADDRESS(ROW(NOTA[ID]),COLUMN(NOTA[ID]))&amp;":"&amp;ADDRESS(ROW(),COLUMN(NOTA[ID]))),-1)))</f>
        <v/>
      </c>
      <c r="E91" s="23"/>
      <c r="F91" s="26"/>
      <c r="G91" s="26"/>
      <c r="H91" s="31"/>
      <c r="I91" s="26"/>
      <c r="J91" s="51"/>
      <c r="K91" s="26"/>
      <c r="L91" s="26"/>
      <c r="M91" s="39"/>
      <c r="N91" s="26"/>
      <c r="O91" s="26"/>
      <c r="P91" s="49"/>
      <c r="Q91" s="52"/>
      <c r="R91" s="39"/>
      <c r="S91" s="53"/>
      <c r="T91" s="53"/>
      <c r="U91" s="54"/>
      <c r="V91" s="37"/>
      <c r="W91" s="54" t="str">
        <f>IF(NOTA[[#This Row],[HARGA/ CTN]]="",NOTA[[#This Row],[JUMLAH_H]],NOTA[[#This Row],[HARGA/ CTN]]*IF(NOTA[[#This Row],[C]]="",0,NOTA[[#This Row],[C]]))</f>
        <v/>
      </c>
      <c r="X91" s="54" t="str">
        <f>IF(NOTA[[#This Row],[JUMLAH]]="","",NOTA[[#This Row],[JUMLAH]]*NOTA[[#This Row],[DISC 1]])</f>
        <v/>
      </c>
      <c r="Y91" s="54" t="str">
        <f>IF(NOTA[[#This Row],[JUMLAH]]="","",(NOTA[[#This Row],[JUMLAH]]-NOTA[[#This Row],[DISC 1-]])*NOTA[[#This Row],[DISC 2]])</f>
        <v/>
      </c>
      <c r="Z91" s="54" t="str">
        <f>IF(NOTA[[#This Row],[JUMLAH]]="","",NOTA[[#This Row],[DISC 1-]]+NOTA[[#This Row],[DISC 2-]])</f>
        <v/>
      </c>
      <c r="AA91" s="54" t="str">
        <f>IF(NOTA[[#This Row],[JUMLAH]]="","",NOTA[[#This Row],[JUMLAH]]-NOTA[[#This Row],[DISC]])</f>
        <v/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" s="54" t="str">
        <f>IF(OR(NOTA[[#This Row],[QTY]]="",NOTA[[#This Row],[HARGA SATUAN]]="",),"",NOTA[[#This Row],[QTY]]*NOTA[[#This Row],[HARGA SATUAN]])</f>
        <v/>
      </c>
      <c r="AF91" s="51" t="str">
        <f ca="1">IF(NOTA[ID_H]="","",INDEX(NOTA[TANGGAL],MATCH(,INDIRECT(ADDRESS(ROW(NOTA[TANGGAL]),COLUMN(NOTA[TANGGAL]))&amp;":"&amp;ADDRESS(ROW(),COLUMN(NOTA[TANGGAL]))),-1)))</f>
        <v/>
      </c>
      <c r="AG91" s="65" t="str">
        <f ca="1">IF(NOTA[[#This Row],[NAMA BARANG]]="","",INDEX(NOTA[SUPPLIER],MATCH(,INDIRECT(ADDRESS(ROW(NOTA[ID]),COLUMN(NOTA[ID]))&amp;":"&amp;ADDRESS(ROW(),COLUMN(NOTA[ID]))),-1)))</f>
        <v/>
      </c>
      <c r="AH91" s="65" t="str">
        <f ca="1">IF(NOTA[[#This Row],[ID_H]]="","",IF(NOTA[[#This Row],[FAKTUR]]="",INDIRECT(ADDRESS(ROW()-1,COLUMN())),NOTA[[#This Row],[FAKTUR]]))</f>
        <v/>
      </c>
      <c r="AI91" s="38" t="str">
        <f ca="1">IF(NOTA[[#This Row],[ID]]="","",COUNTIF(NOTA[ID_H],NOTA[[#This Row],[ID_H]]))</f>
        <v/>
      </c>
      <c r="AJ91" s="38" t="str">
        <f ca="1">IF(NOTA[[#This Row],[TGL.NOTA]]="",IF(NOTA[[#This Row],[SUPPLIER_H]]="","",AJ90),MONTH(NOTA[[#This Row],[TGL.NOTA]]))</f>
        <v/>
      </c>
      <c r="AK91" s="38" t="str">
        <f>LOWER(SUBSTITUTE(SUBSTITUTE(SUBSTITUTE(SUBSTITUTE(SUBSTITUTE(SUBSTITUTE(SUBSTITUTE(SUBSTITUTE(SUBSTITUTE(NOTA[NAMA BARANG]," ",),".",""),"-",""),"(",""),")",""),",",""),"/",""),"""",""),"+",""))</f>
        <v/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38" t="str">
        <f>IF(NOTA[[#This Row],[CONCAT4]]="","",_xlfn.IFNA(MATCH(NOTA[[#This Row],[CONCAT4]],[2]!RAW[CONCAT_H],0),FALSE))</f>
        <v/>
      </c>
      <c r="AP91" s="174" t="str">
        <f>IF(NOTA[[#This Row],[CONCAT1]]="","",MATCH(NOTA[[#This Row],[CONCAT1]],[3]!db[NB NOTA_C],0)+1)</f>
        <v/>
      </c>
    </row>
    <row r="92" spans="1:42" ht="20.100000000000001" customHeight="1" x14ac:dyDescent="0.25">
      <c r="A92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GUN_0604_711-1</v>
      </c>
      <c r="C92" s="50" t="e">
        <f ca="1">IF(NOTA[[#This Row],[ID_P]]="","",MATCH(NOTA[[#This Row],[ID_P]],[1]!B_MSK[N_ID],0))</f>
        <v>#REF!</v>
      </c>
      <c r="D92" s="50">
        <f ca="1">IF(NOTA[[#This Row],[NAMA BARANG]]="","",INDEX(NOTA[ID],MATCH(,INDIRECT(ADDRESS(ROW(NOTA[ID]),COLUMN(NOTA[ID]))&amp;":"&amp;ADDRESS(ROW(),COLUMN(NOTA[ID]))),-1)))</f>
        <v>22</v>
      </c>
      <c r="E92" s="23"/>
      <c r="F92" s="26" t="s">
        <v>280</v>
      </c>
      <c r="G92" s="26" t="s">
        <v>176</v>
      </c>
      <c r="H92" s="31" t="s">
        <v>281</v>
      </c>
      <c r="I92" s="26"/>
      <c r="J92" s="51">
        <v>45019</v>
      </c>
      <c r="K92" s="26"/>
      <c r="L92" s="26" t="s">
        <v>282</v>
      </c>
      <c r="M92" s="39"/>
      <c r="N92" s="26">
        <v>120</v>
      </c>
      <c r="O92" s="26" t="s">
        <v>183</v>
      </c>
      <c r="P92" s="49">
        <v>49200</v>
      </c>
      <c r="Q92" s="52"/>
      <c r="R92" s="39" t="s">
        <v>283</v>
      </c>
      <c r="S92" s="53">
        <v>0.05</v>
      </c>
      <c r="T92" s="53">
        <v>0.1</v>
      </c>
      <c r="U92" s="54"/>
      <c r="V92" s="37"/>
      <c r="W92" s="54">
        <f>IF(NOTA[[#This Row],[HARGA/ CTN]]="",NOTA[[#This Row],[JUMLAH_H]],NOTA[[#This Row],[HARGA/ CTN]]*IF(NOTA[[#This Row],[C]]="",0,NOTA[[#This Row],[C]]))</f>
        <v>5904000</v>
      </c>
      <c r="X92" s="54">
        <f>IF(NOTA[[#This Row],[JUMLAH]]="","",NOTA[[#This Row],[JUMLAH]]*NOTA[[#This Row],[DISC 1]])</f>
        <v>295200</v>
      </c>
      <c r="Y92" s="54">
        <f>IF(NOTA[[#This Row],[JUMLAH]]="","",(NOTA[[#This Row],[JUMLAH]]-NOTA[[#This Row],[DISC 1-]])*NOTA[[#This Row],[DISC 2]])</f>
        <v>560880</v>
      </c>
      <c r="Z92" s="54">
        <f>IF(NOTA[[#This Row],[JUMLAH]]="","",NOTA[[#This Row],[DISC 1-]]+NOTA[[#This Row],[DISC 2-]])</f>
        <v>856080</v>
      </c>
      <c r="AA92" s="54">
        <f>IF(NOTA[[#This Row],[JUMLAH]]="","",NOTA[[#This Row],[JUMLAH]]-NOTA[[#This Row],[DISC]])</f>
        <v>5047920</v>
      </c>
      <c r="AB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856080</v>
      </c>
      <c r="AC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5047920</v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5904000</v>
      </c>
      <c r="AE92" s="54">
        <f>IF(OR(NOTA[[#This Row],[QTY]]="",NOTA[[#This Row],[HARGA SATUAN]]="",),"",NOTA[[#This Row],[QTY]]*NOTA[[#This Row],[HARGA SATUAN]])</f>
        <v>5904000</v>
      </c>
      <c r="AF92" s="51">
        <f ca="1">IF(NOTA[ID_H]="","",INDEX(NOTA[TANGGAL],MATCH(,INDIRECT(ADDRESS(ROW(NOTA[TANGGAL]),COLUMN(NOTA[TANGGAL]))&amp;":"&amp;ADDRESS(ROW(),COLUMN(NOTA[TANGGAL]))),-1)))</f>
        <v>45022</v>
      </c>
      <c r="AG92" s="65" t="str">
        <f ca="1">IF(NOTA[[#This Row],[NAMA BARANG]]="","",INDEX(NOTA[SUPPLIER],MATCH(,INDIRECT(ADDRESS(ROW(NOTA[ID]),COLUMN(NOTA[ID]))&amp;":"&amp;ADDRESS(ROW(),COLUMN(NOTA[ID]))),-1)))</f>
        <v>GUNINDO</v>
      </c>
      <c r="AH92" s="65" t="str">
        <f ca="1">IF(NOTA[[#This Row],[ID_H]]="","",IF(NOTA[[#This Row],[FAKTUR]]="",INDIRECT(ADDRESS(ROW()-1,COLUMN())),NOTA[[#This Row],[FAKTUR]]))</f>
        <v>UNTANA</v>
      </c>
      <c r="AI92" s="38">
        <f ca="1">IF(NOTA[[#This Row],[ID]]="","",COUNTIF(NOTA[ID_H],NOTA[[#This Row],[ID_H]]))</f>
        <v>1</v>
      </c>
      <c r="AJ92" s="38">
        <f>IF(NOTA[[#This Row],[TGL.NOTA]]="",IF(NOTA[[#This Row],[SUPPLIER_H]]="","",AJ91),MONTH(NOTA[[#This Row],[TGL.NOTA]]))</f>
        <v>4</v>
      </c>
      <c r="AK92" s="38" t="str">
        <f>LOWER(SUBSTITUTE(SUBSTITUTE(SUBSTITUTE(SUBSTITUTE(SUBSTITUTE(SUBSTITUTE(SUBSTITUTE(SUBSTITUTE(SUBSTITUTE(NOTA[NAMA BARANG]," ",),".",""),"-",""),"(",""),")",""),",",""),"/",""),"""",""),"+",""))</f>
        <v>ossgunindo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ossgunindo59040000.050.1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ossgunindo492000.050.1</v>
      </c>
      <c r="AN92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GUNINDOUNTANA230071145019ossgunindo</v>
      </c>
      <c r="AO92" s="38" t="e">
        <f>IF(NOTA[[#This Row],[CONCAT4]]="","",_xlfn.IFNA(MATCH(NOTA[[#This Row],[CONCAT4]],[2]!RAW[CONCAT_H],0),FALSE))</f>
        <v>#REF!</v>
      </c>
      <c r="AP92" s="174">
        <f>IF(NOTA[[#This Row],[CONCAT1]]="","",MATCH(NOTA[[#This Row],[CONCAT1]],[3]!db[NB NOTA_C],0)+1)</f>
        <v>1842</v>
      </c>
    </row>
    <row r="93" spans="1:42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 t="str">
        <f ca="1">IF(NOTA[[#This Row],[NAMA BARANG]]="","",INDEX(NOTA[ID],MATCH(,INDIRECT(ADDRESS(ROW(NOTA[ID]),COLUMN(NOTA[ID]))&amp;":"&amp;ADDRESS(ROW(),COLUMN(NOTA[ID]))),-1)))</f>
        <v/>
      </c>
      <c r="E93" s="23"/>
      <c r="F93" s="26"/>
      <c r="G93" s="26"/>
      <c r="H93" s="31"/>
      <c r="I93" s="26"/>
      <c r="J93" s="51"/>
      <c r="K93" s="26"/>
      <c r="L93" s="26"/>
      <c r="M93" s="39"/>
      <c r="N93" s="26"/>
      <c r="O93" s="26"/>
      <c r="P93" s="49"/>
      <c r="Q93" s="52"/>
      <c r="R93" s="39"/>
      <c r="S93" s="53"/>
      <c r="T93" s="53"/>
      <c r="U93" s="54"/>
      <c r="V93" s="37"/>
      <c r="W93" s="54" t="str">
        <f>IF(NOTA[[#This Row],[HARGA/ CTN]]="",NOTA[[#This Row],[JUMLAH_H]],NOTA[[#This Row],[HARGA/ CTN]]*IF(NOTA[[#This Row],[C]]="",0,NOTA[[#This Row],[C]]))</f>
        <v/>
      </c>
      <c r="X93" s="54" t="str">
        <f>IF(NOTA[[#This Row],[JUMLAH]]="","",NOTA[[#This Row],[JUMLAH]]*NOTA[[#This Row],[DISC 1]])</f>
        <v/>
      </c>
      <c r="Y93" s="54" t="str">
        <f>IF(NOTA[[#This Row],[JUMLAH]]="","",(NOTA[[#This Row],[JUMLAH]]-NOTA[[#This Row],[DISC 1-]])*NOTA[[#This Row],[DISC 2]])</f>
        <v/>
      </c>
      <c r="Z93" s="54" t="str">
        <f>IF(NOTA[[#This Row],[JUMLAH]]="","",NOTA[[#This Row],[DISC 1-]]+NOTA[[#This Row],[DISC 2-]])</f>
        <v/>
      </c>
      <c r="AA93" s="54" t="str">
        <f>IF(NOTA[[#This Row],[JUMLAH]]="","",NOTA[[#This Row],[JUMLAH]]-NOTA[[#This Row],[DISC]])</f>
        <v/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" s="54" t="str">
        <f>IF(OR(NOTA[[#This Row],[QTY]]="",NOTA[[#This Row],[HARGA SATUAN]]="",),"",NOTA[[#This Row],[QTY]]*NOTA[[#This Row],[HARGA SATUAN]])</f>
        <v/>
      </c>
      <c r="AF93" s="51" t="str">
        <f ca="1">IF(NOTA[ID_H]="","",INDEX(NOTA[TANGGAL],MATCH(,INDIRECT(ADDRESS(ROW(NOTA[TANGGAL]),COLUMN(NOTA[TANGGAL]))&amp;":"&amp;ADDRESS(ROW(),COLUMN(NOTA[TANGGAL]))),-1)))</f>
        <v/>
      </c>
      <c r="AG93" s="65" t="str">
        <f ca="1">IF(NOTA[[#This Row],[NAMA BARANG]]="","",INDEX(NOTA[SUPPLIER],MATCH(,INDIRECT(ADDRESS(ROW(NOTA[ID]),COLUMN(NOTA[ID]))&amp;":"&amp;ADDRESS(ROW(),COLUMN(NOTA[ID]))),-1)))</f>
        <v/>
      </c>
      <c r="AH93" s="65" t="str">
        <f ca="1">IF(NOTA[[#This Row],[ID_H]]="","",IF(NOTA[[#This Row],[FAKTUR]]="",INDIRECT(ADDRESS(ROW()-1,COLUMN())),NOTA[[#This Row],[FAKTUR]]))</f>
        <v/>
      </c>
      <c r="AI93" s="38" t="str">
        <f ca="1">IF(NOTA[[#This Row],[ID]]="","",COUNTIF(NOTA[ID_H],NOTA[[#This Row],[ID_H]]))</f>
        <v/>
      </c>
      <c r="AJ93" s="38" t="str">
        <f ca="1">IF(NOTA[[#This Row],[TGL.NOTA]]="",IF(NOTA[[#This Row],[SUPPLIER_H]]="","",AJ92),MONTH(NOTA[[#This Row],[TGL.NOTA]]))</f>
        <v/>
      </c>
      <c r="AK93" s="38" t="str">
        <f>LOWER(SUBSTITUTE(SUBSTITUTE(SUBSTITUTE(SUBSTITUTE(SUBSTITUTE(SUBSTITUTE(SUBSTITUTE(SUBSTITUTE(SUBSTITUTE(NOTA[NAMA BARANG]," ",),".",""),"-",""),"(",""),")",""),",",""),"/",""),"""",""),"+",""))</f>
        <v/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38" t="str">
        <f>IF(NOTA[[#This Row],[CONCAT4]]="","",_xlfn.IFNA(MATCH(NOTA[[#This Row],[CONCAT4]],[2]!RAW[CONCAT_H],0),FALSE))</f>
        <v/>
      </c>
      <c r="AP93" s="174" t="str">
        <f>IF(NOTA[[#This Row],[CONCAT1]]="","",MATCH(NOTA[[#This Row],[CONCAT1]],[3]!db[NB NOTA_C],0)+1)</f>
        <v/>
      </c>
    </row>
    <row r="94" spans="1:42" ht="20.100000000000001" customHeight="1" x14ac:dyDescent="0.25">
      <c r="A94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PMJ_0604_-4</v>
      </c>
      <c r="C94" s="50" t="e">
        <f ca="1">IF(NOTA[[#This Row],[ID_P]]="","",MATCH(NOTA[[#This Row],[ID_P]],[1]!B_MSK[N_ID],0))</f>
        <v>#REF!</v>
      </c>
      <c r="D94" s="50">
        <f ca="1">IF(NOTA[[#This Row],[NAMA BARANG]]="","",INDEX(NOTA[ID],MATCH(,INDIRECT(ADDRESS(ROW(NOTA[ID]),COLUMN(NOTA[ID]))&amp;":"&amp;ADDRESS(ROW(),COLUMN(NOTA[ID]))),-1)))</f>
        <v>23</v>
      </c>
      <c r="E94" s="23"/>
      <c r="F94" s="26" t="s">
        <v>284</v>
      </c>
      <c r="G94" s="26" t="s">
        <v>176</v>
      </c>
      <c r="H94" s="31"/>
      <c r="I94" s="26"/>
      <c r="J94" s="51">
        <v>45019</v>
      </c>
      <c r="K94" s="26"/>
      <c r="L94" s="26" t="s">
        <v>285</v>
      </c>
      <c r="M94" s="39">
        <v>1</v>
      </c>
      <c r="N94" s="26">
        <v>16</v>
      </c>
      <c r="O94" s="26" t="s">
        <v>183</v>
      </c>
      <c r="P94" s="49">
        <v>47000</v>
      </c>
      <c r="Q94" s="52"/>
      <c r="R94" s="39" t="s">
        <v>286</v>
      </c>
      <c r="S94" s="53"/>
      <c r="T94" s="53"/>
      <c r="U94" s="54"/>
      <c r="V94" s="37"/>
      <c r="W94" s="54">
        <f>IF(NOTA[[#This Row],[HARGA/ CTN]]="",NOTA[[#This Row],[JUMLAH_H]],NOTA[[#This Row],[HARGA/ CTN]]*IF(NOTA[[#This Row],[C]]="",0,NOTA[[#This Row],[C]]))</f>
        <v>752000</v>
      </c>
      <c r="X94" s="54">
        <f>IF(NOTA[[#This Row],[JUMLAH]]="","",NOTA[[#This Row],[JUMLAH]]*NOTA[[#This Row],[DISC 1]])</f>
        <v>0</v>
      </c>
      <c r="Y94" s="54">
        <f>IF(NOTA[[#This Row],[JUMLAH]]="","",(NOTA[[#This Row],[JUMLAH]]-NOTA[[#This Row],[DISC 1-]])*NOTA[[#This Row],[DISC 2]])</f>
        <v>0</v>
      </c>
      <c r="Z94" s="54">
        <f>IF(NOTA[[#This Row],[JUMLAH]]="","",NOTA[[#This Row],[DISC 1-]]+NOTA[[#This Row],[DISC 2-]])</f>
        <v>0</v>
      </c>
      <c r="AA94" s="54">
        <f>IF(NOTA[[#This Row],[JUMLAH]]="","",NOTA[[#This Row],[JUMLAH]]-NOTA[[#This Row],[DISC]])</f>
        <v>752000</v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94" s="54">
        <f>IF(OR(NOTA[[#This Row],[QTY]]="",NOTA[[#This Row],[HARGA SATUAN]]="",),"",NOTA[[#This Row],[QTY]]*NOTA[[#This Row],[HARGA SATUAN]])</f>
        <v>752000</v>
      </c>
      <c r="AF94" s="51">
        <f ca="1">IF(NOTA[ID_H]="","",INDEX(NOTA[TANGGAL],MATCH(,INDIRECT(ADDRESS(ROW(NOTA[TANGGAL]),COLUMN(NOTA[TANGGAL]))&amp;":"&amp;ADDRESS(ROW(),COLUMN(NOTA[TANGGAL]))),-1)))</f>
        <v>45022</v>
      </c>
      <c r="AG94" s="65" t="str">
        <f ca="1">IF(NOTA[[#This Row],[NAMA BARANG]]="","",INDEX(NOTA[SUPPLIER],MATCH(,INDIRECT(ADDRESS(ROW(NOTA[ID]),COLUMN(NOTA[ID]))&amp;":"&amp;ADDRESS(ROW(),COLUMN(NOTA[ID]))),-1)))</f>
        <v>PMJP</v>
      </c>
      <c r="AH94" s="65" t="str">
        <f ca="1">IF(NOTA[[#This Row],[ID_H]]="","",IF(NOTA[[#This Row],[FAKTUR]]="",INDIRECT(ADDRESS(ROW()-1,COLUMN())),NOTA[[#This Row],[FAKTUR]]))</f>
        <v>UNTANA</v>
      </c>
      <c r="AI94" s="38">
        <f ca="1">IF(NOTA[[#This Row],[ID]]="","",COUNTIF(NOTA[ID_H],NOTA[[#This Row],[ID_H]]))</f>
        <v>4</v>
      </c>
      <c r="AJ94" s="38">
        <f>IF(NOTA[[#This Row],[TGL.NOTA]]="",IF(NOTA[[#This Row],[SUPPLIER_H]]="","",AJ93),MONTH(NOTA[[#This Row],[TGL.NOTA]]))</f>
        <v>4</v>
      </c>
      <c r="AK94" s="38" t="str">
        <f>LOWER(SUBSTITUTE(SUBSTITUTE(SUBSTITUTE(SUBSTITUTE(SUBSTITUTE(SUBSTITUTE(SUBSTITUTE(SUBSTITUTE(SUBSTITUTE(NOTA[NAMA BARANG]," ",),".",""),"-",""),"(",""),")",""),",",""),"/",""),"""",""),"+",""))</f>
        <v>celengans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9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PMJPUNTANA45019celengans</v>
      </c>
      <c r="AO94" s="38" t="e">
        <f>IF(NOTA[[#This Row],[CONCAT4]]="","",_xlfn.IFNA(MATCH(NOTA[[#This Row],[CONCAT4]],[2]!RAW[CONCAT_H],0),FALSE))</f>
        <v>#REF!</v>
      </c>
      <c r="AP94" s="174">
        <f>IF(NOTA[[#This Row],[CONCAT1]]="","",MATCH(NOTA[[#This Row],[CONCAT1]],[3]!db[NB NOTA_C],0)+1)</f>
        <v>1134</v>
      </c>
    </row>
    <row r="95" spans="1:42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23</v>
      </c>
      <c r="E95" s="67"/>
      <c r="F95" s="68"/>
      <c r="G95" s="68"/>
      <c r="H95" s="69"/>
      <c r="I95" s="68"/>
      <c r="J95" s="70"/>
      <c r="K95" s="68"/>
      <c r="L95" s="38" t="s">
        <v>287</v>
      </c>
      <c r="M95" s="71">
        <v>1</v>
      </c>
      <c r="N95" s="68">
        <v>16</v>
      </c>
      <c r="O95" s="38" t="s">
        <v>183</v>
      </c>
      <c r="P95" s="72">
        <v>56000</v>
      </c>
      <c r="Q95" s="73"/>
      <c r="R95" s="56" t="s">
        <v>286</v>
      </c>
      <c r="S95" s="74"/>
      <c r="T95" s="75"/>
      <c r="U95" s="76"/>
      <c r="V95" s="77"/>
      <c r="W95" s="54">
        <f>IF(NOTA[[#This Row],[HARGA/ CTN]]="",NOTA[[#This Row],[JUMLAH_H]],NOTA[[#This Row],[HARGA/ CTN]]*IF(NOTA[[#This Row],[C]]="",0,NOTA[[#This Row],[C]]))</f>
        <v>896000</v>
      </c>
      <c r="X95" s="54">
        <f>IF(NOTA[[#This Row],[JUMLAH]]="","",NOTA[[#This Row],[JUMLAH]]*NOTA[[#This Row],[DISC 1]])</f>
        <v>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0</v>
      </c>
      <c r="AA95" s="54">
        <f>IF(NOTA[[#This Row],[JUMLAH]]="","",NOTA[[#This Row],[JUMLAH]]-NOTA[[#This Row],[DISC]])</f>
        <v>896000</v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E95" s="54">
        <f>IF(OR(NOTA[[#This Row],[QTY]]="",NOTA[[#This Row],[HARGA SATUAN]]="",),"",NOTA[[#This Row],[QTY]]*NOTA[[#This Row],[HARGA SATUAN]])</f>
        <v>896000</v>
      </c>
      <c r="AF95" s="51">
        <f ca="1">IF(NOTA[ID_H]="","",INDEX(NOTA[TANGGAL],MATCH(,INDIRECT(ADDRESS(ROW(NOTA[TANGGAL]),COLUMN(NOTA[TANGGAL]))&amp;":"&amp;ADDRESS(ROW(),COLUMN(NOTA[TANGGAL]))),-1)))</f>
        <v>45022</v>
      </c>
      <c r="AG95" s="65" t="str">
        <f ca="1">IF(NOTA[[#This Row],[NAMA BARANG]]="","",INDEX(NOTA[SUPPLIER],MATCH(,INDIRECT(ADDRESS(ROW(NOTA[ID]),COLUMN(NOTA[ID]))&amp;":"&amp;ADDRESS(ROW(),COLUMN(NOTA[ID]))),-1)))</f>
        <v>PMJP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4</v>
      </c>
      <c r="AK95" s="38" t="str">
        <f>LOWER(SUBSTITUTE(SUBSTITUTE(SUBSTITUTE(SUBSTITUTE(SUBSTITUTE(SUBSTITUTE(SUBSTITUTE(SUBSTITUTE(SUBSTITUTE(NOTA[NAMA BARANG]," ",),".",""),"-",""),"(",""),")",""),",",""),"/",""),"""",""),"+",""))</f>
        <v>celenganm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N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38" t="str">
        <f>IF(NOTA[[#This Row],[CONCAT4]]="","",_xlfn.IFNA(MATCH(NOTA[[#This Row],[CONCAT4]],[2]!RAW[CONCAT_H],0),FALSE))</f>
        <v/>
      </c>
      <c r="AP95" s="174">
        <f>IF(NOTA[[#This Row],[CONCAT1]]="","",MATCH(NOTA[[#This Row],[CONCAT1]],[3]!db[NB NOTA_C],0)+1)</f>
        <v>1133</v>
      </c>
    </row>
    <row r="96" spans="1:42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>
        <f ca="1">IF(NOTA[[#This Row],[NAMA BARANG]]="","",INDEX(NOTA[ID],MATCH(,INDIRECT(ADDRESS(ROW(NOTA[ID]),COLUMN(NOTA[ID]))&amp;":"&amp;ADDRESS(ROW(),COLUMN(NOTA[ID]))),-1)))</f>
        <v>23</v>
      </c>
      <c r="E96" s="23"/>
      <c r="F96" s="26"/>
      <c r="G96" s="26"/>
      <c r="H96" s="31"/>
      <c r="I96" s="26"/>
      <c r="J96" s="51"/>
      <c r="K96" s="26"/>
      <c r="L96" s="26" t="s">
        <v>288</v>
      </c>
      <c r="M96" s="39">
        <v>1</v>
      </c>
      <c r="N96" s="26">
        <v>10</v>
      </c>
      <c r="O96" s="26" t="s">
        <v>183</v>
      </c>
      <c r="P96" s="49">
        <v>70000</v>
      </c>
      <c r="Q96" s="52"/>
      <c r="R96" s="39" t="s">
        <v>291</v>
      </c>
      <c r="S96" s="53"/>
      <c r="T96" s="53"/>
      <c r="U96" s="54"/>
      <c r="V96" s="37"/>
      <c r="W96" s="54">
        <f>IF(NOTA[[#This Row],[HARGA/ CTN]]="",NOTA[[#This Row],[JUMLAH_H]],NOTA[[#This Row],[HARGA/ CTN]]*IF(NOTA[[#This Row],[C]]="",0,NOTA[[#This Row],[C]]))</f>
        <v>700000</v>
      </c>
      <c r="X96" s="54">
        <f>IF(NOTA[[#This Row],[JUMLAH]]="","",NOTA[[#This Row],[JUMLAH]]*NOTA[[#This Row],[DISC 1]])</f>
        <v>0</v>
      </c>
      <c r="Y96" s="54">
        <f>IF(NOTA[[#This Row],[JUMLAH]]="","",(NOTA[[#This Row],[JUMLAH]]-NOTA[[#This Row],[DISC 1-]])*NOTA[[#This Row],[DISC 2]])</f>
        <v>0</v>
      </c>
      <c r="Z96" s="54">
        <f>IF(NOTA[[#This Row],[JUMLAH]]="","",NOTA[[#This Row],[DISC 1-]]+NOTA[[#This Row],[DISC 2-]])</f>
        <v>0</v>
      </c>
      <c r="AA96" s="54">
        <f>IF(NOTA[[#This Row],[JUMLAH]]="","",NOTA[[#This Row],[JUMLAH]]-NOTA[[#This Row],[DISC]])</f>
        <v>700000</v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96" s="54">
        <f>IF(OR(NOTA[[#This Row],[QTY]]="",NOTA[[#This Row],[HARGA SATUAN]]="",),"",NOTA[[#This Row],[QTY]]*NOTA[[#This Row],[HARGA SATUAN]])</f>
        <v>700000</v>
      </c>
      <c r="AF96" s="51">
        <f ca="1">IF(NOTA[ID_H]="","",INDEX(NOTA[TANGGAL],MATCH(,INDIRECT(ADDRESS(ROW(NOTA[TANGGAL]),COLUMN(NOTA[TANGGAL]))&amp;":"&amp;ADDRESS(ROW(),COLUMN(NOTA[TANGGAL]))),-1)))</f>
        <v>45022</v>
      </c>
      <c r="AG96" s="65" t="str">
        <f ca="1">IF(NOTA[[#This Row],[NAMA BARANG]]="","",INDEX(NOTA[SUPPLIER],MATCH(,INDIRECT(ADDRESS(ROW(NOTA[ID]),COLUMN(NOTA[ID]))&amp;":"&amp;ADDRESS(ROW(),COLUMN(NOTA[ID]))),-1)))</f>
        <v>PMJP</v>
      </c>
      <c r="AH96" s="65" t="str">
        <f ca="1">IF(NOTA[[#This Row],[ID_H]]="","",IF(NOTA[[#This Row],[FAKTUR]]="",INDIRECT(ADDRESS(ROW()-1,COLUMN())),NOTA[[#This Row],[FAKTUR]]))</f>
        <v>UNTANA</v>
      </c>
      <c r="AI96" s="38" t="str">
        <f ca="1">IF(NOTA[[#This Row],[ID]]="","",COUNTIF(NOTA[ID_H],NOTA[[#This Row],[ID_H]]))</f>
        <v/>
      </c>
      <c r="AJ96" s="38">
        <f ca="1">IF(NOTA[[#This Row],[TGL.NOTA]]="",IF(NOTA[[#This Row],[SUPPLIER_H]]="","",AJ95),MONTH(NOTA[[#This Row],[TGL.NOTA]]))</f>
        <v>4</v>
      </c>
      <c r="AK96" s="38" t="str">
        <f>LOWER(SUBSTITUTE(SUBSTITUTE(SUBSTITUTE(SUBSTITUTE(SUBSTITUTE(SUBSTITUTE(SUBSTITUTE(SUBSTITUTE(SUBSTITUTE(NOTA[NAMA BARANG]," ",),".",""),"-",""),"(",""),")",""),",",""),"/",""),"""",""),"+",""))</f>
        <v>celenganl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38" t="str">
        <f>IF(NOTA[[#This Row],[CONCAT4]]="","",_xlfn.IFNA(MATCH(NOTA[[#This Row],[CONCAT4]],[2]!RAW[CONCAT_H],0),FALSE))</f>
        <v/>
      </c>
      <c r="AP96" s="174">
        <f>IF(NOTA[[#This Row],[CONCAT1]]="","",MATCH(NOTA[[#This Row],[CONCAT1]],[3]!db[NB NOTA_C],0)+1)</f>
        <v>1132</v>
      </c>
    </row>
    <row r="97" spans="1:42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>
        <f ca="1">IF(NOTA[[#This Row],[NAMA BARANG]]="","",INDEX(NOTA[ID],MATCH(,INDIRECT(ADDRESS(ROW(NOTA[ID]),COLUMN(NOTA[ID]))&amp;":"&amp;ADDRESS(ROW(),COLUMN(NOTA[ID]))),-1)))</f>
        <v>23</v>
      </c>
      <c r="E97" s="23"/>
      <c r="F97" s="26"/>
      <c r="G97" s="26"/>
      <c r="H97" s="31"/>
      <c r="I97" s="26"/>
      <c r="J97" s="51"/>
      <c r="K97" s="26"/>
      <c r="L97" s="26" t="s">
        <v>289</v>
      </c>
      <c r="M97" s="39">
        <v>1</v>
      </c>
      <c r="N97" s="26">
        <v>6</v>
      </c>
      <c r="O97" s="26" t="s">
        <v>183</v>
      </c>
      <c r="P97" s="49">
        <v>85000</v>
      </c>
      <c r="Q97" s="52"/>
      <c r="R97" s="39" t="s">
        <v>290</v>
      </c>
      <c r="S97" s="53"/>
      <c r="T97" s="53"/>
      <c r="U97" s="54"/>
      <c r="V97" s="37"/>
      <c r="W97" s="54">
        <f>IF(NOTA[[#This Row],[HARGA/ CTN]]="",NOTA[[#This Row],[JUMLAH_H]],NOTA[[#This Row],[HARGA/ CTN]]*IF(NOTA[[#This Row],[C]]="",0,NOTA[[#This Row],[C]]))</f>
        <v>510000</v>
      </c>
      <c r="X97" s="54">
        <f>IF(NOTA[[#This Row],[JUMLAH]]="","",NOTA[[#This Row],[JUMLAH]]*NOTA[[#This Row],[DISC 1]])</f>
        <v>0</v>
      </c>
      <c r="Y97" s="54">
        <f>IF(NOTA[[#This Row],[JUMLAH]]="","",(NOTA[[#This Row],[JUMLAH]]-NOTA[[#This Row],[DISC 1-]])*NOTA[[#This Row],[DISC 2]])</f>
        <v>0</v>
      </c>
      <c r="Z97" s="54">
        <f>IF(NOTA[[#This Row],[JUMLAH]]="","",NOTA[[#This Row],[DISC 1-]]+NOTA[[#This Row],[DISC 2-]])</f>
        <v>0</v>
      </c>
      <c r="AA97" s="54">
        <f>IF(NOTA[[#This Row],[JUMLAH]]="","",NOTA[[#This Row],[JUMLAH]]-NOTA[[#This Row],[DISC]])</f>
        <v>510000</v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E97" s="54">
        <f>IF(OR(NOTA[[#This Row],[QTY]]="",NOTA[[#This Row],[HARGA SATUAN]]="",),"",NOTA[[#This Row],[QTY]]*NOTA[[#This Row],[HARGA SATUAN]])</f>
        <v>510000</v>
      </c>
      <c r="AF97" s="51">
        <f ca="1">IF(NOTA[ID_H]="","",INDEX(NOTA[TANGGAL],MATCH(,INDIRECT(ADDRESS(ROW(NOTA[TANGGAL]),COLUMN(NOTA[TANGGAL]))&amp;":"&amp;ADDRESS(ROW(),COLUMN(NOTA[TANGGAL]))),-1)))</f>
        <v>45022</v>
      </c>
      <c r="AG97" s="65" t="str">
        <f ca="1">IF(NOTA[[#This Row],[NAMA BARANG]]="","",INDEX(NOTA[SUPPLIER],MATCH(,INDIRECT(ADDRESS(ROW(NOTA[ID]),COLUMN(NOTA[ID]))&amp;":"&amp;ADDRESS(ROW(),COLUMN(NOTA[ID]))),-1)))</f>
        <v>PMJP</v>
      </c>
      <c r="AH97" s="65" t="str">
        <f ca="1">IF(NOTA[[#This Row],[ID_H]]="","",IF(NOTA[[#This Row],[FAKTUR]]="",INDIRECT(ADDRESS(ROW()-1,COLUMN())),NOTA[[#This Row],[FAKTUR]]))</f>
        <v>UNTANA</v>
      </c>
      <c r="AI97" s="38" t="str">
        <f ca="1">IF(NOTA[[#This Row],[ID]]="","",COUNTIF(NOTA[ID_H],NOTA[[#This Row],[ID_H]]))</f>
        <v/>
      </c>
      <c r="AJ97" s="38">
        <f ca="1">IF(NOTA[[#This Row],[TGL.NOTA]]="",IF(NOTA[[#This Row],[SUPPLIER_H]]="","",AJ96),MONTH(NOTA[[#This Row],[TGL.NOTA]]))</f>
        <v>4</v>
      </c>
      <c r="AK97" s="38" t="str">
        <f>LOWER(SUBSTITUTE(SUBSTITUTE(SUBSTITUTE(SUBSTITUTE(SUBSTITUTE(SUBSTITUTE(SUBSTITUTE(SUBSTITUTE(SUBSTITUTE(NOTA[NAMA BARANG]," ",),".",""),"-",""),"(",""),")",""),",",""),"/",""),"""",""),"+",""))</f>
        <v>celenganxl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N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" s="38" t="str">
        <f>IF(NOTA[[#This Row],[CONCAT4]]="","",_xlfn.IFNA(MATCH(NOTA[[#This Row],[CONCAT4]],[2]!RAW[CONCAT_H],0),FALSE))</f>
        <v/>
      </c>
      <c r="AP97" s="174">
        <f>IF(NOTA[[#This Row],[CONCAT1]]="","",MATCH(NOTA[[#This Row],[CONCAT1]],[3]!db[NB NOTA_C],0)+1)</f>
        <v>1135</v>
      </c>
    </row>
    <row r="98" spans="1:42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8" s="38" t="str">
        <f>IF(NOTA[[#This Row],[CONCAT4]]="","",_xlfn.IFNA(MATCH(NOTA[[#This Row],[CONCAT4]],[2]!RAW[CONCAT_H],0),FALSE))</f>
        <v/>
      </c>
      <c r="AP98" s="174" t="str">
        <f>IF(NOTA[[#This Row],[CONCAT1]]="","",MATCH(NOTA[[#This Row],[CONCAT1]],[3]!db[NB NOTA_C],0)+1)</f>
        <v/>
      </c>
    </row>
    <row r="99" spans="1:42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24</v>
      </c>
      <c r="E99" s="23"/>
      <c r="F99" s="26" t="s">
        <v>292</v>
      </c>
      <c r="G99" s="26" t="s">
        <v>176</v>
      </c>
      <c r="H99" s="31"/>
      <c r="I99" s="26"/>
      <c r="J99" s="51">
        <v>45019</v>
      </c>
      <c r="K99" s="26"/>
      <c r="L99" s="26" t="s">
        <v>293</v>
      </c>
      <c r="M99" s="39">
        <v>1</v>
      </c>
      <c r="N99" s="26">
        <v>20</v>
      </c>
      <c r="O99" s="26" t="s">
        <v>294</v>
      </c>
      <c r="P99" s="49">
        <v>49000</v>
      </c>
      <c r="Q99" s="52"/>
      <c r="R99" s="39" t="s">
        <v>226</v>
      </c>
      <c r="S99" s="53"/>
      <c r="T99" s="53"/>
      <c r="U99" s="54"/>
      <c r="V99" s="37"/>
      <c r="W99" s="54">
        <f>IF(NOTA[[#This Row],[HARGA/ CTN]]="",NOTA[[#This Row],[JUMLAH_H]],NOTA[[#This Row],[HARGA/ CTN]]*IF(NOTA[[#This Row],[C]]="",0,NOTA[[#This Row],[C]]))</f>
        <v>980000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980000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980000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99" s="54">
        <f>IF(OR(NOTA[[#This Row],[QTY]]="",NOTA[[#This Row],[HARGA SATUAN]]="",),"",NOTA[[#This Row],[QTY]]*NOTA[[#This Row],[HARGA SATUAN]])</f>
        <v>980000</v>
      </c>
      <c r="AF99" s="51">
        <f ca="1">IF(NOTA[ID_H]="","",INDEX(NOTA[TANGGAL],MATCH(,INDIRECT(ADDRESS(ROW(NOTA[TANGGAL]),COLUMN(NOTA[TANGGAL]))&amp;":"&amp;ADDRESS(ROW(),COLUMN(NOTA[TANGGAL]))),-1)))</f>
        <v>45022</v>
      </c>
      <c r="AG99" s="65" t="str">
        <f ca="1">IF(NOTA[[#This Row],[NAMA BARANG]]="","",INDEX(NOTA[SUPPLIER],MATCH(,INDIRECT(ADDRESS(ROW(NOTA[ID]),COLUMN(NOTA[ID]))&amp;":"&amp;ADDRESS(ROW(),COLUMN(NOTA[ID]))),-1)))</f>
        <v>PELNA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4</v>
      </c>
      <c r="AK99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N99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99" s="38" t="e">
        <f>IF(NOTA[[#This Row],[CONCAT4]]="","",_xlfn.IFNA(MATCH(NOTA[[#This Row],[CONCAT4]],[2]!RAW[CONCAT_H],0),FALSE))</f>
        <v>#REF!</v>
      </c>
      <c r="AP99" s="174">
        <f>IF(NOTA[[#This Row],[CONCAT1]]="","",MATCH(NOTA[[#This Row],[CONCAT1]],[3]!db[NB NOTA_C],0)+1)</f>
        <v>1974</v>
      </c>
    </row>
    <row r="100" spans="1:42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38" t="str">
        <f>IF(NOTA[[#This Row],[CONCAT4]]="","",_xlfn.IFNA(MATCH(NOTA[[#This Row],[CONCAT4]],[2]!RAW[CONCAT_H],0),FALSE))</f>
        <v/>
      </c>
      <c r="AP100" s="174" t="str">
        <f>IF(NOTA[[#This Row],[CONCAT1]]="","",MATCH(NOTA[[#This Row],[CONCAT1]],[3]!db[NB NOTA_C],0)+1)</f>
        <v/>
      </c>
    </row>
    <row r="101" spans="1:42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PEL_0604_-5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25</v>
      </c>
      <c r="E101" s="23"/>
      <c r="F101" s="26" t="s">
        <v>292</v>
      </c>
      <c r="G101" s="26" t="s">
        <v>176</v>
      </c>
      <c r="H101" s="31"/>
      <c r="I101" s="26"/>
      <c r="J101" s="51">
        <v>45019</v>
      </c>
      <c r="K101" s="26"/>
      <c r="L101" s="26" t="s">
        <v>293</v>
      </c>
      <c r="M101" s="39"/>
      <c r="N101" s="26">
        <v>10</v>
      </c>
      <c r="O101" s="26" t="s">
        <v>294</v>
      </c>
      <c r="P101" s="49">
        <v>49000</v>
      </c>
      <c r="Q101" s="52"/>
      <c r="R101" s="39"/>
      <c r="S101" s="53"/>
      <c r="T101" s="53"/>
      <c r="U101" s="54"/>
      <c r="V101" s="37" t="s">
        <v>299</v>
      </c>
      <c r="W101" s="54">
        <f>IF(NOTA[[#This Row],[HARGA/ CTN]]="",NOTA[[#This Row],[JUMLAH_H]],NOTA[[#This Row],[HARGA/ CTN]]*IF(NOTA[[#This Row],[C]]="",0,NOTA[[#This Row],[C]]))</f>
        <v>490000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490000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1" s="54">
        <f>IF(OR(NOTA[[#This Row],[QTY]]="",NOTA[[#This Row],[HARGA SATUAN]]="",),"",NOTA[[#This Row],[QTY]]*NOTA[[#This Row],[HARGA SATUAN]])</f>
        <v>490000</v>
      </c>
      <c r="AF101" s="51">
        <f ca="1">IF(NOTA[ID_H]="","",INDEX(NOTA[TANGGAL],MATCH(,INDIRECT(ADDRESS(ROW(NOTA[TANGGAL]),COLUMN(NOTA[TANGGAL]))&amp;":"&amp;ADDRESS(ROW(),COLUMN(NOTA[TANGGAL]))),-1)))</f>
        <v>45022</v>
      </c>
      <c r="AG101" s="65" t="str">
        <f ca="1">IF(NOTA[[#This Row],[NAMA BARANG]]="","",INDEX(NOTA[SUPPLIER],MATCH(,INDIRECT(ADDRESS(ROW(NOTA[ID]),COLUMN(NOTA[ID]))&amp;":"&amp;ADDRESS(ROW(),COLUMN(NOTA[ID]))),-1)))</f>
        <v>PELNA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5</v>
      </c>
      <c r="AJ101" s="38">
        <f>IF(NOTA[[#This Row],[TGL.NOTA]]="",IF(NOTA[[#This Row],[SUPPLIER_H]]="","",AJ100),MONTH(NOTA[[#This Row],[TGL.NOTA]]))</f>
        <v>4</v>
      </c>
      <c r="AK101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pelna01hitam490000</v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pelna01hitam49000</v>
      </c>
      <c r="AN101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101" s="38" t="e">
        <f>IF(NOTA[[#This Row],[CONCAT4]]="","",_xlfn.IFNA(MATCH(NOTA[[#This Row],[CONCAT4]],[2]!RAW[CONCAT_H],0),FALSE))</f>
        <v>#REF!</v>
      </c>
      <c r="AP101" s="174">
        <f>IF(NOTA[[#This Row],[CONCAT1]]="","",MATCH(NOTA[[#This Row],[CONCAT1]],[3]!db[NB NOTA_C],0)+1)</f>
        <v>1974</v>
      </c>
    </row>
    <row r="102" spans="1:42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25</v>
      </c>
      <c r="E102" s="23"/>
      <c r="F102" s="26"/>
      <c r="G102" s="26"/>
      <c r="H102" s="31"/>
      <c r="I102" s="26"/>
      <c r="J102" s="51"/>
      <c r="K102" s="26"/>
      <c r="L102" s="26" t="s">
        <v>295</v>
      </c>
      <c r="M102" s="39"/>
      <c r="N102" s="26">
        <v>10</v>
      </c>
      <c r="O102" s="26" t="s">
        <v>294</v>
      </c>
      <c r="P102" s="49">
        <v>49000</v>
      </c>
      <c r="Q102" s="52"/>
      <c r="R102" s="39"/>
      <c r="S102" s="53"/>
      <c r="T102" s="53"/>
      <c r="U102" s="54"/>
      <c r="V102" s="37" t="s">
        <v>299</v>
      </c>
      <c r="W102" s="54">
        <f>IF(NOTA[[#This Row],[HARGA/ CTN]]="",NOTA[[#This Row],[JUMLAH_H]],NOTA[[#This Row],[HARGA/ CTN]]*IF(NOTA[[#This Row],[C]]="",0,NOTA[[#This Row],[C]]))</f>
        <v>490000</v>
      </c>
      <c r="X102" s="54">
        <f>IF(NOTA[[#This Row],[JUMLAH]]="","",NOTA[[#This Row],[JUMLAH]]*NOTA[[#This Row],[DISC 1]])</f>
        <v>0</v>
      </c>
      <c r="Y102" s="54">
        <f>IF(NOTA[[#This Row],[JUMLAH]]="","",(NOTA[[#This Row],[JUMLAH]]-NOTA[[#This Row],[DISC 1-]])*NOTA[[#This Row],[DISC 2]])</f>
        <v>0</v>
      </c>
      <c r="Z102" s="54">
        <f>IF(NOTA[[#This Row],[JUMLAH]]="","",NOTA[[#This Row],[DISC 1-]]+NOTA[[#This Row],[DISC 2-]])</f>
        <v>0</v>
      </c>
      <c r="AA102" s="54">
        <f>IF(NOTA[[#This Row],[JUMLAH]]="","",NOTA[[#This Row],[JUMLAH]]-NOTA[[#This Row],[DISC]])</f>
        <v>490000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2" s="54">
        <f>IF(OR(NOTA[[#This Row],[QTY]]="",NOTA[[#This Row],[HARGA SATUAN]]="",),"",NOTA[[#This Row],[QTY]]*NOTA[[#This Row],[HARGA SATUAN]])</f>
        <v>490000</v>
      </c>
      <c r="AF102" s="51">
        <f ca="1">IF(NOTA[ID_H]="","",INDEX(NOTA[TANGGAL],MATCH(,INDIRECT(ADDRESS(ROW(NOTA[TANGGAL]),COLUMN(NOTA[TANGGAL]))&amp;":"&amp;ADDRESS(ROW(),COLUMN(NOTA[TANGGAL]))),-1)))</f>
        <v>45022</v>
      </c>
      <c r="AG102" s="65" t="str">
        <f ca="1">IF(NOTA[[#This Row],[NAMA BARANG]]="","",INDEX(NOTA[SUPPLIER],MATCH(,INDIRECT(ADDRESS(ROW(NOTA[ID]),COLUMN(NOTA[ID]))&amp;":"&amp;ADDRESS(ROW(),COLUMN(NOTA[ID]))),-1)))</f>
        <v>PELNA</v>
      </c>
      <c r="AH102" s="65" t="str">
        <f ca="1">IF(NOTA[[#This Row],[ID_H]]="","",IF(NOTA[[#This Row],[FAKTUR]]="",INDIRECT(ADDRESS(ROW()-1,COLUMN())),NOTA[[#This Row],[FAKTUR]]))</f>
        <v>UNTANA</v>
      </c>
      <c r="AI102" s="38" t="str">
        <f ca="1">IF(NOTA[[#This Row],[ID]]="","",COUNTIF(NOTA[ID_H],NOTA[[#This Row],[ID_H]]))</f>
        <v/>
      </c>
      <c r="AJ102" s="38">
        <f ca="1">IF(NOTA[[#This Row],[TGL.NOTA]]="",IF(NOTA[[#This Row],[SUPPLIER_H]]="","",AJ101),MONTH(NOTA[[#This Row],[TGL.NOTA]]))</f>
        <v>4</v>
      </c>
      <c r="AK102" s="38" t="str">
        <f>LOWER(SUBSTITUTE(SUBSTITUTE(SUBSTITUTE(SUBSTITUTE(SUBSTITUTE(SUBSTITUTE(SUBSTITUTE(SUBSTITUTE(SUBSTITUTE(NOTA[NAMA BARANG]," ",),".",""),"-",""),"(",""),")",""),",",""),"/",""),"""",""),"+",""))</f>
        <v>pelna01ihitam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pelna01ihitam490000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pelna01ihitam49000</v>
      </c>
      <c r="AN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38" t="str">
        <f>IF(NOTA[[#This Row],[CONCAT4]]="","",_xlfn.IFNA(MATCH(NOTA[[#This Row],[CONCAT4]],[2]!RAW[CONCAT_H],0),FALSE))</f>
        <v/>
      </c>
      <c r="AP102" s="174" t="e">
        <f>IF(NOTA[[#This Row],[CONCAT1]]="","",MATCH(NOTA[[#This Row],[CONCAT1]],[3]!db[NB NOTA_C],0)+1)</f>
        <v>#N/A</v>
      </c>
    </row>
    <row r="103" spans="1:42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25</v>
      </c>
      <c r="E103" s="23"/>
      <c r="F103" s="26"/>
      <c r="G103" s="26"/>
      <c r="H103" s="31"/>
      <c r="I103" s="26"/>
      <c r="J103" s="51"/>
      <c r="K103" s="26"/>
      <c r="L103" s="26" t="s">
        <v>296</v>
      </c>
      <c r="M103" s="39"/>
      <c r="N103" s="26">
        <v>10</v>
      </c>
      <c r="O103" s="26" t="s">
        <v>294</v>
      </c>
      <c r="P103" s="49">
        <v>49000</v>
      </c>
      <c r="Q103" s="52"/>
      <c r="R103" s="39"/>
      <c r="S103" s="53"/>
      <c r="T103" s="53"/>
      <c r="U103" s="54"/>
      <c r="V103" s="37" t="s">
        <v>299</v>
      </c>
      <c r="W103" s="54">
        <f>IF(NOTA[[#This Row],[HARGA/ CTN]]="",NOTA[[#This Row],[JUMLAH_H]],NOTA[[#This Row],[HARGA/ CTN]]*IF(NOTA[[#This Row],[C]]="",0,NOTA[[#This Row],[C]]))</f>
        <v>490000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490000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3" s="54">
        <f>IF(OR(NOTA[[#This Row],[QTY]]="",NOTA[[#This Row],[HARGA SATUAN]]="",),"",NOTA[[#This Row],[QTY]]*NOTA[[#This Row],[HARGA SATUAN]])</f>
        <v>490000</v>
      </c>
      <c r="AF103" s="51">
        <f ca="1">IF(NOTA[ID_H]="","",INDEX(NOTA[TANGGAL],MATCH(,INDIRECT(ADDRESS(ROW(NOTA[TANGGAL]),COLUMN(NOTA[TANGGAL]))&amp;":"&amp;ADDRESS(ROW(),COLUMN(NOTA[TANGGAL]))),-1)))</f>
        <v>45022</v>
      </c>
      <c r="AG103" s="65" t="str">
        <f ca="1">IF(NOTA[[#This Row],[NAMA BARANG]]="","",INDEX(NOTA[SUPPLIER],MATCH(,INDIRECT(ADDRESS(ROW(NOTA[ID]),COLUMN(NOTA[ID]))&amp;":"&amp;ADDRESS(ROW(),COLUMN(NOTA[ID]))),-1)))</f>
        <v>PELNA</v>
      </c>
      <c r="AH103" s="65" t="str">
        <f ca="1">IF(NOTA[[#This Row],[ID_H]]="","",IF(NOTA[[#This Row],[FAKTUR]]="",INDIRECT(ADDRESS(ROW()-1,COLUMN())),NOTA[[#This Row],[FAKTUR]]))</f>
        <v>UNTANA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4</v>
      </c>
      <c r="AK103" s="38" t="str">
        <f>LOWER(SUBSTITUTE(SUBSTITUTE(SUBSTITUTE(SUBSTITUTE(SUBSTITUTE(SUBSTITUTE(SUBSTITUTE(SUBSTITUTE(SUBSTITUTE(NOTA[NAMA BARANG]," ",),".",""),"-",""),"(",""),")",""),",",""),"/",""),"""",""),"+",""))</f>
        <v>pelnax02hitam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pelnax02hitam490000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pelnax02hitam49000</v>
      </c>
      <c r="AN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3" s="38" t="str">
        <f>IF(NOTA[[#This Row],[CONCAT4]]="","",_xlfn.IFNA(MATCH(NOTA[[#This Row],[CONCAT4]],[2]!RAW[CONCAT_H],0),FALSE))</f>
        <v/>
      </c>
      <c r="AP103" s="174">
        <f>IF(NOTA[[#This Row],[CONCAT1]]="","",MATCH(NOTA[[#This Row],[CONCAT1]],[3]!db[NB NOTA_C],0)+1)</f>
        <v>2393</v>
      </c>
    </row>
    <row r="104" spans="1:42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25</v>
      </c>
      <c r="E104" s="23"/>
      <c r="F104" s="26"/>
      <c r="G104" s="26"/>
      <c r="H104" s="31"/>
      <c r="I104" s="26"/>
      <c r="J104" s="51"/>
      <c r="K104" s="26"/>
      <c r="L104" s="26" t="s">
        <v>297</v>
      </c>
      <c r="M104" s="39"/>
      <c r="N104" s="26">
        <v>10</v>
      </c>
      <c r="O104" s="26" t="s">
        <v>294</v>
      </c>
      <c r="P104" s="49">
        <v>49000</v>
      </c>
      <c r="Q104" s="52"/>
      <c r="R104" s="39"/>
      <c r="S104" s="53"/>
      <c r="T104" s="53"/>
      <c r="U104" s="54"/>
      <c r="V104" s="37" t="s">
        <v>299</v>
      </c>
      <c r="W104" s="54">
        <f>IF(NOTA[[#This Row],[HARGA/ CTN]]="",NOTA[[#This Row],[JUMLAH_H]],NOTA[[#This Row],[HARGA/ CTN]]*IF(NOTA[[#This Row],[C]]="",0,NOTA[[#This Row],[C]]))</f>
        <v>490000</v>
      </c>
      <c r="X104" s="54">
        <f>IF(NOTA[[#This Row],[JUMLAH]]="","",NOTA[[#This Row],[JUMLAH]]*NOTA[[#This Row],[DISC 1]])</f>
        <v>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0</v>
      </c>
      <c r="AA104" s="54">
        <f>IF(NOTA[[#This Row],[JUMLAH]]="","",NOTA[[#This Row],[JUMLAH]]-NOTA[[#This Row],[DISC]])</f>
        <v>490000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4" s="54">
        <f>IF(OR(NOTA[[#This Row],[QTY]]="",NOTA[[#This Row],[HARGA SATUAN]]="",),"",NOTA[[#This Row],[QTY]]*NOTA[[#This Row],[HARGA SATUAN]])</f>
        <v>490000</v>
      </c>
      <c r="AF104" s="51">
        <f ca="1">IF(NOTA[ID_H]="","",INDEX(NOTA[TANGGAL],MATCH(,INDIRECT(ADDRESS(ROW(NOTA[TANGGAL]),COLUMN(NOTA[TANGGAL]))&amp;":"&amp;ADDRESS(ROW(),COLUMN(NOTA[TANGGAL]))),-1)))</f>
        <v>45022</v>
      </c>
      <c r="AG104" s="65" t="str">
        <f ca="1">IF(NOTA[[#This Row],[NAMA BARANG]]="","",INDEX(NOTA[SUPPLIER],MATCH(,INDIRECT(ADDRESS(ROW(NOTA[ID]),COLUMN(NOTA[ID]))&amp;":"&amp;ADDRESS(ROW(),COLUMN(NOTA[ID]))),-1)))</f>
        <v>PELNA</v>
      </c>
      <c r="AH104" s="65" t="str">
        <f ca="1">IF(NOTA[[#This Row],[ID_H]]="","",IF(NOTA[[#This Row],[FAKTUR]]="",INDIRECT(ADDRESS(ROW()-1,COLUMN())),NOTA[[#This Row],[FAKTUR]]))</f>
        <v>UNTANA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4</v>
      </c>
      <c r="AK104" s="38" t="str">
        <f>LOWER(SUBSTITUTE(SUBSTITUTE(SUBSTITUTE(SUBSTITUTE(SUBSTITUTE(SUBSTITUTE(SUBSTITUTE(SUBSTITUTE(SUBSTITUTE(NOTA[NAMA BARANG]," ",),".",""),"-",""),"(",""),")",""),",",""),"/",""),"""",""),"+",""))</f>
        <v>pelnax03hitam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pelnax03hitam490000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pelnax03hitam49000</v>
      </c>
      <c r="AN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38" t="str">
        <f>IF(NOTA[[#This Row],[CONCAT4]]="","",_xlfn.IFNA(MATCH(NOTA[[#This Row],[CONCAT4]],[2]!RAW[CONCAT_H],0),FALSE))</f>
        <v/>
      </c>
      <c r="AP104" s="174">
        <f>IF(NOTA[[#This Row],[CONCAT1]]="","",MATCH(NOTA[[#This Row],[CONCAT1]],[3]!db[NB NOTA_C],0)+1)</f>
        <v>2394</v>
      </c>
    </row>
    <row r="105" spans="1:42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25</v>
      </c>
      <c r="E105" s="23"/>
      <c r="F105" s="26"/>
      <c r="G105" s="26"/>
      <c r="H105" s="31"/>
      <c r="I105" s="26"/>
      <c r="J105" s="51"/>
      <c r="K105" s="26"/>
      <c r="L105" s="26" t="s">
        <v>298</v>
      </c>
      <c r="M105" s="39"/>
      <c r="N105" s="26">
        <v>12</v>
      </c>
      <c r="O105" s="26" t="s">
        <v>294</v>
      </c>
      <c r="P105" s="49">
        <v>140000</v>
      </c>
      <c r="Q105" s="52"/>
      <c r="R105" s="39"/>
      <c r="S105" s="53"/>
      <c r="T105" s="53"/>
      <c r="U105" s="54"/>
      <c r="V105" s="37" t="s">
        <v>299</v>
      </c>
      <c r="W105" s="54">
        <f>IF(NOTA[[#This Row],[HARGA/ CTN]]="",NOTA[[#This Row],[JUMLAH_H]],NOTA[[#This Row],[HARGA/ CTN]]*IF(NOTA[[#This Row],[C]]="",0,NOTA[[#This Row],[C]]))</f>
        <v>1680000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1680000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3640000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05" s="54">
        <f>IF(OR(NOTA[[#This Row],[QTY]]="",NOTA[[#This Row],[HARGA SATUAN]]="",),"",NOTA[[#This Row],[QTY]]*NOTA[[#This Row],[HARGA SATUAN]])</f>
        <v>1680000</v>
      </c>
      <c r="AF105" s="51">
        <f ca="1">IF(NOTA[ID_H]="","",INDEX(NOTA[TANGGAL],MATCH(,INDIRECT(ADDRESS(ROW(NOTA[TANGGAL]),COLUMN(NOTA[TANGGAL]))&amp;":"&amp;ADDRESS(ROW(),COLUMN(NOTA[TANGGAL]))),-1)))</f>
        <v>45022</v>
      </c>
      <c r="AG105" s="65" t="str">
        <f ca="1">IF(NOTA[[#This Row],[NAMA BARANG]]="","",INDEX(NOTA[SUPPLIER],MATCH(,INDIRECT(ADDRESS(ROW(NOTA[ID]),COLUMN(NOTA[ID]))&amp;":"&amp;ADDRESS(ROW(),COLUMN(NOTA[ID]))),-1)))</f>
        <v>PELNA</v>
      </c>
      <c r="AH105" s="65" t="str">
        <f ca="1">IF(NOTA[[#This Row],[ID_H]]="","",IF(NOTA[[#This Row],[FAKTUR]]="",INDIRECT(ADDRESS(ROW()-1,COLUMN())),NOTA[[#This Row],[FAKTUR]]))</f>
        <v>UNTANA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4</v>
      </c>
      <c r="AK105" s="38" t="str">
        <f>LOWER(SUBSTITUTE(SUBSTITUTE(SUBSTITUTE(SUBSTITUTE(SUBSTITUTE(SUBSTITUTE(SUBSTITUTE(SUBSTITUTE(SUBSTITUTE(NOTA[NAMA BARANG]," ",),".",""),"-",""),"(",""),")",""),",",""),"/",""),"""",""),"+",""))</f>
        <v>pelna05hitam05mm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pelna05hitam05mm1680000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pelna05hitam05mm140000</v>
      </c>
      <c r="AN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38" t="str">
        <f>IF(NOTA[[#This Row],[CONCAT4]]="","",_xlfn.IFNA(MATCH(NOTA[[#This Row],[CONCAT4]],[2]!RAW[CONCAT_H],0),FALSE))</f>
        <v/>
      </c>
      <c r="AP105" s="174">
        <f>IF(NOTA[[#This Row],[CONCAT1]]="","",MATCH(NOTA[[#This Row],[CONCAT1]],[3]!db[NB NOTA_C],0)+1)</f>
        <v>2395</v>
      </c>
    </row>
    <row r="106" spans="1:42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38" t="str">
        <f>IF(NOTA[[#This Row],[CONCAT4]]="","",_xlfn.IFNA(MATCH(NOTA[[#This Row],[CONCAT4]],[2]!RAW[CONCAT_H],0),FALSE))</f>
        <v/>
      </c>
      <c r="AP106" s="174" t="str">
        <f>IF(NOTA[[#This Row],[CONCAT1]]="","",MATCH(NOTA[[#This Row],[CONCAT1]],[3]!db[NB NOTA_C],0)+1)</f>
        <v/>
      </c>
    </row>
    <row r="107" spans="1:42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SIN_0604_877-1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26</v>
      </c>
      <c r="E107" s="23"/>
      <c r="F107" s="26" t="s">
        <v>300</v>
      </c>
      <c r="G107" s="26" t="s">
        <v>176</v>
      </c>
      <c r="H107" s="31" t="s">
        <v>301</v>
      </c>
      <c r="I107" s="26"/>
      <c r="J107" s="51">
        <v>45019</v>
      </c>
      <c r="K107" s="26"/>
      <c r="L107" s="26" t="s">
        <v>302</v>
      </c>
      <c r="M107" s="39">
        <v>6</v>
      </c>
      <c r="N107" s="26">
        <v>3000</v>
      </c>
      <c r="O107" s="26" t="s">
        <v>200</v>
      </c>
      <c r="P107" s="49">
        <v>1400</v>
      </c>
      <c r="Q107" s="52"/>
      <c r="R107" s="39" t="s">
        <v>303</v>
      </c>
      <c r="S107" s="53"/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4200000</v>
      </c>
      <c r="X107" s="54">
        <f>IF(NOTA[[#This Row],[JUMLAH]]="","",NOTA[[#This Row],[JUMLAH]]*NOTA[[#This Row],[DISC 1]])</f>
        <v>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0</v>
      </c>
      <c r="AA107" s="54">
        <f>IF(NOTA[[#This Row],[JUMLAH]]="","",NOTA[[#This Row],[JUMLAH]]-NOTA[[#This Row],[DISC]])</f>
        <v>4200000</v>
      </c>
      <c r="AB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4200000</v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07" s="54">
        <f>IF(OR(NOTA[[#This Row],[QTY]]="",NOTA[[#This Row],[HARGA SATUAN]]="",),"",NOTA[[#This Row],[QTY]]*NOTA[[#This Row],[HARGA SATUAN]])</f>
        <v>4200000</v>
      </c>
      <c r="AF107" s="51">
        <f ca="1">IF(NOTA[ID_H]="","",INDEX(NOTA[TANGGAL],MATCH(,INDIRECT(ADDRESS(ROW(NOTA[TANGGAL]),COLUMN(NOTA[TANGGAL]))&amp;":"&amp;ADDRESS(ROW(),COLUMN(NOTA[TANGGAL]))),-1)))</f>
        <v>45022</v>
      </c>
      <c r="AG107" s="65" t="str">
        <f ca="1">IF(NOTA[[#This Row],[NAMA BARANG]]="","",INDEX(NOTA[SUPPLIER],MATCH(,INDIRECT(ADDRESS(ROW(NOTA[ID]),COLUMN(NOTA[ID]))&amp;":"&amp;ADDRESS(ROW(),COLUMN(NOTA[ID]))),-1)))</f>
        <v>SINAR KOTA</v>
      </c>
      <c r="AH107" s="65" t="str">
        <f ca="1">IF(NOTA[[#This Row],[ID_H]]="","",IF(NOTA[[#This Row],[FAKTUR]]="",INDIRECT(ADDRESS(ROW()-1,COLUMN())),NOTA[[#This Row],[FAKTUR]]))</f>
        <v>UNTANA</v>
      </c>
      <c r="AI107" s="38">
        <f ca="1">IF(NOTA[[#This Row],[ID]]="","",COUNTIF(NOTA[ID_H],NOTA[[#This Row],[ID_H]]))</f>
        <v>1</v>
      </c>
      <c r="AJ107" s="38">
        <f>IF(NOTA[[#This Row],[TGL.NOTA]]="",IF(NOTA[[#This Row],[SUPPLIER_H]]="","",AJ106),MONTH(NOTA[[#This Row],[TGL.NOTA]]))</f>
        <v>4</v>
      </c>
      <c r="AK107" s="38" t="str">
        <f>LOWER(SUBSTITUTE(SUBSTITUTE(SUBSTITUTE(SUBSTITUTE(SUBSTITUTE(SUBSTITUTE(SUBSTITUTE(SUBSTITUTE(SUBSTITUTE(NOTA[NAMA BARANG]," ",),".",""),"-",""),"(",""),")",""),",",""),"/",""),"""",""),"+",""))</f>
        <v>jarumpentolbungano1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jarumpentolbungano1700000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jarumpentolbungano1700000</v>
      </c>
      <c r="AN107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KOTAUNTANA7587745019jarumpentolbungano1</v>
      </c>
      <c r="AO107" s="38" t="e">
        <f>IF(NOTA[[#This Row],[CONCAT4]]="","",_xlfn.IFNA(MATCH(NOTA[[#This Row],[CONCAT4]],[2]!RAW[CONCAT_H],0),FALSE))</f>
        <v>#REF!</v>
      </c>
      <c r="AP107" s="174">
        <f>IF(NOTA[[#This Row],[CONCAT1]]="","",MATCH(NOTA[[#This Row],[CONCAT1]],[3]!db[NB NOTA_C],0)+1)</f>
        <v>2397</v>
      </c>
    </row>
    <row r="108" spans="1:42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 t="str">
        <f ca="1">IF(NOTA[[#This Row],[NAMA BARANG]]="","",INDEX(NOTA[ID],MATCH(,INDIRECT(ADDRESS(ROW(NOTA[ID]),COLUMN(NOTA[ID]))&amp;":"&amp;ADDRESS(ROW(),COLUMN(NOTA[ID]))),-1)))</f>
        <v/>
      </c>
      <c r="E108" s="23"/>
      <c r="F108" s="26"/>
      <c r="G108" s="26"/>
      <c r="H108" s="31"/>
      <c r="I108" s="26"/>
      <c r="J108" s="51"/>
      <c r="K108" s="26"/>
      <c r="L108" s="26"/>
      <c r="M108" s="39"/>
      <c r="N108" s="26"/>
      <c r="O108" s="26"/>
      <c r="P108" s="49"/>
      <c r="Q108" s="52"/>
      <c r="R108" s="39"/>
      <c r="S108" s="53"/>
      <c r="T108" s="53"/>
      <c r="U108" s="54"/>
      <c r="V108" s="37"/>
      <c r="W108" s="54" t="str">
        <f>IF(NOTA[[#This Row],[HARGA/ CTN]]="",NOTA[[#This Row],[JUMLAH_H]],NOTA[[#This Row],[HARGA/ CTN]]*IF(NOTA[[#This Row],[C]]="",0,NOTA[[#This Row],[C]]))</f>
        <v/>
      </c>
      <c r="X108" s="54" t="str">
        <f>IF(NOTA[[#This Row],[JUMLAH]]="","",NOTA[[#This Row],[JUMLAH]]*NOTA[[#This Row],[DISC 1]])</f>
        <v/>
      </c>
      <c r="Y108" s="54" t="str">
        <f>IF(NOTA[[#This Row],[JUMLAH]]="","",(NOTA[[#This Row],[JUMLAH]]-NOTA[[#This Row],[DISC 1-]])*NOTA[[#This Row],[DISC 2]])</f>
        <v/>
      </c>
      <c r="Z108" s="54" t="str">
        <f>IF(NOTA[[#This Row],[JUMLAH]]="","",NOTA[[#This Row],[DISC 1-]]+NOTA[[#This Row],[DISC 2-]])</f>
        <v/>
      </c>
      <c r="AA108" s="54" t="str">
        <f>IF(NOTA[[#This Row],[JUMLAH]]="","",NOTA[[#This Row],[JUMLAH]]-NOTA[[#This Row],[DISC]])</f>
        <v/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8" s="54" t="str">
        <f>IF(OR(NOTA[[#This Row],[QTY]]="",NOTA[[#This Row],[HARGA SATUAN]]="",),"",NOTA[[#This Row],[QTY]]*NOTA[[#This Row],[HARGA SATUAN]])</f>
        <v/>
      </c>
      <c r="AF108" s="51" t="str">
        <f ca="1">IF(NOTA[ID_H]="","",INDEX(NOTA[TANGGAL],MATCH(,INDIRECT(ADDRESS(ROW(NOTA[TANGGAL]),COLUMN(NOTA[TANGGAL]))&amp;":"&amp;ADDRESS(ROW(),COLUMN(NOTA[TANGGAL]))),-1)))</f>
        <v/>
      </c>
      <c r="AG108" s="65" t="str">
        <f ca="1">IF(NOTA[[#This Row],[NAMA BARANG]]="","",INDEX(NOTA[SUPPLIER],MATCH(,INDIRECT(ADDRESS(ROW(NOTA[ID]),COLUMN(NOTA[ID]))&amp;":"&amp;ADDRESS(ROW(),COLUMN(NOTA[ID]))),-1)))</f>
        <v/>
      </c>
      <c r="AH108" s="65" t="str">
        <f ca="1">IF(NOTA[[#This Row],[ID_H]]="","",IF(NOTA[[#This Row],[FAKTUR]]="",INDIRECT(ADDRESS(ROW()-1,COLUMN())),NOTA[[#This Row],[FAKTUR]]))</f>
        <v/>
      </c>
      <c r="AI108" s="38" t="str">
        <f ca="1">IF(NOTA[[#This Row],[ID]]="","",COUNTIF(NOTA[ID_H],NOTA[[#This Row],[ID_H]]))</f>
        <v/>
      </c>
      <c r="AJ108" s="38" t="str">
        <f ca="1">IF(NOTA[[#This Row],[TGL.NOTA]]="",IF(NOTA[[#This Row],[SUPPLIER_H]]="","",AJ107),MONTH(NOTA[[#This Row],[TGL.NOTA]]))</f>
        <v/>
      </c>
      <c r="AK108" s="38" t="str">
        <f>LOWER(SUBSTITUTE(SUBSTITUTE(SUBSTITUTE(SUBSTITUTE(SUBSTITUTE(SUBSTITUTE(SUBSTITUTE(SUBSTITUTE(SUBSTITUTE(NOTA[NAMA BARANG]," ",),".",""),"-",""),"(",""),")",""),",",""),"/",""),"""",""),"+",""))</f>
        <v/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38" t="str">
        <f>IF(NOTA[[#This Row],[CONCAT4]]="","",_xlfn.IFNA(MATCH(NOTA[[#This Row],[CONCAT4]],[2]!RAW[CONCAT_H],0),FALSE))</f>
        <v/>
      </c>
      <c r="AP108" s="174" t="str">
        <f>IF(NOTA[[#This Row],[CONCAT1]]="","",MATCH(NOTA[[#This Row],[CONCAT1]],[3]!db[NB NOTA_C],0)+1)</f>
        <v/>
      </c>
    </row>
    <row r="109" spans="1:42" ht="20.100000000000001" customHeight="1" x14ac:dyDescent="0.25">
      <c r="A109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ETJ_0604_023-2</v>
      </c>
      <c r="C109" s="50" t="e">
        <f ca="1">IF(NOTA[[#This Row],[ID_P]]="","",MATCH(NOTA[[#This Row],[ID_P]],[1]!B_MSK[N_ID],0))</f>
        <v>#REF!</v>
      </c>
      <c r="D109" s="50">
        <f ca="1">IF(NOTA[[#This Row],[NAMA BARANG]]="","",INDEX(NOTA[ID],MATCH(,INDIRECT(ADDRESS(ROW(NOTA[ID]),COLUMN(NOTA[ID]))&amp;":"&amp;ADDRESS(ROW(),COLUMN(NOTA[ID]))),-1)))</f>
        <v>27</v>
      </c>
      <c r="E109" s="23"/>
      <c r="F109" s="26" t="s">
        <v>304</v>
      </c>
      <c r="G109" s="26" t="s">
        <v>176</v>
      </c>
      <c r="H109" s="31" t="s">
        <v>305</v>
      </c>
      <c r="I109" s="26"/>
      <c r="J109" s="51">
        <v>45019</v>
      </c>
      <c r="K109" s="26"/>
      <c r="L109" s="26" t="s">
        <v>306</v>
      </c>
      <c r="M109" s="39">
        <v>1</v>
      </c>
      <c r="N109" s="26">
        <v>4000</v>
      </c>
      <c r="O109" s="26" t="s">
        <v>198</v>
      </c>
      <c r="P109" s="49">
        <v>700</v>
      </c>
      <c r="Q109" s="52"/>
      <c r="R109" s="39" t="s">
        <v>307</v>
      </c>
      <c r="S109" s="53"/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2800000</v>
      </c>
      <c r="X109" s="54">
        <f>IF(NOTA[[#This Row],[JUMLAH]]="","",NOTA[[#This Row],[JUMLAH]]*NOTA[[#This Row],[DISC 1]])</f>
        <v>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0</v>
      </c>
      <c r="AA109" s="54">
        <f>IF(NOTA[[#This Row],[JUMLAH]]="","",NOTA[[#This Row],[JUMLAH]]-NOTA[[#This Row],[DISC]])</f>
        <v>2800000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109" s="54">
        <f>IF(OR(NOTA[[#This Row],[QTY]]="",NOTA[[#This Row],[HARGA SATUAN]]="",),"",NOTA[[#This Row],[QTY]]*NOTA[[#This Row],[HARGA SATUAN]])</f>
        <v>2800000</v>
      </c>
      <c r="AF109" s="51">
        <f ca="1">IF(NOTA[ID_H]="","",INDEX(NOTA[TANGGAL],MATCH(,INDIRECT(ADDRESS(ROW(NOTA[TANGGAL]),COLUMN(NOTA[TANGGAL]))&amp;":"&amp;ADDRESS(ROW(),COLUMN(NOTA[TANGGAL]))),-1)))</f>
        <v>45022</v>
      </c>
      <c r="AG109" s="65" t="str">
        <f ca="1">IF(NOTA[[#This Row],[NAMA BARANG]]="","",INDEX(NOTA[SUPPLIER],MATCH(,INDIRECT(ADDRESS(ROW(NOTA[ID]),COLUMN(NOTA[ID]))&amp;":"&amp;ADDRESS(ROW(),COLUMN(NOTA[ID]))),-1)))</f>
        <v>ETJ</v>
      </c>
      <c r="AH109" s="65" t="str">
        <f ca="1">IF(NOTA[[#This Row],[ID_H]]="","",IF(NOTA[[#This Row],[FAKTUR]]="",INDIRECT(ADDRESS(ROW()-1,COLUMN())),NOTA[[#This Row],[FAKTUR]]))</f>
        <v>UNTANA</v>
      </c>
      <c r="AI109" s="38">
        <f ca="1">IF(NOTA[[#This Row],[ID]]="","",COUNTIF(NOTA[ID_H],NOTA[[#This Row],[ID_H]]))</f>
        <v>2</v>
      </c>
      <c r="AJ109" s="38">
        <f>IF(NOTA[[#This Row],[TGL.NOTA]]="",IF(NOTA[[#This Row],[SUPPLIER_H]]="","",AJ108),MONTH(NOTA[[#This Row],[TGL.NOTA]]))</f>
        <v>4</v>
      </c>
      <c r="AK10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109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ETJUNTANAF30.2345019ntagdmrh301</v>
      </c>
      <c r="AO109" s="38" t="e">
        <f>IF(NOTA[[#This Row],[CONCAT4]]="","",_xlfn.IFNA(MATCH(NOTA[[#This Row],[CONCAT4]],[2]!RAW[CONCAT_H],0),FALSE))</f>
        <v>#REF!</v>
      </c>
      <c r="AP109" s="174">
        <f>IF(NOTA[[#This Row],[CONCAT1]]="","",MATCH(NOTA[[#This Row],[CONCAT1]],[3]!db[NB NOTA_C],0)+1)</f>
        <v>1805</v>
      </c>
    </row>
    <row r="110" spans="1:42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27</v>
      </c>
      <c r="E110" s="23"/>
      <c r="F110" s="26"/>
      <c r="G110" s="26"/>
      <c r="H110" s="31"/>
      <c r="I110" s="26"/>
      <c r="J110" s="51"/>
      <c r="K110" s="26"/>
      <c r="L110" s="26" t="s">
        <v>308</v>
      </c>
      <c r="M110" s="39">
        <v>1</v>
      </c>
      <c r="N110" s="26">
        <v>300</v>
      </c>
      <c r="O110" s="26" t="s">
        <v>198</v>
      </c>
      <c r="P110" s="49">
        <v>9250</v>
      </c>
      <c r="Q110" s="52"/>
      <c r="R110" s="39" t="s">
        <v>309</v>
      </c>
      <c r="S110" s="53"/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2775000</v>
      </c>
      <c r="X110" s="54">
        <f>IF(NOTA[[#This Row],[JUMLAH]]="","",NOTA[[#This Row],[JUMLAH]]*NOTA[[#This Row],[DISC 1]])</f>
        <v>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0</v>
      </c>
      <c r="AA110" s="54">
        <f>IF(NOTA[[#This Row],[JUMLAH]]="","",NOTA[[#This Row],[JUMLAH]]-NOTA[[#This Row],[DISC]])</f>
        <v>2775000</v>
      </c>
      <c r="AB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5575000</v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10" s="54">
        <f>IF(OR(NOTA[[#This Row],[QTY]]="",NOTA[[#This Row],[HARGA SATUAN]]="",),"",NOTA[[#This Row],[QTY]]*NOTA[[#This Row],[HARGA SATUAN]])</f>
        <v>2775000</v>
      </c>
      <c r="AF110" s="51">
        <f ca="1">IF(NOTA[ID_H]="","",INDEX(NOTA[TANGGAL],MATCH(,INDIRECT(ADDRESS(ROW(NOTA[TANGGAL]),COLUMN(NOTA[TANGGAL]))&amp;":"&amp;ADDRESS(ROW(),COLUMN(NOTA[TANGGAL]))),-1)))</f>
        <v>45022</v>
      </c>
      <c r="AG110" s="65" t="str">
        <f ca="1">IF(NOTA[[#This Row],[NAMA BARANG]]="","",INDEX(NOTA[SUPPLIER],MATCH(,INDIRECT(ADDRESS(ROW(NOTA[ID]),COLUMN(NOTA[ID]))&amp;":"&amp;ADDRESS(ROW(),COLUMN(NOTA[ID]))),-1)))</f>
        <v>ETJ</v>
      </c>
      <c r="AH110" s="65" t="str">
        <f ca="1">IF(NOTA[[#This Row],[ID_H]]="","",IF(NOTA[[#This Row],[FAKTUR]]="",INDIRECT(ADDRESS(ROW()-1,COLUMN())),NOTA[[#This Row],[FAKTUR]]))</f>
        <v>UNTANA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4</v>
      </c>
      <c r="AK110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sempoa17tiang2775000</v>
      </c>
      <c r="AN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0" s="38" t="str">
        <f>IF(NOTA[[#This Row],[CONCAT4]]="","",_xlfn.IFNA(MATCH(NOTA[[#This Row],[CONCAT4]],[2]!RAW[CONCAT_H],0),FALSE))</f>
        <v/>
      </c>
      <c r="AP110" s="174">
        <f>IF(NOTA[[#This Row],[CONCAT1]]="","",MATCH(NOTA[[#This Row],[CONCAT1]],[3]!db[NB NOTA_C],0)+1)</f>
        <v>2163</v>
      </c>
    </row>
    <row r="111" spans="1:42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 t="str">
        <f ca="1">IF(NOTA[[#This Row],[NAMA BARANG]]="","",INDEX(NOTA[ID],MATCH(,INDIRECT(ADDRESS(ROW(NOTA[ID]),COLUMN(NOTA[ID]))&amp;":"&amp;ADDRESS(ROW(),COLUMN(NOTA[ID]))),-1)))</f>
        <v/>
      </c>
      <c r="E111" s="23"/>
      <c r="F111" s="26"/>
      <c r="G111" s="26"/>
      <c r="H111" s="31"/>
      <c r="I111" s="26"/>
      <c r="J111" s="51"/>
      <c r="K111" s="26"/>
      <c r="L111" s="26"/>
      <c r="M111" s="39"/>
      <c r="N111" s="26"/>
      <c r="O111" s="26"/>
      <c r="P111" s="49"/>
      <c r="Q111" s="52"/>
      <c r="R111" s="39"/>
      <c r="S111" s="53"/>
      <c r="T111" s="53"/>
      <c r="U111" s="54"/>
      <c r="V111" s="37"/>
      <c r="W111" s="54" t="str">
        <f>IF(NOTA[[#This Row],[HARGA/ CTN]]="",NOTA[[#This Row],[JUMLAH_H]],NOTA[[#This Row],[HARGA/ CTN]]*IF(NOTA[[#This Row],[C]]="",0,NOTA[[#This Row],[C]]))</f>
        <v/>
      </c>
      <c r="X111" s="54" t="str">
        <f>IF(NOTA[[#This Row],[JUMLAH]]="","",NOTA[[#This Row],[JUMLAH]]*NOTA[[#This Row],[DISC 1]])</f>
        <v/>
      </c>
      <c r="Y111" s="54" t="str">
        <f>IF(NOTA[[#This Row],[JUMLAH]]="","",(NOTA[[#This Row],[JUMLAH]]-NOTA[[#This Row],[DISC 1-]])*NOTA[[#This Row],[DISC 2]])</f>
        <v/>
      </c>
      <c r="Z111" s="54" t="str">
        <f>IF(NOTA[[#This Row],[JUMLAH]]="","",NOTA[[#This Row],[DISC 1-]]+NOTA[[#This Row],[DISC 2-]])</f>
        <v/>
      </c>
      <c r="AA111" s="54" t="str">
        <f>IF(NOTA[[#This Row],[JUMLAH]]="","",NOTA[[#This Row],[JUMLAH]]-NOTA[[#This Row],[DISC]])</f>
        <v/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54" t="str">
        <f>IF(OR(NOTA[[#This Row],[QTY]]="",NOTA[[#This Row],[HARGA SATUAN]]="",),"",NOTA[[#This Row],[QTY]]*NOTA[[#This Row],[HARGA SATUAN]])</f>
        <v/>
      </c>
      <c r="AF111" s="51" t="str">
        <f ca="1">IF(NOTA[ID_H]="","",INDEX(NOTA[TANGGAL],MATCH(,INDIRECT(ADDRESS(ROW(NOTA[TANGGAL]),COLUMN(NOTA[TANGGAL]))&amp;":"&amp;ADDRESS(ROW(),COLUMN(NOTA[TANGGAL]))),-1)))</f>
        <v/>
      </c>
      <c r="AG111" s="65" t="str">
        <f ca="1">IF(NOTA[[#This Row],[NAMA BARANG]]="","",INDEX(NOTA[SUPPLIER],MATCH(,INDIRECT(ADDRESS(ROW(NOTA[ID]),COLUMN(NOTA[ID]))&amp;":"&amp;ADDRESS(ROW(),COLUMN(NOTA[ID]))),-1)))</f>
        <v/>
      </c>
      <c r="AH111" s="65" t="str">
        <f ca="1">IF(NOTA[[#This Row],[ID_H]]="","",IF(NOTA[[#This Row],[FAKTUR]]="",INDIRECT(ADDRESS(ROW()-1,COLUMN())),NOTA[[#This Row],[FAKTUR]]))</f>
        <v/>
      </c>
      <c r="AI111" s="38" t="str">
        <f ca="1">IF(NOTA[[#This Row],[ID]]="","",COUNTIF(NOTA[ID_H],NOTA[[#This Row],[ID_H]]))</f>
        <v/>
      </c>
      <c r="AJ111" s="38" t="str">
        <f ca="1">IF(NOTA[[#This Row],[TGL.NOTA]]="",IF(NOTA[[#This Row],[SUPPLIER_H]]="","",AJ110),MONTH(NOTA[[#This Row],[TGL.NOTA]]))</f>
        <v/>
      </c>
      <c r="AK111" s="38" t="str">
        <f>LOWER(SUBSTITUTE(SUBSTITUTE(SUBSTITUTE(SUBSTITUTE(SUBSTITUTE(SUBSTITUTE(SUBSTITUTE(SUBSTITUTE(SUBSTITUTE(NOTA[NAMA BARANG]," ",),".",""),"-",""),"(",""),")",""),",",""),"/",""),"""",""),"+",""))</f>
        <v/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38" t="str">
        <f>IF(NOTA[[#This Row],[CONCAT4]]="","",_xlfn.IFNA(MATCH(NOTA[[#This Row],[CONCAT4]],[2]!RAW[CONCAT_H],0),FALSE))</f>
        <v/>
      </c>
      <c r="AP111" s="174" t="str">
        <f>IF(NOTA[[#This Row],[CONCAT1]]="","",MATCH(NOTA[[#This Row],[CONCAT1]],[3]!db[NB NOTA_C],0)+1)</f>
        <v/>
      </c>
    </row>
    <row r="112" spans="1:42" ht="20.100000000000001" customHeight="1" x14ac:dyDescent="0.25">
      <c r="A112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PAR_0804_-2</v>
      </c>
      <c r="C112" s="50" t="e">
        <f ca="1">IF(NOTA[[#This Row],[ID_P]]="","",MATCH(NOTA[[#This Row],[ID_P]],[1]!B_MSK[N_ID],0))</f>
        <v>#REF!</v>
      </c>
      <c r="D112" s="50">
        <f ca="1">IF(NOTA[[#This Row],[NAMA BARANG]]="","",INDEX(NOTA[ID],MATCH(,INDIRECT(ADDRESS(ROW(NOTA[ID]),COLUMN(NOTA[ID]))&amp;":"&amp;ADDRESS(ROW(),COLUMN(NOTA[ID]))),-1)))</f>
        <v>28</v>
      </c>
      <c r="E112" s="23">
        <v>45024</v>
      </c>
      <c r="F112" s="26" t="s">
        <v>310</v>
      </c>
      <c r="G112" s="26" t="s">
        <v>176</v>
      </c>
      <c r="H112" s="31"/>
      <c r="I112" s="26"/>
      <c r="J112" s="51">
        <v>45021</v>
      </c>
      <c r="K112" s="26"/>
      <c r="L112" s="26" t="s">
        <v>311</v>
      </c>
      <c r="M112" s="39">
        <v>5</v>
      </c>
      <c r="N112" s="26">
        <v>1200</v>
      </c>
      <c r="O112" s="26" t="s">
        <v>198</v>
      </c>
      <c r="P112" s="49">
        <f>1316400/240</f>
        <v>5485</v>
      </c>
      <c r="Q112" s="52"/>
      <c r="R112" s="39" t="s">
        <v>312</v>
      </c>
      <c r="S112" s="53">
        <v>0.1</v>
      </c>
      <c r="T112" s="53">
        <v>0.1</v>
      </c>
      <c r="U112" s="54"/>
      <c r="V112" s="37"/>
      <c r="W112" s="54">
        <f>IF(NOTA[[#This Row],[HARGA/ CTN]]="",NOTA[[#This Row],[JUMLAH_H]],NOTA[[#This Row],[HARGA/ CTN]]*IF(NOTA[[#This Row],[C]]="",0,NOTA[[#This Row],[C]]))</f>
        <v>6582000</v>
      </c>
      <c r="X112" s="54">
        <f>IF(NOTA[[#This Row],[JUMLAH]]="","",NOTA[[#This Row],[JUMLAH]]*NOTA[[#This Row],[DISC 1]])</f>
        <v>658200</v>
      </c>
      <c r="Y112" s="54">
        <f>IF(NOTA[[#This Row],[JUMLAH]]="","",(NOTA[[#This Row],[JUMLAH]]-NOTA[[#This Row],[DISC 1-]])*NOTA[[#This Row],[DISC 2]])</f>
        <v>592380</v>
      </c>
      <c r="Z112" s="54">
        <f>IF(NOTA[[#This Row],[JUMLAH]]="","",NOTA[[#This Row],[DISC 1-]]+NOTA[[#This Row],[DISC 2-]])</f>
        <v>1250580</v>
      </c>
      <c r="AA112" s="54">
        <f>IF(NOTA[[#This Row],[JUMLAH]]="","",NOTA[[#This Row],[JUMLAH]]-NOTA[[#This Row],[DISC]])</f>
        <v>5331420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112" s="54">
        <f>IF(OR(NOTA[[#This Row],[QTY]]="",NOTA[[#This Row],[HARGA SATUAN]]="",),"",NOTA[[#This Row],[QTY]]*NOTA[[#This Row],[HARGA SATUAN]])</f>
        <v>6582000</v>
      </c>
      <c r="AF112" s="51">
        <f ca="1">IF(NOTA[ID_H]="","",INDEX(NOTA[TANGGAL],MATCH(,INDIRECT(ADDRESS(ROW(NOTA[TANGGAL]),COLUMN(NOTA[TANGGAL]))&amp;":"&amp;ADDRESS(ROW(),COLUMN(NOTA[TANGGAL]))),-1)))</f>
        <v>45024</v>
      </c>
      <c r="AG112" s="65" t="str">
        <f ca="1">IF(NOTA[[#This Row],[NAMA BARANG]]="","",INDEX(NOTA[SUPPLIER],MATCH(,INDIRECT(ADDRESS(ROW(NOTA[ID]),COLUMN(NOTA[ID]))&amp;":"&amp;ADDRESS(ROW(),COLUMN(NOTA[ID]))),-1)))</f>
        <v>PARAMA</v>
      </c>
      <c r="AH112" s="65" t="str">
        <f ca="1">IF(NOTA[[#This Row],[ID_H]]="","",IF(NOTA[[#This Row],[FAKTUR]]="",INDIRECT(ADDRESS(ROW()-1,COLUMN())),NOTA[[#This Row],[FAKTUR]]))</f>
        <v>UNTANA</v>
      </c>
      <c r="AI112" s="38">
        <f ca="1">IF(NOTA[[#This Row],[ID]]="","",COUNTIF(NOTA[ID_H],NOTA[[#This Row],[ID_H]]))</f>
        <v>2</v>
      </c>
      <c r="AJ112" s="38">
        <f>IF(NOTA[[#This Row],[TGL.NOTA]]="",IF(NOTA[[#This Row],[SUPPLIER_H]]="","",AJ111),MONTH(NOTA[[#This Row],[TGL.NOTA]]))</f>
        <v>4</v>
      </c>
      <c r="AK112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112" s="38" t="str">
        <f>IF(NOTA[[#This Row],[SUPPLIER]]="","",NOTA[[#This Row],[SUPPLIER]]&amp;NOTA[[#This Row],[FAKTUR]]&amp;NOTA[[#This Row],[NO.NOTA]]&amp;NOTA[[#This Row],[NO.SJ]]&amp;NOTA[[#This Row],[TGL.NOTA]]&amp;NOTA[[#This Row],[CONCAT1]])</f>
        <v>PARAMAUNTANA45021sampulsamsonkwartofancy</v>
      </c>
      <c r="AO112" s="38" t="e">
        <f>IF(NOTA[[#This Row],[CONCAT4]]="","",_xlfn.IFNA(MATCH(NOTA[[#This Row],[CONCAT4]],[2]!RAW[CONCAT_H],0),FALSE))</f>
        <v>#REF!</v>
      </c>
      <c r="AP112" s="174">
        <f>IF(NOTA[[#This Row],[CONCAT1]]="","",MATCH(NOTA[[#This Row],[CONCAT1]],[3]!db[NB NOTA_C],0)+1)</f>
        <v>2149</v>
      </c>
    </row>
    <row r="113" spans="1:42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28</v>
      </c>
      <c r="E113" s="23"/>
      <c r="F113" s="26"/>
      <c r="G113" s="26"/>
      <c r="H113" s="31"/>
      <c r="I113" s="26"/>
      <c r="J113" s="51"/>
      <c r="K113" s="26"/>
      <c r="L113" s="26" t="s">
        <v>313</v>
      </c>
      <c r="M113" s="39">
        <v>5</v>
      </c>
      <c r="N113" s="26">
        <v>900</v>
      </c>
      <c r="O113" s="26" t="s">
        <v>198</v>
      </c>
      <c r="P113" s="49">
        <f>1359900/180</f>
        <v>7555</v>
      </c>
      <c r="Q113" s="52"/>
      <c r="R113" s="39" t="s">
        <v>314</v>
      </c>
      <c r="S113" s="53">
        <v>0.1</v>
      </c>
      <c r="T113" s="53">
        <v>0.1</v>
      </c>
      <c r="U113" s="54"/>
      <c r="V113" s="37"/>
      <c r="W113" s="54">
        <f>IF(NOTA[[#This Row],[HARGA/ CTN]]="",NOTA[[#This Row],[JUMLAH_H]],NOTA[[#This Row],[HARGA/ CTN]]*IF(NOTA[[#This Row],[C]]="",0,NOTA[[#This Row],[C]]))</f>
        <v>6799500</v>
      </c>
      <c r="X113" s="54">
        <f>IF(NOTA[[#This Row],[JUMLAH]]="","",NOTA[[#This Row],[JUMLAH]]*NOTA[[#This Row],[DISC 1]])</f>
        <v>679950</v>
      </c>
      <c r="Y113" s="54">
        <f>IF(NOTA[[#This Row],[JUMLAH]]="","",(NOTA[[#This Row],[JUMLAH]]-NOTA[[#This Row],[DISC 1-]])*NOTA[[#This Row],[DISC 2]])</f>
        <v>611955</v>
      </c>
      <c r="Z113" s="54">
        <f>IF(NOTA[[#This Row],[JUMLAH]]="","",NOTA[[#This Row],[DISC 1-]]+NOTA[[#This Row],[DISC 2-]])</f>
        <v>1291905</v>
      </c>
      <c r="AA113" s="54">
        <f>IF(NOTA[[#This Row],[JUMLAH]]="","",NOTA[[#This Row],[JUMLAH]]-NOTA[[#This Row],[DISC]])</f>
        <v>5507595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113" s="54">
        <f>IF(OR(NOTA[[#This Row],[QTY]]="",NOTA[[#This Row],[HARGA SATUAN]]="",),"",NOTA[[#This Row],[QTY]]*NOTA[[#This Row],[HARGA SATUAN]])</f>
        <v>6799500</v>
      </c>
      <c r="AF113" s="51">
        <f ca="1">IF(NOTA[ID_H]="","",INDEX(NOTA[TANGGAL],MATCH(,INDIRECT(ADDRESS(ROW(NOTA[TANGGAL]),COLUMN(NOTA[TANGGAL]))&amp;":"&amp;ADDRESS(ROW(),COLUMN(NOTA[TANGGAL]))),-1)))</f>
        <v>45024</v>
      </c>
      <c r="AG113" s="65" t="str">
        <f ca="1">IF(NOTA[[#This Row],[NAMA BARANG]]="","",INDEX(NOTA[SUPPLIER],MATCH(,INDIRECT(ADDRESS(ROW(NOTA[ID]),COLUMN(NOTA[ID]))&amp;":"&amp;ADDRESS(ROW(),COLUMN(NOTA[ID]))),-1)))</f>
        <v>PARAMA</v>
      </c>
      <c r="AH113" s="65" t="str">
        <f ca="1">IF(NOTA[[#This Row],[ID_H]]="","",IF(NOTA[[#This Row],[FAKTUR]]="",INDIRECT(ADDRESS(ROW()-1,COLUMN())),NOTA[[#This Row],[FAKTUR]]))</f>
        <v>UNTANA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4</v>
      </c>
      <c r="AK113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1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38" t="str">
        <f>IF(NOTA[[#This Row],[CONCAT4]]="","",_xlfn.IFNA(MATCH(NOTA[[#This Row],[CONCAT4]],[2]!RAW[CONCAT_H],0),FALSE))</f>
        <v/>
      </c>
      <c r="AP113" s="174">
        <f>IF(NOTA[[#This Row],[CONCAT1]]="","",MATCH(NOTA[[#This Row],[CONCAT1]],[3]!db[NB NOTA_C],0)+1)</f>
        <v>2146</v>
      </c>
    </row>
    <row r="114" spans="1:42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54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38" t="str">
        <f>IF(NOTA[[#This Row],[CONCAT4]]="","",_xlfn.IFNA(MATCH(NOTA[[#This Row],[CONCAT4]],[2]!RAW[CONCAT_H],0),FALSE))</f>
        <v/>
      </c>
      <c r="AP114" s="174" t="str">
        <f>IF(NOTA[[#This Row],[CONCAT1]]="","",MATCH(NOTA[[#This Row],[CONCAT1]],[3]!db[NB NOTA_C],0)+1)</f>
        <v/>
      </c>
    </row>
    <row r="115" spans="1:42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SBS_0804_023-1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29</v>
      </c>
      <c r="E115" s="23"/>
      <c r="F115" s="26" t="s">
        <v>315</v>
      </c>
      <c r="G115" s="26" t="s">
        <v>176</v>
      </c>
      <c r="H115" s="31" t="s">
        <v>316</v>
      </c>
      <c r="I115" s="26"/>
      <c r="J115" s="51">
        <v>45020</v>
      </c>
      <c r="K115" s="26"/>
      <c r="L115" s="26" t="s">
        <v>317</v>
      </c>
      <c r="M115" s="39">
        <v>5</v>
      </c>
      <c r="N115" s="26"/>
      <c r="O115" s="26"/>
      <c r="P115" s="49"/>
      <c r="Q115" s="52"/>
      <c r="R115" s="39"/>
      <c r="S115" s="53"/>
      <c r="T115" s="53"/>
      <c r="U115" s="54"/>
      <c r="V115" s="37" t="s">
        <v>318</v>
      </c>
      <c r="W115" s="54" t="str">
        <f>IF(NOTA[[#This Row],[HARGA/ CTN]]="",NOTA[[#This Row],[JUMLAH_H]],NOTA[[#This Row],[HARGA/ CTN]]*IF(NOTA[[#This Row],[C]]="",0,NOTA[[#This Row],[C]]))</f>
        <v/>
      </c>
      <c r="X115" s="54" t="str">
        <f>IF(NOTA[[#This Row],[JUMLAH]]="","",NOTA[[#This Row],[JUMLAH]]*NOTA[[#This Row],[DISC 1]])</f>
        <v/>
      </c>
      <c r="Y115" s="54" t="str">
        <f>IF(NOTA[[#This Row],[JUMLAH]]="","",(NOTA[[#This Row],[JUMLAH]]-NOTA[[#This Row],[DISC 1-]])*NOTA[[#This Row],[DISC 2]])</f>
        <v/>
      </c>
      <c r="Z115" s="54" t="str">
        <f>IF(NOTA[[#This Row],[JUMLAH]]="","",NOTA[[#This Row],[DISC 1-]]+NOTA[[#This Row],[DISC 2-]])</f>
        <v/>
      </c>
      <c r="AA115" s="54" t="str">
        <f>IF(NOTA[[#This Row],[JUMLAH]]="","",NOTA[[#This Row],[JUMLAH]]-NOTA[[#This Row],[DISC]])</f>
        <v/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5" s="54" t="str">
        <f>IF(OR(NOTA[[#This Row],[QTY]]="",NOTA[[#This Row],[HARGA SATUAN]]="",),"",NOTA[[#This Row],[QTY]]*NOTA[[#This Row],[HARGA SATUAN]])</f>
        <v/>
      </c>
      <c r="AF115" s="51">
        <f ca="1">IF(NOTA[ID_H]="","",INDEX(NOTA[TANGGAL],MATCH(,INDIRECT(ADDRESS(ROW(NOTA[TANGGAL]),COLUMN(NOTA[TANGGAL]))&amp;":"&amp;ADDRESS(ROW(),COLUMN(NOTA[TANGGAL]))),-1)))</f>
        <v>45024</v>
      </c>
      <c r="AG115" s="65" t="str">
        <f ca="1">IF(NOTA[[#This Row],[NAMA BARANG]]="","",INDEX(NOTA[SUPPLIER],MATCH(,INDIRECT(ADDRESS(ROW(NOTA[ID]),COLUMN(NOTA[ID]))&amp;":"&amp;ADDRESS(ROW(),COLUMN(NOTA[ID]))),-1)))</f>
        <v>SBS</v>
      </c>
      <c r="AH115" s="65" t="str">
        <f ca="1">IF(NOTA[[#This Row],[ID_H]]="","",IF(NOTA[[#This Row],[FAKTUR]]="",INDIRECT(ADDRESS(ROW()-1,COLUMN())),NOTA[[#This Row],[FAKTUR]]))</f>
        <v>UNTANA</v>
      </c>
      <c r="AI115" s="38">
        <f ca="1">IF(NOTA[[#This Row],[ID]]="","",COUNTIF(NOTA[ID_H],NOTA[[#This Row],[ID_H]]))</f>
        <v>1</v>
      </c>
      <c r="AJ115" s="38">
        <f>IF(NOTA[[#This Row],[TGL.NOTA]]="",IF(NOTA[[#This Row],[SUPPLIER_H]]="","",AJ114),MONTH(NOTA[[#This Row],[TGL.NOTA]]))</f>
        <v>4</v>
      </c>
      <c r="AK115" s="38" t="str">
        <f>LOWER(SUBSTITUTE(SUBSTITUTE(SUBSTITUTE(SUBSTITUTE(SUBSTITUTE(SUBSTITUTE(SUBSTITUTE(SUBSTITUTE(SUBSTITUTE(NOTA[NAMA BARANG]," ",),".",""),"-",""),"(",""),")",""),",",""),"/",""),"""",""),"+",""))</f>
        <v>elevatedtray603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elevatedtray6030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elevatedtray6030</v>
      </c>
      <c r="AN115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SBSUNTANATH017/2/202345020elevatedtray603</v>
      </c>
      <c r="AO115" s="38" t="e">
        <f>IF(NOTA[[#This Row],[CONCAT4]]="","",_xlfn.IFNA(MATCH(NOTA[[#This Row],[CONCAT4]],[2]!RAW[CONCAT_H],0),FALSE))</f>
        <v>#REF!</v>
      </c>
      <c r="AP115" s="174" t="e">
        <f>IF(NOTA[[#This Row],[CONCAT1]]="","",MATCH(NOTA[[#This Row],[CONCAT1]],[3]!db[NB NOTA_C],0)+1)</f>
        <v>#N/A</v>
      </c>
    </row>
    <row r="116" spans="1:42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6" s="38" t="str">
        <f>IF(NOTA[[#This Row],[CONCAT4]]="","",_xlfn.IFNA(MATCH(NOTA[[#This Row],[CONCAT4]],[2]!RAW[CONCAT_H],0),FALSE))</f>
        <v/>
      </c>
      <c r="AP116" s="174" t="str">
        <f>IF(NOTA[[#This Row],[CONCAT1]]="","",MATCH(NOTA[[#This Row],[CONCAT1]],[3]!db[NB NOTA_C],0)+1)</f>
        <v/>
      </c>
    </row>
    <row r="117" spans="1:42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BIN_0804_084-1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30</v>
      </c>
      <c r="E117" s="23"/>
      <c r="F117" s="26" t="s">
        <v>319</v>
      </c>
      <c r="G117" s="26" t="s">
        <v>176</v>
      </c>
      <c r="H117" s="31" t="s">
        <v>320</v>
      </c>
      <c r="I117" s="26"/>
      <c r="J117" s="51">
        <v>45021</v>
      </c>
      <c r="K117" s="26"/>
      <c r="L117" s="26" t="s">
        <v>321</v>
      </c>
      <c r="M117" s="39">
        <v>47</v>
      </c>
      <c r="N117" s="26">
        <f>1200*47</f>
        <v>56400</v>
      </c>
      <c r="O117" s="26" t="s">
        <v>198</v>
      </c>
      <c r="P117" s="49">
        <v>1166.67</v>
      </c>
      <c r="Q117" s="52"/>
      <c r="R117" s="39" t="s">
        <v>322</v>
      </c>
      <c r="S117" s="53"/>
      <c r="T117" s="53"/>
      <c r="U117" s="54"/>
      <c r="V117" s="37" t="s">
        <v>323</v>
      </c>
      <c r="W117" s="54">
        <f>IF(NOTA[[#This Row],[HARGA/ CTN]]="",NOTA[[#This Row],[JUMLAH_H]],NOTA[[#This Row],[HARGA/ CTN]]*IF(NOTA[[#This Row],[C]]="",0,NOTA[[#This Row],[C]]))</f>
        <v>65800188.000000007</v>
      </c>
      <c r="X117" s="54">
        <f>IF(NOTA[[#This Row],[JUMLAH]]="","",NOTA[[#This Row],[JUMLAH]]*NOTA[[#This Row],[DISC 1]])</f>
        <v>0</v>
      </c>
      <c r="Y117" s="54">
        <f>IF(NOTA[[#This Row],[JUMLAH]]="","",(NOTA[[#This Row],[JUMLAH]]-NOTA[[#This Row],[DISC 1-]])*NOTA[[#This Row],[DISC 2]])</f>
        <v>0</v>
      </c>
      <c r="Z117" s="54">
        <f>IF(NOTA[[#This Row],[JUMLAH]]="","",NOTA[[#This Row],[DISC 1-]]+NOTA[[#This Row],[DISC 2-]])</f>
        <v>0</v>
      </c>
      <c r="AA117" s="54">
        <f>IF(NOTA[[#This Row],[JUMLAH]]="","",NOTA[[#This Row],[JUMLAH]]-NOTA[[#This Row],[DISC]])</f>
        <v>65800188.000000007</v>
      </c>
      <c r="AB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65800188.000000007</v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1400004.0000000002</v>
      </c>
      <c r="AE117" s="54">
        <f>IF(OR(NOTA[[#This Row],[QTY]]="",NOTA[[#This Row],[HARGA SATUAN]]="",),"",NOTA[[#This Row],[QTY]]*NOTA[[#This Row],[HARGA SATUAN]])</f>
        <v>65800188.000000007</v>
      </c>
      <c r="AF117" s="51">
        <f ca="1">IF(NOTA[ID_H]="","",INDEX(NOTA[TANGGAL],MATCH(,INDIRECT(ADDRESS(ROW(NOTA[TANGGAL]),COLUMN(NOTA[TANGGAL]))&amp;":"&amp;ADDRESS(ROW(),COLUMN(NOTA[TANGGAL]))),-1)))</f>
        <v>45024</v>
      </c>
      <c r="AG117" s="65" t="str">
        <f ca="1">IF(NOTA[[#This Row],[NAMA BARANG]]="","",INDEX(NOTA[SUPPLIER],MATCH(,INDIRECT(ADDRESS(ROW(NOTA[ID]),COLUMN(NOTA[ID]))&amp;":"&amp;ADDRESS(ROW(),COLUMN(NOTA[ID]))),-1)))</f>
        <v>BINTANG JAYA</v>
      </c>
      <c r="AH117" s="65" t="str">
        <f ca="1">IF(NOTA[[#This Row],[ID_H]]="","",IF(NOTA[[#This Row],[FAKTUR]]="",INDIRECT(ADDRESS(ROW()-1,COLUMN())),NOTA[[#This Row],[FAKTUR]]))</f>
        <v>UNTANA</v>
      </c>
      <c r="AI117" s="38">
        <f ca="1">IF(NOTA[[#This Row],[ID]]="","",COUNTIF(NOTA[ID_H],NOTA[[#This Row],[ID_H]]))</f>
        <v>1</v>
      </c>
      <c r="AJ117" s="38">
        <f>IF(NOTA[[#This Row],[TGL.NOTA]]="",IF(NOTA[[#This Row],[SUPPLIER_H]]="","",AJ116),MONTH(NOTA[[#This Row],[TGL.NOTA]]))</f>
        <v>4</v>
      </c>
      <c r="AK117" s="38" t="str">
        <f>LOWER(SUBSTITUTE(SUBSTITUTE(SUBSTITUTE(SUBSTITUTE(SUBSTITUTE(SUBSTITUTE(SUBSTITUTE(SUBSTITUTE(SUBSTITUTE(NOTA[NAMA BARANG]," ",),".",""),"-",""),"(",""),")",""),",",""),"/",""),"""",""),"+",""))</f>
        <v>pencilcasemikarakitsq803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pencilcasemikarakitsq8031400004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pencilcasemikarakitsq8031400004</v>
      </c>
      <c r="AN117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JAYAUNTANASI.2023.04.0008445021pencilcasemikarakitsq803</v>
      </c>
      <c r="AO117" s="38" t="e">
        <f>IF(NOTA[[#This Row],[CONCAT4]]="","",_xlfn.IFNA(MATCH(NOTA[[#This Row],[CONCAT4]],[2]!RAW[CONCAT_H],0),FALSE))</f>
        <v>#REF!</v>
      </c>
      <c r="AP117" s="174">
        <f>IF(NOTA[[#This Row],[CONCAT1]]="","",MATCH(NOTA[[#This Row],[CONCAT1]],[3]!db[NB NOTA_C],0)+1)</f>
        <v>1996</v>
      </c>
    </row>
    <row r="118" spans="1:42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 t="str">
        <f ca="1">IF(NOTA[[#This Row],[NAMA BARANG]]="","",INDEX(NOTA[ID],MATCH(,INDIRECT(ADDRESS(ROW(NOTA[ID]),COLUMN(NOTA[ID]))&amp;":"&amp;ADDRESS(ROW(),COLUMN(NOTA[ID]))),-1)))</f>
        <v/>
      </c>
      <c r="E118" s="23"/>
      <c r="F118" s="26"/>
      <c r="G118" s="26"/>
      <c r="H118" s="31"/>
      <c r="I118" s="26"/>
      <c r="J118" s="51"/>
      <c r="K118" s="26"/>
      <c r="L118" s="26"/>
      <c r="M118" s="39"/>
      <c r="N118" s="26"/>
      <c r="O118" s="26"/>
      <c r="P118" s="49"/>
      <c r="Q118" s="52"/>
      <c r="R118" s="39"/>
      <c r="S118" s="53"/>
      <c r="T118" s="53"/>
      <c r="U118" s="54"/>
      <c r="V118" s="37"/>
      <c r="W118" s="54" t="str">
        <f>IF(NOTA[[#This Row],[HARGA/ CTN]]="",NOTA[[#This Row],[JUMLAH_H]],NOTA[[#This Row],[HARGA/ CTN]]*IF(NOTA[[#This Row],[C]]="",0,NOTA[[#This Row],[C]]))</f>
        <v/>
      </c>
      <c r="X118" s="54" t="str">
        <f>IF(NOTA[[#This Row],[JUMLAH]]="","",NOTA[[#This Row],[JUMLAH]]*NOTA[[#This Row],[DISC 1]])</f>
        <v/>
      </c>
      <c r="Y118" s="54" t="str">
        <f>IF(NOTA[[#This Row],[JUMLAH]]="","",(NOTA[[#This Row],[JUMLAH]]-NOTA[[#This Row],[DISC 1-]])*NOTA[[#This Row],[DISC 2]])</f>
        <v/>
      </c>
      <c r="Z118" s="54" t="str">
        <f>IF(NOTA[[#This Row],[JUMLAH]]="","",NOTA[[#This Row],[DISC 1-]]+NOTA[[#This Row],[DISC 2-]])</f>
        <v/>
      </c>
      <c r="AA118" s="54" t="str">
        <f>IF(NOTA[[#This Row],[JUMLAH]]="","",NOTA[[#This Row],[JUMLAH]]-NOTA[[#This Row],[DISC]])</f>
        <v/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8" s="54" t="str">
        <f>IF(OR(NOTA[[#This Row],[QTY]]="",NOTA[[#This Row],[HARGA SATUAN]]="",),"",NOTA[[#This Row],[QTY]]*NOTA[[#This Row],[HARGA SATUAN]])</f>
        <v/>
      </c>
      <c r="AF118" s="51" t="str">
        <f ca="1">IF(NOTA[ID_H]="","",INDEX(NOTA[TANGGAL],MATCH(,INDIRECT(ADDRESS(ROW(NOTA[TANGGAL]),COLUMN(NOTA[TANGGAL]))&amp;":"&amp;ADDRESS(ROW(),COLUMN(NOTA[TANGGAL]))),-1)))</f>
        <v/>
      </c>
      <c r="AG118" s="65" t="str">
        <f ca="1">IF(NOTA[[#This Row],[NAMA BARANG]]="","",INDEX(NOTA[SUPPLIER],MATCH(,INDIRECT(ADDRESS(ROW(NOTA[ID]),COLUMN(NOTA[ID]))&amp;":"&amp;ADDRESS(ROW(),COLUMN(NOTA[ID]))),-1)))</f>
        <v/>
      </c>
      <c r="AH118" s="65" t="str">
        <f ca="1">IF(NOTA[[#This Row],[ID_H]]="","",IF(NOTA[[#This Row],[FAKTUR]]="",INDIRECT(ADDRESS(ROW()-1,COLUMN())),NOTA[[#This Row],[FAKTUR]]))</f>
        <v/>
      </c>
      <c r="AI118" s="38" t="str">
        <f ca="1">IF(NOTA[[#This Row],[ID]]="","",COUNTIF(NOTA[ID_H],NOTA[[#This Row],[ID_H]]))</f>
        <v/>
      </c>
      <c r="AJ118" s="38" t="str">
        <f ca="1">IF(NOTA[[#This Row],[TGL.NOTA]]="",IF(NOTA[[#This Row],[SUPPLIER_H]]="","",AJ117),MONTH(NOTA[[#This Row],[TGL.NOTA]]))</f>
        <v/>
      </c>
      <c r="AK118" s="38" t="str">
        <f>LOWER(SUBSTITUTE(SUBSTITUTE(SUBSTITUTE(SUBSTITUTE(SUBSTITUTE(SUBSTITUTE(SUBSTITUTE(SUBSTITUTE(SUBSTITUTE(NOTA[NAMA BARANG]," ",),".",""),"-",""),"(",""),")",""),",",""),"/",""),"""",""),"+",""))</f>
        <v/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38" t="str">
        <f>IF(NOTA[[#This Row],[CONCAT4]]="","",_xlfn.IFNA(MATCH(NOTA[[#This Row],[CONCAT4]],[2]!RAW[CONCAT_H],0),FALSE))</f>
        <v/>
      </c>
      <c r="AP118" s="174" t="str">
        <f>IF(NOTA[[#This Row],[CONCAT1]]="","",MATCH(NOTA[[#This Row],[CONCAT1]],[3]!db[NB NOTA_C],0)+1)</f>
        <v/>
      </c>
    </row>
    <row r="119" spans="1:42" ht="20.100000000000001" customHeight="1" x14ac:dyDescent="0.25">
      <c r="A119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KEN_0804_493-2</v>
      </c>
      <c r="C119" s="50" t="e">
        <f ca="1">IF(NOTA[[#This Row],[ID_P]]="","",MATCH(NOTA[[#This Row],[ID_P]],[1]!B_MSK[N_ID],0))</f>
        <v>#REF!</v>
      </c>
      <c r="D119" s="50">
        <f ca="1">IF(NOTA[[#This Row],[NAMA BARANG]]="","",INDEX(NOTA[ID],MATCH(,INDIRECT(ADDRESS(ROW(NOTA[ID]),COLUMN(NOTA[ID]))&amp;":"&amp;ADDRESS(ROW(),COLUMN(NOTA[ID]))),-1)))</f>
        <v>31</v>
      </c>
      <c r="E119" s="23"/>
      <c r="F119" s="26" t="s">
        <v>23</v>
      </c>
      <c r="G119" s="26" t="s">
        <v>24</v>
      </c>
      <c r="H119" s="31" t="s">
        <v>324</v>
      </c>
      <c r="I119" s="26" t="s">
        <v>325</v>
      </c>
      <c r="J119" s="51">
        <v>45022</v>
      </c>
      <c r="K119" s="26"/>
      <c r="L119" s="26" t="s">
        <v>214</v>
      </c>
      <c r="M119" s="39">
        <v>1</v>
      </c>
      <c r="N119" s="26"/>
      <c r="O119" s="26"/>
      <c r="P119" s="49"/>
      <c r="Q119" s="52">
        <v>1944000</v>
      </c>
      <c r="R119" s="39" t="s">
        <v>220</v>
      </c>
      <c r="S119" s="53">
        <v>0.17</v>
      </c>
      <c r="T119" s="53"/>
      <c r="U119" s="54"/>
      <c r="V119" s="37"/>
      <c r="W119" s="54">
        <f>IF(NOTA[[#This Row],[HARGA/ CTN]]="",NOTA[[#This Row],[JUMLAH_H]],NOTA[[#This Row],[HARGA/ CTN]]*IF(NOTA[[#This Row],[C]]="",0,NOTA[[#This Row],[C]]))</f>
        <v>1944000</v>
      </c>
      <c r="X119" s="54">
        <f>IF(NOTA[[#This Row],[JUMLAH]]="","",NOTA[[#This Row],[JUMLAH]]*NOTA[[#This Row],[DISC 1]])</f>
        <v>330480</v>
      </c>
      <c r="Y119" s="54">
        <f>IF(NOTA[[#This Row],[JUMLAH]]="","",(NOTA[[#This Row],[JUMLAH]]-NOTA[[#This Row],[DISC 1-]])*NOTA[[#This Row],[DISC 2]])</f>
        <v>0</v>
      </c>
      <c r="Z119" s="54">
        <f>IF(NOTA[[#This Row],[JUMLAH]]="","",NOTA[[#This Row],[DISC 1-]]+NOTA[[#This Row],[DISC 2-]])</f>
        <v>330480</v>
      </c>
      <c r="AA119" s="54">
        <f>IF(NOTA[[#This Row],[JUMLAH]]="","",NOTA[[#This Row],[JUMLAH]]-NOTA[[#This Row],[DISC]])</f>
        <v>1613520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9" s="54" t="str">
        <f>IF(OR(NOTA[[#This Row],[QTY]]="",NOTA[[#This Row],[HARGA SATUAN]]="",),"",NOTA[[#This Row],[QTY]]*NOTA[[#This Row],[HARGA SATUAN]])</f>
        <v/>
      </c>
      <c r="AF119" s="51">
        <f ca="1">IF(NOTA[ID_H]="","",INDEX(NOTA[TANGGAL],MATCH(,INDIRECT(ADDRESS(ROW(NOTA[TANGGAL]),COLUMN(NOTA[TANGGAL]))&amp;":"&amp;ADDRESS(ROW(),COLUMN(NOTA[TANGGAL]))),-1)))</f>
        <v>45024</v>
      </c>
      <c r="AG119" s="65" t="str">
        <f ca="1">IF(NOTA[[#This Row],[NAMA BARANG]]="","",INDEX(NOTA[SUPPLIER],MATCH(,INDIRECT(ADDRESS(ROW(NOTA[ID]),COLUMN(NOTA[ID]))&amp;":"&amp;ADDRESS(ROW(),COLUMN(NOTA[ID]))),-1)))</f>
        <v>KENKO SINAR INDONESIA</v>
      </c>
      <c r="AH119" s="65" t="str">
        <f ca="1">IF(NOTA[[#This Row],[ID_H]]="","",IF(NOTA[[#This Row],[FAKTUR]]="",INDIRECT(ADDRESS(ROW()-1,COLUMN())),NOTA[[#This Row],[FAKTUR]]))</f>
        <v>ARTO MORO</v>
      </c>
      <c r="AI119" s="38">
        <f ca="1">IF(NOTA[[#This Row],[ID]]="","",COUNTIF(NOTA[ID_H],NOTA[[#This Row],[ID_H]]))</f>
        <v>2</v>
      </c>
      <c r="AJ119" s="38">
        <f>IF(NOTA[[#This Row],[TGL.NOTA]]="",IF(NOTA[[#This Row],[SUPPLIER_H]]="","",AJ118),MONTH(NOTA[[#This Row],[TGL.NOTA]]))</f>
        <v>4</v>
      </c>
      <c r="AK11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MORO23040493SA 7098245022titi18coloroilpasteltip18s</v>
      </c>
      <c r="AO119" s="38" t="e">
        <f>IF(NOTA[[#This Row],[CONCAT4]]="","",_xlfn.IFNA(MATCH(NOTA[[#This Row],[CONCAT4]],[2]!RAW[CONCAT_H],0),FALSE))</f>
        <v>#REF!</v>
      </c>
      <c r="AP119" s="174">
        <f>IF(NOTA[[#This Row],[CONCAT1]]="","",MATCH(NOTA[[#This Row],[CONCAT1]],[3]!db[NB NOTA_C],0)+1)</f>
        <v>283</v>
      </c>
    </row>
    <row r="120" spans="1:42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31</v>
      </c>
      <c r="E120" s="23"/>
      <c r="F120" s="26"/>
      <c r="G120" s="26"/>
      <c r="H120" s="31"/>
      <c r="I120" s="26"/>
      <c r="J120" s="51"/>
      <c r="K120" s="26"/>
      <c r="L120" s="26" t="s">
        <v>217</v>
      </c>
      <c r="M120" s="39">
        <v>1</v>
      </c>
      <c r="N120" s="26"/>
      <c r="O120" s="26"/>
      <c r="P120" s="49"/>
      <c r="Q120" s="52">
        <v>1656000</v>
      </c>
      <c r="R120" s="39" t="s">
        <v>326</v>
      </c>
      <c r="S120" s="53">
        <v>0.17</v>
      </c>
      <c r="T120" s="53"/>
      <c r="U120" s="54"/>
      <c r="V120" s="37"/>
      <c r="W120" s="54">
        <f>IF(NOTA[[#This Row],[HARGA/ CTN]]="",NOTA[[#This Row],[JUMLAH_H]],NOTA[[#This Row],[HARGA/ CTN]]*IF(NOTA[[#This Row],[C]]="",0,NOTA[[#This Row],[C]]))</f>
        <v>1656000</v>
      </c>
      <c r="X120" s="54">
        <f>IF(NOTA[[#This Row],[JUMLAH]]="","",NOTA[[#This Row],[JUMLAH]]*NOTA[[#This Row],[DISC 1]])</f>
        <v>281520</v>
      </c>
      <c r="Y120" s="54">
        <f>IF(NOTA[[#This Row],[JUMLAH]]="","",(NOTA[[#This Row],[JUMLAH]]-NOTA[[#This Row],[DISC 1-]])*NOTA[[#This Row],[DISC 2]])</f>
        <v>0</v>
      </c>
      <c r="Z120" s="54">
        <f>IF(NOTA[[#This Row],[JUMLAH]]="","",NOTA[[#This Row],[DISC 1-]]+NOTA[[#This Row],[DISC 2-]])</f>
        <v>281520</v>
      </c>
      <c r="AA120" s="54">
        <f>IF(NOTA[[#This Row],[JUMLAH]]="","",NOTA[[#This Row],[JUMLAH]]-NOTA[[#This Row],[DISC]])</f>
        <v>1374480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612000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2988000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0" s="54" t="str">
        <f>IF(OR(NOTA[[#This Row],[QTY]]="",NOTA[[#This Row],[HARGA SATUAN]]="",),"",NOTA[[#This Row],[QTY]]*NOTA[[#This Row],[HARGA SATUAN]])</f>
        <v/>
      </c>
      <c r="AF120" s="51">
        <f ca="1">IF(NOTA[ID_H]="","",INDEX(NOTA[TANGGAL],MATCH(,INDIRECT(ADDRESS(ROW(NOTA[TANGGAL]),COLUMN(NOTA[TANGGAL]))&amp;":"&amp;ADDRESS(ROW(),COLUMN(NOTA[TANGGAL]))),-1)))</f>
        <v>45024</v>
      </c>
      <c r="AG120" s="65" t="str">
        <f ca="1">IF(NOTA[[#This Row],[NAMA BARANG]]="","",INDEX(NOTA[SUPPLIER],MATCH(,INDIRECT(ADDRESS(ROW(NOTA[ID]),COLUMN(NOTA[ID]))&amp;":"&amp;ADDRESS(ROW(),COLUMN(NOTA[ID]))),-1)))</f>
        <v>KENKO SINAR INDONESIA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4</v>
      </c>
      <c r="AK120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38" t="str">
        <f>IF(NOTA[[#This Row],[CONCAT4]]="","",_xlfn.IFNA(MATCH(NOTA[[#This Row],[CONCAT4]],[2]!RAW[CONCAT_H],0),FALSE))</f>
        <v/>
      </c>
      <c r="AP120" s="174">
        <f>IF(NOTA[[#This Row],[CONCAT1]]="","",MATCH(NOTA[[#This Row],[CONCAT1]],[3]!db[NB NOTA_C],0)+1)</f>
        <v>286</v>
      </c>
    </row>
    <row r="121" spans="1:42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38" t="str">
        <f>IF(NOTA[[#This Row],[CONCAT4]]="","",_xlfn.IFNA(MATCH(NOTA[[#This Row],[CONCAT4]],[2]!RAW[CONCAT_H],0),FALSE))</f>
        <v/>
      </c>
      <c r="AP121" s="174" t="str">
        <f>IF(NOTA[[#This Row],[CONCAT1]]="","",MATCH(NOTA[[#This Row],[CONCAT1]],[3]!db[NB NOTA_C],0)+1)</f>
        <v/>
      </c>
    </row>
    <row r="122" spans="1:42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ATA_0804_621-3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32</v>
      </c>
      <c r="E122" s="23"/>
      <c r="F122" s="26" t="s">
        <v>25</v>
      </c>
      <c r="G122" s="26" t="s">
        <v>24</v>
      </c>
      <c r="H122" s="31" t="s">
        <v>327</v>
      </c>
      <c r="I122" s="26"/>
      <c r="J122" s="51">
        <v>45019</v>
      </c>
      <c r="K122" s="26"/>
      <c r="L122" s="26" t="s">
        <v>132</v>
      </c>
      <c r="M122" s="39">
        <v>20</v>
      </c>
      <c r="N122" s="26">
        <v>2880</v>
      </c>
      <c r="O122" s="26" t="s">
        <v>188</v>
      </c>
      <c r="P122" s="49">
        <v>11900</v>
      </c>
      <c r="Q122" s="52"/>
      <c r="R122" s="39" t="s">
        <v>328</v>
      </c>
      <c r="S122" s="53">
        <v>0.125</v>
      </c>
      <c r="T122" s="53">
        <v>0.08</v>
      </c>
      <c r="U122" s="54"/>
      <c r="V122" s="37"/>
      <c r="W122" s="54">
        <f>IF(NOTA[[#This Row],[HARGA/ CTN]]="",NOTA[[#This Row],[JUMLAH_H]],NOTA[[#This Row],[HARGA/ CTN]]*IF(NOTA[[#This Row],[C]]="",0,NOTA[[#This Row],[C]]))</f>
        <v>34272000</v>
      </c>
      <c r="X122" s="54">
        <f>IF(NOTA[[#This Row],[JUMLAH]]="","",NOTA[[#This Row],[JUMLAH]]*NOTA[[#This Row],[DISC 1]])</f>
        <v>4284000</v>
      </c>
      <c r="Y122" s="54">
        <f>IF(NOTA[[#This Row],[JUMLAH]]="","",(NOTA[[#This Row],[JUMLAH]]-NOTA[[#This Row],[DISC 1-]])*NOTA[[#This Row],[DISC 2]])</f>
        <v>2399040</v>
      </c>
      <c r="Z122" s="54">
        <f>IF(NOTA[[#This Row],[JUMLAH]]="","",NOTA[[#This Row],[DISC 1-]]+NOTA[[#This Row],[DISC 2-]])</f>
        <v>6683040</v>
      </c>
      <c r="AA122" s="54">
        <f>IF(NOTA[[#This Row],[JUMLAH]]="","",NOTA[[#This Row],[JUMLAH]]-NOTA[[#This Row],[DISC]])</f>
        <v>27588960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2" s="54">
        <f>IF(OR(NOTA[[#This Row],[QTY]]="",NOTA[[#This Row],[HARGA SATUAN]]="",),"",NOTA[[#This Row],[QTY]]*NOTA[[#This Row],[HARGA SATUAN]])</f>
        <v>34272000</v>
      </c>
      <c r="AF122" s="51">
        <f ca="1">IF(NOTA[ID_H]="","",INDEX(NOTA[TANGGAL],MATCH(,INDIRECT(ADDRESS(ROW(NOTA[TANGGAL]),COLUMN(NOTA[TANGGAL]))&amp;":"&amp;ADDRESS(ROW(),COLUMN(NOTA[TANGGAL]))),-1)))</f>
        <v>45024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3</v>
      </c>
      <c r="AJ122" s="38">
        <f>IF(NOTA[[#This Row],[TGL.NOTA]]="",IF(NOTA[[#This Row],[SUPPLIER_H]]="","",AJ121),MONTH(NOTA[[#This Row],[TGL.NOTA]]))</f>
        <v>4</v>
      </c>
      <c r="AK12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MOROSA23040562145019oilpastelop12sppcaseseaworldjk</v>
      </c>
      <c r="AO122" s="38" t="e">
        <f>IF(NOTA[[#This Row],[CONCAT4]]="","",_xlfn.IFNA(MATCH(NOTA[[#This Row],[CONCAT4]],[2]!RAW[CONCAT_H],0),FALSE))</f>
        <v>#REF!</v>
      </c>
      <c r="AP122" s="174">
        <f>IF(NOTA[[#This Row],[CONCAT1]]="","",MATCH(NOTA[[#This Row],[CONCAT1]],[3]!db[NB NOTA_C],0)+1)</f>
        <v>267</v>
      </c>
    </row>
    <row r="123" spans="1:42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32</v>
      </c>
      <c r="E123" s="23"/>
      <c r="F123" s="26"/>
      <c r="G123" s="26"/>
      <c r="H123" s="31"/>
      <c r="I123" s="26"/>
      <c r="J123" s="51"/>
      <c r="K123" s="26"/>
      <c r="L123" s="26" t="s">
        <v>113</v>
      </c>
      <c r="M123" s="39">
        <v>15</v>
      </c>
      <c r="N123" s="26">
        <v>1080</v>
      </c>
      <c r="O123" s="26" t="s">
        <v>188</v>
      </c>
      <c r="P123" s="49">
        <v>23000</v>
      </c>
      <c r="Q123" s="52"/>
      <c r="R123" s="39" t="s">
        <v>329</v>
      </c>
      <c r="S123" s="53">
        <v>0.125</v>
      </c>
      <c r="T123" s="53">
        <v>0.08</v>
      </c>
      <c r="U123" s="54"/>
      <c r="V123" s="37"/>
      <c r="W123" s="54">
        <f>IF(NOTA[[#This Row],[HARGA/ CTN]]="",NOTA[[#This Row],[JUMLAH_H]],NOTA[[#This Row],[HARGA/ CTN]]*IF(NOTA[[#This Row],[C]]="",0,NOTA[[#This Row],[C]]))</f>
        <v>24840000</v>
      </c>
      <c r="X123" s="54">
        <f>IF(NOTA[[#This Row],[JUMLAH]]="","",NOTA[[#This Row],[JUMLAH]]*NOTA[[#This Row],[DISC 1]])</f>
        <v>3105000</v>
      </c>
      <c r="Y123" s="54">
        <f>IF(NOTA[[#This Row],[JUMLAH]]="","",(NOTA[[#This Row],[JUMLAH]]-NOTA[[#This Row],[DISC 1-]])*NOTA[[#This Row],[DISC 2]])</f>
        <v>1738800</v>
      </c>
      <c r="Z123" s="54">
        <f>IF(NOTA[[#This Row],[JUMLAH]]="","",NOTA[[#This Row],[DISC 1-]]+NOTA[[#This Row],[DISC 2-]])</f>
        <v>4843800</v>
      </c>
      <c r="AA123" s="54">
        <f>IF(NOTA[[#This Row],[JUMLAH]]="","",NOTA[[#This Row],[JUMLAH]]-NOTA[[#This Row],[DISC]])</f>
        <v>19996200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3" s="54">
        <f>IF(OR(NOTA[[#This Row],[QTY]]="",NOTA[[#This Row],[HARGA SATUAN]]="",),"",NOTA[[#This Row],[QTY]]*NOTA[[#This Row],[HARGA SATUAN]])</f>
        <v>24840000</v>
      </c>
      <c r="AF123" s="51">
        <f ca="1">IF(NOTA[ID_H]="","",INDEX(NOTA[TANGGAL],MATCH(,INDIRECT(ADDRESS(ROW(NOTA[TANGGAL]),COLUMN(NOTA[TANGGAL]))&amp;":"&amp;ADDRESS(ROW(),COLUMN(NOTA[TANGGAL]))),-1)))</f>
        <v>45024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4</v>
      </c>
      <c r="AK123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38" t="str">
        <f>IF(NOTA[[#This Row],[CONCAT4]]="","",_xlfn.IFNA(MATCH(NOTA[[#This Row],[CONCAT4]],[2]!RAW[CONCAT_H],0),FALSE))</f>
        <v/>
      </c>
      <c r="AP123" s="174">
        <f>IF(NOTA[[#This Row],[CONCAT1]]="","",MATCH(NOTA[[#This Row],[CONCAT1]],[3]!db[NB NOTA_C],0)+1)</f>
        <v>268</v>
      </c>
    </row>
    <row r="124" spans="1:42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32</v>
      </c>
      <c r="E124" s="23"/>
      <c r="F124" s="26"/>
      <c r="G124" s="26"/>
      <c r="H124" s="31"/>
      <c r="I124" s="26"/>
      <c r="J124" s="51"/>
      <c r="K124" s="26"/>
      <c r="L124" s="26" t="s">
        <v>133</v>
      </c>
      <c r="M124" s="39">
        <v>20</v>
      </c>
      <c r="N124" s="26">
        <v>960</v>
      </c>
      <c r="O124" s="26" t="s">
        <v>188</v>
      </c>
      <c r="P124" s="49">
        <v>29600</v>
      </c>
      <c r="Q124" s="52"/>
      <c r="R124" s="39" t="s">
        <v>221</v>
      </c>
      <c r="S124" s="53">
        <v>0.125</v>
      </c>
      <c r="T124" s="53">
        <v>0.08</v>
      </c>
      <c r="U124" s="54"/>
      <c r="V124" s="37"/>
      <c r="W124" s="54">
        <f>IF(NOTA[[#This Row],[HARGA/ CTN]]="",NOTA[[#This Row],[JUMLAH_H]],NOTA[[#This Row],[HARGA/ CTN]]*IF(NOTA[[#This Row],[C]]="",0,NOTA[[#This Row],[C]]))</f>
        <v>28416000</v>
      </c>
      <c r="X124" s="54">
        <f>IF(NOTA[[#This Row],[JUMLAH]]="","",NOTA[[#This Row],[JUMLAH]]*NOTA[[#This Row],[DISC 1]])</f>
        <v>3552000</v>
      </c>
      <c r="Y124" s="54">
        <f>IF(NOTA[[#This Row],[JUMLAH]]="","",(NOTA[[#This Row],[JUMLAH]]-NOTA[[#This Row],[DISC 1-]])*NOTA[[#This Row],[DISC 2]])</f>
        <v>1989120</v>
      </c>
      <c r="Z124" s="54">
        <f>IF(NOTA[[#This Row],[JUMLAH]]="","",NOTA[[#This Row],[DISC 1-]]+NOTA[[#This Row],[DISC 2-]])</f>
        <v>5541120</v>
      </c>
      <c r="AA124" s="54">
        <f>IF(NOTA[[#This Row],[JUMLAH]]="","",NOTA[[#This Row],[JUMLAH]]-NOTA[[#This Row],[DISC]])</f>
        <v>22874880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17067960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70460040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4" s="54">
        <f>IF(OR(NOTA[[#This Row],[QTY]]="",NOTA[[#This Row],[HARGA SATUAN]]="",),"",NOTA[[#This Row],[QTY]]*NOTA[[#This Row],[HARGA SATUAN]])</f>
        <v>28416000</v>
      </c>
      <c r="AF124" s="51">
        <f ca="1">IF(NOTA[ID_H]="","",INDEX(NOTA[TANGGAL],MATCH(,INDIRECT(ADDRESS(ROW(NOTA[TANGGAL]),COLUMN(NOTA[TANGGAL]))&amp;":"&amp;ADDRESS(ROW(),COLUMN(NOTA[TANGGAL]))),-1)))</f>
        <v>45024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4</v>
      </c>
      <c r="AK124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38" t="str">
        <f>IF(NOTA[[#This Row],[CONCAT4]]="","",_xlfn.IFNA(MATCH(NOTA[[#This Row],[CONCAT4]],[2]!RAW[CONCAT_H],0),FALSE))</f>
        <v/>
      </c>
      <c r="AP124" s="174">
        <f>IF(NOTA[[#This Row],[CONCAT1]]="","",MATCH(NOTA[[#This Row],[CONCAT1]],[3]!db[NB NOTA_C],0)+1)</f>
        <v>269</v>
      </c>
    </row>
    <row r="125" spans="1:42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38" t="str">
        <f>IF(NOTA[[#This Row],[CONCAT4]]="","",_xlfn.IFNA(MATCH(NOTA[[#This Row],[CONCAT4]],[2]!RAW[CONCAT_H],0),FALSE))</f>
        <v/>
      </c>
      <c r="AP125" s="174" t="str">
        <f>IF(NOTA[[#This Row],[CONCAT1]]="","",MATCH(NOTA[[#This Row],[CONCAT1]],[3]!db[NB NOTA_C],0)+1)</f>
        <v/>
      </c>
    </row>
    <row r="126" spans="1:42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ATA_0804_588-3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33</v>
      </c>
      <c r="E126" s="23"/>
      <c r="F126" s="26" t="s">
        <v>25</v>
      </c>
      <c r="G126" s="26" t="s">
        <v>24</v>
      </c>
      <c r="H126" s="79" t="s">
        <v>330</v>
      </c>
      <c r="I126" s="31"/>
      <c r="J126" s="51">
        <v>45019</v>
      </c>
      <c r="K126" s="26"/>
      <c r="L126" s="26" t="s">
        <v>98</v>
      </c>
      <c r="M126" s="39">
        <v>1</v>
      </c>
      <c r="N126" s="26">
        <v>144</v>
      </c>
      <c r="O126" s="26" t="s">
        <v>188</v>
      </c>
      <c r="P126" s="49">
        <v>18600</v>
      </c>
      <c r="Q126" s="52"/>
      <c r="R126" s="39" t="s">
        <v>328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2678400</v>
      </c>
      <c r="X126" s="54">
        <f>IF(NOTA[[#This Row],[JUMLAH]]="","",NOTA[[#This Row],[JUMLAH]]*NOTA[[#This Row],[DISC 1]])</f>
        <v>334800</v>
      </c>
      <c r="Y126" s="54">
        <f>IF(NOTA[[#This Row],[JUMLAH]]="","",(NOTA[[#This Row],[JUMLAH]]-NOTA[[#This Row],[DISC 1-]])*NOTA[[#This Row],[DISC 2]])</f>
        <v>117180</v>
      </c>
      <c r="Z126" s="54">
        <f>IF(NOTA[[#This Row],[JUMLAH]]="","",NOTA[[#This Row],[DISC 1-]]+NOTA[[#This Row],[DISC 2-]])</f>
        <v>451980</v>
      </c>
      <c r="AA126" s="54">
        <f>IF(NOTA[[#This Row],[JUMLAH]]="","",NOTA[[#This Row],[JUMLAH]]-NOTA[[#This Row],[DISC]])</f>
        <v>2226420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26" s="54">
        <f>IF(OR(NOTA[[#This Row],[QTY]]="",NOTA[[#This Row],[HARGA SATUAN]]="",),"",NOTA[[#This Row],[QTY]]*NOTA[[#This Row],[HARGA SATUAN]])</f>
        <v>2678400</v>
      </c>
      <c r="AF126" s="51">
        <f ca="1">IF(NOTA[ID_H]="","",INDEX(NOTA[TANGGAL],MATCH(,INDIRECT(ADDRESS(ROW(NOTA[TANGGAL]),COLUMN(NOTA[TANGGAL]))&amp;":"&amp;ADDRESS(ROW(),COLUMN(NOTA[TANGGAL]))),-1)))</f>
        <v>45024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3</v>
      </c>
      <c r="AJ126" s="38">
        <f>IF(NOTA[[#This Row],[TGL.NOTA]]="",IF(NOTA[[#This Row],[SUPPLIER_H]]="","",AJ125),MONTH(NOTA[[#This Row],[TGL.NOTA]]))</f>
        <v>4</v>
      </c>
      <c r="AK126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2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MOROSA23040558845019crayonputartwcr12minijk</v>
      </c>
      <c r="AO126" s="38" t="e">
        <f>IF(NOTA[[#This Row],[CONCAT4]]="","",_xlfn.IFNA(MATCH(NOTA[[#This Row],[CONCAT4]],[2]!RAW[CONCAT_H],0),FALSE))</f>
        <v>#REF!</v>
      </c>
      <c r="AP126" s="174">
        <f>IF(NOTA[[#This Row],[CONCAT1]]="","",MATCH(NOTA[[#This Row],[CONCAT1]],[3]!db[NB NOTA_C],0)+1)</f>
        <v>278</v>
      </c>
    </row>
    <row r="127" spans="1:42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33</v>
      </c>
      <c r="E127" s="23"/>
      <c r="F127" s="26"/>
      <c r="G127" s="26"/>
      <c r="H127" s="31"/>
      <c r="I127" s="26"/>
      <c r="J127" s="51"/>
      <c r="K127" s="26"/>
      <c r="L127" s="26" t="s">
        <v>132</v>
      </c>
      <c r="M127" s="39">
        <v>5</v>
      </c>
      <c r="N127" s="26">
        <v>720</v>
      </c>
      <c r="O127" s="26" t="s">
        <v>188</v>
      </c>
      <c r="P127" s="49">
        <v>11900</v>
      </c>
      <c r="Q127" s="52"/>
      <c r="R127" s="39" t="s">
        <v>331</v>
      </c>
      <c r="S127" s="53">
        <v>0.125</v>
      </c>
      <c r="T127" s="53">
        <v>0.08</v>
      </c>
      <c r="U127" s="54"/>
      <c r="V127" s="37"/>
      <c r="W127" s="54">
        <f>IF(NOTA[[#This Row],[HARGA/ CTN]]="",NOTA[[#This Row],[JUMLAH_H]],NOTA[[#This Row],[HARGA/ CTN]]*IF(NOTA[[#This Row],[C]]="",0,NOTA[[#This Row],[C]]))</f>
        <v>8568000</v>
      </c>
      <c r="X127" s="54">
        <f>IF(NOTA[[#This Row],[JUMLAH]]="","",NOTA[[#This Row],[JUMLAH]]*NOTA[[#This Row],[DISC 1]])</f>
        <v>1071000</v>
      </c>
      <c r="Y127" s="54">
        <f>IF(NOTA[[#This Row],[JUMLAH]]="","",(NOTA[[#This Row],[JUMLAH]]-NOTA[[#This Row],[DISC 1-]])*NOTA[[#This Row],[DISC 2]])</f>
        <v>599760</v>
      </c>
      <c r="Z127" s="54">
        <f>IF(NOTA[[#This Row],[JUMLAH]]="","",NOTA[[#This Row],[DISC 1-]]+NOTA[[#This Row],[DISC 2-]])</f>
        <v>1670760</v>
      </c>
      <c r="AA127" s="54">
        <f>IF(NOTA[[#This Row],[JUMLAH]]="","",NOTA[[#This Row],[JUMLAH]]-NOTA[[#This Row],[DISC]])</f>
        <v>6897240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7" s="54">
        <f>IF(OR(NOTA[[#This Row],[QTY]]="",NOTA[[#This Row],[HARGA SATUAN]]="",),"",NOTA[[#This Row],[QTY]]*NOTA[[#This Row],[HARGA SATUAN]])</f>
        <v>8568000</v>
      </c>
      <c r="AF127" s="51">
        <f ca="1">IF(NOTA[ID_H]="","",INDEX(NOTA[TANGGAL],MATCH(,INDIRECT(ADDRESS(ROW(NOTA[TANGGAL]),COLUMN(NOTA[TANGGAL]))&amp;":"&amp;ADDRESS(ROW(),COLUMN(NOTA[TANGGAL]))),-1)))</f>
        <v>45024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4</v>
      </c>
      <c r="AK12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38" t="str">
        <f>IF(NOTA[[#This Row],[CONCAT4]]="","",_xlfn.IFNA(MATCH(NOTA[[#This Row],[CONCAT4]],[2]!RAW[CONCAT_H],0),FALSE))</f>
        <v/>
      </c>
      <c r="AP127" s="174">
        <f>IF(NOTA[[#This Row],[CONCAT1]]="","",MATCH(NOTA[[#This Row],[CONCAT1]],[3]!db[NB NOTA_C],0)+1)</f>
        <v>267</v>
      </c>
    </row>
    <row r="128" spans="1:42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33</v>
      </c>
      <c r="E128" s="23"/>
      <c r="F128" s="26"/>
      <c r="G128" s="26"/>
      <c r="H128" s="31"/>
      <c r="I128" s="26"/>
      <c r="J128" s="51"/>
      <c r="K128" s="26"/>
      <c r="L128" s="26" t="s">
        <v>133</v>
      </c>
      <c r="M128" s="39">
        <v>1</v>
      </c>
      <c r="N128" s="26">
        <v>48</v>
      </c>
      <c r="O128" s="26" t="s">
        <v>188</v>
      </c>
      <c r="P128" s="49">
        <v>29600</v>
      </c>
      <c r="Q128" s="52"/>
      <c r="R128" s="39" t="s">
        <v>221</v>
      </c>
      <c r="S128" s="53">
        <v>0.125</v>
      </c>
      <c r="T128" s="53">
        <v>0.08</v>
      </c>
      <c r="U128" s="54"/>
      <c r="V128" s="37"/>
      <c r="W128" s="54">
        <f>IF(NOTA[[#This Row],[HARGA/ CTN]]="",NOTA[[#This Row],[JUMLAH_H]],NOTA[[#This Row],[HARGA/ CTN]]*IF(NOTA[[#This Row],[C]]="",0,NOTA[[#This Row],[C]]))</f>
        <v>1420800</v>
      </c>
      <c r="X128" s="54">
        <f>IF(NOTA[[#This Row],[JUMLAH]]="","",NOTA[[#This Row],[JUMLAH]]*NOTA[[#This Row],[DISC 1]])</f>
        <v>177600</v>
      </c>
      <c r="Y128" s="54">
        <f>IF(NOTA[[#This Row],[JUMLAH]]="","",(NOTA[[#This Row],[JUMLAH]]-NOTA[[#This Row],[DISC 1-]])*NOTA[[#This Row],[DISC 2]])</f>
        <v>99456</v>
      </c>
      <c r="Z128" s="54">
        <f>IF(NOTA[[#This Row],[JUMLAH]]="","",NOTA[[#This Row],[DISC 1-]]+NOTA[[#This Row],[DISC 2-]])</f>
        <v>277056</v>
      </c>
      <c r="AA128" s="54">
        <f>IF(NOTA[[#This Row],[JUMLAH]]="","",NOTA[[#This Row],[JUMLAH]]-NOTA[[#This Row],[DISC]])</f>
        <v>1143744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2399796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10267404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8" s="54">
        <f>IF(OR(NOTA[[#This Row],[QTY]]="",NOTA[[#This Row],[HARGA SATUAN]]="",),"",NOTA[[#This Row],[QTY]]*NOTA[[#This Row],[HARGA SATUAN]])</f>
        <v>1420800</v>
      </c>
      <c r="AF128" s="51">
        <f ca="1">IF(NOTA[ID_H]="","",INDEX(NOTA[TANGGAL],MATCH(,INDIRECT(ADDRESS(ROW(NOTA[TANGGAL]),COLUMN(NOTA[TANGGAL]))&amp;":"&amp;ADDRESS(ROW(),COLUMN(NOTA[TANGGAL]))),-1)))</f>
        <v>45024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4</v>
      </c>
      <c r="AK12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8" s="38" t="str">
        <f>IF(NOTA[[#This Row],[CONCAT4]]="","",_xlfn.IFNA(MATCH(NOTA[[#This Row],[CONCAT4]],[2]!RAW[CONCAT_H],0),FALSE))</f>
        <v/>
      </c>
      <c r="AP128" s="174">
        <f>IF(NOTA[[#This Row],[CONCAT1]]="","",MATCH(NOTA[[#This Row],[CONCAT1]],[3]!db[NB NOTA_C],0)+1)</f>
        <v>269</v>
      </c>
    </row>
    <row r="129" spans="1:42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Row],[SUPPLIER_H]]="","",AJ127),MONTH(NOTA[[#This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38" t="str">
        <f>IF(NOTA[[#This Row],[CONCAT4]]="","",_xlfn.IFNA(MATCH(NOTA[[#This Row],[CONCAT4]],[2]!RAW[CONCAT_H],0),FALSE))</f>
        <v/>
      </c>
      <c r="AP129" s="174" t="str">
        <f>IF(NOTA[[#This Row],[CONCAT1]]="","",MATCH(NOTA[[#This Row],[CONCAT1]],[3]!db[NB NOTA_C],0)+1)</f>
        <v/>
      </c>
    </row>
    <row r="130" spans="1:42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ATA_0804_765-5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34</v>
      </c>
      <c r="E130" s="23"/>
      <c r="F130" s="26" t="s">
        <v>25</v>
      </c>
      <c r="G130" s="26" t="s">
        <v>24</v>
      </c>
      <c r="H130" s="31" t="s">
        <v>332</v>
      </c>
      <c r="I130" s="26"/>
      <c r="J130" s="51">
        <v>45020</v>
      </c>
      <c r="K130" s="26"/>
      <c r="L130" s="26" t="s">
        <v>99</v>
      </c>
      <c r="M130" s="39">
        <v>1</v>
      </c>
      <c r="N130" s="26">
        <v>144</v>
      </c>
      <c r="O130" s="26" t="s">
        <v>198</v>
      </c>
      <c r="P130" s="49">
        <v>4350</v>
      </c>
      <c r="Q130" s="52"/>
      <c r="R130" s="39" t="s">
        <v>333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CTN]]*IF(NOTA[[#This Row],[C]]="",0,NOTA[[#This Row],[C]]))</f>
        <v>626400</v>
      </c>
      <c r="X130" s="54">
        <f>IF(NOTA[[#This Row],[JUMLAH]]="","",NOTA[[#This Row],[JUMLAH]]*NOTA[[#This Row],[DISC 1]])</f>
        <v>78300</v>
      </c>
      <c r="Y130" s="54">
        <f>IF(NOTA[[#This Row],[JUMLAH]]="","",(NOTA[[#This Row],[JUMLAH]]-NOTA[[#This Row],[DISC 1-]])*NOTA[[#This Row],[DISC 2]])</f>
        <v>27405</v>
      </c>
      <c r="Z130" s="54">
        <f>IF(NOTA[[#This Row],[JUMLAH]]="","",NOTA[[#This Row],[DISC 1-]]+NOTA[[#This Row],[DISC 2-]])</f>
        <v>105705</v>
      </c>
      <c r="AA130" s="54">
        <f>IF(NOTA[[#This Row],[JUMLAH]]="","",NOTA[[#This Row],[JUMLAH]]-NOTA[[#This Row],[DISC]])</f>
        <v>520695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30" s="54">
        <f>IF(OR(NOTA[[#This Row],[QTY]]="",NOTA[[#This Row],[HARGA SATUAN]]="",),"",NOTA[[#This Row],[QTY]]*NOTA[[#This Row],[HARGA SATUAN]])</f>
        <v>626400</v>
      </c>
      <c r="AF130" s="51">
        <f ca="1">IF(NOTA[ID_H]="","",INDEX(NOTA[TANGGAL],MATCH(,INDIRECT(ADDRESS(ROW(NOTA[TANGGAL]),COLUMN(NOTA[TANGGAL]))&amp;":"&amp;ADDRESS(ROW(),COLUMN(NOTA[TANGGAL]))),-1)))</f>
        <v>45024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65" t="str">
        <f ca="1">IF(NOTA[[#This Row],[ID_H]]="","",IF(NOTA[[#This Row],[FAKTUR]]="",INDIRECT(ADDRESS(ROW()-1,COLUMN())),NOTA[[#This Row],[FAKTUR]]))</f>
        <v>ARTO MORO</v>
      </c>
      <c r="AI130" s="38">
        <f ca="1">IF(NOTA[[#This Row],[ID]]="","",COUNTIF(NOTA[ID_H],NOTA[[#This Row],[ID_H]]))</f>
        <v>5</v>
      </c>
      <c r="AJ130" s="38">
        <f>IF(NOTA[[#This Row],[TGL.NOTA]]="",IF(NOTA[[#This Row],[SUPPLIER_H]]="","",AJ129),MONTH(NOTA[[#This Row],[TGL.NOTA]]))</f>
        <v>4</v>
      </c>
      <c r="AK130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13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MOROSA23040576545020scissorsc828jk</v>
      </c>
      <c r="AO130" s="38" t="e">
        <f>IF(NOTA[[#This Row],[CONCAT4]]="","",_xlfn.IFNA(MATCH(NOTA[[#This Row],[CONCAT4]],[2]!RAW[CONCAT_H],0),FALSE))</f>
        <v>#REF!</v>
      </c>
      <c r="AP130" s="174">
        <f>IF(NOTA[[#This Row],[CONCAT1]]="","",MATCH(NOTA[[#This Row],[CONCAT1]],[3]!db[NB NOTA_C],0)+1)</f>
        <v>429</v>
      </c>
    </row>
    <row r="131" spans="1:42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34</v>
      </c>
      <c r="E131" s="23"/>
      <c r="F131" s="26"/>
      <c r="G131" s="26"/>
      <c r="H131" s="31"/>
      <c r="I131" s="26"/>
      <c r="J131" s="51"/>
      <c r="K131" s="26"/>
      <c r="L131" s="26" t="s">
        <v>105</v>
      </c>
      <c r="M131" s="39">
        <v>1</v>
      </c>
      <c r="N131" s="26">
        <v>144</v>
      </c>
      <c r="O131" s="26" t="s">
        <v>198</v>
      </c>
      <c r="P131" s="49">
        <v>6500</v>
      </c>
      <c r="Q131" s="52"/>
      <c r="R131" s="39" t="s">
        <v>333</v>
      </c>
      <c r="S131" s="53">
        <v>0.125</v>
      </c>
      <c r="T131" s="53">
        <v>0.05</v>
      </c>
      <c r="U131" s="54"/>
      <c r="V131" s="37"/>
      <c r="W131" s="54">
        <f>IF(NOTA[[#This Row],[HARGA/ CTN]]="",NOTA[[#This Row],[JUMLAH_H]],NOTA[[#This Row],[HARGA/ CTN]]*IF(NOTA[[#This Row],[C]]="",0,NOTA[[#This Row],[C]]))</f>
        <v>936000</v>
      </c>
      <c r="X131" s="54">
        <f>IF(NOTA[[#This Row],[JUMLAH]]="","",NOTA[[#This Row],[JUMLAH]]*NOTA[[#This Row],[DISC 1]])</f>
        <v>117000</v>
      </c>
      <c r="Y131" s="54">
        <f>IF(NOTA[[#This Row],[JUMLAH]]="","",(NOTA[[#This Row],[JUMLAH]]-NOTA[[#This Row],[DISC 1-]])*NOTA[[#This Row],[DISC 2]])</f>
        <v>40950</v>
      </c>
      <c r="Z131" s="54">
        <f>IF(NOTA[[#This Row],[JUMLAH]]="","",NOTA[[#This Row],[DISC 1-]]+NOTA[[#This Row],[DISC 2-]])</f>
        <v>157950</v>
      </c>
      <c r="AA131" s="54">
        <f>IF(NOTA[[#This Row],[JUMLAH]]="","",NOTA[[#This Row],[JUMLAH]]-NOTA[[#This Row],[DISC]])</f>
        <v>778050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31" s="54">
        <f>IF(OR(NOTA[[#This Row],[QTY]]="",NOTA[[#This Row],[HARGA SATUAN]]="",),"",NOTA[[#This Row],[QTY]]*NOTA[[#This Row],[HARGA SATUAN]])</f>
        <v>936000</v>
      </c>
      <c r="AF131" s="51">
        <f ca="1">IF(NOTA[ID_H]="","",INDEX(NOTA[TANGGAL],MATCH(,INDIRECT(ADDRESS(ROW(NOTA[TANGGAL]),COLUMN(NOTA[TANGGAL]))&amp;":"&amp;ADDRESS(ROW(),COLUMN(NOTA[TANGGAL]))),-1)))</f>
        <v>45024</v>
      </c>
      <c r="AG131" s="65" t="str">
        <f ca="1">IF(NOTA[[#This Row],[NAMA BARANG]]="","",INDEX(NOTA[SUPPLIER],MATCH(,INDIRECT(ADDRESS(ROW(NOTA[ID]),COLUMN(NOTA[ID]))&amp;":"&amp;ADDRESS(ROW(),COLUMN(NOTA[ID]))),-1)))</f>
        <v>ATALI MAKMUR</v>
      </c>
      <c r="AH131" s="65" t="str">
        <f ca="1">IF(NOTA[[#This Row],[ID_H]]="","",IF(NOTA[[#This Row],[FAKTUR]]="",INDIRECT(ADDRESS(ROW()-1,COLUMN())),NOTA[[#This Row],[FAKTUR]]))</f>
        <v>ARTO MORO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4</v>
      </c>
      <c r="AK131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38" t="str">
        <f>IF(NOTA[[#This Row],[CONCAT4]]="","",_xlfn.IFNA(MATCH(NOTA[[#This Row],[CONCAT4]],[2]!RAW[CONCAT_H],0),FALSE))</f>
        <v/>
      </c>
      <c r="AP131" s="174">
        <f>IF(NOTA[[#This Row],[CONCAT1]]="","",MATCH(NOTA[[#This Row],[CONCAT1]],[3]!db[NB NOTA_C],0)+1)</f>
        <v>432</v>
      </c>
    </row>
    <row r="132" spans="1:42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34</v>
      </c>
      <c r="E132" s="23"/>
      <c r="F132" s="26"/>
      <c r="G132" s="26"/>
      <c r="H132" s="31"/>
      <c r="I132" s="26"/>
      <c r="J132" s="51"/>
      <c r="K132" s="26"/>
      <c r="L132" s="26" t="s">
        <v>117</v>
      </c>
      <c r="M132" s="39">
        <v>3</v>
      </c>
      <c r="N132" s="26">
        <v>2160</v>
      </c>
      <c r="O132" s="26" t="s">
        <v>198</v>
      </c>
      <c r="P132" s="49">
        <v>4600</v>
      </c>
      <c r="Q132" s="52"/>
      <c r="R132" s="39" t="s">
        <v>334</v>
      </c>
      <c r="S132" s="53">
        <v>0.125</v>
      </c>
      <c r="T132" s="53">
        <v>0.05</v>
      </c>
      <c r="U132" s="54"/>
      <c r="V132" s="37"/>
      <c r="W132" s="54">
        <f>IF(NOTA[[#This Row],[HARGA/ CTN]]="",NOTA[[#This Row],[JUMLAH_H]],NOTA[[#This Row],[HARGA/ CTN]]*IF(NOTA[[#This Row],[C]]="",0,NOTA[[#This Row],[C]]))</f>
        <v>9936000</v>
      </c>
      <c r="X132" s="54">
        <f>IF(NOTA[[#This Row],[JUMLAH]]="","",NOTA[[#This Row],[JUMLAH]]*NOTA[[#This Row],[DISC 1]])</f>
        <v>1242000</v>
      </c>
      <c r="Y132" s="54">
        <f>IF(NOTA[[#This Row],[JUMLAH]]="","",(NOTA[[#This Row],[JUMLAH]]-NOTA[[#This Row],[DISC 1-]])*NOTA[[#This Row],[DISC 2]])</f>
        <v>434700</v>
      </c>
      <c r="Z132" s="54">
        <f>IF(NOTA[[#This Row],[JUMLAH]]="","",NOTA[[#This Row],[DISC 1-]]+NOTA[[#This Row],[DISC 2-]])</f>
        <v>1676700</v>
      </c>
      <c r="AA132" s="54">
        <f>IF(NOTA[[#This Row],[JUMLAH]]="","",NOTA[[#This Row],[JUMLAH]]-NOTA[[#This Row],[DISC]])</f>
        <v>8259300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132" s="54">
        <f>IF(OR(NOTA[[#This Row],[QTY]]="",NOTA[[#This Row],[HARGA SATUAN]]="",),"",NOTA[[#This Row],[QTY]]*NOTA[[#This Row],[HARGA SATUAN]])</f>
        <v>9936000</v>
      </c>
      <c r="AF132" s="51">
        <f ca="1">IF(NOTA[ID_H]="","",INDEX(NOTA[TANGGAL],MATCH(,INDIRECT(ADDRESS(ROW(NOTA[TANGGAL]),COLUMN(NOTA[TANGGAL]))&amp;":"&amp;ADDRESS(ROW(),COLUMN(NOTA[TANGGAL]))),-1)))</f>
        <v>45024</v>
      </c>
      <c r="AG132" s="65" t="str">
        <f ca="1">IF(NOTA[[#This Row],[NAMA BARANG]]="","",INDEX(NOTA[SUPPLIER],MATCH(,INDIRECT(ADDRESS(ROW(NOTA[ID]),COLUMN(NOTA[ID]))&amp;":"&amp;ADDRESS(ROW(),COLUMN(NOTA[ID]))),-1)))</f>
        <v>ATALI MAKMUR</v>
      </c>
      <c r="AH132" s="65" t="str">
        <f ca="1">IF(NOTA[[#This Row],[ID_H]]="","",IF(NOTA[[#This Row],[FAKTUR]]="",INDIRECT(ADDRESS(ROW()-1,COLUMN())),NOTA[[#This Row],[FAKTUR]]))</f>
        <v>ARTO MORO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4</v>
      </c>
      <c r="AK132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38" t="str">
        <f>IF(NOTA[[#This Row],[CONCAT4]]="","",_xlfn.IFNA(MATCH(NOTA[[#This Row],[CONCAT4]],[2]!RAW[CONCAT_H],0),FALSE))</f>
        <v/>
      </c>
      <c r="AP132" s="174">
        <f>IF(NOTA[[#This Row],[CONCAT1]]="","",MATCH(NOTA[[#This Row],[CONCAT1]],[3]!db[NB NOTA_C],0)+1)</f>
        <v>220</v>
      </c>
    </row>
    <row r="133" spans="1:42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34</v>
      </c>
      <c r="E133" s="23"/>
      <c r="F133" s="26"/>
      <c r="G133" s="26"/>
      <c r="H133" s="31"/>
      <c r="I133" s="26"/>
      <c r="J133" s="51"/>
      <c r="K133" s="26"/>
      <c r="L133" s="26" t="s">
        <v>335</v>
      </c>
      <c r="M133" s="39">
        <v>3</v>
      </c>
      <c r="N133" s="26">
        <v>2160</v>
      </c>
      <c r="O133" s="26" t="s">
        <v>198</v>
      </c>
      <c r="P133" s="49">
        <v>4500</v>
      </c>
      <c r="Q133" s="52"/>
      <c r="R133" s="39" t="s">
        <v>334</v>
      </c>
      <c r="S133" s="53">
        <v>0.125</v>
      </c>
      <c r="T133" s="53">
        <v>0.05</v>
      </c>
      <c r="U133" s="54"/>
      <c r="V133" s="37"/>
      <c r="W133" s="54">
        <f>IF(NOTA[[#This Row],[HARGA/ CTN]]="",NOTA[[#This Row],[JUMLAH_H]],NOTA[[#This Row],[HARGA/ CTN]]*IF(NOTA[[#This Row],[C]]="",0,NOTA[[#This Row],[C]]))</f>
        <v>9720000</v>
      </c>
      <c r="X133" s="54">
        <f>IF(NOTA[[#This Row],[JUMLAH]]="","",NOTA[[#This Row],[JUMLAH]]*NOTA[[#This Row],[DISC 1]])</f>
        <v>1215000</v>
      </c>
      <c r="Y133" s="54">
        <f>IF(NOTA[[#This Row],[JUMLAH]]="","",(NOTA[[#This Row],[JUMLAH]]-NOTA[[#This Row],[DISC 1-]])*NOTA[[#This Row],[DISC 2]])</f>
        <v>425250</v>
      </c>
      <c r="Z133" s="54">
        <f>IF(NOTA[[#This Row],[JUMLAH]]="","",NOTA[[#This Row],[DISC 1-]]+NOTA[[#This Row],[DISC 2-]])</f>
        <v>1640250</v>
      </c>
      <c r="AA133" s="54">
        <f>IF(NOTA[[#This Row],[JUMLAH]]="","",NOTA[[#This Row],[JUMLAH]]-NOTA[[#This Row],[DISC]])</f>
        <v>8079750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33" s="54">
        <f>IF(OR(NOTA[[#This Row],[QTY]]="",NOTA[[#This Row],[HARGA SATUAN]]="",),"",NOTA[[#This Row],[QTY]]*NOTA[[#This Row],[HARGA SATUAN]])</f>
        <v>9720000</v>
      </c>
      <c r="AF133" s="51">
        <f ca="1">IF(NOTA[ID_H]="","",INDEX(NOTA[TANGGAL],MATCH(,INDIRECT(ADDRESS(ROW(NOTA[TANGGAL]),COLUMN(NOTA[TANGGAL]))&amp;":"&amp;ADDRESS(ROW(),COLUMN(NOTA[TANGGAL]))),-1)))</f>
        <v>45024</v>
      </c>
      <c r="AG133" s="65" t="str">
        <f ca="1">IF(NOTA[[#This Row],[NAMA BARANG]]="","",INDEX(NOTA[SUPPLIER],MATCH(,INDIRECT(ADDRESS(ROW(NOTA[ID]),COLUMN(NOTA[ID]))&amp;":"&amp;ADDRESS(ROW(),COLUMN(NOTA[ID]))),-1)))</f>
        <v>ATALI MAKMUR</v>
      </c>
      <c r="AH133" s="65" t="str">
        <f ca="1">IF(NOTA[[#This Row],[ID_H]]="","",IF(NOTA[[#This Row],[FAKTUR]]="",INDIRECT(ADDRESS(ROW()-1,COLUMN())),NOTA[[#This Row],[FAKTUR]]))</f>
        <v>ARTO MORO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4</v>
      </c>
      <c r="AK133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3" s="38" t="str">
        <f>IF(NOTA[[#This Row],[CONCAT4]]="","",_xlfn.IFNA(MATCH(NOTA[[#This Row],[CONCAT4]],[2]!RAW[CONCAT_H],0),FALSE))</f>
        <v/>
      </c>
      <c r="AP133" s="174">
        <f>IF(NOTA[[#This Row],[CONCAT1]]="","",MATCH(NOTA[[#This Row],[CONCAT1]],[3]!db[NB NOTA_C],0)+1)</f>
        <v>221</v>
      </c>
    </row>
    <row r="134" spans="1:42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34</v>
      </c>
      <c r="E134" s="23"/>
      <c r="F134" s="26"/>
      <c r="G134" s="26"/>
      <c r="H134" s="31"/>
      <c r="I134" s="26"/>
      <c r="J134" s="51"/>
      <c r="K134" s="26"/>
      <c r="L134" s="26" t="s">
        <v>336</v>
      </c>
      <c r="M134" s="39">
        <v>1</v>
      </c>
      <c r="N134" s="26">
        <v>432</v>
      </c>
      <c r="O134" s="26" t="s">
        <v>198</v>
      </c>
      <c r="P134" s="49">
        <v>2900</v>
      </c>
      <c r="Q134" s="52"/>
      <c r="R134" s="39" t="s">
        <v>337</v>
      </c>
      <c r="S134" s="53">
        <v>0.125</v>
      </c>
      <c r="T134" s="53">
        <v>0.05</v>
      </c>
      <c r="U134" s="54"/>
      <c r="V134" s="37"/>
      <c r="W134" s="54">
        <f>IF(NOTA[[#This Row],[HARGA/ CTN]]="",NOTA[[#This Row],[JUMLAH_H]],NOTA[[#This Row],[HARGA/ CTN]]*IF(NOTA[[#This Row],[C]]="",0,NOTA[[#This Row],[C]]))</f>
        <v>1252800</v>
      </c>
      <c r="X134" s="54">
        <f>IF(NOTA[[#This Row],[JUMLAH]]="","",NOTA[[#This Row],[JUMLAH]]*NOTA[[#This Row],[DISC 1]])</f>
        <v>156600</v>
      </c>
      <c r="Y134" s="54">
        <f>IF(NOTA[[#This Row],[JUMLAH]]="","",(NOTA[[#This Row],[JUMLAH]]-NOTA[[#This Row],[DISC 1-]])*NOTA[[#This Row],[DISC 2]])</f>
        <v>54810</v>
      </c>
      <c r="Z134" s="54">
        <f>IF(NOTA[[#This Row],[JUMLAH]]="","",NOTA[[#This Row],[DISC 1-]]+NOTA[[#This Row],[DISC 2-]])</f>
        <v>211410</v>
      </c>
      <c r="AA134" s="54">
        <f>IF(NOTA[[#This Row],[JUMLAH]]="","",NOTA[[#This Row],[JUMLAH]]-NOTA[[#This Row],[DISC]])</f>
        <v>1041390</v>
      </c>
      <c r="AB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3792015</v>
      </c>
      <c r="AC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18679185</v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134" s="54">
        <f>IF(OR(NOTA[[#This Row],[QTY]]="",NOTA[[#This Row],[HARGA SATUAN]]="",),"",NOTA[[#This Row],[QTY]]*NOTA[[#This Row],[HARGA SATUAN]])</f>
        <v>1252800</v>
      </c>
      <c r="AF134" s="51">
        <f ca="1">IF(NOTA[ID_H]="","",INDEX(NOTA[TANGGAL],MATCH(,INDIRECT(ADDRESS(ROW(NOTA[TANGGAL]),COLUMN(NOTA[TANGGAL]))&amp;":"&amp;ADDRESS(ROW(),COLUMN(NOTA[TANGGAL]))),-1)))</f>
        <v>45024</v>
      </c>
      <c r="AG134" s="65" t="str">
        <f ca="1">IF(NOTA[[#This Row],[NAMA BARANG]]="","",INDEX(NOTA[SUPPLIER],MATCH(,INDIRECT(ADDRESS(ROW(NOTA[ID]),COLUMN(NOTA[ID]))&amp;":"&amp;ADDRESS(ROW(),COLUMN(NOTA[ID]))),-1)))</f>
        <v>ATALI MAKMUR</v>
      </c>
      <c r="AH134" s="65" t="str">
        <f ca="1">IF(NOTA[[#This Row],[ID_H]]="","",IF(NOTA[[#This Row],[FAKTUR]]="",INDIRECT(ADDRESS(ROW()-1,COLUMN())),NOTA[[#This Row],[FAKTUR]]))</f>
        <v>ARTO MORO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4</v>
      </c>
      <c r="AK134" s="38" t="str">
        <f>LOWER(SUBSTITUTE(SUBSTITUTE(SUBSTITUTE(SUBSTITUTE(SUBSTITUTE(SUBSTITUTE(SUBSTITUTE(SUBSTITUTE(SUBSTITUTE(NOTA[NAMA BARANG]," ",),".",""),"-",""),"(",""),")",""),",",""),"/",""),"""",""),"+",""))</f>
        <v>correctiontapect553jk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correctiontapect553jk12528000.1250.05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correctiontapect553jk12528000.1250.05</v>
      </c>
      <c r="AN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4" s="38" t="str">
        <f>IF(NOTA[[#This Row],[CONCAT4]]="","",_xlfn.IFNA(MATCH(NOTA[[#This Row],[CONCAT4]],[2]!RAW[CONCAT_H],0),FALSE))</f>
        <v/>
      </c>
      <c r="AP134" s="174">
        <f>IF(NOTA[[#This Row],[CONCAT1]]="","",MATCH(NOTA[[#This Row],[CONCAT1]],[3]!db[NB NOTA_C],0)+1)</f>
        <v>235</v>
      </c>
    </row>
    <row r="135" spans="1:42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 t="str">
        <f ca="1">IF(NOTA[[#This Row],[NAMA BARANG]]="","",INDEX(NOTA[ID],MATCH(,INDIRECT(ADDRESS(ROW(NOTA[ID]),COLUMN(NOTA[ID]))&amp;":"&amp;ADDRESS(ROW(),COLUMN(NOTA[ID]))),-1)))</f>
        <v/>
      </c>
      <c r="E135" s="23"/>
      <c r="F135" s="26"/>
      <c r="G135" s="26"/>
      <c r="H135" s="31"/>
      <c r="I135" s="26"/>
      <c r="J135" s="51"/>
      <c r="K135" s="26"/>
      <c r="L135" s="26"/>
      <c r="M135" s="39"/>
      <c r="N135" s="26"/>
      <c r="O135" s="26"/>
      <c r="P135" s="49"/>
      <c r="Q135" s="52"/>
      <c r="R135" s="39"/>
      <c r="S135" s="53"/>
      <c r="T135" s="53"/>
      <c r="U135" s="54"/>
      <c r="V135" s="37"/>
      <c r="W135" s="54" t="str">
        <f>IF(NOTA[[#This Row],[HARGA/ CTN]]="",NOTA[[#This Row],[JUMLAH_H]],NOTA[[#This Row],[HARGA/ CTN]]*IF(NOTA[[#This Row],[C]]="",0,NOTA[[#This Row],[C]]))</f>
        <v/>
      </c>
      <c r="X135" s="54" t="str">
        <f>IF(NOTA[[#This Row],[JUMLAH]]="","",NOTA[[#This Row],[JUMLAH]]*NOTA[[#This Row],[DISC 1]])</f>
        <v/>
      </c>
      <c r="Y135" s="54" t="str">
        <f>IF(NOTA[[#This Row],[JUMLAH]]="","",(NOTA[[#This Row],[JUMLAH]]-NOTA[[#This Row],[DISC 1-]])*NOTA[[#This Row],[DISC 2]])</f>
        <v/>
      </c>
      <c r="Z135" s="54" t="str">
        <f>IF(NOTA[[#This Row],[JUMLAH]]="","",NOTA[[#This Row],[DISC 1-]]+NOTA[[#This Row],[DISC 2-]])</f>
        <v/>
      </c>
      <c r="AA135" s="54" t="str">
        <f>IF(NOTA[[#This Row],[JUMLAH]]="","",NOTA[[#This Row],[JUMLAH]]-NOTA[[#This Row],[DISC]])</f>
        <v/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54" t="str">
        <f>IF(OR(NOTA[[#This Row],[QTY]]="",NOTA[[#This Row],[HARGA SATUAN]]="",),"",NOTA[[#This Row],[QTY]]*NOTA[[#This Row],[HARGA SATUAN]])</f>
        <v/>
      </c>
      <c r="AF135" s="51" t="str">
        <f ca="1">IF(NOTA[ID_H]="","",INDEX(NOTA[TANGGAL],MATCH(,INDIRECT(ADDRESS(ROW(NOTA[TANGGAL]),COLUMN(NOTA[TANGGAL]))&amp;":"&amp;ADDRESS(ROW(),COLUMN(NOTA[TANGGAL]))),-1)))</f>
        <v/>
      </c>
      <c r="AG135" s="65" t="str">
        <f ca="1">IF(NOTA[[#This Row],[NAMA BARANG]]="","",INDEX(NOTA[SUPPLIER],MATCH(,INDIRECT(ADDRESS(ROW(NOTA[ID]),COLUMN(NOTA[ID]))&amp;":"&amp;ADDRESS(ROW(),COLUMN(NOTA[ID]))),-1)))</f>
        <v/>
      </c>
      <c r="AH135" s="65" t="str">
        <f ca="1">IF(NOTA[[#This Row],[ID_H]]="","",IF(NOTA[[#This Row],[FAKTUR]]="",INDIRECT(ADDRESS(ROW()-1,COLUMN())),NOTA[[#This Row],[FAKTUR]]))</f>
        <v/>
      </c>
      <c r="AI135" s="38" t="str">
        <f ca="1">IF(NOTA[[#This Row],[ID]]="","",COUNTIF(NOTA[ID_H],NOTA[[#This Row],[ID_H]]))</f>
        <v/>
      </c>
      <c r="AJ135" s="38" t="str">
        <f ca="1">IF(NOTA[[#This Row],[TGL.NOTA]]="",IF(NOTA[[#This Row],[SUPPLIER_H]]="","",AJ134),MONTH(NOTA[[#This Row],[TGL.NOTA]]))</f>
        <v/>
      </c>
      <c r="AK135" s="38" t="str">
        <f>LOWER(SUBSTITUTE(SUBSTITUTE(SUBSTITUTE(SUBSTITUTE(SUBSTITUTE(SUBSTITUTE(SUBSTITUTE(SUBSTITUTE(SUBSTITUTE(NOTA[NAMA BARANG]," ",),".",""),"-",""),"(",""),")",""),",",""),"/",""),"""",""),"+",""))</f>
        <v/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38" t="str">
        <f>IF(NOTA[[#This Row],[CONCAT4]]="","",_xlfn.IFNA(MATCH(NOTA[[#This Row],[CONCAT4]],[2]!RAW[CONCAT_H],0),FALSE))</f>
        <v/>
      </c>
      <c r="AP135" s="174" t="str">
        <f>IF(NOTA[[#This Row],[CONCAT1]]="","",MATCH(NOTA[[#This Row],[CONCAT1]],[3]!db[NB NOTA_C],0)+1)</f>
        <v/>
      </c>
    </row>
    <row r="136" spans="1:42" ht="20.100000000000001" customHeight="1" x14ac:dyDescent="0.25">
      <c r="A136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ATA_0804_622-4</v>
      </c>
      <c r="C136" s="50" t="e">
        <f ca="1">IF(NOTA[[#This Row],[ID_P]]="","",MATCH(NOTA[[#This Row],[ID_P]],[1]!B_MSK[N_ID],0))</f>
        <v>#REF!</v>
      </c>
      <c r="D136" s="50">
        <f ca="1">IF(NOTA[[#This Row],[NAMA BARANG]]="","",INDEX(NOTA[ID],MATCH(,INDIRECT(ADDRESS(ROW(NOTA[ID]),COLUMN(NOTA[ID]))&amp;":"&amp;ADDRESS(ROW(),COLUMN(NOTA[ID]))),-1)))</f>
        <v>35</v>
      </c>
      <c r="E136" s="23"/>
      <c r="F136" s="26" t="s">
        <v>25</v>
      </c>
      <c r="G136" s="26" t="s">
        <v>24</v>
      </c>
      <c r="H136" s="31" t="s">
        <v>338</v>
      </c>
      <c r="I136" s="26"/>
      <c r="J136" s="51">
        <v>45019</v>
      </c>
      <c r="K136" s="26"/>
      <c r="L136" s="26" t="s">
        <v>91</v>
      </c>
      <c r="M136" s="39">
        <v>10</v>
      </c>
      <c r="N136" s="26">
        <v>360</v>
      </c>
      <c r="O136" s="26" t="s">
        <v>188</v>
      </c>
      <c r="P136" s="49">
        <v>41500</v>
      </c>
      <c r="Q136" s="52"/>
      <c r="R136" s="39" t="s">
        <v>223</v>
      </c>
      <c r="S136" s="53">
        <v>0.125</v>
      </c>
      <c r="T136" s="53">
        <v>0.08</v>
      </c>
      <c r="U136" s="54"/>
      <c r="V136" s="37"/>
      <c r="W136" s="54">
        <f>IF(NOTA[[#This Row],[HARGA/ CTN]]="",NOTA[[#This Row],[JUMLAH_H]],NOTA[[#This Row],[HARGA/ CTN]]*IF(NOTA[[#This Row],[C]]="",0,NOTA[[#This Row],[C]]))</f>
        <v>14940000</v>
      </c>
      <c r="X136" s="54">
        <f>IF(NOTA[[#This Row],[JUMLAH]]="","",NOTA[[#This Row],[JUMLAH]]*NOTA[[#This Row],[DISC 1]])</f>
        <v>1867500</v>
      </c>
      <c r="Y136" s="54">
        <f>IF(NOTA[[#This Row],[JUMLAH]]="","",(NOTA[[#This Row],[JUMLAH]]-NOTA[[#This Row],[DISC 1-]])*NOTA[[#This Row],[DISC 2]])</f>
        <v>1045800</v>
      </c>
      <c r="Z136" s="54">
        <f>IF(NOTA[[#This Row],[JUMLAH]]="","",NOTA[[#This Row],[DISC 1-]]+NOTA[[#This Row],[DISC 2-]])</f>
        <v>2913300</v>
      </c>
      <c r="AA136" s="54">
        <f>IF(NOTA[[#This Row],[JUMLAH]]="","",NOTA[[#This Row],[JUMLAH]]-NOTA[[#This Row],[DISC]])</f>
        <v>12026700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36" s="54">
        <f>IF(OR(NOTA[[#This Row],[QTY]]="",NOTA[[#This Row],[HARGA SATUAN]]="",),"",NOTA[[#This Row],[QTY]]*NOTA[[#This Row],[HARGA SATUAN]])</f>
        <v>14940000</v>
      </c>
      <c r="AF136" s="51">
        <f ca="1">IF(NOTA[ID_H]="","",INDEX(NOTA[TANGGAL],MATCH(,INDIRECT(ADDRESS(ROW(NOTA[TANGGAL]),COLUMN(NOTA[TANGGAL]))&amp;":"&amp;ADDRESS(ROW(),COLUMN(NOTA[TANGGAL]))),-1)))</f>
        <v>45024</v>
      </c>
      <c r="AG136" s="65" t="str">
        <f ca="1">IF(NOTA[[#This Row],[NAMA BARANG]]="","",INDEX(NOTA[SUPPLIER],MATCH(,INDIRECT(ADDRESS(ROW(NOTA[ID]),COLUMN(NOTA[ID]))&amp;":"&amp;ADDRESS(ROW(),COLUMN(NOTA[ID]))),-1)))</f>
        <v>ATALI MAKMUR</v>
      </c>
      <c r="AH136" s="65" t="str">
        <f ca="1">IF(NOTA[[#This Row],[ID_H]]="","",IF(NOTA[[#This Row],[FAKTUR]]="",INDIRECT(ADDRESS(ROW()-1,COLUMN())),NOTA[[#This Row],[FAKTUR]]))</f>
        <v>ARTO MORO</v>
      </c>
      <c r="AI136" s="38">
        <f ca="1">IF(NOTA[[#This Row],[ID]]="","",COUNTIF(NOTA[ID_H],NOTA[[#This Row],[ID_H]]))</f>
        <v>4</v>
      </c>
      <c r="AJ136" s="38">
        <f>IF(NOTA[[#This Row],[TGL.NOTA]]="",IF(NOTA[[#This Row],[SUPPLIER_H]]="","",AJ135),MONTH(NOTA[[#This Row],[TGL.NOTA]]))</f>
        <v>4</v>
      </c>
      <c r="AK13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MOROSA23040562245019oilpastelop36sppcaseseaworldjk</v>
      </c>
      <c r="AO136" s="38" t="e">
        <f>IF(NOTA[[#This Row],[CONCAT4]]="","",_xlfn.IFNA(MATCH(NOTA[[#This Row],[CONCAT4]],[2]!RAW[CONCAT_H],0),FALSE))</f>
        <v>#REF!</v>
      </c>
      <c r="AP136" s="174">
        <f>IF(NOTA[[#This Row],[CONCAT1]]="","",MATCH(NOTA[[#This Row],[CONCAT1]],[3]!db[NB NOTA_C],0)+1)</f>
        <v>270</v>
      </c>
    </row>
    <row r="137" spans="1:42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35</v>
      </c>
      <c r="E137" s="23"/>
      <c r="F137" s="26"/>
      <c r="G137" s="26"/>
      <c r="H137" s="31"/>
      <c r="I137" s="26"/>
      <c r="J137" s="51"/>
      <c r="K137" s="26"/>
      <c r="L137" s="26" t="s">
        <v>339</v>
      </c>
      <c r="M137" s="39">
        <v>5</v>
      </c>
      <c r="N137" s="26">
        <v>720</v>
      </c>
      <c r="O137" s="26" t="s">
        <v>188</v>
      </c>
      <c r="P137" s="49">
        <v>9000</v>
      </c>
      <c r="Q137" s="52"/>
      <c r="R137" s="39" t="s">
        <v>340</v>
      </c>
      <c r="S137" s="53">
        <v>0.125</v>
      </c>
      <c r="T137" s="53">
        <v>0.08</v>
      </c>
      <c r="U137" s="54"/>
      <c r="V137" s="37"/>
      <c r="W137" s="54">
        <f>IF(NOTA[[#This Row],[HARGA/ CTN]]="",NOTA[[#This Row],[JUMLAH_H]],NOTA[[#This Row],[HARGA/ CTN]]*IF(NOTA[[#This Row],[C]]="",0,NOTA[[#This Row],[C]]))</f>
        <v>6480000</v>
      </c>
      <c r="X137" s="54">
        <f>IF(NOTA[[#This Row],[JUMLAH]]="","",NOTA[[#This Row],[JUMLAH]]*NOTA[[#This Row],[DISC 1]])</f>
        <v>810000</v>
      </c>
      <c r="Y137" s="54">
        <f>IF(NOTA[[#This Row],[JUMLAH]]="","",(NOTA[[#This Row],[JUMLAH]]-NOTA[[#This Row],[DISC 1-]])*NOTA[[#This Row],[DISC 2]])</f>
        <v>453600</v>
      </c>
      <c r="Z137" s="54">
        <f>IF(NOTA[[#This Row],[JUMLAH]]="","",NOTA[[#This Row],[DISC 1-]]+NOTA[[#This Row],[DISC 2-]])</f>
        <v>1263600</v>
      </c>
      <c r="AA137" s="54">
        <f>IF(NOTA[[#This Row],[JUMLAH]]="","",NOTA[[#This Row],[JUMLAH]]-NOTA[[#This Row],[DISC]])</f>
        <v>5216400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137" s="54">
        <f>IF(OR(NOTA[[#This Row],[QTY]]="",NOTA[[#This Row],[HARGA SATUAN]]="",),"",NOTA[[#This Row],[QTY]]*NOTA[[#This Row],[HARGA SATUAN]])</f>
        <v>6480000</v>
      </c>
      <c r="AF137" s="51">
        <f ca="1">IF(NOTA[ID_H]="","",INDEX(NOTA[TANGGAL],MATCH(,INDIRECT(ADDRESS(ROW(NOTA[TANGGAL]),COLUMN(NOTA[TANGGAL]))&amp;":"&amp;ADDRESS(ROW(),COLUMN(NOTA[TANGGAL]))),-1)))</f>
        <v>45024</v>
      </c>
      <c r="AG137" s="65" t="str">
        <f ca="1">IF(NOTA[[#This Row],[NAMA BARANG]]="","",INDEX(NOTA[SUPPLIER],MATCH(,INDIRECT(ADDRESS(ROW(NOTA[ID]),COLUMN(NOTA[ID]))&amp;":"&amp;ADDRESS(ROW(),COLUMN(NOTA[ID]))),-1)))</f>
        <v>ATALI MAKMUR</v>
      </c>
      <c r="AH137" s="65" t="str">
        <f ca="1">IF(NOTA[[#This Row],[ID_H]]="","",IF(NOTA[[#This Row],[FAKTUR]]="",INDIRECT(ADDRESS(ROW()-1,COLUMN())),NOTA[[#This Row],[FAKTUR]]))</f>
        <v>ARTO MORO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4</v>
      </c>
      <c r="AK13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oilpastelop12crroundjk12960000.1250.08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oilpastelop12crroundjk12960000.1250.08</v>
      </c>
      <c r="AN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38" t="str">
        <f>IF(NOTA[[#This Row],[CONCAT4]]="","",_xlfn.IFNA(MATCH(NOTA[[#This Row],[CONCAT4]],[2]!RAW[CONCAT_H],0),FALSE))</f>
        <v/>
      </c>
      <c r="AP137" s="174">
        <f>IF(NOTA[[#This Row],[CONCAT1]]="","",MATCH(NOTA[[#This Row],[CONCAT1]],[3]!db[NB NOTA_C],0)+1)</f>
        <v>266</v>
      </c>
    </row>
    <row r="138" spans="1:42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35</v>
      </c>
      <c r="E138" s="23"/>
      <c r="F138" s="26"/>
      <c r="G138" s="26"/>
      <c r="H138" s="31"/>
      <c r="I138" s="26"/>
      <c r="J138" s="51"/>
      <c r="K138" s="26"/>
      <c r="L138" s="26" t="s">
        <v>341</v>
      </c>
      <c r="M138" s="39">
        <v>5</v>
      </c>
      <c r="N138" s="26">
        <v>720</v>
      </c>
      <c r="O138" s="26" t="s">
        <v>188</v>
      </c>
      <c r="P138" s="49">
        <v>11000</v>
      </c>
      <c r="Q138" s="52"/>
      <c r="R138" s="39" t="s">
        <v>328</v>
      </c>
      <c r="S138" s="53">
        <v>0.125</v>
      </c>
      <c r="T138" s="53">
        <v>0.08</v>
      </c>
      <c r="U138" s="54"/>
      <c r="V138" s="37"/>
      <c r="W138" s="54">
        <f>IF(NOTA[[#This Row],[HARGA/ CTN]]="",NOTA[[#This Row],[JUMLAH_H]],NOTA[[#This Row],[HARGA/ CTN]]*IF(NOTA[[#This Row],[C]]="",0,NOTA[[#This Row],[C]]))</f>
        <v>7920000</v>
      </c>
      <c r="X138" s="54">
        <f>IF(NOTA[[#This Row],[JUMLAH]]="","",NOTA[[#This Row],[JUMLAH]]*NOTA[[#This Row],[DISC 1]])</f>
        <v>990000</v>
      </c>
      <c r="Y138" s="54">
        <f>IF(NOTA[[#This Row],[JUMLAH]]="","",(NOTA[[#This Row],[JUMLAH]]-NOTA[[#This Row],[DISC 1-]])*NOTA[[#This Row],[DISC 2]])</f>
        <v>554400</v>
      </c>
      <c r="Z138" s="54">
        <f>IF(NOTA[[#This Row],[JUMLAH]]="","",NOTA[[#This Row],[DISC 1-]]+NOTA[[#This Row],[DISC 2-]])</f>
        <v>1544400</v>
      </c>
      <c r="AA138" s="54">
        <f>IF(NOTA[[#This Row],[JUMLAH]]="","",NOTA[[#This Row],[JUMLAH]]-NOTA[[#This Row],[DISC]])</f>
        <v>6375600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38" s="54">
        <f>IF(OR(NOTA[[#This Row],[QTY]]="",NOTA[[#This Row],[HARGA SATUAN]]="",),"",NOTA[[#This Row],[QTY]]*NOTA[[#This Row],[HARGA SATUAN]])</f>
        <v>7920000</v>
      </c>
      <c r="AF138" s="51">
        <f ca="1">IF(NOTA[ID_H]="","",INDEX(NOTA[TANGGAL],MATCH(,INDIRECT(ADDRESS(ROW(NOTA[TANGGAL]),COLUMN(NOTA[TANGGAL]))&amp;":"&amp;ADDRESS(ROW(),COLUMN(NOTA[TANGGAL]))),-1)))</f>
        <v>45024</v>
      </c>
      <c r="AG138" s="65" t="str">
        <f ca="1">IF(NOTA[[#This Row],[NAMA BARANG]]="","",INDEX(NOTA[SUPPLIER],MATCH(,INDIRECT(ADDRESS(ROW(NOTA[ID]),COLUMN(NOTA[ID]))&amp;":"&amp;ADDRESS(ROW(),COLUMN(NOTA[ID]))),-1)))</f>
        <v>ATALI MAKMUR</v>
      </c>
      <c r="AH138" s="65" t="str">
        <f ca="1">IF(NOTA[[#This Row],[ID_H]]="","",IF(NOTA[[#This Row],[FAKTUR]]="",INDIRECT(ADDRESS(ROW()-1,COLUMN())),NOTA[[#This Row],[FAKTUR]]))</f>
        <v>ARTO MORO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4</v>
      </c>
      <c r="AK13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38" t="str">
        <f>IF(NOTA[[#This Row],[CONCAT4]]="","",_xlfn.IFNA(MATCH(NOTA[[#This Row],[CONCAT4]],[2]!RAW[CONCAT_H],0),FALSE))</f>
        <v/>
      </c>
      <c r="AP138" s="174">
        <f>IF(NOTA[[#This Row],[CONCAT1]]="","",MATCH(NOTA[[#This Row],[CONCAT1]],[3]!db[NB NOTA_C],0)+1)</f>
        <v>264</v>
      </c>
    </row>
    <row r="139" spans="1:42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35</v>
      </c>
      <c r="E139" s="23"/>
      <c r="F139" s="26"/>
      <c r="G139" s="26"/>
      <c r="H139" s="31"/>
      <c r="I139" s="26"/>
      <c r="J139" s="51"/>
      <c r="K139" s="26"/>
      <c r="L139" s="26" t="s">
        <v>342</v>
      </c>
      <c r="M139" s="39">
        <v>10</v>
      </c>
      <c r="N139" s="26">
        <v>1440</v>
      </c>
      <c r="O139" s="26" t="s">
        <v>188</v>
      </c>
      <c r="P139" s="49">
        <v>11600</v>
      </c>
      <c r="Q139" s="52"/>
      <c r="R139" s="39" t="s">
        <v>328</v>
      </c>
      <c r="S139" s="53">
        <v>0.125</v>
      </c>
      <c r="T139" s="53">
        <v>0.08</v>
      </c>
      <c r="U139" s="54"/>
      <c r="V139" s="37"/>
      <c r="W139" s="54">
        <f>IF(NOTA[[#This Row],[HARGA/ CTN]]="",NOTA[[#This Row],[JUMLAH_H]],NOTA[[#This Row],[HARGA/ CTN]]*IF(NOTA[[#This Row],[C]]="",0,NOTA[[#This Row],[C]]))</f>
        <v>16704000</v>
      </c>
      <c r="X139" s="54">
        <f>IF(NOTA[[#This Row],[JUMLAH]]="","",NOTA[[#This Row],[JUMLAH]]*NOTA[[#This Row],[DISC 1]])</f>
        <v>2088000</v>
      </c>
      <c r="Y139" s="54">
        <f>IF(NOTA[[#This Row],[JUMLAH]]="","",(NOTA[[#This Row],[JUMLAH]]-NOTA[[#This Row],[DISC 1-]])*NOTA[[#This Row],[DISC 2]])</f>
        <v>1169280</v>
      </c>
      <c r="Z139" s="54">
        <f>IF(NOTA[[#This Row],[JUMLAH]]="","",NOTA[[#This Row],[DISC 1-]]+NOTA[[#This Row],[DISC 2-]])</f>
        <v>3257280</v>
      </c>
      <c r="AA139" s="54">
        <f>IF(NOTA[[#This Row],[JUMLAH]]="","",NOTA[[#This Row],[JUMLAH]]-NOTA[[#This Row],[DISC]])</f>
        <v>13446720</v>
      </c>
      <c r="AB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8978580</v>
      </c>
      <c r="AC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37065420</v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139" s="54">
        <f>IF(OR(NOTA[[#This Row],[QTY]]="",NOTA[[#This Row],[HARGA SATUAN]]="",),"",NOTA[[#This Row],[QTY]]*NOTA[[#This Row],[HARGA SATUAN]])</f>
        <v>16704000</v>
      </c>
      <c r="AF139" s="51">
        <f ca="1">IF(NOTA[ID_H]="","",INDEX(NOTA[TANGGAL],MATCH(,INDIRECT(ADDRESS(ROW(NOTA[TANGGAL]),COLUMN(NOTA[TANGGAL]))&amp;":"&amp;ADDRESS(ROW(),COLUMN(NOTA[TANGGAL]))),-1)))</f>
        <v>45024</v>
      </c>
      <c r="AG139" s="65" t="str">
        <f ca="1">IF(NOTA[[#This Row],[NAMA BARANG]]="","",INDEX(NOTA[SUPPLIER],MATCH(,INDIRECT(ADDRESS(ROW(NOTA[ID]),COLUMN(NOTA[ID]))&amp;":"&amp;ADDRESS(ROW(),COLUMN(NOTA[ID]))),-1)))</f>
        <v>ATALI MAKMUR</v>
      </c>
      <c r="AH139" s="65" t="str">
        <f ca="1">IF(NOTA[[#This Row],[ID_H]]="","",IF(NOTA[[#This Row],[FAKTUR]]="",INDIRECT(ADDRESS(ROW()-1,COLUMN())),NOTA[[#This Row],[FAKTUR]]))</f>
        <v>ARTO MORO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4</v>
      </c>
      <c r="AK139" s="38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oilpastelop12chccompactjk16704000.1250.08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oilpastelop12chccompactjk16704000.1250.08</v>
      </c>
      <c r="AN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38" t="str">
        <f>IF(NOTA[[#This Row],[CONCAT4]]="","",_xlfn.IFNA(MATCH(NOTA[[#This Row],[CONCAT4]],[2]!RAW[CONCAT_H],0),FALSE))</f>
        <v/>
      </c>
      <c r="AP139" s="174">
        <f>IF(NOTA[[#This Row],[CONCAT1]]="","",MATCH(NOTA[[#This Row],[CONCAT1]],[3]!db[NB NOTA_C],0)+1)</f>
        <v>265</v>
      </c>
    </row>
    <row r="140" spans="1:42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 t="str">
        <f ca="1">IF(NOTA[[#This Row],[NAMA BARANG]]="","",INDEX(NOTA[ID],MATCH(,INDIRECT(ADDRESS(ROW(NOTA[ID]),COLUMN(NOTA[ID]))&amp;":"&amp;ADDRESS(ROW(),COLUMN(NOTA[ID]))),-1)))</f>
        <v/>
      </c>
      <c r="E140" s="23"/>
      <c r="F140" s="26"/>
      <c r="G140" s="26"/>
      <c r="H140" s="31"/>
      <c r="I140" s="26"/>
      <c r="J140" s="51"/>
      <c r="K140" s="26"/>
      <c r="L140" s="26"/>
      <c r="M140" s="39"/>
      <c r="N140" s="26"/>
      <c r="O140" s="26"/>
      <c r="P140" s="49"/>
      <c r="Q140" s="52"/>
      <c r="R140" s="39"/>
      <c r="S140" s="53"/>
      <c r="T140" s="53"/>
      <c r="U140" s="54"/>
      <c r="V140" s="37"/>
      <c r="W140" s="54" t="str">
        <f>IF(NOTA[[#This Row],[HARGA/ CTN]]="",NOTA[[#This Row],[JUMLAH_H]],NOTA[[#This Row],[HARGA/ CTN]]*IF(NOTA[[#This Row],[C]]="",0,NOTA[[#This Row],[C]]))</f>
        <v/>
      </c>
      <c r="X140" s="54" t="str">
        <f>IF(NOTA[[#This Row],[JUMLAH]]="","",NOTA[[#This Row],[JUMLAH]]*NOTA[[#This Row],[DISC 1]])</f>
        <v/>
      </c>
      <c r="Y140" s="54" t="str">
        <f>IF(NOTA[[#This Row],[JUMLAH]]="","",(NOTA[[#This Row],[JUMLAH]]-NOTA[[#This Row],[DISC 1-]])*NOTA[[#This Row],[DISC 2]])</f>
        <v/>
      </c>
      <c r="Z140" s="54" t="str">
        <f>IF(NOTA[[#This Row],[JUMLAH]]="","",NOTA[[#This Row],[DISC 1-]]+NOTA[[#This Row],[DISC 2-]])</f>
        <v/>
      </c>
      <c r="AA140" s="54" t="str">
        <f>IF(NOTA[[#This Row],[JUMLAH]]="","",NOTA[[#This Row],[JUMLAH]]-NOTA[[#This Row],[DISC]])</f>
        <v/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0" s="54" t="str">
        <f>IF(OR(NOTA[[#This Row],[QTY]]="",NOTA[[#This Row],[HARGA SATUAN]]="",),"",NOTA[[#This Row],[QTY]]*NOTA[[#This Row],[HARGA SATUAN]])</f>
        <v/>
      </c>
      <c r="AF140" s="51" t="str">
        <f ca="1">IF(NOTA[ID_H]="","",INDEX(NOTA[TANGGAL],MATCH(,INDIRECT(ADDRESS(ROW(NOTA[TANGGAL]),COLUMN(NOTA[TANGGAL]))&amp;":"&amp;ADDRESS(ROW(),COLUMN(NOTA[TANGGAL]))),-1)))</f>
        <v/>
      </c>
      <c r="AG140" s="65" t="str">
        <f ca="1">IF(NOTA[[#This Row],[NAMA BARANG]]="","",INDEX(NOTA[SUPPLIER],MATCH(,INDIRECT(ADDRESS(ROW(NOTA[ID]),COLUMN(NOTA[ID]))&amp;":"&amp;ADDRESS(ROW(),COLUMN(NOTA[ID]))),-1)))</f>
        <v/>
      </c>
      <c r="AH140" s="65" t="str">
        <f ca="1">IF(NOTA[[#This Row],[ID_H]]="","",IF(NOTA[[#This Row],[FAKTUR]]="",INDIRECT(ADDRESS(ROW()-1,COLUMN())),NOTA[[#This Row],[FAKTUR]]))</f>
        <v/>
      </c>
      <c r="AI140" s="38" t="str">
        <f ca="1">IF(NOTA[[#This Row],[ID]]="","",COUNTIF(NOTA[ID_H],NOTA[[#This Row],[ID_H]]))</f>
        <v/>
      </c>
      <c r="AJ140" s="38" t="str">
        <f ca="1">IF(NOTA[[#This Row],[TGL.NOTA]]="",IF(NOTA[[#This Row],[SUPPLIER_H]]="","",AJ139),MONTH(NOTA[[#This Row],[TGL.NOTA]]))</f>
        <v/>
      </c>
      <c r="AK140" s="38" t="str">
        <f>LOWER(SUBSTITUTE(SUBSTITUTE(SUBSTITUTE(SUBSTITUTE(SUBSTITUTE(SUBSTITUTE(SUBSTITUTE(SUBSTITUTE(SUBSTITUTE(NOTA[NAMA BARANG]," ",),".",""),"-",""),"(",""),")",""),",",""),"/",""),"""",""),"+",""))</f>
        <v/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0" s="38" t="str">
        <f>IF(NOTA[[#This Row],[CONCAT4]]="","",_xlfn.IFNA(MATCH(NOTA[[#This Row],[CONCAT4]],[2]!RAW[CONCAT_H],0),FALSE))</f>
        <v/>
      </c>
      <c r="AP140" s="174" t="str">
        <f>IF(NOTA[[#This Row],[CONCAT1]]="","",MATCH(NOTA[[#This Row],[CONCAT1]],[3]!db[NB NOTA_C],0)+1)</f>
        <v/>
      </c>
    </row>
    <row r="141" spans="1:42" ht="20.100000000000001" customHeight="1" x14ac:dyDescent="0.25">
      <c r="A141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ATA_0804_587-10</v>
      </c>
      <c r="C141" s="50" t="e">
        <f ca="1">IF(NOTA[[#This Row],[ID_P]]="","",MATCH(NOTA[[#This Row],[ID_P]],[1]!B_MSK[N_ID],0))</f>
        <v>#REF!</v>
      </c>
      <c r="D141" s="50">
        <f ca="1">IF(NOTA[[#This Row],[NAMA BARANG]]="","",INDEX(NOTA[ID],MATCH(,INDIRECT(ADDRESS(ROW(NOTA[ID]),COLUMN(NOTA[ID]))&amp;":"&amp;ADDRESS(ROW(),COLUMN(NOTA[ID]))),-1)))</f>
        <v>36</v>
      </c>
      <c r="E141" s="23"/>
      <c r="F141" s="26" t="s">
        <v>25</v>
      </c>
      <c r="G141" s="26" t="s">
        <v>24</v>
      </c>
      <c r="H141" s="31" t="s">
        <v>343</v>
      </c>
      <c r="I141" s="26"/>
      <c r="J141" s="51">
        <v>45019</v>
      </c>
      <c r="K141" s="26"/>
      <c r="L141" s="26" t="s">
        <v>344</v>
      </c>
      <c r="M141" s="39"/>
      <c r="N141" s="26">
        <v>180</v>
      </c>
      <c r="O141" s="26" t="s">
        <v>198</v>
      </c>
      <c r="P141" s="49">
        <v>3700</v>
      </c>
      <c r="Q141" s="52"/>
      <c r="R141" s="39" t="s">
        <v>345</v>
      </c>
      <c r="S141" s="53">
        <v>0.125</v>
      </c>
      <c r="T141" s="53">
        <v>0.05</v>
      </c>
      <c r="U141" s="54"/>
      <c r="V141" s="37"/>
      <c r="W141" s="54">
        <f>IF(NOTA[[#This Row],[HARGA/ CTN]]="",NOTA[[#This Row],[JUMLAH_H]],NOTA[[#This Row],[HARGA/ CTN]]*IF(NOTA[[#This Row],[C]]="",0,NOTA[[#This Row],[C]]))</f>
        <v>666000</v>
      </c>
      <c r="X141" s="54">
        <f>IF(NOTA[[#This Row],[JUMLAH]]="","",NOTA[[#This Row],[JUMLAH]]*NOTA[[#This Row],[DISC 1]])</f>
        <v>83250</v>
      </c>
      <c r="Y141" s="54">
        <f>IF(NOTA[[#This Row],[JUMLAH]]="","",(NOTA[[#This Row],[JUMLAH]]-NOTA[[#This Row],[DISC 1-]])*NOTA[[#This Row],[DISC 2]])</f>
        <v>29137.5</v>
      </c>
      <c r="Z141" s="54">
        <f>IF(NOTA[[#This Row],[JUMLAH]]="","",NOTA[[#This Row],[DISC 1-]]+NOTA[[#This Row],[DISC 2-]])</f>
        <v>112387.5</v>
      </c>
      <c r="AA141" s="54">
        <f>IF(NOTA[[#This Row],[JUMLAH]]="","",NOTA[[#This Row],[JUMLAH]]-NOTA[[#This Row],[DISC]])</f>
        <v>553612.5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1" s="54">
        <f>IF(OR(NOTA[[#This Row],[QTY]]="",NOTA[[#This Row],[HARGA SATUAN]]="",),"",NOTA[[#This Row],[QTY]]*NOTA[[#This Row],[HARGA SATUAN]])</f>
        <v>666000</v>
      </c>
      <c r="AF141" s="51">
        <f ca="1">IF(NOTA[ID_H]="","",INDEX(NOTA[TANGGAL],MATCH(,INDIRECT(ADDRESS(ROW(NOTA[TANGGAL]),COLUMN(NOTA[TANGGAL]))&amp;":"&amp;ADDRESS(ROW(),COLUMN(NOTA[TANGGAL]))),-1)))</f>
        <v>45024</v>
      </c>
      <c r="AG141" s="65" t="str">
        <f ca="1">IF(NOTA[[#This Row],[NAMA BARANG]]="","",INDEX(NOTA[SUPPLIER],MATCH(,INDIRECT(ADDRESS(ROW(NOTA[ID]),COLUMN(NOTA[ID]))&amp;":"&amp;ADDRESS(ROW(),COLUMN(NOTA[ID]))),-1)))</f>
        <v>ATALI MAKMUR</v>
      </c>
      <c r="AH141" s="65" t="str">
        <f ca="1">IF(NOTA[[#This Row],[ID_H]]="","",IF(NOTA[[#This Row],[FAKTUR]]="",INDIRECT(ADDRESS(ROW()-1,COLUMN())),NOTA[[#This Row],[FAKTUR]]))</f>
        <v>ARTO MORO</v>
      </c>
      <c r="AI141" s="38">
        <f ca="1">IF(NOTA[[#This Row],[ID]]="","",COUNTIF(NOTA[ID_H],NOTA[[#This Row],[ID_H]]))</f>
        <v>10</v>
      </c>
      <c r="AJ141" s="38">
        <f>IF(NOTA[[#This Row],[TGL.NOTA]]="",IF(NOTA[[#This Row],[SUPPLIER_H]]="","",AJ140),MONTH(NOTA[[#This Row],[TGL.NOTA]]))</f>
        <v>4</v>
      </c>
      <c r="AK141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14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MOROSA23040558745019highlighterhl1yellowjk</v>
      </c>
      <c r="AO141" s="38" t="e">
        <f>IF(NOTA[[#This Row],[CONCAT4]]="","",_xlfn.IFNA(MATCH(NOTA[[#This Row],[CONCAT4]],[2]!RAW[CONCAT_H],0),FALSE))</f>
        <v>#REF!</v>
      </c>
      <c r="AP141" s="174">
        <f>IF(NOTA[[#This Row],[CONCAT1]]="","",MATCH(NOTA[[#This Row],[CONCAT1]],[3]!db[NB NOTA_C],0)+1)</f>
        <v>449</v>
      </c>
    </row>
    <row r="142" spans="1:42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36</v>
      </c>
      <c r="E142" s="23"/>
      <c r="F142" s="26"/>
      <c r="G142" s="26"/>
      <c r="H142" s="31"/>
      <c r="I142" s="26"/>
      <c r="J142" s="51"/>
      <c r="K142" s="26"/>
      <c r="L142" s="26" t="s">
        <v>346</v>
      </c>
      <c r="M142" s="39"/>
      <c r="N142" s="26">
        <v>180</v>
      </c>
      <c r="O142" s="26" t="s">
        <v>198</v>
      </c>
      <c r="P142" s="49">
        <v>3700</v>
      </c>
      <c r="Q142" s="52"/>
      <c r="R142" s="39" t="s">
        <v>345</v>
      </c>
      <c r="S142" s="53">
        <v>0.125</v>
      </c>
      <c r="T142" s="53">
        <v>0.05</v>
      </c>
      <c r="U142" s="54"/>
      <c r="V142" s="37"/>
      <c r="W142" s="54">
        <f>IF(NOTA[[#This Row],[HARGA/ CTN]]="",NOTA[[#This Row],[JUMLAH_H]],NOTA[[#This Row],[HARGA/ CTN]]*IF(NOTA[[#This Row],[C]]="",0,NOTA[[#This Row],[C]]))</f>
        <v>666000</v>
      </c>
      <c r="X142" s="54">
        <f>IF(NOTA[[#This Row],[JUMLAH]]="","",NOTA[[#This Row],[JUMLAH]]*NOTA[[#This Row],[DISC 1]])</f>
        <v>83250</v>
      </c>
      <c r="Y142" s="54">
        <f>IF(NOTA[[#This Row],[JUMLAH]]="","",(NOTA[[#This Row],[JUMLAH]]-NOTA[[#This Row],[DISC 1-]])*NOTA[[#This Row],[DISC 2]])</f>
        <v>29137.5</v>
      </c>
      <c r="Z142" s="54">
        <f>IF(NOTA[[#This Row],[JUMLAH]]="","",NOTA[[#This Row],[DISC 1-]]+NOTA[[#This Row],[DISC 2-]])</f>
        <v>112387.5</v>
      </c>
      <c r="AA142" s="54">
        <f>IF(NOTA[[#This Row],[JUMLAH]]="","",NOTA[[#This Row],[JUMLAH]]-NOTA[[#This Row],[DISC]])</f>
        <v>553612.5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2" s="54">
        <f>IF(OR(NOTA[[#This Row],[QTY]]="",NOTA[[#This Row],[HARGA SATUAN]]="",),"",NOTA[[#This Row],[QTY]]*NOTA[[#This Row],[HARGA SATUAN]])</f>
        <v>666000</v>
      </c>
      <c r="AF142" s="51">
        <f ca="1">IF(NOTA[ID_H]="","",INDEX(NOTA[TANGGAL],MATCH(,INDIRECT(ADDRESS(ROW(NOTA[TANGGAL]),COLUMN(NOTA[TANGGAL]))&amp;":"&amp;ADDRESS(ROW(),COLUMN(NOTA[TANGGAL]))),-1)))</f>
        <v>45024</v>
      </c>
      <c r="AG142" s="65" t="str">
        <f ca="1">IF(NOTA[[#This Row],[NAMA BARANG]]="","",INDEX(NOTA[SUPPLIER],MATCH(,INDIRECT(ADDRESS(ROW(NOTA[ID]),COLUMN(NOTA[ID]))&amp;":"&amp;ADDRESS(ROW(),COLUMN(NOTA[ID]))),-1)))</f>
        <v>ATALI MAKMUR</v>
      </c>
      <c r="AH142" s="65" t="str">
        <f ca="1">IF(NOTA[[#This Row],[ID_H]]="","",IF(NOTA[[#This Row],[FAKTUR]]="",INDIRECT(ADDRESS(ROW()-1,COLUMN())),NOTA[[#This Row],[FAKTUR]]))</f>
        <v>ARTO MORO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4</v>
      </c>
      <c r="AK142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38" t="str">
        <f>IF(NOTA[[#This Row],[CONCAT4]]="","",_xlfn.IFNA(MATCH(NOTA[[#This Row],[CONCAT4]],[2]!RAW[CONCAT_H],0),FALSE))</f>
        <v/>
      </c>
      <c r="AP142" s="174">
        <f>IF(NOTA[[#This Row],[CONCAT1]]="","",MATCH(NOTA[[#This Row],[CONCAT1]],[3]!db[NB NOTA_C],0)+1)</f>
        <v>450</v>
      </c>
    </row>
    <row r="143" spans="1:42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36</v>
      </c>
      <c r="E143" s="23"/>
      <c r="F143" s="26"/>
      <c r="G143" s="26"/>
      <c r="H143" s="31"/>
      <c r="I143" s="26"/>
      <c r="J143" s="51"/>
      <c r="K143" s="26"/>
      <c r="L143" s="26" t="s">
        <v>347</v>
      </c>
      <c r="M143" s="39"/>
      <c r="N143" s="26">
        <v>120</v>
      </c>
      <c r="O143" s="26" t="s">
        <v>198</v>
      </c>
      <c r="P143" s="49">
        <v>3700</v>
      </c>
      <c r="Q143" s="52"/>
      <c r="R143" s="39" t="s">
        <v>345</v>
      </c>
      <c r="S143" s="53">
        <v>0.125</v>
      </c>
      <c r="T143" s="53">
        <v>0.05</v>
      </c>
      <c r="U143" s="54"/>
      <c r="V143" s="37"/>
      <c r="W143" s="54">
        <f>IF(NOTA[[#This Row],[HARGA/ CTN]]="",NOTA[[#This Row],[JUMLAH_H]],NOTA[[#This Row],[HARGA/ CTN]]*IF(NOTA[[#This Row],[C]]="",0,NOTA[[#This Row],[C]]))</f>
        <v>444000</v>
      </c>
      <c r="X143" s="54">
        <f>IF(NOTA[[#This Row],[JUMLAH]]="","",NOTA[[#This Row],[JUMLAH]]*NOTA[[#This Row],[DISC 1]])</f>
        <v>55500</v>
      </c>
      <c r="Y143" s="54">
        <f>IF(NOTA[[#This Row],[JUMLAH]]="","",(NOTA[[#This Row],[JUMLAH]]-NOTA[[#This Row],[DISC 1-]])*NOTA[[#This Row],[DISC 2]])</f>
        <v>19425</v>
      </c>
      <c r="Z143" s="54">
        <f>IF(NOTA[[#This Row],[JUMLAH]]="","",NOTA[[#This Row],[DISC 1-]]+NOTA[[#This Row],[DISC 2-]])</f>
        <v>74925</v>
      </c>
      <c r="AA143" s="54">
        <f>IF(NOTA[[#This Row],[JUMLAH]]="","",NOTA[[#This Row],[JUMLAH]]-NOTA[[#This Row],[DISC]])</f>
        <v>369075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3" s="54">
        <f>IF(OR(NOTA[[#This Row],[QTY]]="",NOTA[[#This Row],[HARGA SATUAN]]="",),"",NOTA[[#This Row],[QTY]]*NOTA[[#This Row],[HARGA SATUAN]])</f>
        <v>444000</v>
      </c>
      <c r="AF143" s="51">
        <f ca="1">IF(NOTA[ID_H]="","",INDEX(NOTA[TANGGAL],MATCH(,INDIRECT(ADDRESS(ROW(NOTA[TANGGAL]),COLUMN(NOTA[TANGGAL]))&amp;":"&amp;ADDRESS(ROW(),COLUMN(NOTA[TANGGAL]))),-1)))</f>
        <v>45024</v>
      </c>
      <c r="AG143" s="65" t="str">
        <f ca="1">IF(NOTA[[#This Row],[NAMA BARANG]]="","",INDEX(NOTA[SUPPLIER],MATCH(,INDIRECT(ADDRESS(ROW(NOTA[ID]),COLUMN(NOTA[ID]))&amp;":"&amp;ADDRESS(ROW(),COLUMN(NOTA[ID]))),-1)))</f>
        <v>ATALI MAKMUR</v>
      </c>
      <c r="AH143" s="65" t="str">
        <f ca="1">IF(NOTA[[#This Row],[ID_H]]="","",IF(NOTA[[#This Row],[FAKTUR]]="",INDIRECT(ADDRESS(ROW()-1,COLUMN())),NOTA[[#This Row],[FAKTUR]]))</f>
        <v>ARTO MORO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4</v>
      </c>
      <c r="AK143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38" t="str">
        <f>IF(NOTA[[#This Row],[CONCAT4]]="","",_xlfn.IFNA(MATCH(NOTA[[#This Row],[CONCAT4]],[2]!RAW[CONCAT_H],0),FALSE))</f>
        <v/>
      </c>
      <c r="AP143" s="174">
        <f>IF(NOTA[[#This Row],[CONCAT1]]="","",MATCH(NOTA[[#This Row],[CONCAT1]],[3]!db[NB NOTA_C],0)+1)</f>
        <v>451</v>
      </c>
    </row>
    <row r="144" spans="1:42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36</v>
      </c>
      <c r="E144" s="23"/>
      <c r="F144" s="26"/>
      <c r="G144" s="26"/>
      <c r="H144" s="31"/>
      <c r="I144" s="26"/>
      <c r="J144" s="51"/>
      <c r="K144" s="26"/>
      <c r="L144" s="26" t="s">
        <v>348</v>
      </c>
      <c r="M144" s="39"/>
      <c r="N144" s="26">
        <v>120</v>
      </c>
      <c r="O144" s="26" t="s">
        <v>198</v>
      </c>
      <c r="P144" s="49">
        <v>3700</v>
      </c>
      <c r="Q144" s="52"/>
      <c r="R144" s="39" t="s">
        <v>349</v>
      </c>
      <c r="S144" s="53">
        <v>0.125</v>
      </c>
      <c r="T144" s="53">
        <v>0.05</v>
      </c>
      <c r="U144" s="54"/>
      <c r="V144" s="37"/>
      <c r="W144" s="54">
        <f>IF(NOTA[[#This Row],[HARGA/ CTN]]="",NOTA[[#This Row],[JUMLAH_H]],NOTA[[#This Row],[HARGA/ CTN]]*IF(NOTA[[#This Row],[C]]="",0,NOTA[[#This Row],[C]]))</f>
        <v>444000</v>
      </c>
      <c r="X144" s="54">
        <f>IF(NOTA[[#This Row],[JUMLAH]]="","",NOTA[[#This Row],[JUMLAH]]*NOTA[[#This Row],[DISC 1]])</f>
        <v>55500</v>
      </c>
      <c r="Y144" s="54">
        <f>IF(NOTA[[#This Row],[JUMLAH]]="","",(NOTA[[#This Row],[JUMLAH]]-NOTA[[#This Row],[DISC 1-]])*NOTA[[#This Row],[DISC 2]])</f>
        <v>19425</v>
      </c>
      <c r="Z144" s="54">
        <f>IF(NOTA[[#This Row],[JUMLAH]]="","",NOTA[[#This Row],[DISC 1-]]+NOTA[[#This Row],[DISC 2-]])</f>
        <v>74925</v>
      </c>
      <c r="AA144" s="54">
        <f>IF(NOTA[[#This Row],[JUMLAH]]="","",NOTA[[#This Row],[JUMLAH]]-NOTA[[#This Row],[DISC]])</f>
        <v>369075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4" s="54">
        <f>IF(OR(NOTA[[#This Row],[QTY]]="",NOTA[[#This Row],[HARGA SATUAN]]="",),"",NOTA[[#This Row],[QTY]]*NOTA[[#This Row],[HARGA SATUAN]])</f>
        <v>444000</v>
      </c>
      <c r="AF144" s="51">
        <f ca="1">IF(NOTA[ID_H]="","",INDEX(NOTA[TANGGAL],MATCH(,INDIRECT(ADDRESS(ROW(NOTA[TANGGAL]),COLUMN(NOTA[TANGGAL]))&amp;":"&amp;ADDRESS(ROW(),COLUMN(NOTA[TANGGAL]))),-1)))</f>
        <v>45024</v>
      </c>
      <c r="AG144" s="65" t="str">
        <f ca="1">IF(NOTA[[#This Row],[NAMA BARANG]]="","",INDEX(NOTA[SUPPLIER],MATCH(,INDIRECT(ADDRESS(ROW(NOTA[ID]),COLUMN(NOTA[ID]))&amp;":"&amp;ADDRESS(ROW(),COLUMN(NOTA[ID]))),-1)))</f>
        <v>ATALI MAKMUR</v>
      </c>
      <c r="AH144" s="65" t="str">
        <f ca="1">IF(NOTA[[#This Row],[ID_H]]="","",IF(NOTA[[#This Row],[FAKTUR]]="",INDIRECT(ADDRESS(ROW()-1,COLUMN())),NOTA[[#This Row],[FAKTUR]]))</f>
        <v>ARTO MORO</v>
      </c>
      <c r="AI144" s="38" t="str">
        <f ca="1">IF(NOTA[[#This Row],[ID]]="","",COUNTIF(NOTA[ID_H],NOTA[[#This Row],[ID_H]]))</f>
        <v/>
      </c>
      <c r="AJ144" s="38">
        <f ca="1">IF(NOTA[[#This Row],[TGL.NOTA]]="",IF(NOTA[[#This Row],[SUPPLIER_H]]="","",AJ143),MONTH(NOTA[[#This Row],[TGL.NOTA]]))</f>
        <v>4</v>
      </c>
      <c r="AK144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38" t="str">
        <f>IF(NOTA[[#This Row],[CONCAT4]]="","",_xlfn.IFNA(MATCH(NOTA[[#This Row],[CONCAT4]],[2]!RAW[CONCAT_H],0),FALSE))</f>
        <v/>
      </c>
      <c r="AP144" s="174">
        <f>IF(NOTA[[#This Row],[CONCAT1]]="","",MATCH(NOTA[[#This Row],[CONCAT1]],[3]!db[NB NOTA_C],0)+1)</f>
        <v>452</v>
      </c>
    </row>
    <row r="145" spans="1:42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36</v>
      </c>
      <c r="E145" s="23"/>
      <c r="F145" s="26"/>
      <c r="G145" s="26"/>
      <c r="H145" s="31"/>
      <c r="I145" s="26"/>
      <c r="J145" s="51"/>
      <c r="K145" s="26"/>
      <c r="L145" s="26" t="s">
        <v>350</v>
      </c>
      <c r="M145" s="39"/>
      <c r="N145" s="26">
        <v>120</v>
      </c>
      <c r="O145" s="26" t="s">
        <v>198</v>
      </c>
      <c r="P145" s="49">
        <v>3700</v>
      </c>
      <c r="Q145" s="52"/>
      <c r="R145" s="39" t="s">
        <v>345</v>
      </c>
      <c r="S145" s="53">
        <v>0.125</v>
      </c>
      <c r="T145" s="53">
        <v>0.05</v>
      </c>
      <c r="U145" s="54"/>
      <c r="V145" s="37"/>
      <c r="W145" s="54">
        <f>IF(NOTA[[#This Row],[HARGA/ CTN]]="",NOTA[[#This Row],[JUMLAH_H]],NOTA[[#This Row],[HARGA/ CTN]]*IF(NOTA[[#This Row],[C]]="",0,NOTA[[#This Row],[C]]))</f>
        <v>444000</v>
      </c>
      <c r="X145" s="54">
        <f>IF(NOTA[[#This Row],[JUMLAH]]="","",NOTA[[#This Row],[JUMLAH]]*NOTA[[#This Row],[DISC 1]])</f>
        <v>55500</v>
      </c>
      <c r="Y145" s="54">
        <f>IF(NOTA[[#This Row],[JUMLAH]]="","",(NOTA[[#This Row],[JUMLAH]]-NOTA[[#This Row],[DISC 1-]])*NOTA[[#This Row],[DISC 2]])</f>
        <v>19425</v>
      </c>
      <c r="Z145" s="54">
        <f>IF(NOTA[[#This Row],[JUMLAH]]="","",NOTA[[#This Row],[DISC 1-]]+NOTA[[#This Row],[DISC 2-]])</f>
        <v>74925</v>
      </c>
      <c r="AA145" s="54">
        <f>IF(NOTA[[#This Row],[JUMLAH]]="","",NOTA[[#This Row],[JUMLAH]]-NOTA[[#This Row],[DISC]])</f>
        <v>369075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5" s="54">
        <f>IF(OR(NOTA[[#This Row],[QTY]]="",NOTA[[#This Row],[HARGA SATUAN]]="",),"",NOTA[[#This Row],[QTY]]*NOTA[[#This Row],[HARGA SATUAN]])</f>
        <v>444000</v>
      </c>
      <c r="AF145" s="51">
        <f ca="1">IF(NOTA[ID_H]="","",INDEX(NOTA[TANGGAL],MATCH(,INDIRECT(ADDRESS(ROW(NOTA[TANGGAL]),COLUMN(NOTA[TANGGAL]))&amp;":"&amp;ADDRESS(ROW(),COLUMN(NOTA[TANGGAL]))),-1)))</f>
        <v>45024</v>
      </c>
      <c r="AG145" s="65" t="str">
        <f ca="1">IF(NOTA[[#This Row],[NAMA BARANG]]="","",INDEX(NOTA[SUPPLIER],MATCH(,INDIRECT(ADDRESS(ROW(NOTA[ID]),COLUMN(NOTA[ID]))&amp;":"&amp;ADDRESS(ROW(),COLUMN(NOTA[ID]))),-1)))</f>
        <v>ATALI MAKMUR</v>
      </c>
      <c r="AH145" s="65" t="str">
        <f ca="1">IF(NOTA[[#This Row],[ID_H]]="","",IF(NOTA[[#This Row],[FAKTUR]]="",INDIRECT(ADDRESS(ROW()-1,COLUMN())),NOTA[[#This Row],[FAKTUR]]))</f>
        <v>ARTO MORO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4</v>
      </c>
      <c r="AK145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38" t="str">
        <f>IF(NOTA[[#This Row],[CONCAT4]]="","",_xlfn.IFNA(MATCH(NOTA[[#This Row],[CONCAT4]],[2]!RAW[CONCAT_H],0),FALSE))</f>
        <v/>
      </c>
      <c r="AP145" s="174">
        <f>IF(NOTA[[#This Row],[CONCAT1]]="","",MATCH(NOTA[[#This Row],[CONCAT1]],[3]!db[NB NOTA_C],0)+1)</f>
        <v>453</v>
      </c>
    </row>
    <row r="146" spans="1:42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36</v>
      </c>
      <c r="E146" s="23"/>
      <c r="F146" s="26"/>
      <c r="G146" s="26"/>
      <c r="H146" s="31"/>
      <c r="I146" s="26"/>
      <c r="J146" s="51"/>
      <c r="K146" s="26"/>
      <c r="L146" s="26" t="s">
        <v>344</v>
      </c>
      <c r="M146" s="39">
        <v>1</v>
      </c>
      <c r="N146" s="26">
        <v>720</v>
      </c>
      <c r="O146" s="26" t="s">
        <v>198</v>
      </c>
      <c r="P146" s="49">
        <v>3700</v>
      </c>
      <c r="Q146" s="52"/>
      <c r="R146" s="39" t="s">
        <v>351</v>
      </c>
      <c r="S146" s="53">
        <v>0.125</v>
      </c>
      <c r="T146" s="53">
        <v>0.05</v>
      </c>
      <c r="U146" s="54"/>
      <c r="V146" s="37"/>
      <c r="W146" s="54">
        <f>IF(NOTA[[#This Row],[HARGA/ CTN]]="",NOTA[[#This Row],[JUMLAH_H]],NOTA[[#This Row],[HARGA/ CTN]]*IF(NOTA[[#This Row],[C]]="",0,NOTA[[#This Row],[C]]))</f>
        <v>2664000</v>
      </c>
      <c r="X146" s="54">
        <f>IF(NOTA[[#This Row],[JUMLAH]]="","",NOTA[[#This Row],[JUMLAH]]*NOTA[[#This Row],[DISC 1]])</f>
        <v>333000</v>
      </c>
      <c r="Y146" s="54">
        <f>IF(NOTA[[#This Row],[JUMLAH]]="","",(NOTA[[#This Row],[JUMLAH]]-NOTA[[#This Row],[DISC 1-]])*NOTA[[#This Row],[DISC 2]])</f>
        <v>116550</v>
      </c>
      <c r="Z146" s="54">
        <f>IF(NOTA[[#This Row],[JUMLAH]]="","",NOTA[[#This Row],[DISC 1-]]+NOTA[[#This Row],[DISC 2-]])</f>
        <v>449550</v>
      </c>
      <c r="AA146" s="54">
        <f>IF(NOTA[[#This Row],[JUMLAH]]="","",NOTA[[#This Row],[JUMLAH]]-NOTA[[#This Row],[DISC]])</f>
        <v>2214450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E146" s="54">
        <f>IF(OR(NOTA[[#This Row],[QTY]]="",NOTA[[#This Row],[HARGA SATUAN]]="",),"",NOTA[[#This Row],[QTY]]*NOTA[[#This Row],[HARGA SATUAN]])</f>
        <v>2664000</v>
      </c>
      <c r="AF146" s="51">
        <f ca="1">IF(NOTA[ID_H]="","",INDEX(NOTA[TANGGAL],MATCH(,INDIRECT(ADDRESS(ROW(NOTA[TANGGAL]),COLUMN(NOTA[TANGGAL]))&amp;":"&amp;ADDRESS(ROW(),COLUMN(NOTA[TANGGAL]))),-1)))</f>
        <v>45024</v>
      </c>
      <c r="AG146" s="65" t="str">
        <f ca="1">IF(NOTA[[#This Row],[NAMA BARANG]]="","",INDEX(NOTA[SUPPLIER],MATCH(,INDIRECT(ADDRESS(ROW(NOTA[ID]),COLUMN(NOTA[ID]))&amp;":"&amp;ADDRESS(ROW(),COLUMN(NOTA[ID]))),-1)))</f>
        <v>ATALI MAKMUR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4</v>
      </c>
      <c r="AK146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highlighterhl1yellowjk26640000.1250.05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highlighterhl1yellowjk26640000.1250.05</v>
      </c>
      <c r="AN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38" t="str">
        <f>IF(NOTA[[#This Row],[CONCAT4]]="","",_xlfn.IFNA(MATCH(NOTA[[#This Row],[CONCAT4]],[2]!RAW[CONCAT_H],0),FALSE))</f>
        <v/>
      </c>
      <c r="AP146" s="174">
        <f>IF(NOTA[[#This Row],[CONCAT1]]="","",MATCH(NOTA[[#This Row],[CONCAT1]],[3]!db[NB NOTA_C],0)+1)</f>
        <v>449</v>
      </c>
    </row>
    <row r="147" spans="1:42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36</v>
      </c>
      <c r="E147" s="23"/>
      <c r="F147" s="26"/>
      <c r="G147" s="26"/>
      <c r="H147" s="31"/>
      <c r="I147" s="26"/>
      <c r="J147" s="51"/>
      <c r="K147" s="26"/>
      <c r="L147" s="26" t="s">
        <v>102</v>
      </c>
      <c r="M147" s="39">
        <v>2</v>
      </c>
      <c r="N147" s="26">
        <v>100</v>
      </c>
      <c r="O147" s="26" t="s">
        <v>204</v>
      </c>
      <c r="P147" s="49">
        <v>28300</v>
      </c>
      <c r="Q147" s="52"/>
      <c r="R147" s="39" t="s">
        <v>352</v>
      </c>
      <c r="S147" s="53">
        <v>0.125</v>
      </c>
      <c r="T147" s="53">
        <v>0.05</v>
      </c>
      <c r="U147" s="54"/>
      <c r="V147" s="37"/>
      <c r="W147" s="54">
        <f>IF(NOTA[[#This Row],[HARGA/ CTN]]="",NOTA[[#This Row],[JUMLAH_H]],NOTA[[#This Row],[HARGA/ CTN]]*IF(NOTA[[#This Row],[C]]="",0,NOTA[[#This Row],[C]]))</f>
        <v>2830000</v>
      </c>
      <c r="X147" s="54">
        <f>IF(NOTA[[#This Row],[JUMLAH]]="","",NOTA[[#This Row],[JUMLAH]]*NOTA[[#This Row],[DISC 1]])</f>
        <v>353750</v>
      </c>
      <c r="Y147" s="54">
        <f>IF(NOTA[[#This Row],[JUMLAH]]="","",(NOTA[[#This Row],[JUMLAH]]-NOTA[[#This Row],[DISC 1-]])*NOTA[[#This Row],[DISC 2]])</f>
        <v>123812.5</v>
      </c>
      <c r="Z147" s="54">
        <f>IF(NOTA[[#This Row],[JUMLAH]]="","",NOTA[[#This Row],[DISC 1-]]+NOTA[[#This Row],[DISC 2-]])</f>
        <v>477562.5</v>
      </c>
      <c r="AA147" s="54">
        <f>IF(NOTA[[#This Row],[JUMLAH]]="","",NOTA[[#This Row],[JUMLAH]]-NOTA[[#This Row],[DISC]])</f>
        <v>2352437.5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47" s="54">
        <f>IF(OR(NOTA[[#This Row],[QTY]]="",NOTA[[#This Row],[HARGA SATUAN]]="",),"",NOTA[[#This Row],[QTY]]*NOTA[[#This Row],[HARGA SATUAN]])</f>
        <v>2830000</v>
      </c>
      <c r="AF147" s="51">
        <f ca="1">IF(NOTA[ID_H]="","",INDEX(NOTA[TANGGAL],MATCH(,INDIRECT(ADDRESS(ROW(NOTA[TANGGAL]),COLUMN(NOTA[TANGGAL]))&amp;":"&amp;ADDRESS(ROW(),COLUMN(NOTA[TANGGAL]))),-1)))</f>
        <v>45024</v>
      </c>
      <c r="AG147" s="65" t="str">
        <f ca="1">IF(NOTA[[#This Row],[NAMA BARANG]]="","",INDEX(NOTA[SUPPLIER],MATCH(,INDIRECT(ADDRESS(ROW(NOTA[ID]),COLUMN(NOTA[ID]))&amp;":"&amp;ADDRESS(ROW(),COLUMN(NOTA[ID]))),-1)))</f>
        <v>ATALI MAKMUR</v>
      </c>
      <c r="AH147" s="65" t="str">
        <f ca="1">IF(NOTA[[#This Row],[ID_H]]="","",IF(NOTA[[#This Row],[FAKTUR]]="",INDIRECT(ADDRESS(ROW()-1,COLUMN())),NOTA[[#This Row],[FAKTUR]]))</f>
        <v>ARTO MORO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4</v>
      </c>
      <c r="AK14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38" t="str">
        <f>IF(NOTA[[#This Row],[CONCAT4]]="","",_xlfn.IFNA(MATCH(NOTA[[#This Row],[CONCAT4]],[2]!RAW[CONCAT_H],0),FALSE))</f>
        <v/>
      </c>
      <c r="AP147" s="174">
        <f>IF(NOTA[[#This Row],[CONCAT1]]="","",MATCH(NOTA[[#This Row],[CONCAT1]],[3]!db[NB NOTA_C],0)+1)</f>
        <v>778</v>
      </c>
    </row>
    <row r="148" spans="1:42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36</v>
      </c>
      <c r="E148" s="23"/>
      <c r="F148" s="26"/>
      <c r="G148" s="26"/>
      <c r="H148" s="31"/>
      <c r="I148" s="26"/>
      <c r="J148" s="51"/>
      <c r="K148" s="26"/>
      <c r="L148" s="26" t="s">
        <v>103</v>
      </c>
      <c r="M148" s="39">
        <v>1</v>
      </c>
      <c r="N148" s="26">
        <v>50</v>
      </c>
      <c r="O148" s="26" t="s">
        <v>204</v>
      </c>
      <c r="P148" s="49">
        <v>34100</v>
      </c>
      <c r="Q148" s="52"/>
      <c r="R148" s="39" t="s">
        <v>353</v>
      </c>
      <c r="S148" s="53">
        <v>0.125</v>
      </c>
      <c r="T148" s="53">
        <v>0.05</v>
      </c>
      <c r="U148" s="54"/>
      <c r="V148" s="37"/>
      <c r="W148" s="54">
        <f>IF(NOTA[[#This Row],[HARGA/ CTN]]="",NOTA[[#This Row],[JUMLAH_H]],NOTA[[#This Row],[HARGA/ CTN]]*IF(NOTA[[#This Row],[C]]="",0,NOTA[[#This Row],[C]]))</f>
        <v>1705000</v>
      </c>
      <c r="X148" s="54">
        <f>IF(NOTA[[#This Row],[JUMLAH]]="","",NOTA[[#This Row],[JUMLAH]]*NOTA[[#This Row],[DISC 1]])</f>
        <v>213125</v>
      </c>
      <c r="Y148" s="54">
        <f>IF(NOTA[[#This Row],[JUMLAH]]="","",(NOTA[[#This Row],[JUMLAH]]-NOTA[[#This Row],[DISC 1-]])*NOTA[[#This Row],[DISC 2]])</f>
        <v>74593.75</v>
      </c>
      <c r="Z148" s="54">
        <f>IF(NOTA[[#This Row],[JUMLAH]]="","",NOTA[[#This Row],[DISC 1-]]+NOTA[[#This Row],[DISC 2-]])</f>
        <v>287718.75</v>
      </c>
      <c r="AA148" s="54">
        <f>IF(NOTA[[#This Row],[JUMLAH]]="","",NOTA[[#This Row],[JUMLAH]]-NOTA[[#This Row],[DISC]])</f>
        <v>1417281.25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48" s="54">
        <f>IF(OR(NOTA[[#This Row],[QTY]]="",NOTA[[#This Row],[HARGA SATUAN]]="",),"",NOTA[[#This Row],[QTY]]*NOTA[[#This Row],[HARGA SATUAN]])</f>
        <v>1705000</v>
      </c>
      <c r="AF148" s="51">
        <f ca="1">IF(NOTA[ID_H]="","",INDEX(NOTA[TANGGAL],MATCH(,INDIRECT(ADDRESS(ROW(NOTA[TANGGAL]),COLUMN(NOTA[TANGGAL]))&amp;":"&amp;ADDRESS(ROW(),COLUMN(NOTA[TANGGAL]))),-1)))</f>
        <v>45024</v>
      </c>
      <c r="AG148" s="65" t="str">
        <f ca="1">IF(NOTA[[#This Row],[NAMA BARANG]]="","",INDEX(NOTA[SUPPLIER],MATCH(,INDIRECT(ADDRESS(ROW(NOTA[ID]),COLUMN(NOTA[ID]))&amp;":"&amp;ADDRESS(ROW(),COLUMN(NOTA[ID]))),-1)))</f>
        <v>ATALI MAKMUR</v>
      </c>
      <c r="AH148" s="65" t="str">
        <f ca="1">IF(NOTA[[#This Row],[ID_H]]="","",IF(NOTA[[#This Row],[FAKTUR]]="",INDIRECT(ADDRESS(ROW()-1,COLUMN())),NOTA[[#This Row],[FAKTUR]]))</f>
        <v>ARTO MORO</v>
      </c>
      <c r="AI148" s="38" t="str">
        <f ca="1">IF(NOTA[[#This Row],[ID]]="","",COUNTIF(NOTA[ID_H],NOTA[[#This Row],[ID_H]]))</f>
        <v/>
      </c>
      <c r="AJ148" s="38">
        <f ca="1">IF(NOTA[[#This Row],[TGL.NOTA]]="",IF(NOTA[[#This Row],[SUPPLIER_H]]="","",AJ147),MONTH(NOTA[[#This Row],[TGL.NOTA]]))</f>
        <v>4</v>
      </c>
      <c r="AK14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38" t="str">
        <f>IF(NOTA[[#This Row],[CONCAT4]]="","",_xlfn.IFNA(MATCH(NOTA[[#This Row],[CONCAT4]],[2]!RAW[CONCAT_H],0),FALSE))</f>
        <v/>
      </c>
      <c r="AP148" s="174">
        <f>IF(NOTA[[#This Row],[CONCAT1]]="","",MATCH(NOTA[[#This Row],[CONCAT1]],[3]!db[NB NOTA_C],0)+1)</f>
        <v>775</v>
      </c>
    </row>
    <row r="149" spans="1:42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36</v>
      </c>
      <c r="E149" s="23"/>
      <c r="F149" s="26"/>
      <c r="G149" s="26"/>
      <c r="H149" s="31"/>
      <c r="I149" s="26"/>
      <c r="J149" s="51"/>
      <c r="K149" s="26"/>
      <c r="L149" s="26" t="s">
        <v>125</v>
      </c>
      <c r="M149" s="39">
        <v>1</v>
      </c>
      <c r="N149" s="26">
        <v>144</v>
      </c>
      <c r="O149" s="26" t="s">
        <v>261</v>
      </c>
      <c r="P149" s="49">
        <v>28200</v>
      </c>
      <c r="Q149" s="52"/>
      <c r="R149" s="39" t="s">
        <v>354</v>
      </c>
      <c r="S149" s="53">
        <v>0.125</v>
      </c>
      <c r="T149" s="53">
        <v>0.05</v>
      </c>
      <c r="U149" s="54"/>
      <c r="V149" s="37"/>
      <c r="W149" s="54">
        <f>IF(NOTA[[#This Row],[HARGA/ CTN]]="",NOTA[[#This Row],[JUMLAH_H]],NOTA[[#This Row],[HARGA/ CTN]]*IF(NOTA[[#This Row],[C]]="",0,NOTA[[#This Row],[C]]))</f>
        <v>4060800</v>
      </c>
      <c r="X149" s="54">
        <f>IF(NOTA[[#This Row],[JUMLAH]]="","",NOTA[[#This Row],[JUMLAH]]*NOTA[[#This Row],[DISC 1]])</f>
        <v>507600</v>
      </c>
      <c r="Y149" s="54">
        <f>IF(NOTA[[#This Row],[JUMLAH]]="","",(NOTA[[#This Row],[JUMLAH]]-NOTA[[#This Row],[DISC 1-]])*NOTA[[#This Row],[DISC 2]])</f>
        <v>177660</v>
      </c>
      <c r="Z149" s="54">
        <f>IF(NOTA[[#This Row],[JUMLAH]]="","",NOTA[[#This Row],[DISC 1-]]+NOTA[[#This Row],[DISC 2-]])</f>
        <v>685260</v>
      </c>
      <c r="AA149" s="54">
        <f>IF(NOTA[[#This Row],[JUMLAH]]="","",NOTA[[#This Row],[JUMLAH]]-NOTA[[#This Row],[DISC]])</f>
        <v>3375540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149" s="54">
        <f>IF(OR(NOTA[[#This Row],[QTY]]="",NOTA[[#This Row],[HARGA SATUAN]]="",),"",NOTA[[#This Row],[QTY]]*NOTA[[#This Row],[HARGA SATUAN]])</f>
        <v>4060800</v>
      </c>
      <c r="AF149" s="51">
        <f ca="1">IF(NOTA[ID_H]="","",INDEX(NOTA[TANGGAL],MATCH(,INDIRECT(ADDRESS(ROW(NOTA[TANGGAL]),COLUMN(NOTA[TANGGAL]))&amp;":"&amp;ADDRESS(ROW(),COLUMN(NOTA[TANGGAL]))),-1)))</f>
        <v>45024</v>
      </c>
      <c r="AG149" s="65" t="str">
        <f ca="1">IF(NOTA[[#This Row],[NAMA BARANG]]="","",INDEX(NOTA[SUPPLIER],MATCH(,INDIRECT(ADDRESS(ROW(NOTA[ID]),COLUMN(NOTA[ID]))&amp;":"&amp;ADDRESS(ROW(),COLUMN(NOTA[ID]))),-1)))</f>
        <v>ATALI MAKMUR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4</v>
      </c>
      <c r="AK149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N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38" t="str">
        <f>IF(NOTA[[#This Row],[CONCAT4]]="","",_xlfn.IFNA(MATCH(NOTA[[#This Row],[CONCAT4]],[2]!RAW[CONCAT_H],0),FALSE))</f>
        <v/>
      </c>
      <c r="AP149" s="174">
        <f>IF(NOTA[[#This Row],[CONCAT1]]="","",MATCH(NOTA[[#This Row],[CONCAT1]],[3]!db[NB NOTA_C],0)+1)</f>
        <v>330</v>
      </c>
    </row>
    <row r="150" spans="1:42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36</v>
      </c>
      <c r="E150" s="23"/>
      <c r="F150" s="26"/>
      <c r="G150" s="26"/>
      <c r="H150" s="31"/>
      <c r="I150" s="26"/>
      <c r="J150" s="51"/>
      <c r="K150" s="26"/>
      <c r="L150" s="26" t="s">
        <v>355</v>
      </c>
      <c r="M150" s="39">
        <v>1</v>
      </c>
      <c r="N150" s="26">
        <v>24</v>
      </c>
      <c r="O150" s="26" t="s">
        <v>198</v>
      </c>
      <c r="P150" s="49">
        <v>11100</v>
      </c>
      <c r="Q150" s="52"/>
      <c r="R150" s="39" t="s">
        <v>257</v>
      </c>
      <c r="S150" s="53">
        <v>0.125</v>
      </c>
      <c r="T150" s="53">
        <v>0.05</v>
      </c>
      <c r="U150" s="54"/>
      <c r="V150" s="37"/>
      <c r="W150" s="54">
        <f>IF(NOTA[[#This Row],[HARGA/ CTN]]="",NOTA[[#This Row],[JUMLAH_H]],NOTA[[#This Row],[HARGA/ CTN]]*IF(NOTA[[#This Row],[C]]="",0,NOTA[[#This Row],[C]]))</f>
        <v>266400</v>
      </c>
      <c r="X150" s="54">
        <f>IF(NOTA[[#This Row],[JUMLAH]]="","",NOTA[[#This Row],[JUMLAH]]*NOTA[[#This Row],[DISC 1]])</f>
        <v>33300</v>
      </c>
      <c r="Y150" s="54">
        <f>IF(NOTA[[#This Row],[JUMLAH]]="","",(NOTA[[#This Row],[JUMLAH]]-NOTA[[#This Row],[DISC 1-]])*NOTA[[#This Row],[DISC 2]])</f>
        <v>11655</v>
      </c>
      <c r="Z150" s="54">
        <f>IF(NOTA[[#This Row],[JUMLAH]]="","",NOTA[[#This Row],[DISC 1-]]+NOTA[[#This Row],[DISC 2-]])</f>
        <v>44955</v>
      </c>
      <c r="AA150" s="54">
        <f>IF(NOTA[[#This Row],[JUMLAH]]="","",NOTA[[#This Row],[JUMLAH]]-NOTA[[#This Row],[DISC]])</f>
        <v>221445</v>
      </c>
      <c r="AB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2394596.25</v>
      </c>
      <c r="AC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11795603.75</v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150" s="54">
        <f>IF(OR(NOTA[[#This Row],[QTY]]="",NOTA[[#This Row],[HARGA SATUAN]]="",),"",NOTA[[#This Row],[QTY]]*NOTA[[#This Row],[HARGA SATUAN]])</f>
        <v>266400</v>
      </c>
      <c r="AF150" s="51">
        <f ca="1">IF(NOTA[ID_H]="","",INDEX(NOTA[TANGGAL],MATCH(,INDIRECT(ADDRESS(ROW(NOTA[TANGGAL]),COLUMN(NOTA[TANGGAL]))&amp;":"&amp;ADDRESS(ROW(),COLUMN(NOTA[TANGGAL]))),-1)))</f>
        <v>45024</v>
      </c>
      <c r="AG150" s="65" t="str">
        <f ca="1">IF(NOTA[[#This Row],[NAMA BARANG]]="","",INDEX(NOTA[SUPPLIER],MATCH(,INDIRECT(ADDRESS(ROW(NOTA[ID]),COLUMN(NOTA[ID]))&amp;":"&amp;ADDRESS(ROW(),COLUMN(NOTA[ID]))),-1)))</f>
        <v>ATALI MAKMUR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4</v>
      </c>
      <c r="AK150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0" s="38" t="str">
        <f>IF(NOTA[[#This Row],[CONCAT4]]="","",_xlfn.IFNA(MATCH(NOTA[[#This Row],[CONCAT4]],[2]!RAW[CONCAT_H],0),FALSE))</f>
        <v/>
      </c>
      <c r="AP150" s="174">
        <f>IF(NOTA[[#This Row],[CONCAT1]]="","",MATCH(NOTA[[#This Row],[CONCAT1]],[3]!db[NB NOTA_C],0)+1)</f>
        <v>805</v>
      </c>
    </row>
    <row r="151" spans="1:42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 t="str">
        <f ca="1">IF(NOTA[[#This Row],[NAMA BARANG]]="","",INDEX(NOTA[ID],MATCH(,INDIRECT(ADDRESS(ROW(NOTA[ID]),COLUMN(NOTA[ID]))&amp;":"&amp;ADDRESS(ROW(),COLUMN(NOTA[ID]))),-1)))</f>
        <v/>
      </c>
      <c r="E151" s="23"/>
      <c r="F151" s="26"/>
      <c r="G151" s="26"/>
      <c r="H151" s="31"/>
      <c r="I151" s="26"/>
      <c r="J151" s="51"/>
      <c r="K151" s="26"/>
      <c r="L151" s="26"/>
      <c r="M151" s="39"/>
      <c r="N151" s="26"/>
      <c r="O151" s="26"/>
      <c r="P151" s="49"/>
      <c r="Q151" s="52"/>
      <c r="R151" s="39"/>
      <c r="S151" s="53"/>
      <c r="T151" s="53"/>
      <c r="U151" s="54"/>
      <c r="V151" s="37"/>
      <c r="W151" s="54" t="str">
        <f>IF(NOTA[[#This Row],[HARGA/ CTN]]="",NOTA[[#This Row],[JUMLAH_H]],NOTA[[#This Row],[HARGA/ CTN]]*IF(NOTA[[#This Row],[C]]="",0,NOTA[[#This Row],[C]]))</f>
        <v/>
      </c>
      <c r="X151" s="54" t="str">
        <f>IF(NOTA[[#This Row],[JUMLAH]]="","",NOTA[[#This Row],[JUMLAH]]*NOTA[[#This Row],[DISC 1]])</f>
        <v/>
      </c>
      <c r="Y151" s="54" t="str">
        <f>IF(NOTA[[#This Row],[JUMLAH]]="","",(NOTA[[#This Row],[JUMLAH]]-NOTA[[#This Row],[DISC 1-]])*NOTA[[#This Row],[DISC 2]])</f>
        <v/>
      </c>
      <c r="Z151" s="54" t="str">
        <f>IF(NOTA[[#This Row],[JUMLAH]]="","",NOTA[[#This Row],[DISC 1-]]+NOTA[[#This Row],[DISC 2-]])</f>
        <v/>
      </c>
      <c r="AA151" s="54" t="str">
        <f>IF(NOTA[[#This Row],[JUMLAH]]="","",NOTA[[#This Row],[JUMLAH]]-NOTA[[#This Row],[DISC]])</f>
        <v/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1" s="54" t="str">
        <f>IF(OR(NOTA[[#This Row],[QTY]]="",NOTA[[#This Row],[HARGA SATUAN]]="",),"",NOTA[[#This Row],[QTY]]*NOTA[[#This Row],[HARGA SATUAN]])</f>
        <v/>
      </c>
      <c r="AF151" s="51" t="str">
        <f ca="1">IF(NOTA[ID_H]="","",INDEX(NOTA[TANGGAL],MATCH(,INDIRECT(ADDRESS(ROW(NOTA[TANGGAL]),COLUMN(NOTA[TANGGAL]))&amp;":"&amp;ADDRESS(ROW(),COLUMN(NOTA[TANGGAL]))),-1)))</f>
        <v/>
      </c>
      <c r="AG151" s="65" t="str">
        <f ca="1">IF(NOTA[[#This Row],[NAMA BARANG]]="","",INDEX(NOTA[SUPPLIER],MATCH(,INDIRECT(ADDRESS(ROW(NOTA[ID]),COLUMN(NOTA[ID]))&amp;":"&amp;ADDRESS(ROW(),COLUMN(NOTA[ID]))),-1)))</f>
        <v/>
      </c>
      <c r="AH151" s="65" t="str">
        <f ca="1">IF(NOTA[[#This Row],[ID_H]]="","",IF(NOTA[[#This Row],[FAKTUR]]="",INDIRECT(ADDRESS(ROW()-1,COLUMN())),NOTA[[#This Row],[FAKTUR]]))</f>
        <v/>
      </c>
      <c r="AI151" s="38" t="str">
        <f ca="1">IF(NOTA[[#This Row],[ID]]="","",COUNTIF(NOTA[ID_H],NOTA[[#This Row],[ID_H]]))</f>
        <v/>
      </c>
      <c r="AJ151" s="38" t="str">
        <f ca="1">IF(NOTA[[#This Row],[TGL.NOTA]]="",IF(NOTA[[#This Row],[SUPPLIER_H]]="","",AJ150),MONTH(NOTA[[#This Row],[TGL.NOTA]]))</f>
        <v/>
      </c>
      <c r="AK151" s="38" t="str">
        <f>LOWER(SUBSTITUTE(SUBSTITUTE(SUBSTITUTE(SUBSTITUTE(SUBSTITUTE(SUBSTITUTE(SUBSTITUTE(SUBSTITUTE(SUBSTITUTE(NOTA[NAMA BARANG]," ",),".",""),"-",""),"(",""),")",""),",",""),"/",""),"""",""),"+",""))</f>
        <v/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38" t="str">
        <f>IF(NOTA[[#This Row],[CONCAT4]]="","",_xlfn.IFNA(MATCH(NOTA[[#This Row],[CONCAT4]],[2]!RAW[CONCAT_H],0),FALSE))</f>
        <v/>
      </c>
      <c r="AP151" s="174" t="str">
        <f>IF(NOTA[[#This Row],[CONCAT1]]="","",MATCH(NOTA[[#This Row],[CONCAT1]],[3]!db[NB NOTA_C],0)+1)</f>
        <v/>
      </c>
    </row>
    <row r="152" spans="1:42" ht="20.100000000000001" customHeight="1" x14ac:dyDescent="0.25">
      <c r="A152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ATA_0804_623-3</v>
      </c>
      <c r="C152" s="50" t="e">
        <f ca="1">IF(NOTA[[#This Row],[ID_P]]="","",MATCH(NOTA[[#This Row],[ID_P]],[1]!B_MSK[N_ID],0))</f>
        <v>#REF!</v>
      </c>
      <c r="D152" s="50">
        <f ca="1">IF(NOTA[[#This Row],[NAMA BARANG]]="","",INDEX(NOTA[ID],MATCH(,INDIRECT(ADDRESS(ROW(NOTA[ID]),COLUMN(NOTA[ID]))&amp;":"&amp;ADDRESS(ROW(),COLUMN(NOTA[ID]))),-1)))</f>
        <v>37</v>
      </c>
      <c r="E152" s="23"/>
      <c r="F152" s="26" t="s">
        <v>25</v>
      </c>
      <c r="G152" s="26" t="s">
        <v>24</v>
      </c>
      <c r="H152" s="31" t="s">
        <v>356</v>
      </c>
      <c r="I152" s="26"/>
      <c r="J152" s="51">
        <v>45019</v>
      </c>
      <c r="K152" s="26"/>
      <c r="L152" s="26" t="s">
        <v>121</v>
      </c>
      <c r="M152" s="39">
        <v>1</v>
      </c>
      <c r="N152" s="26">
        <v>720</v>
      </c>
      <c r="O152" s="26" t="s">
        <v>198</v>
      </c>
      <c r="P152" s="49">
        <v>4800</v>
      </c>
      <c r="Q152" s="52"/>
      <c r="R152" s="39" t="s">
        <v>334</v>
      </c>
      <c r="S152" s="53">
        <v>0.125</v>
      </c>
      <c r="T152" s="53">
        <v>0.05</v>
      </c>
      <c r="U152" s="54"/>
      <c r="V152" s="37"/>
      <c r="W152" s="54">
        <f>IF(NOTA[[#This Row],[HARGA/ CTN]]="",NOTA[[#This Row],[JUMLAH_H]],NOTA[[#This Row],[HARGA/ CTN]]*IF(NOTA[[#This Row],[C]]="",0,NOTA[[#This Row],[C]]))</f>
        <v>3456000</v>
      </c>
      <c r="X152" s="54">
        <f>IF(NOTA[[#This Row],[JUMLAH]]="","",NOTA[[#This Row],[JUMLAH]]*NOTA[[#This Row],[DISC 1]])</f>
        <v>432000</v>
      </c>
      <c r="Y152" s="54">
        <f>IF(NOTA[[#This Row],[JUMLAH]]="","",(NOTA[[#This Row],[JUMLAH]]-NOTA[[#This Row],[DISC 1-]])*NOTA[[#This Row],[DISC 2]])</f>
        <v>151200</v>
      </c>
      <c r="Z152" s="54">
        <f>IF(NOTA[[#This Row],[JUMLAH]]="","",NOTA[[#This Row],[DISC 1-]]+NOTA[[#This Row],[DISC 2-]])</f>
        <v>583200</v>
      </c>
      <c r="AA152" s="54">
        <f>IF(NOTA[[#This Row],[JUMLAH]]="","",NOTA[[#This Row],[JUMLAH]]-NOTA[[#This Row],[DISC]])</f>
        <v>2872800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52" s="54">
        <f>IF(OR(NOTA[[#This Row],[QTY]]="",NOTA[[#This Row],[HARGA SATUAN]]="",),"",NOTA[[#This Row],[QTY]]*NOTA[[#This Row],[HARGA SATUAN]])</f>
        <v>3456000</v>
      </c>
      <c r="AF152" s="51">
        <f ca="1">IF(NOTA[ID_H]="","",INDEX(NOTA[TANGGAL],MATCH(,INDIRECT(ADDRESS(ROW(NOTA[TANGGAL]),COLUMN(NOTA[TANGGAL]))&amp;":"&amp;ADDRESS(ROW(),COLUMN(NOTA[TANGGAL]))),-1)))</f>
        <v>45024</v>
      </c>
      <c r="AG152" s="65" t="str">
        <f ca="1">IF(NOTA[[#This Row],[NAMA BARANG]]="","",INDEX(NOTA[SUPPLIER],MATCH(,INDIRECT(ADDRESS(ROW(NOTA[ID]),COLUMN(NOTA[ID]))&amp;":"&amp;ADDRESS(ROW(),COLUMN(NOTA[ID]))),-1)))</f>
        <v>ATALI MAKMUR</v>
      </c>
      <c r="AH152" s="65" t="str">
        <f ca="1">IF(NOTA[[#This Row],[ID_H]]="","",IF(NOTA[[#This Row],[FAKTUR]]="",INDIRECT(ADDRESS(ROW()-1,COLUMN())),NOTA[[#This Row],[FAKTUR]]))</f>
        <v>ARTO MORO</v>
      </c>
      <c r="AI152" s="38">
        <f ca="1">IF(NOTA[[#This Row],[ID]]="","",COUNTIF(NOTA[ID_H],NOTA[[#This Row],[ID_H]]))</f>
        <v>3</v>
      </c>
      <c r="AJ152" s="38">
        <f>IF(NOTA[[#This Row],[TGL.NOTA]]="",IF(NOTA[[#This Row],[SUPPLIER_H]]="","",AJ151),MONTH(NOTA[[#This Row],[TGL.NOTA]]))</f>
        <v>4</v>
      </c>
      <c r="AK15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1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MOROSA23040562345019correctiontapect522jk</v>
      </c>
      <c r="AO152" s="38" t="e">
        <f>IF(NOTA[[#This Row],[CONCAT4]]="","",_xlfn.IFNA(MATCH(NOTA[[#This Row],[CONCAT4]],[2]!RAW[CONCAT_H],0),FALSE))</f>
        <v>#REF!</v>
      </c>
      <c r="AP152" s="174">
        <f>IF(NOTA[[#This Row],[CONCAT1]]="","",MATCH(NOTA[[#This Row],[CONCAT1]],[3]!db[NB NOTA_C],0)+1)</f>
        <v>225</v>
      </c>
    </row>
    <row r="153" spans="1:42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37</v>
      </c>
      <c r="E153" s="23"/>
      <c r="F153" s="26"/>
      <c r="G153" s="26"/>
      <c r="H153" s="31"/>
      <c r="I153" s="26"/>
      <c r="J153" s="51"/>
      <c r="K153" s="26"/>
      <c r="L153" s="26" t="s">
        <v>357</v>
      </c>
      <c r="M153" s="39">
        <v>20</v>
      </c>
      <c r="N153" s="26">
        <v>960</v>
      </c>
      <c r="O153" s="26" t="s">
        <v>261</v>
      </c>
      <c r="P153" s="49">
        <v>36000</v>
      </c>
      <c r="Q153" s="52"/>
      <c r="R153" s="39" t="s">
        <v>358</v>
      </c>
      <c r="S153" s="53">
        <v>0.125</v>
      </c>
      <c r="T153" s="53">
        <v>0.08</v>
      </c>
      <c r="U153" s="54"/>
      <c r="V153" s="37"/>
      <c r="W153" s="54">
        <f>IF(NOTA[[#This Row],[HARGA/ CTN]]="",NOTA[[#This Row],[JUMLAH_H]],NOTA[[#This Row],[HARGA/ CTN]]*IF(NOTA[[#This Row],[C]]="",0,NOTA[[#This Row],[C]]))</f>
        <v>34560000</v>
      </c>
      <c r="X153" s="54">
        <f>IF(NOTA[[#This Row],[JUMLAH]]="","",NOTA[[#This Row],[JUMLAH]]*NOTA[[#This Row],[DISC 1]])</f>
        <v>4320000</v>
      </c>
      <c r="Y153" s="54">
        <f>IF(NOTA[[#This Row],[JUMLAH]]="","",(NOTA[[#This Row],[JUMLAH]]-NOTA[[#This Row],[DISC 1-]])*NOTA[[#This Row],[DISC 2]])</f>
        <v>2419200</v>
      </c>
      <c r="Z153" s="54">
        <f>IF(NOTA[[#This Row],[JUMLAH]]="","",NOTA[[#This Row],[DISC 1-]]+NOTA[[#This Row],[DISC 2-]])</f>
        <v>6739200</v>
      </c>
      <c r="AA153" s="54">
        <f>IF(NOTA[[#This Row],[JUMLAH]]="","",NOTA[[#This Row],[JUMLAH]]-NOTA[[#This Row],[DISC]])</f>
        <v>27820800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53" s="54">
        <f>IF(OR(NOTA[[#This Row],[QTY]]="",NOTA[[#This Row],[HARGA SATUAN]]="",),"",NOTA[[#This Row],[QTY]]*NOTA[[#This Row],[HARGA SATUAN]])</f>
        <v>34560000</v>
      </c>
      <c r="AF153" s="51">
        <f ca="1">IF(NOTA[ID_H]="","",INDEX(NOTA[TANGGAL],MATCH(,INDIRECT(ADDRESS(ROW(NOTA[TANGGAL]),COLUMN(NOTA[TANGGAL]))&amp;":"&amp;ADDRESS(ROW(),COLUMN(NOTA[TANGGAL]))),-1)))</f>
        <v>45024</v>
      </c>
      <c r="AG153" s="65" t="str">
        <f ca="1">IF(NOTA[[#This Row],[NAMA BARANG]]="","",INDEX(NOTA[SUPPLIER],MATCH(,INDIRECT(ADDRESS(ROW(NOTA[ID]),COLUMN(NOTA[ID]))&amp;":"&amp;ADDRESS(ROW(),COLUMN(NOTA[ID]))),-1)))</f>
        <v>ATALI MAKMUR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4</v>
      </c>
      <c r="AK153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38" t="str">
        <f>IF(NOTA[[#This Row],[CONCAT4]]="","",_xlfn.IFNA(MATCH(NOTA[[#This Row],[CONCAT4]],[2]!RAW[CONCAT_H],0),FALSE))</f>
        <v/>
      </c>
      <c r="AP153" s="174">
        <f>IF(NOTA[[#This Row],[CONCAT1]]="","",MATCH(NOTA[[#This Row],[CONCAT1]],[3]!db[NB NOTA_C],0)+1)</f>
        <v>205</v>
      </c>
    </row>
    <row r="154" spans="1:42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37</v>
      </c>
      <c r="E154" s="23"/>
      <c r="F154" s="26"/>
      <c r="G154" s="26"/>
      <c r="H154" s="31"/>
      <c r="I154" s="26"/>
      <c r="J154" s="51"/>
      <c r="K154" s="26"/>
      <c r="L154" s="26" t="s">
        <v>463</v>
      </c>
      <c r="M154" s="39"/>
      <c r="N154" s="26">
        <v>120</v>
      </c>
      <c r="O154" s="26" t="s">
        <v>261</v>
      </c>
      <c r="P154" s="49">
        <v>13200</v>
      </c>
      <c r="Q154" s="52"/>
      <c r="R154" s="39" t="s">
        <v>354</v>
      </c>
      <c r="S154" s="53">
        <v>0.125</v>
      </c>
      <c r="T154" s="53">
        <v>0.05</v>
      </c>
      <c r="U154" s="54">
        <v>1316700</v>
      </c>
      <c r="V154" s="37" t="s">
        <v>299</v>
      </c>
      <c r="W154" s="54">
        <f>IF(NOTA[[#This Row],[HARGA/ CTN]]="",NOTA[[#This Row],[JUMLAH_H]],NOTA[[#This Row],[HARGA/ CTN]]*IF(NOTA[[#This Row],[C]]="",0,NOTA[[#This Row],[C]]))</f>
        <v>1584000</v>
      </c>
      <c r="X154" s="54">
        <f>IF(NOTA[[#This Row],[JUMLAH]]="","",NOTA[[#This Row],[JUMLAH]]*NOTA[[#This Row],[DISC 1]])</f>
        <v>198000</v>
      </c>
      <c r="Y154" s="54">
        <f>IF(NOTA[[#This Row],[JUMLAH]]="","",(NOTA[[#This Row],[JUMLAH]]-NOTA[[#This Row],[DISC 1-]])*NOTA[[#This Row],[DISC 2]])</f>
        <v>69300</v>
      </c>
      <c r="Z154" s="54">
        <f>IF(NOTA[[#This Row],[JUMLAH]]="","",NOTA[[#This Row],[DISC 1-]]+NOTA[[#This Row],[DISC 2-]])</f>
        <v>267300</v>
      </c>
      <c r="AA154" s="54">
        <f>IF(NOTA[[#This Row],[JUMLAH]]="","",NOTA[[#This Row],[JUMLAH]]-NOTA[[#This Row],[DISC]])</f>
        <v>1316700</v>
      </c>
      <c r="AB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8906400</v>
      </c>
      <c r="AC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30693600</v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54" s="54">
        <f>IF(OR(NOTA[[#This Row],[QTY]]="",NOTA[[#This Row],[HARGA SATUAN]]="",),"",NOTA[[#This Row],[QTY]]*NOTA[[#This Row],[HARGA SATUAN]])</f>
        <v>1584000</v>
      </c>
      <c r="AF154" s="51">
        <f ca="1">IF(NOTA[ID_H]="","",INDEX(NOTA[TANGGAL],MATCH(,INDIRECT(ADDRESS(ROW(NOTA[TANGGAL]),COLUMN(NOTA[TANGGAL]))&amp;":"&amp;ADDRESS(ROW(),COLUMN(NOTA[TANGGAL]))),-1)))</f>
        <v>45024</v>
      </c>
      <c r="AG154" s="65" t="str">
        <f ca="1">IF(NOTA[[#This Row],[NAMA BARANG]]="","",INDEX(NOTA[SUPPLIER],MATCH(,INDIRECT(ADDRESS(ROW(NOTA[ID]),COLUMN(NOTA[ID]))&amp;":"&amp;ADDRESS(ROW(),COLUMN(NOTA[ID]))),-1)))</f>
        <v>ATALI MAKMUR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4</v>
      </c>
      <c r="AK154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ballpenbp34912vokustransblackjkbonus15840000.1250.05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38" t="str">
        <f>IF(NOTA[[#This Row],[CONCAT4]]="","",_xlfn.IFNA(MATCH(NOTA[[#This Row],[CONCAT4]],[2]!RAW[CONCAT_H],0),FALSE))</f>
        <v/>
      </c>
      <c r="AP154" s="174">
        <f>IF(NOTA[[#This Row],[CONCAT1]]="","",MATCH(NOTA[[#This Row],[CONCAT1]],[3]!db[NB NOTA_C],0)+1)</f>
        <v>26</v>
      </c>
    </row>
    <row r="155" spans="1:42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 t="str">
        <f ca="1">IF(NOTA[[#This Row],[NAMA BARANG]]="","",INDEX(NOTA[ID],MATCH(,INDIRECT(ADDRESS(ROW(NOTA[ID]),COLUMN(NOTA[ID]))&amp;":"&amp;ADDRESS(ROW(),COLUMN(NOTA[ID]))),-1)))</f>
        <v/>
      </c>
      <c r="E155" s="23"/>
      <c r="F155" s="26"/>
      <c r="G155" s="26"/>
      <c r="H155" s="31"/>
      <c r="I155" s="26"/>
      <c r="J155" s="51"/>
      <c r="K155" s="26"/>
      <c r="L155" s="26"/>
      <c r="M155" s="39"/>
      <c r="N155" s="26"/>
      <c r="O155" s="26"/>
      <c r="P155" s="162"/>
      <c r="Q155" s="52"/>
      <c r="R155" s="39"/>
      <c r="S155" s="53"/>
      <c r="T155" s="53"/>
      <c r="U155" s="54"/>
      <c r="V155" s="37"/>
      <c r="W155" s="54" t="str">
        <f>IF(NOTA[[#This Row],[HARGA/ CTN]]="",NOTA[[#This Row],[JUMLAH_H]],NOTA[[#This Row],[HARGA/ CTN]]*IF(NOTA[[#This Row],[C]]="",0,NOTA[[#This Row],[C]]))</f>
        <v/>
      </c>
      <c r="X155" s="54" t="str">
        <f>IF(NOTA[[#This Row],[JUMLAH]]="","",NOTA[[#This Row],[JUMLAH]]*NOTA[[#This Row],[DISC 1]])</f>
        <v/>
      </c>
      <c r="Y155" s="54" t="str">
        <f>IF(NOTA[[#This Row],[JUMLAH]]="","",(NOTA[[#This Row],[JUMLAH]]-NOTA[[#This Row],[DISC 1-]])*NOTA[[#This Row],[DISC 2]])</f>
        <v/>
      </c>
      <c r="Z155" s="54" t="str">
        <f>IF(NOTA[[#This Row],[JUMLAH]]="","",NOTA[[#This Row],[DISC 1-]]+NOTA[[#This Row],[DISC 2-]])</f>
        <v/>
      </c>
      <c r="AA155" s="54" t="str">
        <f>IF(NOTA[[#This Row],[JUMLAH]]="","",NOTA[[#This Row],[JUMLAH]]-NOTA[[#This Row],[DISC]])</f>
        <v/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5" s="54" t="str">
        <f>IF(OR(NOTA[[#This Row],[QTY]]="",NOTA[[#This Row],[HARGA SATUAN]]="",),"",NOTA[[#This Row],[QTY]]*NOTA[[#This Row],[HARGA SATUAN]])</f>
        <v/>
      </c>
      <c r="AF155" s="51" t="str">
        <f ca="1">IF(NOTA[ID_H]="","",INDEX(NOTA[TANGGAL],MATCH(,INDIRECT(ADDRESS(ROW(NOTA[TANGGAL]),COLUMN(NOTA[TANGGAL]))&amp;":"&amp;ADDRESS(ROW(),COLUMN(NOTA[TANGGAL]))),-1)))</f>
        <v/>
      </c>
      <c r="AG155" s="65" t="str">
        <f ca="1">IF(NOTA[[#This Row],[NAMA BARANG]]="","",INDEX(NOTA[SUPPLIER],MATCH(,INDIRECT(ADDRESS(ROW(NOTA[ID]),COLUMN(NOTA[ID]))&amp;":"&amp;ADDRESS(ROW(),COLUMN(NOTA[ID]))),-1)))</f>
        <v/>
      </c>
      <c r="AH155" s="65" t="str">
        <f ca="1">IF(NOTA[[#This Row],[ID_H]]="","",IF(NOTA[[#This Row],[FAKTUR]]="",INDIRECT(ADDRESS(ROW()-1,COLUMN())),NOTA[[#This Row],[FAKTUR]]))</f>
        <v/>
      </c>
      <c r="AI155" s="38" t="str">
        <f ca="1">IF(NOTA[[#This Row],[ID]]="","",COUNTIF(NOTA[ID_H],NOTA[[#This Row],[ID_H]]))</f>
        <v/>
      </c>
      <c r="AJ155" s="38" t="str">
        <f ca="1">IF(NOTA[[#This Row],[TGL.NOTA]]="",IF(NOTA[[#This Row],[SUPPLIER_H]]="","",AJ154),MONTH(NOTA[[#This Row],[TGL.NOTA]]))</f>
        <v/>
      </c>
      <c r="AK155" s="38" t="str">
        <f>LOWER(SUBSTITUTE(SUBSTITUTE(SUBSTITUTE(SUBSTITUTE(SUBSTITUTE(SUBSTITUTE(SUBSTITUTE(SUBSTITUTE(SUBSTITUTE(NOTA[NAMA BARANG]," ",),".",""),"-",""),"(",""),")",""),",",""),"/",""),"""",""),"+",""))</f>
        <v/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38" t="str">
        <f>IF(NOTA[[#This Row],[CONCAT4]]="","",_xlfn.IFNA(MATCH(NOTA[[#This Row],[CONCAT4]],[2]!RAW[CONCAT_H],0),FALSE))</f>
        <v/>
      </c>
      <c r="AP155" s="174" t="str">
        <f>IF(NOTA[[#This Row],[CONCAT1]]="","",MATCH(NOTA[[#This Row],[CONCAT1]],[3]!db[NB NOTA_C],0)+1)</f>
        <v/>
      </c>
    </row>
    <row r="156" spans="1:42" ht="20.100000000000001" customHeight="1" x14ac:dyDescent="0.25">
      <c r="A15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PMJ_0804_-2</v>
      </c>
      <c r="C156" s="50" t="e">
        <f ca="1">IF(NOTA[[#This Row],[ID_P]]="","",MATCH(NOTA[[#This Row],[ID_P]],[1]!B_MSK[N_ID],0))</f>
        <v>#REF!</v>
      </c>
      <c r="D156" s="50">
        <f ca="1">IF(NOTA[[#This Row],[NAMA BARANG]]="","",INDEX(NOTA[ID],MATCH(,INDIRECT(ADDRESS(ROW(NOTA[ID]),COLUMN(NOTA[ID]))&amp;":"&amp;ADDRESS(ROW(),COLUMN(NOTA[ID]))),-1)))</f>
        <v>38</v>
      </c>
      <c r="E156" s="23"/>
      <c r="F156" s="26" t="s">
        <v>284</v>
      </c>
      <c r="G156" s="26" t="s">
        <v>176</v>
      </c>
      <c r="H156" s="31"/>
      <c r="I156" s="26"/>
      <c r="J156" s="51">
        <v>45021</v>
      </c>
      <c r="K156" s="26"/>
      <c r="L156" s="26" t="s">
        <v>285</v>
      </c>
      <c r="M156" s="39">
        <v>1</v>
      </c>
      <c r="N156" s="26">
        <v>16</v>
      </c>
      <c r="O156" s="26" t="s">
        <v>183</v>
      </c>
      <c r="P156" s="162">
        <v>47000</v>
      </c>
      <c r="Q156" s="52"/>
      <c r="R156" s="39" t="s">
        <v>286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752000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752000</v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156" s="54">
        <f>IF(OR(NOTA[[#This Row],[QTY]]="",NOTA[[#This Row],[HARGA SATUAN]]="",),"",NOTA[[#This Row],[QTY]]*NOTA[[#This Row],[HARGA SATUAN]])</f>
        <v>752000</v>
      </c>
      <c r="AF156" s="51">
        <f ca="1">IF(NOTA[ID_H]="","",INDEX(NOTA[TANGGAL],MATCH(,INDIRECT(ADDRESS(ROW(NOTA[TANGGAL]),COLUMN(NOTA[TANGGAL]))&amp;":"&amp;ADDRESS(ROW(),COLUMN(NOTA[TANGGAL]))),-1)))</f>
        <v>45024</v>
      </c>
      <c r="AG156" s="65" t="str">
        <f ca="1">IF(NOTA[[#This Row],[NAMA BARANG]]="","",INDEX(NOTA[SUPPLIER],MATCH(,INDIRECT(ADDRESS(ROW(NOTA[ID]),COLUMN(NOTA[ID]))&amp;":"&amp;ADDRESS(ROW(),COLUMN(NOTA[ID]))),-1)))</f>
        <v>PMJP</v>
      </c>
      <c r="AH156" s="65" t="str">
        <f ca="1">IF(NOTA[[#This Row],[ID_H]]="","",IF(NOTA[[#This Row],[FAKTUR]]="",INDIRECT(ADDRESS(ROW()-1,COLUMN())),NOTA[[#This Row],[FAKTUR]]))</f>
        <v>UNTANA</v>
      </c>
      <c r="AI156" s="38">
        <f ca="1">IF(NOTA[[#This Row],[ID]]="","",COUNTIF(NOTA[ID_H],NOTA[[#This Row],[ID_H]]))</f>
        <v>2</v>
      </c>
      <c r="AJ156" s="38">
        <f>IF(NOTA[[#This Row],[TGL.NOTA]]="",IF(NOTA[[#This Row],[SUPPLIER_H]]="","",AJ155),MONTH(NOTA[[#This Row],[TGL.NOTA]]))</f>
        <v>4</v>
      </c>
      <c r="AK156" s="38" t="str">
        <f>LOWER(SUBSTITUTE(SUBSTITUTE(SUBSTITUTE(SUBSTITUTE(SUBSTITUTE(SUBSTITUTE(SUBSTITUTE(SUBSTITUTE(SUBSTITUTE(NOTA[NAMA BARANG]," ",),".",""),"-",""),"(",""),")",""),",",""),"/",""),"""",""),"+",""))</f>
        <v>celengans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156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PMJPUNTANA45021celengans</v>
      </c>
      <c r="AO156" s="38" t="e">
        <f>IF(NOTA[[#This Row],[CONCAT4]]="","",_xlfn.IFNA(MATCH(NOTA[[#This Row],[CONCAT4]],[2]!RAW[CONCAT_H],0),FALSE))</f>
        <v>#REF!</v>
      </c>
      <c r="AP156" s="174">
        <f>IF(NOTA[[#This Row],[CONCAT1]]="","",MATCH(NOTA[[#This Row],[CONCAT1]],[3]!db[NB NOTA_C],0)+1)</f>
        <v>1134</v>
      </c>
    </row>
    <row r="157" spans="1:42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>
        <f ca="1">IF(NOTA[[#This Row],[NAMA BARANG]]="","",INDEX(NOTA[ID],MATCH(,INDIRECT(ADDRESS(ROW(NOTA[ID]),COLUMN(NOTA[ID]))&amp;":"&amp;ADDRESS(ROW(),COLUMN(NOTA[ID]))),-1)))</f>
        <v>38</v>
      </c>
      <c r="E157" s="23"/>
      <c r="F157" s="26"/>
      <c r="G157" s="26"/>
      <c r="H157" s="31"/>
      <c r="I157" s="26"/>
      <c r="J157" s="51"/>
      <c r="K157" s="26"/>
      <c r="L157" s="26" t="s">
        <v>288</v>
      </c>
      <c r="M157" s="39">
        <v>1</v>
      </c>
      <c r="N157" s="26">
        <v>10</v>
      </c>
      <c r="O157" s="26" t="s">
        <v>183</v>
      </c>
      <c r="P157" s="162">
        <v>70000</v>
      </c>
      <c r="Q157" s="52"/>
      <c r="R157" s="39" t="s">
        <v>291</v>
      </c>
      <c r="S157" s="53"/>
      <c r="T157" s="53"/>
      <c r="U157" s="54"/>
      <c r="V157" s="37"/>
      <c r="W157" s="54">
        <f>IF(NOTA[[#This Row],[HARGA/ CTN]]="",NOTA[[#This Row],[JUMLAH_H]],NOTA[[#This Row],[HARGA/ CTN]]*IF(NOTA[[#This Row],[C]]="",0,NOTA[[#This Row],[C]]))</f>
        <v>700000</v>
      </c>
      <c r="X157" s="54">
        <f>IF(NOTA[[#This Row],[JUMLAH]]="","",NOTA[[#This Row],[JUMLAH]]*NOTA[[#This Row],[DISC 1]])</f>
        <v>0</v>
      </c>
      <c r="Y157" s="54">
        <f>IF(NOTA[[#This Row],[JUMLAH]]="","",(NOTA[[#This Row],[JUMLAH]]-NOTA[[#This Row],[DISC 1-]])*NOTA[[#This Row],[DISC 2]])</f>
        <v>0</v>
      </c>
      <c r="Z157" s="54">
        <f>IF(NOTA[[#This Row],[JUMLAH]]="","",NOTA[[#This Row],[DISC 1-]]+NOTA[[#This Row],[DISC 2-]])</f>
        <v>0</v>
      </c>
      <c r="AA157" s="54">
        <f>IF(NOTA[[#This Row],[JUMLAH]]="","",NOTA[[#This Row],[JUMLAH]]-NOTA[[#This Row],[DISC]])</f>
        <v>700000</v>
      </c>
      <c r="AB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1452000</v>
      </c>
      <c r="AD15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57" s="54">
        <f>IF(OR(NOTA[[#This Row],[QTY]]="",NOTA[[#This Row],[HARGA SATUAN]]="",),"",NOTA[[#This Row],[QTY]]*NOTA[[#This Row],[HARGA SATUAN]])</f>
        <v>700000</v>
      </c>
      <c r="AF157" s="51">
        <f ca="1">IF(NOTA[ID_H]="","",INDEX(NOTA[TANGGAL],MATCH(,INDIRECT(ADDRESS(ROW(NOTA[TANGGAL]),COLUMN(NOTA[TANGGAL]))&amp;":"&amp;ADDRESS(ROW(),COLUMN(NOTA[TANGGAL]))),-1)))</f>
        <v>45024</v>
      </c>
      <c r="AG157" s="65" t="str">
        <f ca="1">IF(NOTA[[#This Row],[NAMA BARANG]]="","",INDEX(NOTA[SUPPLIER],MATCH(,INDIRECT(ADDRESS(ROW(NOTA[ID]),COLUMN(NOTA[ID]))&amp;":"&amp;ADDRESS(ROW(),COLUMN(NOTA[ID]))),-1)))</f>
        <v>PMJP</v>
      </c>
      <c r="AH157" s="65" t="str">
        <f ca="1">IF(NOTA[[#This Row],[ID_H]]="","",IF(NOTA[[#This Row],[FAKTUR]]="",INDIRECT(ADDRESS(ROW()-1,COLUMN())),NOTA[[#This Row],[FAKTUR]]))</f>
        <v>UNTANA</v>
      </c>
      <c r="AI157" s="38" t="str">
        <f ca="1">IF(NOTA[[#This Row],[ID]]="","",COUNTIF(NOTA[ID_H],NOTA[[#This Row],[ID_H]]))</f>
        <v/>
      </c>
      <c r="AJ157" s="38">
        <f ca="1">IF(NOTA[[#This Row],[TGL.NOTA]]="",IF(NOTA[[#This Row],[SUPPLIER_H]]="","",AJ156),MONTH(NOTA[[#This Row],[TGL.NOTA]]))</f>
        <v>4</v>
      </c>
      <c r="AK157" s="38" t="str">
        <f>LOWER(SUBSTITUTE(SUBSTITUTE(SUBSTITUTE(SUBSTITUTE(SUBSTITUTE(SUBSTITUTE(SUBSTITUTE(SUBSTITUTE(SUBSTITUTE(NOTA[NAMA BARANG]," ",),".",""),"-",""),"(",""),")",""),",",""),"/",""),"""",""),"+",""))</f>
        <v>celenganl</v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38" t="str">
        <f>IF(NOTA[[#This Row],[CONCAT4]]="","",_xlfn.IFNA(MATCH(NOTA[[#This Row],[CONCAT4]],[2]!RAW[CONCAT_H],0),FALSE))</f>
        <v/>
      </c>
      <c r="AP157" s="174">
        <f>IF(NOTA[[#This Row],[CONCAT1]]="","",MATCH(NOTA[[#This Row],[CONCAT1]],[3]!db[NB NOTA_C],0)+1)</f>
        <v>1132</v>
      </c>
    </row>
    <row r="158" spans="1:42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162"/>
      <c r="Q158" s="52"/>
      <c r="R158" s="39"/>
      <c r="S158" s="53"/>
      <c r="T158" s="53"/>
      <c r="U158" s="54"/>
      <c r="V158" s="37"/>
      <c r="W158" s="54" t="str">
        <f>IF(NOTA[[#This Row],[HARGA/ CTN]]="",NOTA[[#This Row],[JUMLAH_H]],NOTA[[#This Row],[HARGA/ CTN]]*IF(NOTA[[#This Row],[C]]="",0,NOTA[[#This Row],[C]]))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65" t="str">
        <f ca="1">IF(NOTA[[#This Row],[ID_H]]="","",IF(NOTA[[#This Row],[FAKTUR]]="",INDIRECT(ADDRESS(ROW()-1,COLUMN())),NOTA[[#This Row],[FAKTUR]]))</f>
        <v/>
      </c>
      <c r="AI158" s="38" t="str">
        <f ca="1">IF(NOTA[[#This Row],[ID]]="","",COUNTIF(NOTA[ID_H],NOTA[[#This Row],[ID_H]]))</f>
        <v/>
      </c>
      <c r="AJ158" s="38" t="str">
        <f ca="1">IF(NOTA[[#This Row],[TGL.NOTA]]="",IF(NOTA[[#This Row],[SUPPLIER_H]]="","",AJ157),MONTH(NOTA[[#This Row],[TGL.NOTA]]))</f>
        <v/>
      </c>
      <c r="AK158" s="38" t="str">
        <f>LOWER(SUBSTITUTE(SUBSTITUTE(SUBSTITUTE(SUBSTITUTE(SUBSTITUTE(SUBSTITUTE(SUBSTITUTE(SUBSTITUTE(SUBSTITUTE(NOTA[NAMA BARANG]," ",),".",""),"-",""),"(",""),")",""),",",""),"/",""),"""",""),"+",""))</f>
        <v/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38" t="str">
        <f>IF(NOTA[[#This Row],[CONCAT4]]="","",_xlfn.IFNA(MATCH(NOTA[[#This Row],[CONCAT4]],[2]!RAW[CONCAT_H],0),FALSE))</f>
        <v/>
      </c>
      <c r="AP158" s="174" t="str">
        <f>IF(NOTA[[#This Row],[CONCAT1]]="","",MATCH(NOTA[[#This Row],[CONCAT1]],[3]!db[NB NOTA_C],0)+1)</f>
        <v/>
      </c>
    </row>
    <row r="159" spans="1:42" ht="20.100000000000001" customHeight="1" x14ac:dyDescent="0.25">
      <c r="A159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KEN_1104_697-4</v>
      </c>
      <c r="C159" s="50" t="e">
        <f ca="1">IF(NOTA[[#This Row],[ID_P]]="","",MATCH(NOTA[[#This Row],[ID_P]],[1]!B_MSK[N_ID],0))</f>
        <v>#REF!</v>
      </c>
      <c r="D159" s="50">
        <f ca="1">IF(NOTA[[#This Row],[NAMA BARANG]]="","",INDEX(NOTA[ID],MATCH(,INDIRECT(ADDRESS(ROW(NOTA[ID]),COLUMN(NOTA[ID]))&amp;":"&amp;ADDRESS(ROW(),COLUMN(NOTA[ID]))),-1)))</f>
        <v>39</v>
      </c>
      <c r="E159" s="23">
        <v>45027</v>
      </c>
      <c r="F159" s="26" t="s">
        <v>23</v>
      </c>
      <c r="G159" s="26" t="s">
        <v>24</v>
      </c>
      <c r="H159" s="31" t="s">
        <v>359</v>
      </c>
      <c r="I159" s="26" t="s">
        <v>364</v>
      </c>
      <c r="J159" s="51">
        <v>45026</v>
      </c>
      <c r="K159" s="26"/>
      <c r="L159" s="26" t="s">
        <v>86</v>
      </c>
      <c r="M159" s="39">
        <v>5</v>
      </c>
      <c r="N159" s="26"/>
      <c r="O159" s="26"/>
      <c r="P159" s="162"/>
      <c r="Q159" s="52">
        <v>462000</v>
      </c>
      <c r="R159" s="39" t="s">
        <v>257</v>
      </c>
      <c r="S159" s="53">
        <v>0.17</v>
      </c>
      <c r="T159" s="53"/>
      <c r="U159" s="54"/>
      <c r="V159" s="37"/>
      <c r="W159" s="54">
        <f>IF(NOTA[[#This Row],[HARGA/ CTN]]="",NOTA[[#This Row],[JUMLAH_H]],NOTA[[#This Row],[HARGA/ CTN]]*IF(NOTA[[#This Row],[C]]="",0,NOTA[[#This Row],[C]]))</f>
        <v>2310000</v>
      </c>
      <c r="X159" s="54">
        <f>IF(NOTA[[#This Row],[JUMLAH]]="","",NOTA[[#This Row],[JUMLAH]]*NOTA[[#This Row],[DISC 1]])</f>
        <v>392700</v>
      </c>
      <c r="Y159" s="54">
        <f>IF(NOTA[[#This Row],[JUMLAH]]="","",(NOTA[[#This Row],[JUMLAH]]-NOTA[[#This Row],[DISC 1-]])*NOTA[[#This Row],[DISC 2]])</f>
        <v>0</v>
      </c>
      <c r="Z159" s="54">
        <f>IF(NOTA[[#This Row],[JUMLAH]]="","",NOTA[[#This Row],[DISC 1-]]+NOTA[[#This Row],[DISC 2-]])</f>
        <v>392700</v>
      </c>
      <c r="AA159" s="54">
        <f>IF(NOTA[[#This Row],[JUMLAH]]="","",NOTA[[#This Row],[JUMLAH]]-NOTA[[#This Row],[DISC]])</f>
        <v>1917300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45027</v>
      </c>
      <c r="AG159" s="65" t="str">
        <f ca="1">IF(NOTA[[#This Row],[NAMA BARANG]]="","",INDEX(NOTA[SUPPLIER],MATCH(,INDIRECT(ADDRESS(ROW(NOTA[ID]),COLUMN(NOTA[ID]))&amp;":"&amp;ADDRESS(ROW(),COLUMN(NOTA[ID]))),-1)))</f>
        <v>KENKO SINAR INDONESIA</v>
      </c>
      <c r="AH159" s="65" t="str">
        <f ca="1">IF(NOTA[[#This Row],[ID_H]]="","",IF(NOTA[[#This Row],[FAKTUR]]="",INDIRECT(ADDRESS(ROW()-1,COLUMN())),NOTA[[#This Row],[FAKTUR]]))</f>
        <v>ARTO MORO</v>
      </c>
      <c r="AI159" s="38">
        <f ca="1">IF(NOTA[[#This Row],[ID]]="","",COUNTIF(NOTA[ID_H],NOTA[[#This Row],[ID_H]]))</f>
        <v>4</v>
      </c>
      <c r="AJ159" s="38">
        <f>IF(NOTA[[#This Row],[TGL.NOTA]]="",IF(NOTA[[#This Row],[SUPPLIER_H]]="","",AJ158),MONTH(NOTA[[#This Row],[TGL.NOTA]]))</f>
        <v>4</v>
      </c>
      <c r="AK15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5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MORO23040697SA 4102245026kenkotapedispensertd3231&amp;3core</v>
      </c>
      <c r="AO159" s="38" t="e">
        <f>IF(NOTA[[#This Row],[CONCAT4]]="","",_xlfn.IFNA(MATCH(NOTA[[#This Row],[CONCAT4]],[2]!RAW[CONCAT_H],0),FALSE))</f>
        <v>#REF!</v>
      </c>
      <c r="AP159" s="174">
        <f>IF(NOTA[[#This Row],[CONCAT1]]="","",MATCH(NOTA[[#This Row],[CONCAT1]],[3]!db[NB NOTA_C],0)+1)</f>
        <v>809</v>
      </c>
    </row>
    <row r="160" spans="1:42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39</v>
      </c>
      <c r="E160" s="23"/>
      <c r="F160" s="26"/>
      <c r="G160" s="26"/>
      <c r="H160" s="31"/>
      <c r="I160" s="26"/>
      <c r="J160" s="51"/>
      <c r="K160" s="26"/>
      <c r="L160" s="26" t="s">
        <v>362</v>
      </c>
      <c r="M160" s="39">
        <v>1</v>
      </c>
      <c r="N160" s="26"/>
      <c r="O160" s="26"/>
      <c r="P160" s="162"/>
      <c r="Q160" s="52">
        <v>732000</v>
      </c>
      <c r="R160" s="39" t="s">
        <v>363</v>
      </c>
      <c r="S160" s="53">
        <v>0.17</v>
      </c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732000</v>
      </c>
      <c r="X160" s="54">
        <f>IF(NOTA[[#This Row],[JUMLAH]]="","",NOTA[[#This Row],[JUMLAH]]*NOTA[[#This Row],[DISC 1]])</f>
        <v>124440.00000000001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124440.00000000001</v>
      </c>
      <c r="AA160" s="54">
        <f>IF(NOTA[[#This Row],[JUMLAH]]="","",NOTA[[#This Row],[JUMLAH]]-NOTA[[#This Row],[DISC]])</f>
        <v>607560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45027</v>
      </c>
      <c r="AG160" s="65" t="str">
        <f ca="1">IF(NOTA[[#This Row],[NAMA BARANG]]="","",INDEX(NOTA[SUPPLIER],MATCH(,INDIRECT(ADDRESS(ROW(NOTA[ID]),COLUMN(NOTA[ID]))&amp;":"&amp;ADDRESS(ROW(),COLUMN(NOTA[ID]))),-1)))</f>
        <v>KENKO SINAR INDONESIA</v>
      </c>
      <c r="AH160" s="65" t="str">
        <f ca="1">IF(NOTA[[#This Row],[ID_H]]="","",IF(NOTA[[#This Row],[FAKTUR]]="",INDIRECT(ADDRESS(ROW()-1,COLUMN())),NOTA[[#This Row],[FAKTUR]]))</f>
        <v>ARTO MORO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4</v>
      </c>
      <c r="AK160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0" s="38" t="str">
        <f>IF(NOTA[[#This Row],[CONCAT4]]="","",_xlfn.IFNA(MATCH(NOTA[[#This Row],[CONCAT4]],[2]!RAW[CONCAT_H],0),FALSE))</f>
        <v/>
      </c>
      <c r="AP160" s="174">
        <f>IF(NOTA[[#This Row],[CONCAT1]]="","",MATCH(NOTA[[#This Row],[CONCAT1]],[3]!db[NB NOTA_C],0)+1)</f>
        <v>702</v>
      </c>
    </row>
    <row r="161" spans="1:42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39</v>
      </c>
      <c r="E161" s="23"/>
      <c r="F161" s="26"/>
      <c r="G161" s="26"/>
      <c r="H161" s="31"/>
      <c r="I161" s="26"/>
      <c r="J161" s="51"/>
      <c r="K161" s="26"/>
      <c r="L161" s="26" t="s">
        <v>360</v>
      </c>
      <c r="M161" s="39">
        <v>2</v>
      </c>
      <c r="N161" s="26"/>
      <c r="O161" s="26"/>
      <c r="P161" s="162"/>
      <c r="Q161" s="52">
        <v>2208000</v>
      </c>
      <c r="R161" s="39" t="s">
        <v>226</v>
      </c>
      <c r="S161" s="53">
        <v>0.17</v>
      </c>
      <c r="T161" s="53"/>
      <c r="U161" s="54"/>
      <c r="V161" s="37"/>
      <c r="W161" s="54">
        <f>IF(NOTA[[#This Row],[HARGA/ CTN]]="",NOTA[[#This Row],[JUMLAH_H]],NOTA[[#This Row],[HARGA/ CTN]]*IF(NOTA[[#This Row],[C]]="",0,NOTA[[#This Row],[C]]))</f>
        <v>4416000</v>
      </c>
      <c r="X161" s="54">
        <f>IF(NOTA[[#This Row],[JUMLAH]]="","",NOTA[[#This Row],[JUMLAH]]*NOTA[[#This Row],[DISC 1]])</f>
        <v>750720</v>
      </c>
      <c r="Y161" s="54">
        <f>IF(NOTA[[#This Row],[JUMLAH]]="","",(NOTA[[#This Row],[JUMLAH]]-NOTA[[#This Row],[DISC 1-]])*NOTA[[#This Row],[DISC 2]])</f>
        <v>0</v>
      </c>
      <c r="Z161" s="54">
        <f>IF(NOTA[[#This Row],[JUMLAH]]="","",NOTA[[#This Row],[DISC 1-]]+NOTA[[#This Row],[DISC 2-]])</f>
        <v>750720</v>
      </c>
      <c r="AA161" s="54">
        <f>IF(NOTA[[#This Row],[JUMLAH]]="","",NOTA[[#This Row],[JUMLAH]]-NOTA[[#This Row],[DISC]])</f>
        <v>3665280</v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45027</v>
      </c>
      <c r="AG161" s="65" t="str">
        <f ca="1">IF(NOTA[[#This Row],[NAMA BARANG]]="","",INDEX(NOTA[SUPPLIER],MATCH(,INDIRECT(ADDRESS(ROW(NOTA[ID]),COLUMN(NOTA[ID]))&amp;":"&amp;ADDRESS(ROW(),COLUMN(NOTA[ID]))),-1)))</f>
        <v>KENKO SINAR INDONESIA</v>
      </c>
      <c r="AH161" s="65" t="str">
        <f ca="1">IF(NOTA[[#This Row],[ID_H]]="","",IF(NOTA[[#This Row],[FAKTUR]]="",INDIRECT(ADDRESS(ROW()-1,COLUMN())),NOTA[[#This Row],[FAKTUR]]))</f>
        <v>ARTO MORO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4</v>
      </c>
      <c r="AK161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38" t="str">
        <f>IF(NOTA[[#This Row],[CONCAT4]]="","",_xlfn.IFNA(MATCH(NOTA[[#This Row],[CONCAT4]],[2]!RAW[CONCAT_H],0),FALSE))</f>
        <v/>
      </c>
      <c r="AP161" s="174">
        <f>IF(NOTA[[#This Row],[CONCAT1]]="","",MATCH(NOTA[[#This Row],[CONCAT1]],[3]!db[NB NOTA_C],0)+1)</f>
        <v>657</v>
      </c>
    </row>
    <row r="162" spans="1:42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>
        <f ca="1">IF(NOTA[[#This Row],[NAMA BARANG]]="","",INDEX(NOTA[ID],MATCH(,INDIRECT(ADDRESS(ROW(NOTA[ID]),COLUMN(NOTA[ID]))&amp;":"&amp;ADDRESS(ROW(),COLUMN(NOTA[ID]))),-1)))</f>
        <v>39</v>
      </c>
      <c r="E162" s="23"/>
      <c r="F162" s="26"/>
      <c r="G162" s="26"/>
      <c r="H162" s="31"/>
      <c r="I162" s="26"/>
      <c r="J162" s="51"/>
      <c r="K162" s="26"/>
      <c r="L162" s="26" t="s">
        <v>361</v>
      </c>
      <c r="M162" s="39">
        <v>3</v>
      </c>
      <c r="N162" s="26"/>
      <c r="O162" s="26"/>
      <c r="P162" s="162"/>
      <c r="Q162" s="52">
        <v>1710000</v>
      </c>
      <c r="R162" s="39" t="s">
        <v>249</v>
      </c>
      <c r="S162" s="53">
        <v>0.17</v>
      </c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5130000</v>
      </c>
      <c r="X162" s="54">
        <f>IF(NOTA[[#This Row],[JUMLAH]]="","",NOTA[[#This Row],[JUMLAH]]*NOTA[[#This Row],[DISC 1]])</f>
        <v>872100.00000000012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872100.00000000012</v>
      </c>
      <c r="AA162" s="54">
        <f>IF(NOTA[[#This Row],[JUMLAH]]="","",NOTA[[#This Row],[JUMLAH]]-NOTA[[#This Row],[DISC]])</f>
        <v>4257900</v>
      </c>
      <c r="AB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2139960</v>
      </c>
      <c r="AC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10448040</v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62" s="54" t="str">
        <f>IF(OR(NOTA[[#This Row],[QTY]]="",NOTA[[#This Row],[HARGA SATUAN]]="",),"",NOTA[[#This Row],[QTY]]*NOTA[[#This Row],[HARGA SATUAN]])</f>
        <v/>
      </c>
      <c r="AF162" s="51">
        <f ca="1">IF(NOTA[ID_H]="","",INDEX(NOTA[TANGGAL],MATCH(,INDIRECT(ADDRESS(ROW(NOTA[TANGGAL]),COLUMN(NOTA[TANGGAL]))&amp;":"&amp;ADDRESS(ROW(),COLUMN(NOTA[TANGGAL]))),-1)))</f>
        <v>45027</v>
      </c>
      <c r="AG162" s="65" t="str">
        <f ca="1">IF(NOTA[[#This Row],[NAMA BARANG]]="","",INDEX(NOTA[SUPPLIER],MATCH(,INDIRECT(ADDRESS(ROW(NOTA[ID]),COLUMN(NOTA[ID]))&amp;":"&amp;ADDRESS(ROW(),COLUMN(NOTA[ID]))),-1)))</f>
        <v>KENKO SINAR INDONESIA</v>
      </c>
      <c r="AH162" s="65" t="str">
        <f ca="1">IF(NOTA[[#This Row],[ID_H]]="","",IF(NOTA[[#This Row],[FAKTUR]]="",INDIRECT(ADDRESS(ROW()-1,COLUMN())),NOTA[[#This Row],[FAKTUR]]))</f>
        <v>ARTO MORO</v>
      </c>
      <c r="AI162" s="38" t="str">
        <f ca="1">IF(NOTA[[#This Row],[ID]]="","",COUNTIF(NOTA[ID_H],NOTA[[#This Row],[ID_H]]))</f>
        <v/>
      </c>
      <c r="AJ162" s="38">
        <f ca="1">IF(NOTA[[#This Row],[TGL.NOTA]]="",IF(NOTA[[#This Row],[SUPPLIER_H]]="","",AJ161),MONTH(NOTA[[#This Row],[TGL.NOTA]]))</f>
        <v>4</v>
      </c>
      <c r="AK162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38" t="str">
        <f>IF(NOTA[[#This Row],[CONCAT4]]="","",_xlfn.IFNA(MATCH(NOTA[[#This Row],[CONCAT4]],[2]!RAW[CONCAT_H],0),FALSE))</f>
        <v/>
      </c>
      <c r="AP162" s="174">
        <f>IF(NOTA[[#This Row],[CONCAT1]]="","",MATCH(NOTA[[#This Row],[CONCAT1]],[3]!db[NB NOTA_C],0)+1)</f>
        <v>294</v>
      </c>
    </row>
    <row r="163" spans="1:42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 t="str">
        <f ca="1">IF(NOTA[[#This Row],[NAMA BARANG]]="","",INDEX(NOTA[ID],MATCH(,INDIRECT(ADDRESS(ROW(NOTA[ID]),COLUMN(NOTA[ID]))&amp;":"&amp;ADDRESS(ROW(),COLUMN(NOTA[ID]))),-1)))</f>
        <v/>
      </c>
      <c r="E163" s="23"/>
      <c r="F163" s="26"/>
      <c r="G163" s="26"/>
      <c r="H163" s="31"/>
      <c r="I163" s="26"/>
      <c r="J163" s="51"/>
      <c r="K163" s="26"/>
      <c r="L163" s="26"/>
      <c r="M163" s="39"/>
      <c r="N163" s="26"/>
      <c r="O163" s="26"/>
      <c r="P163" s="162"/>
      <c r="Q163" s="52"/>
      <c r="R163" s="39"/>
      <c r="S163" s="53"/>
      <c r="T163" s="53"/>
      <c r="U163" s="54"/>
      <c r="V163" s="37"/>
      <c r="W163" s="54" t="str">
        <f>IF(NOTA[[#This Row],[HARGA/ CTN]]="",NOTA[[#This Row],[JUMLAH_H]],NOTA[[#This Row],[HARGA/ CTN]]*IF(NOTA[[#This Row],[C]]="",0,NOTA[[#This Row],[C]]))</f>
        <v/>
      </c>
      <c r="X163" s="54" t="str">
        <f>IF(NOTA[[#This Row],[JUMLAH]]="","",NOTA[[#This Row],[JUMLAH]]*NOTA[[#This Row],[DISC 1]])</f>
        <v/>
      </c>
      <c r="Y163" s="54" t="str">
        <f>IF(NOTA[[#This Row],[JUMLAH]]="","",(NOTA[[#This Row],[JUMLAH]]-NOTA[[#This Row],[DISC 1-]])*NOTA[[#This Row],[DISC 2]])</f>
        <v/>
      </c>
      <c r="Z163" s="54" t="str">
        <f>IF(NOTA[[#This Row],[JUMLAH]]="","",NOTA[[#This Row],[DISC 1-]]+NOTA[[#This Row],[DISC 2-]])</f>
        <v/>
      </c>
      <c r="AA163" s="54" t="str">
        <f>IF(NOTA[[#This Row],[JUMLAH]]="","",NOTA[[#This Row],[JUMLAH]]-NOTA[[#This Row],[DISC]])</f>
        <v/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54" t="str">
        <f>IF(OR(NOTA[[#This Row],[QTY]]="",NOTA[[#This Row],[HARGA SATUAN]]="",),"",NOTA[[#This Row],[QTY]]*NOTA[[#This Row],[HARGA SATUAN]])</f>
        <v/>
      </c>
      <c r="AF163" s="51" t="str">
        <f ca="1">IF(NOTA[ID_H]="","",INDEX(NOTA[TANGGAL],MATCH(,INDIRECT(ADDRESS(ROW(NOTA[TANGGAL]),COLUMN(NOTA[TANGGAL]))&amp;":"&amp;ADDRESS(ROW(),COLUMN(NOTA[TANGGAL]))),-1)))</f>
        <v/>
      </c>
      <c r="AG163" s="65" t="str">
        <f ca="1">IF(NOTA[[#This Row],[NAMA BARANG]]="","",INDEX(NOTA[SUPPLIER],MATCH(,INDIRECT(ADDRESS(ROW(NOTA[ID]),COLUMN(NOTA[ID]))&amp;":"&amp;ADDRESS(ROW(),COLUMN(NOTA[ID]))),-1)))</f>
        <v/>
      </c>
      <c r="AH163" s="65" t="str">
        <f ca="1">IF(NOTA[[#This Row],[ID_H]]="","",IF(NOTA[[#This Row],[FAKTUR]]="",INDIRECT(ADDRESS(ROW()-1,COLUMN())),NOTA[[#This Row],[FAKTUR]]))</f>
        <v/>
      </c>
      <c r="AI163" s="38" t="str">
        <f ca="1">IF(NOTA[[#This Row],[ID]]="","",COUNTIF(NOTA[ID_H],NOTA[[#This Row],[ID_H]]))</f>
        <v/>
      </c>
      <c r="AJ163" s="38" t="str">
        <f ca="1">IF(NOTA[[#This Row],[TGL.NOTA]]="",IF(NOTA[[#This Row],[SUPPLIER_H]]="","",AJ162),MONTH(NOTA[[#This Row],[TGL.NOTA]]))</f>
        <v/>
      </c>
      <c r="AK163" s="38" t="str">
        <f>LOWER(SUBSTITUTE(SUBSTITUTE(SUBSTITUTE(SUBSTITUTE(SUBSTITUTE(SUBSTITUTE(SUBSTITUTE(SUBSTITUTE(SUBSTITUTE(NOTA[NAMA BARANG]," ",),".",""),"-",""),"(",""),")",""),",",""),"/",""),"""",""),"+",""))</f>
        <v/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38" t="str">
        <f>IF(NOTA[[#This Row],[CONCAT4]]="","",_xlfn.IFNA(MATCH(NOTA[[#This Row],[CONCAT4]],[2]!RAW[CONCAT_H],0),FALSE))</f>
        <v/>
      </c>
      <c r="AP163" s="174" t="str">
        <f>IF(NOTA[[#This Row],[CONCAT1]]="","",MATCH(NOTA[[#This Row],[CONCAT1]],[3]!db[NB NOTA_C],0)+1)</f>
        <v/>
      </c>
    </row>
    <row r="164" spans="1:42" ht="20.100000000000001" customHeight="1" x14ac:dyDescent="0.25">
      <c r="A164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KEN_1104_597-7</v>
      </c>
      <c r="C164" s="50" t="e">
        <f ca="1">IF(NOTA[[#This Row],[ID_P]]="","",MATCH(NOTA[[#This Row],[ID_P]],[1]!B_MSK[N_ID],0))</f>
        <v>#REF!</v>
      </c>
      <c r="D164" s="50">
        <f ca="1">IF(NOTA[[#This Row],[NAMA BARANG]]="","",INDEX(NOTA[ID],MATCH(,INDIRECT(ADDRESS(ROW(NOTA[ID]),COLUMN(NOTA[ID]))&amp;":"&amp;ADDRESS(ROW(),COLUMN(NOTA[ID]))),-1)))</f>
        <v>40</v>
      </c>
      <c r="E164" s="23"/>
      <c r="F164" s="26" t="s">
        <v>23</v>
      </c>
      <c r="G164" s="26" t="s">
        <v>24</v>
      </c>
      <c r="H164" s="31" t="s">
        <v>365</v>
      </c>
      <c r="I164" s="38" t="s">
        <v>369</v>
      </c>
      <c r="J164" s="51">
        <v>45024</v>
      </c>
      <c r="K164" s="26"/>
      <c r="L164" s="26" t="s">
        <v>368</v>
      </c>
      <c r="M164" s="39">
        <v>1</v>
      </c>
      <c r="N164" s="26"/>
      <c r="O164" s="26"/>
      <c r="P164" s="162"/>
      <c r="Q164" s="52">
        <v>3456000</v>
      </c>
      <c r="R164" s="39" t="s">
        <v>155</v>
      </c>
      <c r="S164" s="53">
        <v>0.17</v>
      </c>
      <c r="T164" s="53"/>
      <c r="U164" s="54"/>
      <c r="V164" s="37"/>
      <c r="W164" s="54">
        <f>IF(NOTA[[#This Row],[HARGA/ CTN]]="",NOTA[[#This Row],[JUMLAH_H]],NOTA[[#This Row],[HARGA/ CTN]]*IF(NOTA[[#This Row],[C]]="",0,NOTA[[#This Row],[C]]))</f>
        <v>3456000</v>
      </c>
      <c r="X164" s="54">
        <f>IF(NOTA[[#This Row],[JUMLAH]]="","",NOTA[[#This Row],[JUMLAH]]*NOTA[[#This Row],[DISC 1]])</f>
        <v>587520</v>
      </c>
      <c r="Y164" s="54">
        <f>IF(NOTA[[#This Row],[JUMLAH]]="","",(NOTA[[#This Row],[JUMLAH]]-NOTA[[#This Row],[DISC 1-]])*NOTA[[#This Row],[DISC 2]])</f>
        <v>0</v>
      </c>
      <c r="Z164" s="54">
        <f>IF(NOTA[[#This Row],[JUMLAH]]="","",NOTA[[#This Row],[DISC 1-]]+NOTA[[#This Row],[DISC 2-]])</f>
        <v>587520</v>
      </c>
      <c r="AA164" s="54">
        <f>IF(NOTA[[#This Row],[JUMLAH]]="","",NOTA[[#This Row],[JUMLAH]]-NOTA[[#This Row],[DISC]])</f>
        <v>2868480</v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64" s="54" t="str">
        <f>IF(OR(NOTA[[#This Row],[QTY]]="",NOTA[[#This Row],[HARGA SATUAN]]="",),"",NOTA[[#This Row],[QTY]]*NOTA[[#This Row],[HARGA SATUAN]])</f>
        <v/>
      </c>
      <c r="AF164" s="51">
        <f ca="1">IF(NOTA[ID_H]="","",INDEX(NOTA[TANGGAL],MATCH(,INDIRECT(ADDRESS(ROW(NOTA[TANGGAL]),COLUMN(NOTA[TANGGAL]))&amp;":"&amp;ADDRESS(ROW(),COLUMN(NOTA[TANGGAL]))),-1)))</f>
        <v>45027</v>
      </c>
      <c r="AG164" s="65" t="str">
        <f ca="1">IF(NOTA[[#This Row],[NAMA BARANG]]="","",INDEX(NOTA[SUPPLIER],MATCH(,INDIRECT(ADDRESS(ROW(NOTA[ID]),COLUMN(NOTA[ID]))&amp;":"&amp;ADDRESS(ROW(),COLUMN(NOTA[ID]))),-1)))</f>
        <v>KENKO SINAR INDONESIA</v>
      </c>
      <c r="AH164" s="65" t="str">
        <f ca="1">IF(NOTA[[#This Row],[ID_H]]="","",IF(NOTA[[#This Row],[FAKTUR]]="",INDIRECT(ADDRESS(ROW()-1,COLUMN())),NOTA[[#This Row],[FAKTUR]]))</f>
        <v>ARTO MORO</v>
      </c>
      <c r="AI164" s="38">
        <f ca="1">IF(NOTA[[#This Row],[ID]]="","",COUNTIF(NOTA[ID_H],NOTA[[#This Row],[ID_H]]))</f>
        <v>7</v>
      </c>
      <c r="AJ164" s="38">
        <f>IF(NOTA[[#This Row],[TGL.NOTA]]="",IF(NOTA[[#This Row],[SUPPLIER_H]]="","",AJ163),MONTH(NOTA[[#This Row],[TGL.NOTA]]))</f>
        <v>4</v>
      </c>
      <c r="AK164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16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MORO23040597SA 4101745024kenkogelpentgelerasableke303erblack</v>
      </c>
      <c r="AO164" s="38" t="e">
        <f>IF(NOTA[[#This Row],[CONCAT4]]="","",_xlfn.IFNA(MATCH(NOTA[[#This Row],[CONCAT4]],[2]!RAW[CONCAT_H],0),FALSE))</f>
        <v>#REF!</v>
      </c>
      <c r="AP164" s="174">
        <f>IF(NOTA[[#This Row],[CONCAT1]]="","",MATCH(NOTA[[#This Row],[CONCAT1]],[3]!db[NB NOTA_C],0)+1)</f>
        <v>367</v>
      </c>
    </row>
    <row r="165" spans="1:42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>
        <f ca="1">IF(NOTA[[#This Row],[NAMA BARANG]]="","",INDEX(NOTA[ID],MATCH(,INDIRECT(ADDRESS(ROW(NOTA[ID]),COLUMN(NOTA[ID]))&amp;":"&amp;ADDRESS(ROW(),COLUMN(NOTA[ID]))),-1)))</f>
        <v>40</v>
      </c>
      <c r="E165" s="23"/>
      <c r="F165" s="26"/>
      <c r="G165" s="26"/>
      <c r="H165" s="31"/>
      <c r="I165" s="26"/>
      <c r="J165" s="51"/>
      <c r="K165" s="26"/>
      <c r="L165" s="26" t="s">
        <v>366</v>
      </c>
      <c r="M165" s="39">
        <v>1</v>
      </c>
      <c r="N165" s="26"/>
      <c r="O165" s="26"/>
      <c r="P165" s="162"/>
      <c r="Q165" s="52">
        <v>444000</v>
      </c>
      <c r="R165" s="39" t="s">
        <v>257</v>
      </c>
      <c r="S165" s="53">
        <v>0.17</v>
      </c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444000</v>
      </c>
      <c r="X165" s="54">
        <f>IF(NOTA[[#This Row],[JUMLAH]]="","",NOTA[[#This Row],[JUMLAH]]*NOTA[[#This Row],[DISC 1]])</f>
        <v>75480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75480</v>
      </c>
      <c r="AA165" s="54">
        <f>IF(NOTA[[#This Row],[JUMLAH]]="","",NOTA[[#This Row],[JUMLAH]]-NOTA[[#This Row],[DISC]])</f>
        <v>368520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65" s="54" t="str">
        <f>IF(OR(NOTA[[#This Row],[QTY]]="",NOTA[[#This Row],[HARGA SATUAN]]="",),"",NOTA[[#This Row],[QTY]]*NOTA[[#This Row],[HARGA SATUAN]])</f>
        <v/>
      </c>
      <c r="AF165" s="51">
        <f ca="1">IF(NOTA[ID_H]="","",INDEX(NOTA[TANGGAL],MATCH(,INDIRECT(ADDRESS(ROW(NOTA[TANGGAL]),COLUMN(NOTA[TANGGAL]))&amp;":"&amp;ADDRESS(ROW(),COLUMN(NOTA[TANGGAL]))),-1)))</f>
        <v>45027</v>
      </c>
      <c r="AG165" s="65" t="str">
        <f ca="1">IF(NOTA[[#This Row],[NAMA BARANG]]="","",INDEX(NOTA[SUPPLIER],MATCH(,INDIRECT(ADDRESS(ROW(NOTA[ID]),COLUMN(NOTA[ID]))&amp;":"&amp;ADDRESS(ROW(),COLUMN(NOTA[ID]))),-1)))</f>
        <v>KENKO SINAR INDONESIA</v>
      </c>
      <c r="AH165" s="65" t="str">
        <f ca="1">IF(NOTA[[#This Row],[ID_H]]="","",IF(NOTA[[#This Row],[FAKTUR]]="",INDIRECT(ADDRESS(ROW()-1,COLUMN())),NOTA[[#This Row],[FAKTUR]]))</f>
        <v>ARTO MORO</v>
      </c>
      <c r="AI165" s="38" t="str">
        <f ca="1">IF(NOTA[[#This Row],[ID]]="","",COUNTIF(NOTA[ID_H],NOTA[[#This Row],[ID_H]]))</f>
        <v/>
      </c>
      <c r="AJ165" s="38">
        <f ca="1">IF(NOTA[[#This Row],[TGL.NOTA]]="",IF(NOTA[[#This Row],[SUPPLIER_H]]="","",AJ164),MONTH(NOTA[[#This Row],[TGL.NOTA]]))</f>
        <v>4</v>
      </c>
      <c r="AK165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38" t="str">
        <f>IF(NOTA[[#This Row],[CONCAT4]]="","",_xlfn.IFNA(MATCH(NOTA[[#This Row],[CONCAT4]],[2]!RAW[CONCAT_H],0),FALSE))</f>
        <v/>
      </c>
      <c r="AP165" s="174">
        <f>IF(NOTA[[#This Row],[CONCAT1]]="","",MATCH(NOTA[[#This Row],[CONCAT1]],[3]!db[NB NOTA_C],0)+1)</f>
        <v>808</v>
      </c>
    </row>
    <row r="166" spans="1:42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40</v>
      </c>
      <c r="E166" s="23"/>
      <c r="F166" s="26"/>
      <c r="G166" s="26"/>
      <c r="H166" s="31"/>
      <c r="I166" s="26"/>
      <c r="J166" s="51"/>
      <c r="K166" s="26"/>
      <c r="L166" s="26" t="s">
        <v>87</v>
      </c>
      <c r="M166" s="39">
        <v>3</v>
      </c>
      <c r="N166" s="26"/>
      <c r="O166" s="26"/>
      <c r="P166" s="162"/>
      <c r="Q166" s="52">
        <v>1695600</v>
      </c>
      <c r="R166" s="39" t="s">
        <v>245</v>
      </c>
      <c r="S166" s="53">
        <v>0.17</v>
      </c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5086800</v>
      </c>
      <c r="X166" s="54">
        <f>IF(NOTA[[#This Row],[JUMLAH]]="","",NOTA[[#This Row],[JUMLAH]]*NOTA[[#This Row],[DISC 1]])</f>
        <v>864756.00000000012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864756.00000000012</v>
      </c>
      <c r="AA166" s="54">
        <f>IF(NOTA[[#This Row],[JUMLAH]]="","",NOTA[[#This Row],[JUMLAH]]-NOTA[[#This Row],[DISC]])</f>
        <v>4222044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66" s="54" t="str">
        <f>IF(OR(NOTA[[#This Row],[QTY]]="",NOTA[[#This Row],[HARGA SATUAN]]="",),"",NOTA[[#This Row],[QTY]]*NOTA[[#This Row],[HARGA SATUAN]])</f>
        <v/>
      </c>
      <c r="AF166" s="51">
        <f ca="1">IF(NOTA[ID_H]="","",INDEX(NOTA[TANGGAL],MATCH(,INDIRECT(ADDRESS(ROW(NOTA[TANGGAL]),COLUMN(NOTA[TANGGAL]))&amp;":"&amp;ADDRESS(ROW(),COLUMN(NOTA[TANGGAL]))),-1)))</f>
        <v>45027</v>
      </c>
      <c r="AG166" s="65" t="str">
        <f ca="1">IF(NOTA[[#This Row],[NAMA BARANG]]="","",INDEX(NOTA[SUPPLIER],MATCH(,INDIRECT(ADDRESS(ROW(NOTA[ID]),COLUMN(NOTA[ID]))&amp;":"&amp;ADDRESS(ROW(),COLUMN(NOTA[ID]))),-1)))</f>
        <v>KENKO SINAR INDONESIA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4</v>
      </c>
      <c r="AK16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38" t="str">
        <f>IF(NOTA[[#This Row],[CONCAT4]]="","",_xlfn.IFNA(MATCH(NOTA[[#This Row],[CONCAT4]],[2]!RAW[CONCAT_H],0),FALSE))</f>
        <v/>
      </c>
      <c r="AP166" s="174">
        <f>IF(NOTA[[#This Row],[CONCAT1]]="","",MATCH(NOTA[[#This Row],[CONCAT1]],[3]!db[NB NOTA_C],0)+1)</f>
        <v>214</v>
      </c>
    </row>
    <row r="167" spans="1:42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40</v>
      </c>
      <c r="E167" s="23"/>
      <c r="F167" s="26"/>
      <c r="G167" s="26"/>
      <c r="H167" s="31"/>
      <c r="I167" s="26"/>
      <c r="J167" s="51"/>
      <c r="K167" s="26"/>
      <c r="L167" s="26" t="s">
        <v>118</v>
      </c>
      <c r="M167" s="39">
        <v>1</v>
      </c>
      <c r="N167" s="26"/>
      <c r="O167" s="26"/>
      <c r="P167" s="162"/>
      <c r="Q167" s="52">
        <v>844800</v>
      </c>
      <c r="R167" s="39" t="s">
        <v>374</v>
      </c>
      <c r="S167" s="53">
        <v>0.17</v>
      </c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844800</v>
      </c>
      <c r="X167" s="54">
        <f>IF(NOTA[[#This Row],[JUMLAH]]="","",NOTA[[#This Row],[JUMLAH]]*NOTA[[#This Row],[DISC 1]])</f>
        <v>143616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143616</v>
      </c>
      <c r="AA167" s="54">
        <f>IF(NOTA[[#This Row],[JUMLAH]]="","",NOTA[[#This Row],[JUMLAH]]-NOTA[[#This Row],[DISC]])</f>
        <v>701184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45027</v>
      </c>
      <c r="AG167" s="65" t="str">
        <f ca="1">IF(NOTA[[#This Row],[NAMA BARANG]]="","",INDEX(NOTA[SUPPLIER],MATCH(,INDIRECT(ADDRESS(ROW(NOTA[ID]),COLUMN(NOTA[ID]))&amp;":"&amp;ADDRESS(ROW(),COLUMN(NOTA[ID]))),-1)))</f>
        <v>KENKO SINAR INDONESIA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4</v>
      </c>
      <c r="AK16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38" t="str">
        <f>IF(NOTA[[#This Row],[CONCAT4]]="","",_xlfn.IFNA(MATCH(NOTA[[#This Row],[CONCAT4]],[2]!RAW[CONCAT_H],0),FALSE))</f>
        <v/>
      </c>
      <c r="AP167" s="174">
        <f>IF(NOTA[[#This Row],[CONCAT1]]="","",MATCH(NOTA[[#This Row],[CONCAT1]],[3]!db[NB NOTA_C],0)+1)</f>
        <v>564</v>
      </c>
    </row>
    <row r="168" spans="1:42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40</v>
      </c>
      <c r="E168" s="23"/>
      <c r="F168" s="26"/>
      <c r="G168" s="26"/>
      <c r="H168" s="31"/>
      <c r="I168" s="26"/>
      <c r="J168" s="51"/>
      <c r="K168" s="26"/>
      <c r="L168" s="26" t="s">
        <v>142</v>
      </c>
      <c r="M168" s="39">
        <v>1</v>
      </c>
      <c r="N168" s="26"/>
      <c r="O168" s="26"/>
      <c r="P168" s="162"/>
      <c r="Q168" s="52">
        <v>801600</v>
      </c>
      <c r="R168" s="39" t="s">
        <v>375</v>
      </c>
      <c r="S168" s="53">
        <v>0.17</v>
      </c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801600</v>
      </c>
      <c r="X168" s="54">
        <f>IF(NOTA[[#This Row],[JUMLAH]]="","",NOTA[[#This Row],[JUMLAH]]*NOTA[[#This Row],[DISC 1]])</f>
        <v>136272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136272</v>
      </c>
      <c r="AA168" s="54">
        <f>IF(NOTA[[#This Row],[JUMLAH]]="","",NOTA[[#This Row],[JUMLAH]]-NOTA[[#This Row],[DISC]])</f>
        <v>665328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168" s="54" t="str">
        <f>IF(OR(NOTA[[#This Row],[QTY]]="",NOTA[[#This Row],[HARGA SATUAN]]="",),"",NOTA[[#This Row],[QTY]]*NOTA[[#This Row],[HARGA SATUAN]])</f>
        <v/>
      </c>
      <c r="AF168" s="51">
        <f ca="1">IF(NOTA[ID_H]="","",INDEX(NOTA[TANGGAL],MATCH(,INDIRECT(ADDRESS(ROW(NOTA[TANGGAL]),COLUMN(NOTA[TANGGAL]))&amp;":"&amp;ADDRESS(ROW(),COLUMN(NOTA[TANGGAL]))),-1)))</f>
        <v>45027</v>
      </c>
      <c r="AG168" s="65" t="str">
        <f ca="1">IF(NOTA[[#This Row],[NAMA BARANG]]="","",INDEX(NOTA[SUPPLIER],MATCH(,INDIRECT(ADDRESS(ROW(NOTA[ID]),COLUMN(NOTA[ID]))&amp;":"&amp;ADDRESS(ROW(),COLUMN(NOTA[ID]))),-1)))</f>
        <v>KENKO SINAR INDONESIA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4</v>
      </c>
      <c r="AK16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8" s="38" t="str">
        <f>IF(NOTA[[#This Row],[CONCAT4]]="","",_xlfn.IFNA(MATCH(NOTA[[#This Row],[CONCAT4]],[2]!RAW[CONCAT_H],0),FALSE))</f>
        <v/>
      </c>
      <c r="AP168" s="174">
        <f>IF(NOTA[[#This Row],[CONCAT1]]="","",MATCH(NOTA[[#This Row],[CONCAT1]],[3]!db[NB NOTA_C],0)+1)</f>
        <v>563</v>
      </c>
    </row>
    <row r="169" spans="1:42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/>
      <c r="G169" s="26"/>
      <c r="H169" s="31"/>
      <c r="I169" s="26"/>
      <c r="J169" s="51"/>
      <c r="K169" s="26"/>
      <c r="L169" s="26" t="s">
        <v>367</v>
      </c>
      <c r="M169" s="39">
        <v>1</v>
      </c>
      <c r="N169" s="26"/>
      <c r="O169" s="26"/>
      <c r="P169" s="162"/>
      <c r="Q169" s="52">
        <v>1104000</v>
      </c>
      <c r="R169" s="39" t="s">
        <v>376</v>
      </c>
      <c r="S169" s="53">
        <v>0.17</v>
      </c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1104000</v>
      </c>
      <c r="X169" s="54">
        <f>IF(NOTA[[#This Row],[JUMLAH]]="","",NOTA[[#This Row],[JUMLAH]]*NOTA[[#This Row],[DISC 1]])</f>
        <v>187680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187680</v>
      </c>
      <c r="AA169" s="54">
        <f>IF(NOTA[[#This Row],[JUMLAH]]="","",NOTA[[#This Row],[JUMLAH]]-NOTA[[#This Row],[DISC]])</f>
        <v>916320</v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45027</v>
      </c>
      <c r="AG169" s="65" t="str">
        <f ca="1">IF(NOTA[[#This Row],[NAMA BARANG]]="","",INDEX(NOTA[SUPPLIER],MATCH(,INDIRECT(ADDRESS(ROW(NOTA[ID]),COLUMN(NOTA[ID]))&amp;":"&amp;ADDRESS(ROW(),COLUMN(NOTA[ID]))),-1)))</f>
        <v>KENKO SINAR INDONESIA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4</v>
      </c>
      <c r="AK169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N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38" t="str">
        <f>IF(NOTA[[#This Row],[CONCAT4]]="","",_xlfn.IFNA(MATCH(NOTA[[#This Row],[CONCAT4]],[2]!RAW[CONCAT_H],0),FALSE))</f>
        <v/>
      </c>
      <c r="AP169" s="174">
        <f>IF(NOTA[[#This Row],[CONCAT1]]="","",MATCH(NOTA[[#This Row],[CONCAT1]],[3]!db[NB NOTA_C],0)+1)</f>
        <v>566</v>
      </c>
    </row>
    <row r="170" spans="1:42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>
        <f ca="1">IF(NOTA[[#This Row],[NAMA BARANG]]="","",INDEX(NOTA[ID],MATCH(,INDIRECT(ADDRESS(ROW(NOTA[ID]),COLUMN(NOTA[ID]))&amp;":"&amp;ADDRESS(ROW(),COLUMN(NOTA[ID]))),-1)))</f>
        <v>40</v>
      </c>
      <c r="E170" s="23"/>
      <c r="F170" s="26"/>
      <c r="G170" s="26"/>
      <c r="H170" s="31"/>
      <c r="I170" s="26"/>
      <c r="J170" s="51"/>
      <c r="K170" s="26"/>
      <c r="L170" s="26" t="s">
        <v>119</v>
      </c>
      <c r="M170" s="39">
        <v>1</v>
      </c>
      <c r="N170" s="26"/>
      <c r="O170" s="26"/>
      <c r="P170" s="162"/>
      <c r="Q170" s="52">
        <v>1040000</v>
      </c>
      <c r="R170" s="39" t="s">
        <v>377</v>
      </c>
      <c r="S170" s="53">
        <v>0.17</v>
      </c>
      <c r="T170" s="53"/>
      <c r="U170" s="54"/>
      <c r="V170" s="37"/>
      <c r="W170" s="54">
        <f>IF(NOTA[[#This Row],[HARGA/ CTN]]="",NOTA[[#This Row],[JUMLAH_H]],NOTA[[#This Row],[HARGA/ CTN]]*IF(NOTA[[#This Row],[C]]="",0,NOTA[[#This Row],[C]]))</f>
        <v>1040000</v>
      </c>
      <c r="X170" s="54">
        <f>IF(NOTA[[#This Row],[JUMLAH]]="","",NOTA[[#This Row],[JUMLAH]]*NOTA[[#This Row],[DISC 1]])</f>
        <v>176800</v>
      </c>
      <c r="Y170" s="54">
        <f>IF(NOTA[[#This Row],[JUMLAH]]="","",(NOTA[[#This Row],[JUMLAH]]-NOTA[[#This Row],[DISC 1-]])*NOTA[[#This Row],[DISC 2]])</f>
        <v>0</v>
      </c>
      <c r="Z170" s="54">
        <f>IF(NOTA[[#This Row],[JUMLAH]]="","",NOTA[[#This Row],[DISC 1-]]+NOTA[[#This Row],[DISC 2-]])</f>
        <v>176800</v>
      </c>
      <c r="AA170" s="54">
        <f>IF(NOTA[[#This Row],[JUMLAH]]="","",NOTA[[#This Row],[JUMLAH]]-NOTA[[#This Row],[DISC]])</f>
        <v>863200</v>
      </c>
      <c r="AB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2172124</v>
      </c>
      <c r="AC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10605076</v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70" s="54" t="str">
        <f>IF(OR(NOTA[[#This Row],[QTY]]="",NOTA[[#This Row],[HARGA SATUAN]]="",),"",NOTA[[#This Row],[QTY]]*NOTA[[#This Row],[HARGA SATUAN]])</f>
        <v/>
      </c>
      <c r="AF170" s="51">
        <f ca="1">IF(NOTA[ID_H]="","",INDEX(NOTA[TANGGAL],MATCH(,INDIRECT(ADDRESS(ROW(NOTA[TANGGAL]),COLUMN(NOTA[TANGGAL]))&amp;":"&amp;ADDRESS(ROW(),COLUMN(NOTA[TANGGAL]))),-1)))</f>
        <v>45027</v>
      </c>
      <c r="AG170" s="65" t="str">
        <f ca="1">IF(NOTA[[#This Row],[NAMA BARANG]]="","",INDEX(NOTA[SUPPLIER],MATCH(,INDIRECT(ADDRESS(ROW(NOTA[ID]),COLUMN(NOTA[ID]))&amp;":"&amp;ADDRESS(ROW(),COLUMN(NOTA[ID]))),-1)))</f>
        <v>KENKO SINAR INDONESIA</v>
      </c>
      <c r="AH170" s="65" t="str">
        <f ca="1">IF(NOTA[[#This Row],[ID_H]]="","",IF(NOTA[[#This Row],[FAKTUR]]="",INDIRECT(ADDRESS(ROW()-1,COLUMN())),NOTA[[#This Row],[FAKTUR]]))</f>
        <v>ARTO MORO</v>
      </c>
      <c r="AI170" s="38" t="str">
        <f ca="1">IF(NOTA[[#This Row],[ID]]="","",COUNTIF(NOTA[ID_H],NOTA[[#This Row],[ID_H]]))</f>
        <v/>
      </c>
      <c r="AJ170" s="38">
        <f ca="1">IF(NOTA[[#This Row],[TGL.NOTA]]="",IF(NOTA[[#This Row],[SUPPLIER_H]]="","",AJ169),MONTH(NOTA[[#This Row],[TGL.NOTA]]))</f>
        <v>4</v>
      </c>
      <c r="AK17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38" t="str">
        <f>IF(NOTA[[#This Row],[CONCAT4]]="","",_xlfn.IFNA(MATCH(NOTA[[#This Row],[CONCAT4]],[2]!RAW[CONCAT_H],0),FALSE))</f>
        <v/>
      </c>
      <c r="AP170" s="174">
        <f>IF(NOTA[[#This Row],[CONCAT1]]="","",MATCH(NOTA[[#This Row],[CONCAT1]],[3]!db[NB NOTA_C],0)+1)</f>
        <v>565</v>
      </c>
    </row>
    <row r="171" spans="1:42" ht="20.100000000000001" customHeight="1" x14ac:dyDescent="0.25">
      <c r="A171" s="20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0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01" t="str">
        <f>IF(NOTA[[#This Row],[ID_P]]="","",MATCH(NOTA[[#This Row],[ID_P]],[1]!B_MSK[N_ID],0))</f>
        <v/>
      </c>
      <c r="D171" s="201" t="str">
        <f ca="1">IF(NOTA[[#This Row],[NAMA BARANG]]="","",INDEX(NOTA[ID],MATCH(,INDIRECT(ADDRESS(ROW(NOTA[ID]),COLUMN(NOTA[ID]))&amp;":"&amp;ADDRESS(ROW(),COLUMN(NOTA[ID]))),-1)))</f>
        <v/>
      </c>
      <c r="E171" s="202"/>
      <c r="F171" s="203"/>
      <c r="G171" s="203"/>
      <c r="H171" s="204"/>
      <c r="I171" s="203"/>
      <c r="J171" s="205"/>
      <c r="K171" s="203"/>
      <c r="L171" s="203"/>
      <c r="M171" s="206"/>
      <c r="N171" s="201"/>
      <c r="O171" s="203"/>
      <c r="P171" s="200"/>
      <c r="Q171" s="207"/>
      <c r="R171" s="206"/>
      <c r="S171" s="208"/>
      <c r="T171" s="208"/>
      <c r="U171" s="209"/>
      <c r="V171" s="210"/>
      <c r="W171" s="209" t="str">
        <f>IF(NOTA[[#This Row],[HARGA/ CTN]]="",NOTA[[#This Row],[JUMLAH_H]],NOTA[[#This Row],[HARGA/ CTN]]*IF(NOTA[[#This Row],[C]]="",0,NOTA[[#This Row],[C]]))</f>
        <v/>
      </c>
      <c r="X171" s="209" t="str">
        <f>IF(NOTA[[#This Row],[JUMLAH]]="","",NOTA[[#This Row],[JUMLAH]]*NOTA[[#This Row],[DISC 1]])</f>
        <v/>
      </c>
      <c r="Y171" s="209" t="str">
        <f>IF(NOTA[[#This Row],[JUMLAH]]="","",(NOTA[[#This Row],[JUMLAH]]-NOTA[[#This Row],[DISC 1-]])*NOTA[[#This Row],[DISC 2]])</f>
        <v/>
      </c>
      <c r="Z171" s="209" t="str">
        <f>IF(NOTA[[#This Row],[JUMLAH]]="","",NOTA[[#This Row],[DISC 1-]]+NOTA[[#This Row],[DISC 2-]])</f>
        <v/>
      </c>
      <c r="AA171" s="209" t="str">
        <f>IF(NOTA[[#This Row],[JUMLAH]]="","",NOTA[[#This Row],[JUMLAH]]-NOTA[[#This Row],[DISC]])</f>
        <v/>
      </c>
      <c r="AB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20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211" t="str">
        <f>IF(OR(NOTA[[#This Row],[QTY]]="",NOTA[[#This Row],[HARGA SATUAN]]="",),"",NOTA[[#This Row],[QTY]]*NOTA[[#This Row],[HARGA SATUAN]])</f>
        <v/>
      </c>
      <c r="AF171" s="205" t="str">
        <f ca="1">IF(NOTA[ID_H]="","",INDEX(NOTA[TANGGAL],MATCH(,INDIRECT(ADDRESS(ROW(NOTA[TANGGAL]),COLUMN(NOTA[TANGGAL]))&amp;":"&amp;ADDRESS(ROW(),COLUMN(NOTA[TANGGAL]))),-1)))</f>
        <v/>
      </c>
      <c r="AG171" s="200" t="str">
        <f ca="1">IF(NOTA[[#This Row],[NAMA BARANG]]="","",INDEX(NOTA[SUPPLIER],MATCH(,INDIRECT(ADDRESS(ROW(NOTA[ID]),COLUMN(NOTA[ID]))&amp;":"&amp;ADDRESS(ROW(),COLUMN(NOTA[ID]))),-1)))</f>
        <v/>
      </c>
      <c r="AH171" s="200" t="str">
        <f ca="1">IF(NOTA[[#This Row],[ID_H]]="","",IF(NOTA[[#This Row],[FAKTUR]]="",INDIRECT(ADDRESS(ROW()-1,COLUMN())),NOTA[[#This Row],[FAKTUR]]))</f>
        <v/>
      </c>
      <c r="AI171" s="212" t="str">
        <f ca="1">IF(NOTA[[#This Row],[ID]]="","",COUNTIF(NOTA[ID_H],NOTA[[#This Row],[ID_H]]))</f>
        <v/>
      </c>
      <c r="AJ171" s="212" t="str">
        <f ca="1">IF(NOTA[[#This Row],[TGL.NOTA]]="",IF(NOTA[[#This Row],[SUPPLIER_H]]="","",AJ170),MONTH(NOTA[[#This Row],[TGL.NOTA]]))</f>
        <v/>
      </c>
      <c r="AK171" s="212" t="str">
        <f>LOWER(SUBSTITUTE(SUBSTITUTE(SUBSTITUTE(SUBSTITUTE(SUBSTITUTE(SUBSTITUTE(SUBSTITUTE(SUBSTITUTE(SUBSTITUTE(NOTA[NAMA BARANG]," ",),".",""),"-",""),"(",""),")",""),",",""),"/",""),"""",""),"+",""))</f>
        <v/>
      </c>
      <c r="AL171" s="212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212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21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212" t="str">
        <f>IF(NOTA[[#This Row],[CONCAT4]]="","",_xlfn.IFNA(MATCH(NOTA[[#This Row],[CONCAT4]],[2]!RAW[CONCAT_H],0),FALSE))</f>
        <v/>
      </c>
      <c r="AP171" s="212" t="str">
        <f>IF(NOTA[[#This Row],[CONCAT1]]="","",MATCH(NOTA[[#This Row],[CONCAT1]],[3]!db[NB NOTA_C],0)+1)</f>
        <v/>
      </c>
    </row>
    <row r="172" spans="1:42" ht="20.100000000000001" customHeight="1" x14ac:dyDescent="0.25">
      <c r="A172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KEN_1104_576-8</v>
      </c>
      <c r="C172" s="50" t="e">
        <f ca="1">IF(NOTA[[#This Row],[ID_P]]="","",MATCH(NOTA[[#This Row],[ID_P]],[1]!B_MSK[N_ID],0))</f>
        <v>#REF!</v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 t="s">
        <v>23</v>
      </c>
      <c r="G172" s="26" t="s">
        <v>24</v>
      </c>
      <c r="H172" s="31" t="s">
        <v>370</v>
      </c>
      <c r="I172" s="26" t="s">
        <v>372</v>
      </c>
      <c r="J172" s="51">
        <v>45024</v>
      </c>
      <c r="K172" s="26"/>
      <c r="L172" s="26" t="s">
        <v>108</v>
      </c>
      <c r="M172" s="39">
        <v>2</v>
      </c>
      <c r="N172" s="26"/>
      <c r="O172" s="26"/>
      <c r="P172" s="49"/>
      <c r="Q172" s="52">
        <v>2208000</v>
      </c>
      <c r="R172" s="39" t="s">
        <v>226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4416000</v>
      </c>
      <c r="X172" s="54">
        <f>IF(NOTA[[#This Row],[JUMLAH]]="","",NOTA[[#This Row],[JUMLAH]]*NOTA[[#This Row],[DISC 1]])</f>
        <v>750720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750720</v>
      </c>
      <c r="AA172" s="54">
        <f>IF(NOTA[[#This Row],[JUMLAH]]="","",NOTA[[#This Row],[JUMLAH]]-NOTA[[#This Row],[DISC]])</f>
        <v>3665280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45027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>
        <f ca="1">IF(NOTA[[#This Row],[ID]]="","",COUNTIF(NOTA[ID_H],NOTA[[#This Row],[ID_H]]))</f>
        <v>8</v>
      </c>
      <c r="AJ172" s="38">
        <f>IF(NOTA[[#This Row],[TGL.NOTA]]="",IF(NOTA[[#This Row],[SUPPLIER_H]]="","",#REF!),MONTH(NOTA[[#This Row],[TGL.NOTA]]))</f>
        <v>4</v>
      </c>
      <c r="AK172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7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MORO23040576SA 4099745024kenkopencil2b6191hijaucaphitam</v>
      </c>
      <c r="AO172" s="38" t="e">
        <f>IF(NOTA[[#This Row],[CONCAT4]]="","",_xlfn.IFNA(MATCH(NOTA[[#This Row],[CONCAT4]],[2]!RAW[CONCAT_H],0),FALSE))</f>
        <v>#REF!</v>
      </c>
      <c r="AP172" s="174">
        <f>IF(NOTA[[#This Row],[CONCAT1]]="","",MATCH(NOTA[[#This Row],[CONCAT1]],[3]!db[NB NOTA_C],0)+1)</f>
        <v>658</v>
      </c>
    </row>
    <row r="173" spans="1:42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120</v>
      </c>
      <c r="M173" s="39">
        <v>5</v>
      </c>
      <c r="N173" s="26"/>
      <c r="O173" s="26"/>
      <c r="P173" s="49"/>
      <c r="Q173" s="52">
        <v>3758400</v>
      </c>
      <c r="R173" s="39" t="s">
        <v>155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18792000</v>
      </c>
      <c r="X173" s="54">
        <f>IF(NOTA[[#This Row],[JUMLAH]]="","",NOTA[[#This Row],[JUMLAH]]*NOTA[[#This Row],[DISC 1]])</f>
        <v>3194640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3194640</v>
      </c>
      <c r="AA173" s="54">
        <f>IF(NOTA[[#This Row],[JUMLAH]]="","",NOTA[[#This Row],[JUMLAH]]-NOTA[[#This Row],[DISC]])</f>
        <v>15597360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45027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4</v>
      </c>
      <c r="AK17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38" t="str">
        <f>IF(NOTA[[#This Row],[CONCAT4]]="","",_xlfn.IFNA(MATCH(NOTA[[#This Row],[CONCAT4]],[2]!RAW[CONCAT_H],0),FALSE))</f>
        <v/>
      </c>
      <c r="AP173" s="174">
        <f>IF(NOTA[[#This Row],[CONCAT1]]="","",MATCH(NOTA[[#This Row],[CONCAT1]],[3]!db[NB NOTA_C],0)+1)</f>
        <v>342</v>
      </c>
    </row>
    <row r="174" spans="1:42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166</v>
      </c>
      <c r="M174" s="39">
        <v>1</v>
      </c>
      <c r="N174" s="26"/>
      <c r="O174" s="26"/>
      <c r="P174" s="49"/>
      <c r="Q174" s="52">
        <v>3758400</v>
      </c>
      <c r="R174" s="39" t="s">
        <v>155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3758400</v>
      </c>
      <c r="X174" s="54">
        <f>IF(NOTA[[#This Row],[JUMLAH]]="","",NOTA[[#This Row],[JUMLAH]]*NOTA[[#This Row],[DISC 1]])</f>
        <v>638928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638928</v>
      </c>
      <c r="AA174" s="54">
        <f>IF(NOTA[[#This Row],[JUMLAH]]="","",NOTA[[#This Row],[JUMLAH]]-NOTA[[#This Row],[DISC]])</f>
        <v>3119472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45027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4</v>
      </c>
      <c r="AK17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38" t="str">
        <f>IF(NOTA[[#This Row],[CONCAT4]]="","",_xlfn.IFNA(MATCH(NOTA[[#This Row],[CONCAT4]],[2]!RAW[CONCAT_H],0),FALSE))</f>
        <v/>
      </c>
      <c r="AP174" s="174">
        <f>IF(NOTA[[#This Row],[CONCAT1]]="","",MATCH(NOTA[[#This Row],[CONCAT1]],[3]!db[NB NOTA_C],0)+1)</f>
        <v>369</v>
      </c>
    </row>
    <row r="175" spans="1:42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361</v>
      </c>
      <c r="M175" s="39">
        <v>1</v>
      </c>
      <c r="N175" s="26"/>
      <c r="O175" s="26"/>
      <c r="P175" s="49"/>
      <c r="Q175" s="52">
        <v>1710000</v>
      </c>
      <c r="R175" s="39" t="s">
        <v>249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1710000</v>
      </c>
      <c r="X175" s="54">
        <f>IF(NOTA[[#This Row],[JUMLAH]]="","",NOTA[[#This Row],[JUMLAH]]*NOTA[[#This Row],[DISC 1]])</f>
        <v>290700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290700</v>
      </c>
      <c r="AA175" s="54">
        <f>IF(NOTA[[#This Row],[JUMLAH]]="","",NOTA[[#This Row],[JUMLAH]]-NOTA[[#This Row],[DISC]])</f>
        <v>1419300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45027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4</v>
      </c>
      <c r="AK17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5" s="38" t="str">
        <f>IF(NOTA[[#This Row],[CONCAT4]]="","",_xlfn.IFNA(MATCH(NOTA[[#This Row],[CONCAT4]],[2]!RAW[CONCAT_H],0),FALSE))</f>
        <v/>
      </c>
      <c r="AP175" s="174">
        <f>IF(NOTA[[#This Row],[CONCAT1]]="","",MATCH(NOTA[[#This Row],[CONCAT1]],[3]!db[NB NOTA_C],0)+1)</f>
        <v>294</v>
      </c>
    </row>
    <row r="176" spans="1:42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/>
      <c r="J176" s="51"/>
      <c r="K176" s="26"/>
      <c r="L176" s="26" t="s">
        <v>165</v>
      </c>
      <c r="M176" s="39">
        <v>2</v>
      </c>
      <c r="N176" s="26"/>
      <c r="O176" s="26"/>
      <c r="P176" s="49"/>
      <c r="Q176" s="52">
        <v>2952000</v>
      </c>
      <c r="R176" s="39" t="s">
        <v>169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5904000</v>
      </c>
      <c r="X176" s="54">
        <f>IF(NOTA[[#This Row],[JUMLAH]]="","",NOTA[[#This Row],[JUMLAH]]*NOTA[[#This Row],[DISC 1]])</f>
        <v>1003680.0000000001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1003680.0000000001</v>
      </c>
      <c r="AA176" s="54">
        <f>IF(NOTA[[#This Row],[JUMLAH]]="","",NOTA[[#This Row],[JUMLAH]]-NOTA[[#This Row],[DISC]])</f>
        <v>4900320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45027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4</v>
      </c>
      <c r="AK17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38" t="str">
        <f>IF(NOTA[[#This Row],[CONCAT4]]="","",_xlfn.IFNA(MATCH(NOTA[[#This Row],[CONCAT4]],[2]!RAW[CONCAT_H],0),FALSE))</f>
        <v/>
      </c>
      <c r="AP176" s="174">
        <f>IF(NOTA[[#This Row],[CONCAT1]]="","",MATCH(NOTA[[#This Row],[CONCAT1]],[3]!db[NB NOTA_C],0)+1)</f>
        <v>291</v>
      </c>
    </row>
    <row r="177" spans="1:42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41</v>
      </c>
      <c r="E177" s="23"/>
      <c r="F177" s="26"/>
      <c r="G177" s="26"/>
      <c r="H177" s="31"/>
      <c r="I177" s="26"/>
      <c r="J177" s="51"/>
      <c r="K177" s="26"/>
      <c r="L177" s="26" t="s">
        <v>140</v>
      </c>
      <c r="M177" s="39">
        <v>1</v>
      </c>
      <c r="N177" s="26"/>
      <c r="O177" s="26"/>
      <c r="P177" s="49"/>
      <c r="Q177" s="52">
        <v>1380000</v>
      </c>
      <c r="R177" s="39" t="s">
        <v>226</v>
      </c>
      <c r="S177" s="53">
        <v>0.17</v>
      </c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1380000</v>
      </c>
      <c r="X177" s="54">
        <f>IF(NOTA[[#This Row],[JUMLAH]]="","",NOTA[[#This Row],[JUMLAH]]*NOTA[[#This Row],[DISC 1]])</f>
        <v>234600.00000000003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234600.00000000003</v>
      </c>
      <c r="AA177" s="54">
        <f>IF(NOTA[[#This Row],[JUMLAH]]="","",NOTA[[#This Row],[JUMLAH]]-NOTA[[#This Row],[DISC]])</f>
        <v>1145400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77" s="54" t="str">
        <f>IF(OR(NOTA[[#This Row],[QTY]]="",NOTA[[#This Row],[HARGA SATUAN]]="",),"",NOTA[[#This Row],[QTY]]*NOTA[[#This Row],[HARGA SATUAN]])</f>
        <v/>
      </c>
      <c r="AF177" s="51">
        <f ca="1">IF(NOTA[ID_H]="","",INDEX(NOTA[TANGGAL],MATCH(,INDIRECT(ADDRESS(ROW(NOTA[TANGGAL]),COLUMN(NOTA[TANGGAL]))&amp;":"&amp;ADDRESS(ROW(),COLUMN(NOTA[TANGGAL]))),-1)))</f>
        <v>45027</v>
      </c>
      <c r="AG177" s="65" t="str">
        <f ca="1">IF(NOTA[[#This Row],[NAMA BARANG]]="","",INDEX(NOTA[SUPPLIER],MATCH(,INDIRECT(ADDRESS(ROW(NOTA[ID]),COLUMN(NOTA[ID]))&amp;":"&amp;ADDRESS(ROW(),COLUMN(NOTA[ID]))),-1)))</f>
        <v>KENKO SINAR INDONESIA</v>
      </c>
      <c r="AH177" s="65" t="str">
        <f ca="1">IF(NOTA[[#This Row],[ID_H]]="","",IF(NOTA[[#This Row],[FAKTUR]]="",INDIRECT(ADDRESS(ROW()-1,COLUMN())),NOTA[[#This Row],[FAKTUR]]))</f>
        <v>ARTO MORO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4</v>
      </c>
      <c r="AK1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38" t="str">
        <f>IF(NOTA[[#This Row],[CONCAT4]]="","",_xlfn.IFNA(MATCH(NOTA[[#This Row],[CONCAT4]],[2]!RAW[CONCAT_H],0),FALSE))</f>
        <v/>
      </c>
      <c r="AP177" s="174">
        <f>IF(NOTA[[#This Row],[CONCAT1]]="","",MATCH(NOTA[[#This Row],[CONCAT1]],[3]!db[NB NOTA_C],0)+1)</f>
        <v>46</v>
      </c>
    </row>
    <row r="178" spans="1:42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41</v>
      </c>
      <c r="E178" s="23"/>
      <c r="F178" s="26"/>
      <c r="G178" s="26"/>
      <c r="H178" s="31"/>
      <c r="I178" s="26"/>
      <c r="J178" s="51"/>
      <c r="K178" s="26"/>
      <c r="L178" s="26" t="s">
        <v>141</v>
      </c>
      <c r="M178" s="39">
        <v>2</v>
      </c>
      <c r="N178" s="26"/>
      <c r="O178" s="26"/>
      <c r="P178" s="49"/>
      <c r="Q178" s="52">
        <v>1200000</v>
      </c>
      <c r="R178" s="39" t="s">
        <v>248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2400000</v>
      </c>
      <c r="X178" s="54">
        <f>IF(NOTA[[#This Row],[JUMLAH]]="","",NOTA[[#This Row],[JUMLAH]]*NOTA[[#This Row],[DISC 1]])</f>
        <v>408000.00000000006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408000.00000000006</v>
      </c>
      <c r="AA178" s="54">
        <f>IF(NOTA[[#This Row],[JUMLAH]]="","",NOTA[[#This Row],[JUMLAH]]-NOTA[[#This Row],[DISC]])</f>
        <v>1992000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45027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4</v>
      </c>
      <c r="AK1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38" t="str">
        <f>IF(NOTA[[#This Row],[CONCAT4]]="","",_xlfn.IFNA(MATCH(NOTA[[#This Row],[CONCAT4]],[2]!RAW[CONCAT_H],0),FALSE))</f>
        <v/>
      </c>
      <c r="AP178" s="174">
        <f>IF(NOTA[[#This Row],[CONCAT1]]="","",MATCH(NOTA[[#This Row],[CONCAT1]],[3]!db[NB NOTA_C],0)+1)</f>
        <v>47</v>
      </c>
    </row>
    <row r="179" spans="1:42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41</v>
      </c>
      <c r="E179" s="23"/>
      <c r="F179" s="26"/>
      <c r="G179" s="26"/>
      <c r="H179" s="31"/>
      <c r="I179" s="26"/>
      <c r="J179" s="51"/>
      <c r="K179" s="26"/>
      <c r="L179" s="26" t="s">
        <v>371</v>
      </c>
      <c r="M179" s="39">
        <v>5</v>
      </c>
      <c r="N179" s="26"/>
      <c r="O179" s="26"/>
      <c r="P179" s="49"/>
      <c r="Q179" s="52">
        <v>1050000</v>
      </c>
      <c r="R179" s="39" t="s">
        <v>373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5250000</v>
      </c>
      <c r="X179" s="54">
        <f>IF(NOTA[[#This Row],[JUMLAH]]="","",NOTA[[#This Row],[JUMLAH]]*NOTA[[#This Row],[DISC 1]])</f>
        <v>892500.00000000012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892500.00000000012</v>
      </c>
      <c r="AA179" s="54">
        <f>IF(NOTA[[#This Row],[JUMLAH]]="","",NOTA[[#This Row],[JUMLAH]]-NOTA[[#This Row],[DISC]])</f>
        <v>4357500</v>
      </c>
      <c r="AB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7413768</v>
      </c>
      <c r="AC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36196632</v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45027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4</v>
      </c>
      <c r="AK179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38" t="str">
        <f>IF(NOTA[[#This Row],[CONCAT4]]="","",_xlfn.IFNA(MATCH(NOTA[[#This Row],[CONCAT4]],[2]!RAW[CONCAT_H],0),FALSE))</f>
        <v/>
      </c>
      <c r="AP179" s="174">
        <f>IF(NOTA[[#This Row],[CONCAT1]]="","",MATCH(NOTA[[#This Row],[CONCAT1]],[3]!db[NB NOTA_C],0)+1)</f>
        <v>534</v>
      </c>
    </row>
    <row r="180" spans="1:42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49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38" t="str">
        <f>IF(NOTA[[#This Row],[CONCAT4]]="","",_xlfn.IFNA(MATCH(NOTA[[#This Row],[CONCAT4]],[2]!RAW[CONCAT_H],0),FALSE))</f>
        <v/>
      </c>
      <c r="AP180" s="174" t="str">
        <f>IF(NOTA[[#This Row],[CONCAT1]]="","",MATCH(NOTA[[#This Row],[CONCAT1]],[3]!db[NB NOTA_C],0)+1)</f>
        <v/>
      </c>
    </row>
    <row r="181" spans="1:42" ht="20.100000000000001" customHeight="1" x14ac:dyDescent="0.25">
      <c r="A18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8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SBS_1104_7B1-3</v>
      </c>
      <c r="C181" s="50" t="e">
        <f ca="1">IF(NOTA[[#This Row],[ID_P]]="","",MATCH(NOTA[[#This Row],[ID_P]],[1]!B_MSK[N_ID],0))</f>
        <v>#REF!</v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 t="s">
        <v>315</v>
      </c>
      <c r="G181" s="26" t="s">
        <v>176</v>
      </c>
      <c r="H181" s="31" t="s">
        <v>378</v>
      </c>
      <c r="I181" s="51"/>
      <c r="J181" s="51">
        <v>45021</v>
      </c>
      <c r="K181" s="26"/>
      <c r="L181" s="26" t="s">
        <v>380</v>
      </c>
      <c r="M181" s="39">
        <v>5</v>
      </c>
      <c r="N181" s="26">
        <v>150</v>
      </c>
      <c r="O181" s="26" t="s">
        <v>198</v>
      </c>
      <c r="P181" s="49">
        <v>88400</v>
      </c>
      <c r="Q181" s="52"/>
      <c r="R181" s="39"/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13260000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13260000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1" s="54">
        <f>IF(OR(NOTA[[#This Row],[QTY]]="",NOTA[[#This Row],[HARGA SATUAN]]="",),"",NOTA[[#This Row],[QTY]]*NOTA[[#This Row],[HARGA SATUAN]])</f>
        <v>13260000</v>
      </c>
      <c r="AF181" s="51">
        <f ca="1">IF(NOTA[ID_H]="","",INDEX(NOTA[TANGGAL],MATCH(,INDIRECT(ADDRESS(ROW(NOTA[TANGGAL]),COLUMN(NOTA[TANGGAL]))&amp;":"&amp;ADDRESS(ROW(),COLUMN(NOTA[TANGGAL]))),-1)))</f>
        <v>45027</v>
      </c>
      <c r="AG181" s="65" t="str">
        <f ca="1">IF(NOTA[[#This Row],[NAMA BARANG]]="","",INDEX(NOTA[SUPPLIER],MATCH(,INDIRECT(ADDRESS(ROW(NOTA[ID]),COLUMN(NOTA[ID]))&amp;":"&amp;ADDRESS(ROW(),COLUMN(NOTA[ID]))),-1)))</f>
        <v>SBS</v>
      </c>
      <c r="AH181" s="65" t="str">
        <f ca="1">IF(NOTA[[#This Row],[ID_H]]="","",IF(NOTA[[#This Row],[FAKTUR]]="",INDIRECT(ADDRESS(ROW()-1,COLUMN())),NOTA[[#This Row],[FAKTUR]]))</f>
        <v>UNTANA</v>
      </c>
      <c r="AI181" s="38">
        <f ca="1">IF(NOTA[[#This Row],[ID]]="","",COUNTIF(NOTA[ID_H],NOTA[[#This Row],[ID_H]]))</f>
        <v>3</v>
      </c>
      <c r="AJ181" s="38">
        <f>IF(NOTA[[#This Row],[TGL.NOTA]]="",IF(NOTA[[#This Row],[SUPPLIER_H]]="","",AJ180),MONTH(NOTA[[#This Row],[TGL.NOTA]]))</f>
        <v>4</v>
      </c>
      <c r="AK181" s="38" t="str">
        <f>LOWER(SUBSTITUTE(SUBSTITUTE(SUBSTITUTE(SUBSTITUTE(SUBSTITUTE(SUBSTITUTE(SUBSTITUTE(SUBSTITUTE(SUBSTITUTE(NOTA[NAMA BARANG]," ",),".",""),"-",""),"(",""),")",""),",",""),"/",""),"""",""),"+",""))</f>
        <v>correctiontapexdm50265x30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correctiontapexdm50265x302652000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correctiontapexdm50265x302652000</v>
      </c>
      <c r="AN18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SBSUNTANAVD0107B145021correctiontapexdm50265x30</v>
      </c>
      <c r="AO181" s="38" t="e">
        <f>IF(NOTA[[#This Row],[CONCAT4]]="","",_xlfn.IFNA(MATCH(NOTA[[#This Row],[CONCAT4]],[2]!RAW[CONCAT_H],0),FALSE))</f>
        <v>#REF!</v>
      </c>
      <c r="AP181" s="174">
        <f>IF(NOTA[[#This Row],[CONCAT1]]="","",MATCH(NOTA[[#This Row],[CONCAT1]],[3]!db[NB NOTA_C],0)+1)</f>
        <v>2399</v>
      </c>
    </row>
    <row r="182" spans="1:42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379</v>
      </c>
      <c r="M182" s="39">
        <v>5</v>
      </c>
      <c r="N182" s="26">
        <v>150</v>
      </c>
      <c r="O182" s="26" t="s">
        <v>198</v>
      </c>
      <c r="P182" s="49">
        <v>88400</v>
      </c>
      <c r="Q182" s="52"/>
      <c r="R182" s="39"/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13260000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13260000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2" s="54">
        <f>IF(OR(NOTA[[#This Row],[QTY]]="",NOTA[[#This Row],[HARGA SATUAN]]="",),"",NOTA[[#This Row],[QTY]]*NOTA[[#This Row],[HARGA SATUAN]])</f>
        <v>13260000</v>
      </c>
      <c r="AF182" s="51">
        <f ca="1">IF(NOTA[ID_H]="","",INDEX(NOTA[TANGGAL],MATCH(,INDIRECT(ADDRESS(ROW(NOTA[TANGGAL]),COLUMN(NOTA[TANGGAL]))&amp;":"&amp;ADDRESS(ROW(),COLUMN(NOTA[TANGGAL]))),-1)))</f>
        <v>45027</v>
      </c>
      <c r="AG182" s="65" t="str">
        <f ca="1">IF(NOTA[[#This Row],[NAMA BARANG]]="","",INDEX(NOTA[SUPPLIER],MATCH(,INDIRECT(ADDRESS(ROW(NOTA[ID]),COLUMN(NOTA[ID]))&amp;":"&amp;ADDRESS(ROW(),COLUMN(NOTA[ID]))),-1)))</f>
        <v>SBS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4</v>
      </c>
      <c r="AK182" s="38" t="str">
        <f>LOWER(SUBSTITUTE(SUBSTITUTE(SUBSTITUTE(SUBSTITUTE(SUBSTITUTE(SUBSTITUTE(SUBSTITUTE(SUBSTITUTE(SUBSTITUTE(NOTA[NAMA BARANG]," ",),".",""),"-",""),"(",""),")",""),",",""),"/",""),"""",""),"+",""))</f>
        <v>correctiontapexdm50375x30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correctiontapexdm50375x302652000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correctiontapexdm50375x302652000</v>
      </c>
      <c r="AN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38" t="str">
        <f>IF(NOTA[[#This Row],[CONCAT4]]="","",_xlfn.IFNA(MATCH(NOTA[[#This Row],[CONCAT4]],[2]!RAW[CONCAT_H],0),FALSE))</f>
        <v/>
      </c>
      <c r="AP182" s="174">
        <f>IF(NOTA[[#This Row],[CONCAT1]]="","",MATCH(NOTA[[#This Row],[CONCAT1]],[3]!db[NB NOTA_C],0)+1)</f>
        <v>2400</v>
      </c>
    </row>
    <row r="183" spans="1:42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381</v>
      </c>
      <c r="M183" s="39">
        <v>5</v>
      </c>
      <c r="N183" s="26">
        <v>150</v>
      </c>
      <c r="O183" s="26" t="s">
        <v>198</v>
      </c>
      <c r="P183" s="49">
        <v>88400</v>
      </c>
      <c r="Q183" s="52"/>
      <c r="R183" s="39"/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13260000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13260000</v>
      </c>
      <c r="AB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39780000</v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3" s="54">
        <f>IF(OR(NOTA[[#This Row],[QTY]]="",NOTA[[#This Row],[HARGA SATUAN]]="",),"",NOTA[[#This Row],[QTY]]*NOTA[[#This Row],[HARGA SATUAN]])</f>
        <v>13260000</v>
      </c>
      <c r="AF183" s="51">
        <f ca="1">IF(NOTA[ID_H]="","",INDEX(NOTA[TANGGAL],MATCH(,INDIRECT(ADDRESS(ROW(NOTA[TANGGAL]),COLUMN(NOTA[TANGGAL]))&amp;":"&amp;ADDRESS(ROW(),COLUMN(NOTA[TANGGAL]))),-1)))</f>
        <v>45027</v>
      </c>
      <c r="AG183" s="65" t="str">
        <f ca="1">IF(NOTA[[#This Row],[NAMA BARANG]]="","",INDEX(NOTA[SUPPLIER],MATCH(,INDIRECT(ADDRESS(ROW(NOTA[ID]),COLUMN(NOTA[ID]))&amp;":"&amp;ADDRESS(ROW(),COLUMN(NOTA[ID]))),-1)))</f>
        <v>SBS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4</v>
      </c>
      <c r="AK183" s="38" t="str">
        <f>LOWER(SUBSTITUTE(SUBSTITUTE(SUBSTITUTE(SUBSTITUTE(SUBSTITUTE(SUBSTITUTE(SUBSTITUTE(SUBSTITUTE(SUBSTITUTE(NOTA[NAMA BARANG]," ",),".",""),"-",""),"(",""),")",""),",",""),"/",""),"""",""),"+",""))</f>
        <v>correctiontapexdm60805x30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correctiontapexdm60805x302652000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correctiontapexdm60805x302652000</v>
      </c>
      <c r="AN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38" t="str">
        <f>IF(NOTA[[#This Row],[CONCAT4]]="","",_xlfn.IFNA(MATCH(NOTA[[#This Row],[CONCAT4]],[2]!RAW[CONCAT_H],0),FALSE))</f>
        <v/>
      </c>
      <c r="AP183" s="174">
        <f>IF(NOTA[[#This Row],[CONCAT1]]="","",MATCH(NOTA[[#This Row],[CONCAT1]],[3]!db[NB NOTA_C],0)+1)</f>
        <v>2401</v>
      </c>
    </row>
    <row r="184" spans="1:42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49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38" t="str">
        <f>IF(NOTA[[#This Row],[CONCAT4]]="","",_xlfn.IFNA(MATCH(NOTA[[#This Row],[CONCAT4]],[2]!RAW[CONCAT_H],0),FALSE))</f>
        <v/>
      </c>
      <c r="AP184" s="174" t="str">
        <f>IF(NOTA[[#This Row],[CONCAT1]]="","",MATCH(NOTA[[#This Row],[CONCAT1]],[3]!db[NB NOTA_C],0)+1)</f>
        <v/>
      </c>
    </row>
    <row r="185" spans="1:42" ht="20.100000000000001" customHeight="1" x14ac:dyDescent="0.25">
      <c r="A185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ETJ_1004_423-1</v>
      </c>
      <c r="C185" s="50" t="e">
        <f ca="1">IF(NOTA[[#This Row],[ID_P]]="","",MATCH(NOTA[[#This Row],[ID_P]],[1]!B_MSK[N_ID],0))</f>
        <v>#REF!</v>
      </c>
      <c r="D185" s="50">
        <f ca="1">IF(NOTA[[#This Row],[NAMA BARANG]]="","",INDEX(NOTA[ID],MATCH(,INDIRECT(ADDRESS(ROW(NOTA[ID]),COLUMN(NOTA[ID]))&amp;":"&amp;ADDRESS(ROW(),COLUMN(NOTA[ID]))),-1)))</f>
        <v>43</v>
      </c>
      <c r="E185" s="23">
        <v>45026</v>
      </c>
      <c r="F185" s="26" t="s">
        <v>304</v>
      </c>
      <c r="G185" s="26" t="s">
        <v>176</v>
      </c>
      <c r="H185" s="31" t="s">
        <v>382</v>
      </c>
      <c r="I185" s="26"/>
      <c r="J185" s="51">
        <v>45021</v>
      </c>
      <c r="K185" s="26"/>
      <c r="L185" s="26" t="s">
        <v>383</v>
      </c>
      <c r="M185" s="39">
        <v>2</v>
      </c>
      <c r="N185" s="26">
        <v>6400</v>
      </c>
      <c r="O185" s="26" t="s">
        <v>198</v>
      </c>
      <c r="P185" s="49">
        <v>675</v>
      </c>
      <c r="Q185" s="52"/>
      <c r="R185" s="39" t="s">
        <v>384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4320000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4320000</v>
      </c>
      <c r="AB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5" s="54">
        <f>IF(OR(NOTA[[#This Row],[QTY]]="",NOTA[[#This Row],[HARGA SATUAN]]="",),"",NOTA[[#This Row],[QTY]]*NOTA[[#This Row],[HARGA SATUAN]])</f>
        <v>4320000</v>
      </c>
      <c r="AF185" s="51">
        <f ca="1">IF(NOTA[ID_H]="","",INDEX(NOTA[TANGGAL],MATCH(,INDIRECT(ADDRESS(ROW(NOTA[TANGGAL]),COLUMN(NOTA[TANGGAL]))&amp;":"&amp;ADDRESS(ROW(),COLUMN(NOTA[TANGGAL]))),-1)))</f>
        <v>45026</v>
      </c>
      <c r="AG185" s="65" t="str">
        <f ca="1">IF(NOTA[[#This Row],[NAMA BARANG]]="","",INDEX(NOTA[SUPPLIER],MATCH(,INDIRECT(ADDRESS(ROW(NOTA[ID]),COLUMN(NOTA[ID]))&amp;":"&amp;ADDRESS(ROW(),COLUMN(NOTA[ID]))),-1)))</f>
        <v>ETJ</v>
      </c>
      <c r="AH185" s="65" t="str">
        <f ca="1">IF(NOTA[[#This Row],[ID_H]]="","",IF(NOTA[[#This Row],[FAKTUR]]="",INDIRECT(ADDRESS(ROW()-1,COLUMN())),NOTA[[#This Row],[FAKTUR]]))</f>
        <v>UNTANA</v>
      </c>
      <c r="AI185" s="38">
        <f ca="1">IF(NOTA[[#This Row],[ID]]="","",COUNTIF(NOTA[ID_H],NOTA[[#This Row],[ID_H]]))</f>
        <v>1</v>
      </c>
      <c r="AJ185" s="38">
        <f>IF(NOTA[[#This Row],[TGL.NOTA]]="",IF(NOTA[[#This Row],[SUPPLIER_H]]="","",AJ184),MONTH(NOTA[[#This Row],[TGL.NOTA]]))</f>
        <v>4</v>
      </c>
      <c r="AK185" s="38" t="str">
        <f>LOWER(SUBSTITUTE(SUBSTITUTE(SUBSTITUTE(SUBSTITUTE(SUBSTITUTE(SUBSTITUTE(SUBSTITUTE(SUBSTITUTE(SUBSTITUTE(NOTA[NAMA BARANG]," ",),".",""),"-",""),"(",""),")",""),",",""),"/",""),"""",""),"+",""))</f>
        <v>entercardcaseb4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entercardcaseb42160000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entercardcaseb42160000</v>
      </c>
      <c r="AN18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ETJUNTANAF44.2345021entercardcaseb4</v>
      </c>
      <c r="AO185" s="38" t="e">
        <f>IF(NOTA[[#This Row],[CONCAT4]]="","",_xlfn.IFNA(MATCH(NOTA[[#This Row],[CONCAT4]],[2]!RAW[CONCAT_H],0),FALSE))</f>
        <v>#REF!</v>
      </c>
      <c r="AP185" s="174">
        <f>IF(NOTA[[#This Row],[CONCAT1]]="","",MATCH(NOTA[[#This Row],[CONCAT1]],[3]!db[NB NOTA_C],0)+1)</f>
        <v>2398</v>
      </c>
    </row>
    <row r="186" spans="1:42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38" t="str">
        <f>IF(NOTA[[#This Row],[CONCAT4]]="","",_xlfn.IFNA(MATCH(NOTA[[#This Row],[CONCAT4]],[2]!RAW[CONCAT_H],0),FALSE))</f>
        <v/>
      </c>
      <c r="AP186" s="174" t="str">
        <f>IF(NOTA[[#This Row],[CONCAT1]]="","",MATCH(NOTA[[#This Row],[CONCAT1]],[3]!db[NB NOTA_C],0)+1)</f>
        <v/>
      </c>
    </row>
    <row r="187" spans="1:42" ht="20.100000000000001" customHeight="1" x14ac:dyDescent="0.25">
      <c r="A187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KEN_1204_797-2</v>
      </c>
      <c r="C187" s="50" t="e">
        <f ca="1">IF(NOTA[[#This Row],[ID_P]]="","",MATCH(NOTA[[#This Row],[ID_P]],[1]!B_MSK[N_ID],0))</f>
        <v>#REF!</v>
      </c>
      <c r="D187" s="50">
        <f ca="1">IF(NOTA[[#This Row],[NAMA BARANG]]="","",INDEX(NOTA[ID],MATCH(,INDIRECT(ADDRESS(ROW(NOTA[ID]),COLUMN(NOTA[ID]))&amp;":"&amp;ADDRESS(ROW(),COLUMN(NOTA[ID]))),-1)))</f>
        <v>44</v>
      </c>
      <c r="E187" s="23">
        <v>45028</v>
      </c>
      <c r="F187" s="26" t="s">
        <v>23</v>
      </c>
      <c r="G187" s="26" t="s">
        <v>24</v>
      </c>
      <c r="H187" s="31" t="s">
        <v>385</v>
      </c>
      <c r="I187" s="26" t="s">
        <v>390</v>
      </c>
      <c r="J187" s="51">
        <v>45027</v>
      </c>
      <c r="K187" s="26"/>
      <c r="L187" s="26" t="s">
        <v>388</v>
      </c>
      <c r="M187" s="39">
        <v>1</v>
      </c>
      <c r="N187" s="26"/>
      <c r="O187" s="26"/>
      <c r="P187" s="49"/>
      <c r="Q187" s="52">
        <v>1150000</v>
      </c>
      <c r="R187" s="39" t="s">
        <v>389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1150000</v>
      </c>
      <c r="X187" s="54">
        <f>IF(NOTA[[#This Row],[JUMLAH]]="","",NOTA[[#This Row],[JUMLAH]]*NOTA[[#This Row],[DISC 1]])</f>
        <v>195500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195500</v>
      </c>
      <c r="AA187" s="54">
        <f>IF(NOTA[[#This Row],[JUMLAH]]="","",NOTA[[#This Row],[JUMLAH]]-NOTA[[#This Row],[DISC]])</f>
        <v>954500</v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45028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>
        <f ca="1">IF(NOTA[[#This Row],[ID]]="","",COUNTIF(NOTA[ID_H],NOTA[[#This Row],[ID_H]]))</f>
        <v>2</v>
      </c>
      <c r="AJ187" s="38">
        <f>IF(NOTA[[#This Row],[TGL.NOTA]]="",IF(NOTA[[#This Row],[SUPPLIER_H]]="","",AJ186),MONTH(NOTA[[#This Row],[TGL.NOTA]]))</f>
        <v>4</v>
      </c>
      <c r="AK187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8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MORO23040797SA 4104645027kenkolaminatingfilmlf1002234fc@100pcs</v>
      </c>
      <c r="AO187" s="38" t="e">
        <f>IF(NOTA[[#This Row],[CONCAT4]]="","",_xlfn.IFNA(MATCH(NOTA[[#This Row],[CONCAT4]],[2]!RAW[CONCAT_H],0),FALSE))</f>
        <v>#REF!</v>
      </c>
      <c r="AP187" s="174">
        <f>IF(NOTA[[#This Row],[CONCAT1]]="","",MATCH(NOTA[[#This Row],[CONCAT1]],[3]!db[NB NOTA_C],0)+1)</f>
        <v>538</v>
      </c>
    </row>
    <row r="188" spans="1:42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>
        <f ca="1">IF(NOTA[[#This Row],[NAMA BARANG]]="","",INDEX(NOTA[ID],MATCH(,INDIRECT(ADDRESS(ROW(NOTA[ID]),COLUMN(NOTA[ID]))&amp;":"&amp;ADDRESS(ROW(),COLUMN(NOTA[ID]))),-1)))</f>
        <v>44</v>
      </c>
      <c r="E188" s="23"/>
      <c r="F188" s="26"/>
      <c r="G188" s="26"/>
      <c r="H188" s="31"/>
      <c r="I188" s="26"/>
      <c r="J188" s="51"/>
      <c r="K188" s="26"/>
      <c r="L188" s="26" t="s">
        <v>108</v>
      </c>
      <c r="M188" s="39">
        <v>2</v>
      </c>
      <c r="N188" s="26"/>
      <c r="O188" s="26"/>
      <c r="P188" s="49"/>
      <c r="Q188" s="52">
        <v>2208000</v>
      </c>
      <c r="R188" s="39" t="s">
        <v>226</v>
      </c>
      <c r="S188" s="53">
        <v>0.17</v>
      </c>
      <c r="T188" s="53"/>
      <c r="U188" s="54"/>
      <c r="V188" s="37"/>
      <c r="W188" s="54">
        <f>IF(NOTA[[#This Row],[HARGA/ CTN]]="",NOTA[[#This Row],[JUMLAH_H]],NOTA[[#This Row],[HARGA/ CTN]]*IF(NOTA[[#This Row],[C]]="",0,NOTA[[#This Row],[C]]))</f>
        <v>4416000</v>
      </c>
      <c r="X188" s="54">
        <f>IF(NOTA[[#This Row],[JUMLAH]]="","",NOTA[[#This Row],[JUMLAH]]*NOTA[[#This Row],[DISC 1]])</f>
        <v>750720</v>
      </c>
      <c r="Y188" s="54">
        <f>IF(NOTA[[#This Row],[JUMLAH]]="","",(NOTA[[#This Row],[JUMLAH]]-NOTA[[#This Row],[DISC 1-]])*NOTA[[#This Row],[DISC 2]])</f>
        <v>0</v>
      </c>
      <c r="Z188" s="54">
        <f>IF(NOTA[[#This Row],[JUMLAH]]="","",NOTA[[#This Row],[DISC 1-]]+NOTA[[#This Row],[DISC 2-]])</f>
        <v>750720</v>
      </c>
      <c r="AA188" s="54">
        <f>IF(NOTA[[#This Row],[JUMLAH]]="","",NOTA[[#This Row],[JUMLAH]]-NOTA[[#This Row],[DISC]])</f>
        <v>3665280</v>
      </c>
      <c r="AB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946220</v>
      </c>
      <c r="AC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4619780</v>
      </c>
      <c r="AD188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88" s="54" t="str">
        <f>IF(OR(NOTA[[#This Row],[QTY]]="",NOTA[[#This Row],[HARGA SATUAN]]="",),"",NOTA[[#This Row],[QTY]]*NOTA[[#This Row],[HARGA SATUAN]])</f>
        <v/>
      </c>
      <c r="AF188" s="51">
        <f ca="1">IF(NOTA[ID_H]="","",INDEX(NOTA[TANGGAL],MATCH(,INDIRECT(ADDRESS(ROW(NOTA[TANGGAL]),COLUMN(NOTA[TANGGAL]))&amp;":"&amp;ADDRESS(ROW(),COLUMN(NOTA[TANGGAL]))),-1)))</f>
        <v>45028</v>
      </c>
      <c r="AG188" s="65" t="str">
        <f ca="1">IF(NOTA[[#This Row],[NAMA BARANG]]="","",INDEX(NOTA[SUPPLIER],MATCH(,INDIRECT(ADDRESS(ROW(NOTA[ID]),COLUMN(NOTA[ID]))&amp;":"&amp;ADDRESS(ROW(),COLUMN(NOTA[ID]))),-1)))</f>
        <v>KENKO SINAR INDONESIA</v>
      </c>
      <c r="AH188" s="65" t="str">
        <f ca="1">IF(NOTA[[#This Row],[ID_H]]="","",IF(NOTA[[#This Row],[FAKTUR]]="",INDIRECT(ADDRESS(ROW()-1,COLUMN())),NOTA[[#This Row],[FAKTUR]]))</f>
        <v>ARTO MORO</v>
      </c>
      <c r="AI188" s="38" t="str">
        <f ca="1">IF(NOTA[[#This Row],[ID]]="","",COUNTIF(NOTA[ID_H],NOTA[[#This Row],[ID_H]]))</f>
        <v/>
      </c>
      <c r="AJ188" s="38">
        <f ca="1">IF(NOTA[[#This Row],[TGL.NOTA]]="",IF(NOTA[[#This Row],[SUPPLIER_H]]="","",AJ187),MONTH(NOTA[[#This Row],[TGL.NOTA]]))</f>
        <v>4</v>
      </c>
      <c r="AK188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38" t="str">
        <f>IF(NOTA[[#This Row],[CONCAT4]]="","",_xlfn.IFNA(MATCH(NOTA[[#This Row],[CONCAT4]],[2]!RAW[CONCAT_H],0),FALSE))</f>
        <v/>
      </c>
      <c r="AP188" s="174">
        <f>IF(NOTA[[#This Row],[CONCAT1]]="","",MATCH(NOTA[[#This Row],[CONCAT1]],[3]!db[NB NOTA_C],0)+1)</f>
        <v>658</v>
      </c>
    </row>
    <row r="189" spans="1:42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26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38" t="str">
        <f>IF(NOTA[[#This Row],[CONCAT4]]="","",_xlfn.IFNA(MATCH(NOTA[[#This Row],[CONCAT4]],[2]!RAW[CONCAT_H],0),FALSE))</f>
        <v/>
      </c>
      <c r="AP189" s="174" t="str">
        <f>IF(NOTA[[#This Row],[CONCAT1]]="","",MATCH(NOTA[[#This Row],[CONCAT1]],[3]!db[NB NOTA_C],0)+1)</f>
        <v/>
      </c>
    </row>
    <row r="190" spans="1:42" ht="20.100000000000001" customHeight="1" x14ac:dyDescent="0.25">
      <c r="A19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1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KEN_1204_745-3</v>
      </c>
      <c r="C190" s="50" t="e">
        <f ca="1">IF(NOTA[[#This Row],[ID_P]]="","",MATCH(NOTA[[#This Row],[ID_P]],[1]!B_MSK[N_ID],0))</f>
        <v>#REF!</v>
      </c>
      <c r="D190" s="50">
        <f ca="1">IF(NOTA[[#This Row],[NAMA BARANG]]="","",INDEX(NOTA[ID],MATCH(,INDIRECT(ADDRESS(ROW(NOTA[ID]),COLUMN(NOTA[ID]))&amp;":"&amp;ADDRESS(ROW(),COLUMN(NOTA[ID]))),-1)))</f>
        <v>45</v>
      </c>
      <c r="E190" s="23"/>
      <c r="F190" s="26" t="s">
        <v>23</v>
      </c>
      <c r="G190" s="26" t="s">
        <v>24</v>
      </c>
      <c r="H190" s="31" t="s">
        <v>386</v>
      </c>
      <c r="I190" s="26" t="s">
        <v>391</v>
      </c>
      <c r="J190" s="51">
        <v>45027</v>
      </c>
      <c r="K190" s="26"/>
      <c r="L190" s="26" t="s">
        <v>109</v>
      </c>
      <c r="M190" s="39">
        <v>6</v>
      </c>
      <c r="N190" s="26"/>
      <c r="O190" s="26"/>
      <c r="P190" s="49"/>
      <c r="Q190" s="52">
        <v>1954800</v>
      </c>
      <c r="R190" s="39"/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11728800</v>
      </c>
      <c r="X190" s="54">
        <f>IF(NOTA[[#This Row],[JUMLAH]]="","",NOTA[[#This Row],[JUMLAH]]*NOTA[[#This Row],[DISC 1]])</f>
        <v>1993896.0000000002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1993896.0000000002</v>
      </c>
      <c r="AA190" s="54">
        <f>IF(NOTA[[#This Row],[JUMLAH]]="","",NOTA[[#This Row],[JUMLAH]]-NOTA[[#This Row],[DISC]])</f>
        <v>9734904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45028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>
        <f ca="1">IF(NOTA[[#This Row],[ID]]="","",COUNTIF(NOTA[ID_H],NOTA[[#This Row],[ID_H]]))</f>
        <v>3</v>
      </c>
      <c r="AJ190" s="38">
        <f>IF(NOTA[[#This Row],[TGL.NOTA]]="",IF(NOTA[[#This Row],[SUPPLIER_H]]="","",AJ189),MONTH(NOTA[[#This Row],[TGL.NOTA]]))</f>
        <v>4</v>
      </c>
      <c r="AK190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1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MORO23040745SA 4104345027kenkocorrectionfluidke01</v>
      </c>
      <c r="AO190" s="38" t="e">
        <f>IF(NOTA[[#This Row],[CONCAT4]]="","",_xlfn.IFNA(MATCH(NOTA[[#This Row],[CONCAT4]],[2]!RAW[CONCAT_H],0),FALSE))</f>
        <v>#REF!</v>
      </c>
      <c r="AP190" s="174">
        <f>IF(NOTA[[#This Row],[CONCAT1]]="","",MATCH(NOTA[[#This Row],[CONCAT1]],[3]!db[NB NOTA_C],0)+1)</f>
        <v>212</v>
      </c>
    </row>
    <row r="191" spans="1:42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45</v>
      </c>
      <c r="E191" s="23"/>
      <c r="F191" s="26"/>
      <c r="G191" s="26"/>
      <c r="H191" s="31"/>
      <c r="I191" s="26"/>
      <c r="J191" s="51"/>
      <c r="K191" s="26"/>
      <c r="L191" s="26" t="s">
        <v>387</v>
      </c>
      <c r="M191" s="39">
        <v>2</v>
      </c>
      <c r="N191" s="26"/>
      <c r="O191" s="26"/>
      <c r="P191" s="49"/>
      <c r="Q191" s="52">
        <v>3888000</v>
      </c>
      <c r="R191" s="39"/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7776000</v>
      </c>
      <c r="X191" s="54">
        <f>IF(NOTA[[#This Row],[JUMLAH]]="","",NOTA[[#This Row],[JUMLAH]]*NOTA[[#This Row],[DISC 1]])</f>
        <v>1321920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1321920</v>
      </c>
      <c r="AA191" s="54">
        <f>IF(NOTA[[#This Row],[JUMLAH]]="","",NOTA[[#This Row],[JUMLAH]]-NOTA[[#This Row],[DISC]])</f>
        <v>6454080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45028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4</v>
      </c>
      <c r="AK19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38" t="str">
        <f>IF(NOTA[[#This Row],[CONCAT4]]="","",_xlfn.IFNA(MATCH(NOTA[[#This Row],[CONCAT4]],[2]!RAW[CONCAT_H],0),FALSE))</f>
        <v/>
      </c>
      <c r="AP191" s="174">
        <f>IF(NOTA[[#This Row],[CONCAT1]]="","",MATCH(NOTA[[#This Row],[CONCAT1]],[3]!db[NB NOTA_C],0)+1)</f>
        <v>479</v>
      </c>
    </row>
    <row r="192" spans="1:42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45</v>
      </c>
      <c r="E192" s="23"/>
      <c r="F192" s="26"/>
      <c r="G192" s="26"/>
      <c r="H192" s="31"/>
      <c r="I192" s="26"/>
      <c r="J192" s="51"/>
      <c r="K192" s="26"/>
      <c r="L192" s="26" t="s">
        <v>87</v>
      </c>
      <c r="M192" s="39">
        <v>4</v>
      </c>
      <c r="N192" s="26"/>
      <c r="O192" s="26"/>
      <c r="P192" s="49"/>
      <c r="Q192" s="52">
        <v>1695600</v>
      </c>
      <c r="R192" s="39"/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6782400</v>
      </c>
      <c r="X192" s="54">
        <f>IF(NOTA[[#This Row],[JUMLAH]]="","",NOTA[[#This Row],[JUMLAH]]*NOTA[[#This Row],[DISC 1]])</f>
        <v>1153008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1153008</v>
      </c>
      <c r="AA192" s="54">
        <f>IF(NOTA[[#This Row],[JUMLAH]]="","",NOTA[[#This Row],[JUMLAH]]-NOTA[[#This Row],[DISC]])</f>
        <v>5629392</v>
      </c>
      <c r="AB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4468824</v>
      </c>
      <c r="AC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21818376</v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45028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4</v>
      </c>
      <c r="AK19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38" t="str">
        <f>IF(NOTA[[#This Row],[CONCAT4]]="","",_xlfn.IFNA(MATCH(NOTA[[#This Row],[CONCAT4]],[2]!RAW[CONCAT_H],0),FALSE))</f>
        <v/>
      </c>
      <c r="AP192" s="174">
        <f>IF(NOTA[[#This Row],[CONCAT1]]="","",MATCH(NOTA[[#This Row],[CONCAT1]],[3]!db[NB NOTA_C],0)+1)</f>
        <v>214</v>
      </c>
    </row>
    <row r="193" spans="1:42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38" t="str">
        <f>IF(NOTA[[#This Row],[CONCAT4]]="","",_xlfn.IFNA(MATCH(NOTA[[#This Row],[CONCAT4]],[2]!RAW[CONCAT_H],0),FALSE))</f>
        <v/>
      </c>
      <c r="AP193" s="174" t="str">
        <f>IF(NOTA[[#This Row],[CONCAT1]]="","",MATCH(NOTA[[#This Row],[CONCAT1]],[3]!db[NB NOTA_C],0)+1)</f>
        <v/>
      </c>
    </row>
    <row r="194" spans="1:42" ht="20.100000000000001" customHeight="1" x14ac:dyDescent="0.25">
      <c r="A19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1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ATA_1204_969-5</v>
      </c>
      <c r="C194" s="50" t="e">
        <f ca="1">IF(NOTA[[#This Row],[ID_P]]="","",MATCH(NOTA[[#This Row],[ID_P]],[1]!B_MSK[N_ID],0))</f>
        <v>#REF!</v>
      </c>
      <c r="D194" s="50">
        <f ca="1">IF(NOTA[[#This Row],[NAMA BARANG]]="","",INDEX(NOTA[ID],MATCH(,INDIRECT(ADDRESS(ROW(NOTA[ID]),COLUMN(NOTA[ID]))&amp;":"&amp;ADDRESS(ROW(),COLUMN(NOTA[ID]))),-1)))</f>
        <v>46</v>
      </c>
      <c r="E194" s="23"/>
      <c r="F194" s="26" t="s">
        <v>25</v>
      </c>
      <c r="G194" s="26" t="s">
        <v>24</v>
      </c>
      <c r="H194" s="31" t="s">
        <v>392</v>
      </c>
      <c r="I194" s="26"/>
      <c r="J194" s="51">
        <v>45022</v>
      </c>
      <c r="K194" s="26"/>
      <c r="L194" s="26" t="s">
        <v>132</v>
      </c>
      <c r="M194" s="39">
        <v>15</v>
      </c>
      <c r="N194" s="26">
        <v>2160</v>
      </c>
      <c r="O194" s="26" t="s">
        <v>188</v>
      </c>
      <c r="P194" s="49">
        <v>11900</v>
      </c>
      <c r="Q194" s="52"/>
      <c r="R194" s="39" t="s">
        <v>328</v>
      </c>
      <c r="S194" s="53">
        <v>0.125</v>
      </c>
      <c r="T194" s="53">
        <v>0.08</v>
      </c>
      <c r="U194" s="54"/>
      <c r="V194" s="37"/>
      <c r="W194" s="54">
        <f>IF(NOTA[[#This Row],[HARGA/ CTN]]="",NOTA[[#This Row],[JUMLAH_H]],NOTA[[#This Row],[HARGA/ CTN]]*IF(NOTA[[#This Row],[C]]="",0,NOTA[[#This Row],[C]]))</f>
        <v>25704000</v>
      </c>
      <c r="X194" s="54">
        <f>IF(NOTA[[#This Row],[JUMLAH]]="","",NOTA[[#This Row],[JUMLAH]]*NOTA[[#This Row],[DISC 1]])</f>
        <v>3213000</v>
      </c>
      <c r="Y194" s="54">
        <f>IF(NOTA[[#This Row],[JUMLAH]]="","",(NOTA[[#This Row],[JUMLAH]]-NOTA[[#This Row],[DISC 1-]])*NOTA[[#This Row],[DISC 2]])</f>
        <v>1799280</v>
      </c>
      <c r="Z194" s="54">
        <f>IF(NOTA[[#This Row],[JUMLAH]]="","",NOTA[[#This Row],[DISC 1-]]+NOTA[[#This Row],[DISC 2-]])</f>
        <v>5012280</v>
      </c>
      <c r="AA194" s="54">
        <f>IF(NOTA[[#This Row],[JUMLAH]]="","",NOTA[[#This Row],[JUMLAH]]-NOTA[[#This Row],[DISC]])</f>
        <v>20691720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94" s="54">
        <f>IF(OR(NOTA[[#This Row],[QTY]]="",NOTA[[#This Row],[HARGA SATUAN]]="",),"",NOTA[[#This Row],[QTY]]*NOTA[[#This Row],[HARGA SATUAN]])</f>
        <v>25704000</v>
      </c>
      <c r="AF194" s="51">
        <f ca="1">IF(NOTA[ID_H]="","",INDEX(NOTA[TANGGAL],MATCH(,INDIRECT(ADDRESS(ROW(NOTA[TANGGAL]),COLUMN(NOTA[TANGGAL]))&amp;":"&amp;ADDRESS(ROW(),COLUMN(NOTA[TANGGAL]))),-1)))</f>
        <v>45028</v>
      </c>
      <c r="AG194" s="65" t="str">
        <f ca="1">IF(NOTA[[#This Row],[NAMA BARANG]]="","",INDEX(NOTA[SUPPLIER],MATCH(,INDIRECT(ADDRESS(ROW(NOTA[ID]),COLUMN(NOTA[ID]))&amp;":"&amp;ADDRESS(ROW(),COLUMN(NOTA[ID]))),-1)))</f>
        <v>ATALI MAKMUR</v>
      </c>
      <c r="AH194" s="65" t="str">
        <f ca="1">IF(NOTA[[#This Row],[ID_H]]="","",IF(NOTA[[#This Row],[FAKTUR]]="",INDIRECT(ADDRESS(ROW()-1,COLUMN())),NOTA[[#This Row],[FAKTUR]]))</f>
        <v>ARTO MORO</v>
      </c>
      <c r="AI194" s="38">
        <f ca="1">IF(NOTA[[#This Row],[ID]]="","",COUNTIF(NOTA[ID_H],NOTA[[#This Row],[ID_H]]))</f>
        <v>5</v>
      </c>
      <c r="AJ194" s="38">
        <f>IF(NOTA[[#This Row],[TGL.NOTA]]="",IF(NOTA[[#This Row],[SUPPLIER_H]]="","",AJ193),MONTH(NOTA[[#This Row],[TGL.NOTA]]))</f>
        <v>4</v>
      </c>
      <c r="AK194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MOROSA23040596945022oilpastelop12sppcaseseaworldjk</v>
      </c>
      <c r="AO194" s="38" t="e">
        <f>IF(NOTA[[#This Row],[CONCAT4]]="","",_xlfn.IFNA(MATCH(NOTA[[#This Row],[CONCAT4]],[2]!RAW[CONCAT_H],0),FALSE))</f>
        <v>#REF!</v>
      </c>
      <c r="AP194" s="174">
        <f>IF(NOTA[[#This Row],[CONCAT1]]="","",MATCH(NOTA[[#This Row],[CONCAT1]],[3]!db[NB NOTA_C],0)+1)</f>
        <v>267</v>
      </c>
    </row>
    <row r="195" spans="1:42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46</v>
      </c>
      <c r="E195" s="23"/>
      <c r="F195" s="26"/>
      <c r="G195" s="26"/>
      <c r="H195" s="31"/>
      <c r="I195" s="26"/>
      <c r="J195" s="51"/>
      <c r="K195" s="26"/>
      <c r="L195" s="26" t="s">
        <v>113</v>
      </c>
      <c r="M195" s="39">
        <v>10</v>
      </c>
      <c r="N195" s="26">
        <v>720</v>
      </c>
      <c r="O195" s="26" t="s">
        <v>188</v>
      </c>
      <c r="P195" s="49">
        <v>23000</v>
      </c>
      <c r="Q195" s="52"/>
      <c r="R195" s="39" t="s">
        <v>329</v>
      </c>
      <c r="S195" s="53">
        <v>0.125</v>
      </c>
      <c r="T195" s="53">
        <v>0.08</v>
      </c>
      <c r="U195" s="54"/>
      <c r="V195" s="37"/>
      <c r="W195" s="54">
        <f>IF(NOTA[[#This Row],[HARGA/ CTN]]="",NOTA[[#This Row],[JUMLAH_H]],NOTA[[#This Row],[HARGA/ CTN]]*IF(NOTA[[#This Row],[C]]="",0,NOTA[[#This Row],[C]]))</f>
        <v>16560000</v>
      </c>
      <c r="X195" s="54">
        <f>IF(NOTA[[#This Row],[JUMLAH]]="","",NOTA[[#This Row],[JUMLAH]]*NOTA[[#This Row],[DISC 1]])</f>
        <v>2070000</v>
      </c>
      <c r="Y195" s="54">
        <f>IF(NOTA[[#This Row],[JUMLAH]]="","",(NOTA[[#This Row],[JUMLAH]]-NOTA[[#This Row],[DISC 1-]])*NOTA[[#This Row],[DISC 2]])</f>
        <v>1159200</v>
      </c>
      <c r="Z195" s="54">
        <f>IF(NOTA[[#This Row],[JUMLAH]]="","",NOTA[[#This Row],[DISC 1-]]+NOTA[[#This Row],[DISC 2-]])</f>
        <v>3229200</v>
      </c>
      <c r="AA195" s="54">
        <f>IF(NOTA[[#This Row],[JUMLAH]]="","",NOTA[[#This Row],[JUMLAH]]-NOTA[[#This Row],[DISC]])</f>
        <v>13330800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95" s="54">
        <f>IF(OR(NOTA[[#This Row],[QTY]]="",NOTA[[#This Row],[HARGA SATUAN]]="",),"",NOTA[[#This Row],[QTY]]*NOTA[[#This Row],[HARGA SATUAN]])</f>
        <v>16560000</v>
      </c>
      <c r="AF195" s="51">
        <f ca="1">IF(NOTA[ID_H]="","",INDEX(NOTA[TANGGAL],MATCH(,INDIRECT(ADDRESS(ROW(NOTA[TANGGAL]),COLUMN(NOTA[TANGGAL]))&amp;":"&amp;ADDRESS(ROW(),COLUMN(NOTA[TANGGAL]))),-1)))</f>
        <v>45028</v>
      </c>
      <c r="AG195" s="65" t="str">
        <f ca="1">IF(NOTA[[#This Row],[NAMA BARANG]]="","",INDEX(NOTA[SUPPLIER],MATCH(,INDIRECT(ADDRESS(ROW(NOTA[ID]),COLUMN(NOTA[ID]))&amp;":"&amp;ADDRESS(ROW(),COLUMN(NOTA[ID]))),-1)))</f>
        <v>ATALI MAKMUR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4</v>
      </c>
      <c r="AK195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5" s="38" t="str">
        <f>IF(NOTA[[#This Row],[CONCAT4]]="","",_xlfn.IFNA(MATCH(NOTA[[#This Row],[CONCAT4]],[2]!RAW[CONCAT_H],0),FALSE))</f>
        <v/>
      </c>
      <c r="AP195" s="174">
        <f>IF(NOTA[[#This Row],[CONCAT1]]="","",MATCH(NOTA[[#This Row],[CONCAT1]],[3]!db[NB NOTA_C],0)+1)</f>
        <v>268</v>
      </c>
    </row>
    <row r="196" spans="1:42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46</v>
      </c>
      <c r="E196" s="23"/>
      <c r="F196" s="26"/>
      <c r="G196" s="26"/>
      <c r="H196" s="31"/>
      <c r="I196" s="26"/>
      <c r="J196" s="51"/>
      <c r="K196" s="26"/>
      <c r="L196" s="26" t="s">
        <v>133</v>
      </c>
      <c r="M196" s="39">
        <v>15</v>
      </c>
      <c r="N196" s="26">
        <v>720</v>
      </c>
      <c r="O196" s="26" t="s">
        <v>188</v>
      </c>
      <c r="P196" s="49">
        <v>29600</v>
      </c>
      <c r="Q196" s="52"/>
      <c r="R196" s="39" t="s">
        <v>221</v>
      </c>
      <c r="S196" s="53">
        <v>0.125</v>
      </c>
      <c r="T196" s="53">
        <v>0.08</v>
      </c>
      <c r="U196" s="54"/>
      <c r="V196" s="37"/>
      <c r="W196" s="54">
        <f>IF(NOTA[[#This Row],[HARGA/ CTN]]="",NOTA[[#This Row],[JUMLAH_H]],NOTA[[#This Row],[HARGA/ CTN]]*IF(NOTA[[#This Row],[C]]="",0,NOTA[[#This Row],[C]]))</f>
        <v>21312000</v>
      </c>
      <c r="X196" s="54">
        <f>IF(NOTA[[#This Row],[JUMLAH]]="","",NOTA[[#This Row],[JUMLAH]]*NOTA[[#This Row],[DISC 1]])</f>
        <v>2664000</v>
      </c>
      <c r="Y196" s="54">
        <f>IF(NOTA[[#This Row],[JUMLAH]]="","",(NOTA[[#This Row],[JUMLAH]]-NOTA[[#This Row],[DISC 1-]])*NOTA[[#This Row],[DISC 2]])</f>
        <v>1491840</v>
      </c>
      <c r="Z196" s="54">
        <f>IF(NOTA[[#This Row],[JUMLAH]]="","",NOTA[[#This Row],[DISC 1-]]+NOTA[[#This Row],[DISC 2-]])</f>
        <v>4155840</v>
      </c>
      <c r="AA196" s="54">
        <f>IF(NOTA[[#This Row],[JUMLAH]]="","",NOTA[[#This Row],[JUMLAH]]-NOTA[[#This Row],[DISC]])</f>
        <v>17156160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96" s="54">
        <f>IF(OR(NOTA[[#This Row],[QTY]]="",NOTA[[#This Row],[HARGA SATUAN]]="",),"",NOTA[[#This Row],[QTY]]*NOTA[[#This Row],[HARGA SATUAN]])</f>
        <v>21312000</v>
      </c>
      <c r="AF196" s="51">
        <f ca="1">IF(NOTA[ID_H]="","",INDEX(NOTA[TANGGAL],MATCH(,INDIRECT(ADDRESS(ROW(NOTA[TANGGAL]),COLUMN(NOTA[TANGGAL]))&amp;":"&amp;ADDRESS(ROW(),COLUMN(NOTA[TANGGAL]))),-1)))</f>
        <v>45028</v>
      </c>
      <c r="AG196" s="65" t="str">
        <f ca="1">IF(NOTA[[#This Row],[NAMA BARANG]]="","",INDEX(NOTA[SUPPLIER],MATCH(,INDIRECT(ADDRESS(ROW(NOTA[ID]),COLUMN(NOTA[ID]))&amp;":"&amp;ADDRESS(ROW(),COLUMN(NOTA[ID]))),-1)))</f>
        <v>ATALI MAKMUR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4</v>
      </c>
      <c r="AK19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38" t="str">
        <f>IF(NOTA[[#This Row],[CONCAT4]]="","",_xlfn.IFNA(MATCH(NOTA[[#This Row],[CONCAT4]],[2]!RAW[CONCAT_H],0),FALSE))</f>
        <v/>
      </c>
      <c r="AP196" s="174">
        <f>IF(NOTA[[#This Row],[CONCAT1]]="","",MATCH(NOTA[[#This Row],[CONCAT1]],[3]!db[NB NOTA_C],0)+1)</f>
        <v>269</v>
      </c>
    </row>
    <row r="197" spans="1:42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46</v>
      </c>
      <c r="E197" s="23"/>
      <c r="F197" s="26"/>
      <c r="G197" s="26"/>
      <c r="H197" s="31"/>
      <c r="I197" s="26"/>
      <c r="J197" s="51"/>
      <c r="K197" s="26"/>
      <c r="L197" s="26" t="s">
        <v>91</v>
      </c>
      <c r="M197" s="39">
        <v>12</v>
      </c>
      <c r="N197" s="26">
        <v>432</v>
      </c>
      <c r="O197" s="26" t="s">
        <v>188</v>
      </c>
      <c r="P197" s="49">
        <v>41500</v>
      </c>
      <c r="Q197" s="52"/>
      <c r="R197" s="39" t="s">
        <v>223</v>
      </c>
      <c r="S197" s="53">
        <v>0.125</v>
      </c>
      <c r="T197" s="53">
        <v>0.08</v>
      </c>
      <c r="U197" s="54"/>
      <c r="V197" s="37"/>
      <c r="W197" s="54">
        <f>IF(NOTA[[#This Row],[HARGA/ CTN]]="",NOTA[[#This Row],[JUMLAH_H]],NOTA[[#This Row],[HARGA/ CTN]]*IF(NOTA[[#This Row],[C]]="",0,NOTA[[#This Row],[C]]))</f>
        <v>17928000</v>
      </c>
      <c r="X197" s="54">
        <f>IF(NOTA[[#This Row],[JUMLAH]]="","",NOTA[[#This Row],[JUMLAH]]*NOTA[[#This Row],[DISC 1]])</f>
        <v>2241000</v>
      </c>
      <c r="Y197" s="54">
        <f>IF(NOTA[[#This Row],[JUMLAH]]="","",(NOTA[[#This Row],[JUMLAH]]-NOTA[[#This Row],[DISC 1-]])*NOTA[[#This Row],[DISC 2]])</f>
        <v>1254960</v>
      </c>
      <c r="Z197" s="54">
        <f>IF(NOTA[[#This Row],[JUMLAH]]="","",NOTA[[#This Row],[DISC 1-]]+NOTA[[#This Row],[DISC 2-]])</f>
        <v>3495960</v>
      </c>
      <c r="AA197" s="54">
        <f>IF(NOTA[[#This Row],[JUMLAH]]="","",NOTA[[#This Row],[JUMLAH]]-NOTA[[#This Row],[DISC]])</f>
        <v>14432040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97" s="54">
        <f>IF(OR(NOTA[[#This Row],[QTY]]="",NOTA[[#This Row],[HARGA SATUAN]]="",),"",NOTA[[#This Row],[QTY]]*NOTA[[#This Row],[HARGA SATUAN]])</f>
        <v>17928000</v>
      </c>
      <c r="AF197" s="51">
        <f ca="1">IF(NOTA[ID_H]="","",INDEX(NOTA[TANGGAL],MATCH(,INDIRECT(ADDRESS(ROW(NOTA[TANGGAL]),COLUMN(NOTA[TANGGAL]))&amp;":"&amp;ADDRESS(ROW(),COLUMN(NOTA[TANGGAL]))),-1)))</f>
        <v>45028</v>
      </c>
      <c r="AG197" s="65" t="str">
        <f ca="1">IF(NOTA[[#This Row],[NAMA BARANG]]="","",INDEX(NOTA[SUPPLIER],MATCH(,INDIRECT(ADDRESS(ROW(NOTA[ID]),COLUMN(NOTA[ID]))&amp;":"&amp;ADDRESS(ROW(),COLUMN(NOTA[ID]))),-1)))</f>
        <v>ATALI MAKMUR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4</v>
      </c>
      <c r="AK19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38" t="str">
        <f>IF(NOTA[[#This Row],[CONCAT4]]="","",_xlfn.IFNA(MATCH(NOTA[[#This Row],[CONCAT4]],[2]!RAW[CONCAT_H],0),FALSE))</f>
        <v/>
      </c>
      <c r="AP197" s="174">
        <f>IF(NOTA[[#This Row],[CONCAT1]]="","",MATCH(NOTA[[#This Row],[CONCAT1]],[3]!db[NB NOTA_C],0)+1)</f>
        <v>270</v>
      </c>
    </row>
    <row r="198" spans="1:42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46</v>
      </c>
      <c r="E198" s="23"/>
      <c r="F198" s="26"/>
      <c r="G198" s="26"/>
      <c r="H198" s="31"/>
      <c r="I198" s="26"/>
      <c r="J198" s="51"/>
      <c r="K198" s="26"/>
      <c r="L198" s="26" t="s">
        <v>92</v>
      </c>
      <c r="M198" s="39">
        <v>1</v>
      </c>
      <c r="N198" s="26">
        <v>24</v>
      </c>
      <c r="O198" s="26" t="s">
        <v>188</v>
      </c>
      <c r="P198" s="49">
        <v>58900</v>
      </c>
      <c r="Q198" s="52"/>
      <c r="R198" s="39" t="s">
        <v>222</v>
      </c>
      <c r="S198" s="53">
        <v>0.125</v>
      </c>
      <c r="T198" s="53">
        <v>0.05</v>
      </c>
      <c r="U198" s="54"/>
      <c r="V198" s="37"/>
      <c r="W198" s="54">
        <f>IF(NOTA[[#This Row],[HARGA/ CTN]]="",NOTA[[#This Row],[JUMLAH_H]],NOTA[[#This Row],[HARGA/ CTN]]*IF(NOTA[[#This Row],[C]]="",0,NOTA[[#This Row],[C]]))</f>
        <v>1413600</v>
      </c>
      <c r="X198" s="54">
        <f>IF(NOTA[[#This Row],[JUMLAH]]="","",NOTA[[#This Row],[JUMLAH]]*NOTA[[#This Row],[DISC 1]])</f>
        <v>176700</v>
      </c>
      <c r="Y198" s="54">
        <f>IF(NOTA[[#This Row],[JUMLAH]]="","",(NOTA[[#This Row],[JUMLAH]]-NOTA[[#This Row],[DISC 1-]])*NOTA[[#This Row],[DISC 2]])</f>
        <v>61845</v>
      </c>
      <c r="Z198" s="54">
        <f>IF(NOTA[[#This Row],[JUMLAH]]="","",NOTA[[#This Row],[DISC 1-]]+NOTA[[#This Row],[DISC 2-]])</f>
        <v>238545</v>
      </c>
      <c r="AA198" s="54">
        <f>IF(NOTA[[#This Row],[JUMLAH]]="","",NOTA[[#This Row],[JUMLAH]]-NOTA[[#This Row],[DISC]])</f>
        <v>1175055</v>
      </c>
      <c r="AB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16131825</v>
      </c>
      <c r="AC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66785775</v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198" s="54">
        <f>IF(OR(NOTA[[#This Row],[QTY]]="",NOTA[[#This Row],[HARGA SATUAN]]="",),"",NOTA[[#This Row],[QTY]]*NOTA[[#This Row],[HARGA SATUAN]])</f>
        <v>1413600</v>
      </c>
      <c r="AF198" s="51">
        <f ca="1">IF(NOTA[ID_H]="","",INDEX(NOTA[TANGGAL],MATCH(,INDIRECT(ADDRESS(ROW(NOTA[TANGGAL]),COLUMN(NOTA[TANGGAL]))&amp;":"&amp;ADDRESS(ROW(),COLUMN(NOTA[TANGGAL]))),-1)))</f>
        <v>45028</v>
      </c>
      <c r="AG198" s="65" t="str">
        <f ca="1">IF(NOTA[[#This Row],[NAMA BARANG]]="","",INDEX(NOTA[SUPPLIER],MATCH(,INDIRECT(ADDRESS(ROW(NOTA[ID]),COLUMN(NOTA[ID]))&amp;":"&amp;ADDRESS(ROW(),COLUMN(NOTA[ID]))),-1)))</f>
        <v>ATALI MAKMUR</v>
      </c>
      <c r="AH198" s="65" t="str">
        <f ca="1">IF(NOTA[[#This Row],[ID_H]]="","",IF(NOTA[[#This Row],[FAKTUR]]="",INDIRECT(ADDRESS(ROW()-1,COLUMN())),NOTA[[#This Row],[FAKTUR]]))</f>
        <v>ARTO MORO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4</v>
      </c>
      <c r="AK1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38" t="str">
        <f>IF(NOTA[[#This Row],[CONCAT4]]="","",_xlfn.IFNA(MATCH(NOTA[[#This Row],[CONCAT4]],[2]!RAW[CONCAT_H],0),FALSE))</f>
        <v/>
      </c>
      <c r="AP198" s="174">
        <f>IF(NOTA[[#This Row],[CONCAT1]]="","",MATCH(NOTA[[#This Row],[CONCAT1]],[3]!db[NB NOTA_C],0)+1)</f>
        <v>271</v>
      </c>
    </row>
    <row r="199" spans="1:42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9" s="38" t="str">
        <f>IF(NOTA[[#This Row],[CONCAT4]]="","",_xlfn.IFNA(MATCH(NOTA[[#This Row],[CONCAT4]],[2]!RAW[CONCAT_H],0),FALSE))</f>
        <v/>
      </c>
      <c r="AP199" s="174" t="str">
        <f>IF(NOTA[[#This Row],[CONCAT1]]="","",MATCH(NOTA[[#This Row],[CONCAT1]],[3]!db[NB NOTA_C],0)+1)</f>
        <v/>
      </c>
    </row>
    <row r="200" spans="1:42" ht="20.100000000000001" customHeight="1" x14ac:dyDescent="0.25">
      <c r="A200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ATA_1204_889-1</v>
      </c>
      <c r="C200" s="50" t="e">
        <f ca="1">IF(NOTA[[#This Row],[ID_P]]="","",MATCH(NOTA[[#This Row],[ID_P]],[1]!B_MSK[N_ID],0))</f>
        <v>#REF!</v>
      </c>
      <c r="D200" s="50">
        <f ca="1">IF(NOTA[[#This Row],[NAMA BARANG]]="","",INDEX(NOTA[ID],MATCH(,INDIRECT(ADDRESS(ROW(NOTA[ID]),COLUMN(NOTA[ID]))&amp;":"&amp;ADDRESS(ROW(),COLUMN(NOTA[ID]))),-1)))</f>
        <v>47</v>
      </c>
      <c r="E200" s="23"/>
      <c r="F200" s="26" t="s">
        <v>25</v>
      </c>
      <c r="G200" s="26" t="s">
        <v>24</v>
      </c>
      <c r="H200" s="31" t="s">
        <v>393</v>
      </c>
      <c r="I200" s="26"/>
      <c r="J200" s="51">
        <v>45021</v>
      </c>
      <c r="K200" s="26"/>
      <c r="L200" s="26" t="s">
        <v>132</v>
      </c>
      <c r="M200" s="39">
        <v>10</v>
      </c>
      <c r="N200" s="26">
        <v>1440</v>
      </c>
      <c r="O200" s="26" t="s">
        <v>188</v>
      </c>
      <c r="P200" s="49">
        <v>11900</v>
      </c>
      <c r="Q200" s="52"/>
      <c r="R200" s="39" t="s">
        <v>328</v>
      </c>
      <c r="S200" s="53">
        <v>0.125</v>
      </c>
      <c r="T200" s="53">
        <v>0.08</v>
      </c>
      <c r="U200" s="54"/>
      <c r="V200" s="37"/>
      <c r="W200" s="54">
        <f>IF(NOTA[[#This Row],[HARGA/ CTN]]="",NOTA[[#This Row],[JUMLAH_H]],NOTA[[#This Row],[HARGA/ CTN]]*IF(NOTA[[#This Row],[C]]="",0,NOTA[[#This Row],[C]]))</f>
        <v>17136000</v>
      </c>
      <c r="X200" s="54">
        <f>IF(NOTA[[#This Row],[JUMLAH]]="","",NOTA[[#This Row],[JUMLAH]]*NOTA[[#This Row],[DISC 1]])</f>
        <v>2142000</v>
      </c>
      <c r="Y200" s="54">
        <f>IF(NOTA[[#This Row],[JUMLAH]]="","",(NOTA[[#This Row],[JUMLAH]]-NOTA[[#This Row],[DISC 1-]])*NOTA[[#This Row],[DISC 2]])</f>
        <v>1199520</v>
      </c>
      <c r="Z200" s="54">
        <f>IF(NOTA[[#This Row],[JUMLAH]]="","",NOTA[[#This Row],[DISC 1-]]+NOTA[[#This Row],[DISC 2-]])</f>
        <v>3341520</v>
      </c>
      <c r="AA200" s="54">
        <f>IF(NOTA[[#This Row],[JUMLAH]]="","",NOTA[[#This Row],[JUMLAH]]-NOTA[[#This Row],[DISC]])</f>
        <v>13794480</v>
      </c>
      <c r="AB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3341520</v>
      </c>
      <c r="AC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13794480</v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00" s="54">
        <f>IF(OR(NOTA[[#This Row],[QTY]]="",NOTA[[#This Row],[HARGA SATUAN]]="",),"",NOTA[[#This Row],[QTY]]*NOTA[[#This Row],[HARGA SATUAN]])</f>
        <v>17136000</v>
      </c>
      <c r="AF200" s="51">
        <f ca="1">IF(NOTA[ID_H]="","",INDEX(NOTA[TANGGAL],MATCH(,INDIRECT(ADDRESS(ROW(NOTA[TANGGAL]),COLUMN(NOTA[TANGGAL]))&amp;":"&amp;ADDRESS(ROW(),COLUMN(NOTA[TANGGAL]))),-1)))</f>
        <v>45028</v>
      </c>
      <c r="AG200" s="65" t="str">
        <f ca="1">IF(NOTA[[#This Row],[NAMA BARANG]]="","",INDEX(NOTA[SUPPLIER],MATCH(,INDIRECT(ADDRESS(ROW(NOTA[ID]),COLUMN(NOTA[ID]))&amp;":"&amp;ADDRESS(ROW(),COLUMN(NOTA[ID]))),-1)))</f>
        <v>ATALI MAKMUR</v>
      </c>
      <c r="AH200" s="65" t="str">
        <f ca="1">IF(NOTA[[#This Row],[ID_H]]="","",IF(NOTA[[#This Row],[FAKTUR]]="",INDIRECT(ADDRESS(ROW()-1,COLUMN())),NOTA[[#This Row],[FAKTUR]]))</f>
        <v>ARTO MORO</v>
      </c>
      <c r="AI200" s="38">
        <f ca="1">IF(NOTA[[#This Row],[ID]]="","",COUNTIF(NOTA[ID_H],NOTA[[#This Row],[ID_H]]))</f>
        <v>1</v>
      </c>
      <c r="AJ200" s="38">
        <f>IF(NOTA[[#This Row],[TGL.NOTA]]="",IF(NOTA[[#This Row],[SUPPLIER_H]]="","",AJ199),MONTH(NOTA[[#This Row],[TGL.NOTA]]))</f>
        <v>4</v>
      </c>
      <c r="AK200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0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MOROSA23040588945021oilpastelop12sppcaseseaworldjk</v>
      </c>
      <c r="AO200" s="38" t="e">
        <f>IF(NOTA[[#This Row],[CONCAT4]]="","",_xlfn.IFNA(MATCH(NOTA[[#This Row],[CONCAT4]],[2]!RAW[CONCAT_H],0),FALSE))</f>
        <v>#REF!</v>
      </c>
      <c r="AP200" s="174">
        <f>IF(NOTA[[#This Row],[CONCAT1]]="","",MATCH(NOTA[[#This Row],[CONCAT1]],[3]!db[NB NOTA_C],0)+1)</f>
        <v>267</v>
      </c>
    </row>
    <row r="201" spans="1:42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1" s="38" t="str">
        <f>IF(NOTA[[#This Row],[CONCAT4]]="","",_xlfn.IFNA(MATCH(NOTA[[#This Row],[CONCAT4]],[2]!RAW[CONCAT_H],0),FALSE))</f>
        <v/>
      </c>
      <c r="AP201" s="174" t="str">
        <f>IF(NOTA[[#This Row],[CONCAT1]]="","",MATCH(NOTA[[#This Row],[CONCAT1]],[3]!db[NB NOTA_C],0)+1)</f>
        <v/>
      </c>
    </row>
    <row r="202" spans="1:42" ht="20.100000000000001" customHeight="1" x14ac:dyDescent="0.25">
      <c r="A202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ATA_1204_832-6</v>
      </c>
      <c r="C202" s="50" t="e">
        <f ca="1">IF(NOTA[[#This Row],[ID_P]]="","",MATCH(NOTA[[#This Row],[ID_P]],[1]!B_MSK[N_ID],0))</f>
        <v>#REF!</v>
      </c>
      <c r="D202" s="50">
        <f ca="1">IF(NOTA[[#This Row],[NAMA BARANG]]="","",INDEX(NOTA[ID],MATCH(,INDIRECT(ADDRESS(ROW(NOTA[ID]),COLUMN(NOTA[ID]))&amp;":"&amp;ADDRESS(ROW(),COLUMN(NOTA[ID]))),-1)))</f>
        <v>48</v>
      </c>
      <c r="E202" s="23"/>
      <c r="F202" s="26" t="s">
        <v>25</v>
      </c>
      <c r="G202" s="26" t="s">
        <v>24</v>
      </c>
      <c r="H202" s="31" t="s">
        <v>394</v>
      </c>
      <c r="I202" s="26"/>
      <c r="J202" s="51">
        <v>45021</v>
      </c>
      <c r="K202" s="26"/>
      <c r="L202" s="26" t="s">
        <v>114</v>
      </c>
      <c r="M202" s="39">
        <v>3</v>
      </c>
      <c r="N202" s="26">
        <v>90</v>
      </c>
      <c r="O202" s="26" t="s">
        <v>294</v>
      </c>
      <c r="P202" s="49">
        <v>104400</v>
      </c>
      <c r="Q202" s="52"/>
      <c r="R202" s="39" t="s">
        <v>395</v>
      </c>
      <c r="S202" s="53">
        <v>0.125</v>
      </c>
      <c r="T202" s="53">
        <v>0.05</v>
      </c>
      <c r="U202" s="54"/>
      <c r="V202" s="37"/>
      <c r="W202" s="54">
        <f>IF(NOTA[[#This Row],[HARGA/ CTN]]="",NOTA[[#This Row],[JUMLAH_H]],NOTA[[#This Row],[HARGA/ CTN]]*IF(NOTA[[#This Row],[C]]="",0,NOTA[[#This Row],[C]]))</f>
        <v>9396000</v>
      </c>
      <c r="X202" s="54">
        <f>IF(NOTA[[#This Row],[JUMLAH]]="","",NOTA[[#This Row],[JUMLAH]]*NOTA[[#This Row],[DISC 1]])</f>
        <v>1174500</v>
      </c>
      <c r="Y202" s="54">
        <f>IF(NOTA[[#This Row],[JUMLAH]]="","",(NOTA[[#This Row],[JUMLAH]]-NOTA[[#This Row],[DISC 1-]])*NOTA[[#This Row],[DISC 2]])</f>
        <v>411075</v>
      </c>
      <c r="Z202" s="54">
        <f>IF(NOTA[[#This Row],[JUMLAH]]="","",NOTA[[#This Row],[DISC 1-]]+NOTA[[#This Row],[DISC 2-]])</f>
        <v>1585575</v>
      </c>
      <c r="AA202" s="54">
        <f>IF(NOTA[[#This Row],[JUMLAH]]="","",NOTA[[#This Row],[JUMLAH]]-NOTA[[#This Row],[DISC]])</f>
        <v>7810425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02" s="54">
        <f>IF(OR(NOTA[[#This Row],[QTY]]="",NOTA[[#This Row],[HARGA SATUAN]]="",),"",NOTA[[#This Row],[QTY]]*NOTA[[#This Row],[HARGA SATUAN]])</f>
        <v>9396000</v>
      </c>
      <c r="AF202" s="51">
        <f ca="1">IF(NOTA[ID_H]="","",INDEX(NOTA[TANGGAL],MATCH(,INDIRECT(ADDRESS(ROW(NOTA[TANGGAL]),COLUMN(NOTA[TANGGAL]))&amp;":"&amp;ADDRESS(ROW(),COLUMN(NOTA[TANGGAL]))),-1)))</f>
        <v>45028</v>
      </c>
      <c r="AG202" s="65" t="str">
        <f ca="1">IF(NOTA[[#This Row],[NAMA BARANG]]="","",INDEX(NOTA[SUPPLIER],MATCH(,INDIRECT(ADDRESS(ROW(NOTA[ID]),COLUMN(NOTA[ID]))&amp;":"&amp;ADDRESS(ROW(),COLUMN(NOTA[ID]))),-1)))</f>
        <v>ATALI MAKMUR</v>
      </c>
      <c r="AH202" s="65" t="str">
        <f ca="1">IF(NOTA[[#This Row],[ID_H]]="","",IF(NOTA[[#This Row],[FAKTUR]]="",INDIRECT(ADDRESS(ROW()-1,COLUMN())),NOTA[[#This Row],[FAKTUR]]))</f>
        <v>ARTO MORO</v>
      </c>
      <c r="AI202" s="38">
        <f ca="1">IF(NOTA[[#This Row],[ID]]="","",COUNTIF(NOTA[ID_H],NOTA[[#This Row],[ID_H]]))</f>
        <v>6</v>
      </c>
      <c r="AJ202" s="38">
        <f>IF(NOTA[[#This Row],[TGL.NOTA]]="",IF(NOTA[[#This Row],[SUPPLIER_H]]="","",AJ201),MONTH(NOTA[[#This Row],[TGL.NOTA]]))</f>
        <v>4</v>
      </c>
      <c r="AK20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0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MOROSA23040583245021pencilp882bjk</v>
      </c>
      <c r="AO202" s="38" t="e">
        <f>IF(NOTA[[#This Row],[CONCAT4]]="","",_xlfn.IFNA(MATCH(NOTA[[#This Row],[CONCAT4]],[2]!RAW[CONCAT_H],0),FALSE))</f>
        <v>#REF!</v>
      </c>
      <c r="AP202" s="174">
        <f>IF(NOTA[[#This Row],[CONCAT1]]="","",MATCH(NOTA[[#This Row],[CONCAT1]],[3]!db[NB NOTA_C],0)+1)</f>
        <v>644</v>
      </c>
    </row>
    <row r="203" spans="1:42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48</v>
      </c>
      <c r="E203" s="23"/>
      <c r="F203" s="26"/>
      <c r="G203" s="26"/>
      <c r="H203" s="31"/>
      <c r="I203" s="26"/>
      <c r="J203" s="51"/>
      <c r="K203" s="26"/>
      <c r="L203" s="26" t="s">
        <v>134</v>
      </c>
      <c r="M203" s="39">
        <v>1</v>
      </c>
      <c r="N203" s="26">
        <v>144</v>
      </c>
      <c r="O203" s="26" t="s">
        <v>261</v>
      </c>
      <c r="P203" s="49">
        <v>40800</v>
      </c>
      <c r="Q203" s="52"/>
      <c r="R203" s="39" t="s">
        <v>354</v>
      </c>
      <c r="S203" s="53">
        <v>0.125</v>
      </c>
      <c r="T203" s="53">
        <v>0.05</v>
      </c>
      <c r="U203" s="54"/>
      <c r="V203" s="37"/>
      <c r="W203" s="54">
        <f>IF(NOTA[[#This Row],[HARGA/ CTN]]="",NOTA[[#This Row],[JUMLAH_H]],NOTA[[#This Row],[HARGA/ CTN]]*IF(NOTA[[#This Row],[C]]="",0,NOTA[[#This Row],[C]]))</f>
        <v>5875200</v>
      </c>
      <c r="X203" s="54">
        <f>IF(NOTA[[#This Row],[JUMLAH]]="","",NOTA[[#This Row],[JUMLAH]]*NOTA[[#This Row],[DISC 1]])</f>
        <v>734400</v>
      </c>
      <c r="Y203" s="54">
        <f>IF(NOTA[[#This Row],[JUMLAH]]="","",(NOTA[[#This Row],[JUMLAH]]-NOTA[[#This Row],[DISC 1-]])*NOTA[[#This Row],[DISC 2]])</f>
        <v>257040</v>
      </c>
      <c r="Z203" s="54">
        <f>IF(NOTA[[#This Row],[JUMLAH]]="","",NOTA[[#This Row],[DISC 1-]]+NOTA[[#This Row],[DISC 2-]])</f>
        <v>991440</v>
      </c>
      <c r="AA203" s="54">
        <f>IF(NOTA[[#This Row],[JUMLAH]]="","",NOTA[[#This Row],[JUMLAH]]-NOTA[[#This Row],[DISC]])</f>
        <v>4883760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03" s="54">
        <f>IF(OR(NOTA[[#This Row],[QTY]]="",NOTA[[#This Row],[HARGA SATUAN]]="",),"",NOTA[[#This Row],[QTY]]*NOTA[[#This Row],[HARGA SATUAN]])</f>
        <v>5875200</v>
      </c>
      <c r="AF203" s="51">
        <f ca="1">IF(NOTA[ID_H]="","",INDEX(NOTA[TANGGAL],MATCH(,INDIRECT(ADDRESS(ROW(NOTA[TANGGAL]),COLUMN(NOTA[TANGGAL]))&amp;":"&amp;ADDRESS(ROW(),COLUMN(NOTA[TANGGAL]))),-1)))</f>
        <v>45028</v>
      </c>
      <c r="AG203" s="65" t="str">
        <f ca="1">IF(NOTA[[#This Row],[NAMA BARANG]]="","",INDEX(NOTA[SUPPLIER],MATCH(,INDIRECT(ADDRESS(ROW(NOTA[ID]),COLUMN(NOTA[ID]))&amp;":"&amp;ADDRESS(ROW(),COLUMN(NOTA[ID]))),-1)))</f>
        <v>ATALI MAKMUR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4</v>
      </c>
      <c r="AK203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3" s="38" t="str">
        <f>IF(NOTA[[#This Row],[CONCAT4]]="","",_xlfn.IFNA(MATCH(NOTA[[#This Row],[CONCAT4]],[2]!RAW[CONCAT_H],0),FALSE))</f>
        <v/>
      </c>
      <c r="AP203" s="174">
        <f>IF(NOTA[[#This Row],[CONCAT1]]="","",MATCH(NOTA[[#This Row],[CONCAT1]],[3]!db[NB NOTA_C],0)+1)</f>
        <v>579</v>
      </c>
    </row>
    <row r="204" spans="1:42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48</v>
      </c>
      <c r="E204" s="23"/>
      <c r="F204" s="26"/>
      <c r="G204" s="26"/>
      <c r="H204" s="31"/>
      <c r="I204" s="26"/>
      <c r="J204" s="51"/>
      <c r="K204" s="26"/>
      <c r="L204" s="26" t="s">
        <v>396</v>
      </c>
      <c r="M204" s="39">
        <v>3</v>
      </c>
      <c r="N204" s="26">
        <v>2304</v>
      </c>
      <c r="O204" s="26" t="s">
        <v>198</v>
      </c>
      <c r="P204" s="49">
        <v>2100</v>
      </c>
      <c r="Q204" s="52"/>
      <c r="R204" s="39" t="s">
        <v>397</v>
      </c>
      <c r="S204" s="53">
        <v>0.125</v>
      </c>
      <c r="T204" s="53">
        <v>0.05</v>
      </c>
      <c r="U204" s="54"/>
      <c r="V204" s="37"/>
      <c r="W204" s="54">
        <f>IF(NOTA[[#This Row],[HARGA/ CTN]]="",NOTA[[#This Row],[JUMLAH_H]],NOTA[[#This Row],[HARGA/ CTN]]*IF(NOTA[[#This Row],[C]]="",0,NOTA[[#This Row],[C]]))</f>
        <v>4838400</v>
      </c>
      <c r="X204" s="54">
        <f>IF(NOTA[[#This Row],[JUMLAH]]="","",NOTA[[#This Row],[JUMLAH]]*NOTA[[#This Row],[DISC 1]])</f>
        <v>604800</v>
      </c>
      <c r="Y204" s="54">
        <f>IF(NOTA[[#This Row],[JUMLAH]]="","",(NOTA[[#This Row],[JUMLAH]]-NOTA[[#This Row],[DISC 1-]])*NOTA[[#This Row],[DISC 2]])</f>
        <v>211680</v>
      </c>
      <c r="Z204" s="54">
        <f>IF(NOTA[[#This Row],[JUMLAH]]="","",NOTA[[#This Row],[DISC 1-]]+NOTA[[#This Row],[DISC 2-]])</f>
        <v>816480</v>
      </c>
      <c r="AA204" s="54">
        <f>IF(NOTA[[#This Row],[JUMLAH]]="","",NOTA[[#This Row],[JUMLAH]]-NOTA[[#This Row],[DISC]])</f>
        <v>4021920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04" s="54">
        <f>IF(OR(NOTA[[#This Row],[QTY]]="",NOTA[[#This Row],[HARGA SATUAN]]="",),"",NOTA[[#This Row],[QTY]]*NOTA[[#This Row],[HARGA SATUAN]])</f>
        <v>4838400</v>
      </c>
      <c r="AF204" s="51">
        <f ca="1">IF(NOTA[ID_H]="","",INDEX(NOTA[TANGGAL],MATCH(,INDIRECT(ADDRESS(ROW(NOTA[TANGGAL]),COLUMN(NOTA[TANGGAL]))&amp;":"&amp;ADDRESS(ROW(),COLUMN(NOTA[TANGGAL]))),-1)))</f>
        <v>45028</v>
      </c>
      <c r="AG204" s="65" t="str">
        <f ca="1">IF(NOTA[[#This Row],[NAMA BARANG]]="","",INDEX(NOTA[SUPPLIER],MATCH(,INDIRECT(ADDRESS(ROW(NOTA[ID]),COLUMN(NOTA[ID]))&amp;":"&amp;ADDRESS(ROW(),COLUMN(NOTA[ID]))),-1)))</f>
        <v>ATALI MAKMUR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4</v>
      </c>
      <c r="AK204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38" t="str">
        <f>IF(NOTA[[#This Row],[CONCAT4]]="","",_xlfn.IFNA(MATCH(NOTA[[#This Row],[CONCAT4]],[2]!RAW[CONCAT_H],0),FALSE))</f>
        <v/>
      </c>
      <c r="AP204" s="174">
        <f>IF(NOTA[[#This Row],[CONCAT1]]="","",MATCH(NOTA[[#This Row],[CONCAT1]],[3]!db[NB NOTA_C],0)+1)</f>
        <v>551</v>
      </c>
    </row>
    <row r="205" spans="1:42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48</v>
      </c>
      <c r="E205" s="23"/>
      <c r="F205" s="26"/>
      <c r="G205" s="26"/>
      <c r="H205" s="31"/>
      <c r="I205" s="26"/>
      <c r="J205" s="51"/>
      <c r="K205" s="26"/>
      <c r="L205" s="26" t="s">
        <v>398</v>
      </c>
      <c r="M205" s="39">
        <v>3</v>
      </c>
      <c r="N205" s="26">
        <v>120</v>
      </c>
      <c r="O205" s="26" t="s">
        <v>261</v>
      </c>
      <c r="P205" s="49">
        <v>49200</v>
      </c>
      <c r="Q205" s="52"/>
      <c r="R205" s="39" t="s">
        <v>399</v>
      </c>
      <c r="S205" s="53">
        <v>0.125</v>
      </c>
      <c r="T205" s="53">
        <v>0.05</v>
      </c>
      <c r="U205" s="54"/>
      <c r="V205" s="37"/>
      <c r="W205" s="54">
        <f>IF(NOTA[[#This Row],[HARGA/ CTN]]="",NOTA[[#This Row],[JUMLAH_H]],NOTA[[#This Row],[HARGA/ CTN]]*IF(NOTA[[#This Row],[C]]="",0,NOTA[[#This Row],[C]]))</f>
        <v>5904000</v>
      </c>
      <c r="X205" s="54">
        <f>IF(NOTA[[#This Row],[JUMLAH]]="","",NOTA[[#This Row],[JUMLAH]]*NOTA[[#This Row],[DISC 1]])</f>
        <v>738000</v>
      </c>
      <c r="Y205" s="54">
        <f>IF(NOTA[[#This Row],[JUMLAH]]="","",(NOTA[[#This Row],[JUMLAH]]-NOTA[[#This Row],[DISC 1-]])*NOTA[[#This Row],[DISC 2]])</f>
        <v>258300</v>
      </c>
      <c r="Z205" s="54">
        <f>IF(NOTA[[#This Row],[JUMLAH]]="","",NOTA[[#This Row],[DISC 1-]]+NOTA[[#This Row],[DISC 2-]])</f>
        <v>996300</v>
      </c>
      <c r="AA205" s="54">
        <f>IF(NOTA[[#This Row],[JUMLAH]]="","",NOTA[[#This Row],[JUMLAH]]-NOTA[[#This Row],[DISC]])</f>
        <v>4907700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05" s="54">
        <f>IF(OR(NOTA[[#This Row],[QTY]]="",NOTA[[#This Row],[HARGA SATUAN]]="",),"",NOTA[[#This Row],[QTY]]*NOTA[[#This Row],[HARGA SATUAN]])</f>
        <v>5904000</v>
      </c>
      <c r="AF205" s="51">
        <f ca="1">IF(NOTA[ID_H]="","",INDEX(NOTA[TANGGAL],MATCH(,INDIRECT(ADDRESS(ROW(NOTA[TANGGAL]),COLUMN(NOTA[TANGGAL]))&amp;":"&amp;ADDRESS(ROW(),COLUMN(NOTA[TANGGAL]))),-1)))</f>
        <v>45028</v>
      </c>
      <c r="AG205" s="65" t="str">
        <f ca="1">IF(NOTA[[#This Row],[NAMA BARANG]]="","",INDEX(NOTA[SUPPLIER],MATCH(,INDIRECT(ADDRESS(ROW(NOTA[ID]),COLUMN(NOTA[ID]))&amp;":"&amp;ADDRESS(ROW(),COLUMN(NOTA[ID]))),-1)))</f>
        <v>ATALI MAKMUR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4</v>
      </c>
      <c r="AK20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38" t="str">
        <f>IF(NOTA[[#This Row],[CONCAT4]]="","",_xlfn.IFNA(MATCH(NOTA[[#This Row],[CONCAT4]],[2]!RAW[CONCAT_H],0),FALSE))</f>
        <v/>
      </c>
      <c r="AP205" s="174">
        <f>IF(NOTA[[#This Row],[CONCAT1]]="","",MATCH(NOTA[[#This Row],[CONCAT1]],[3]!db[NB NOTA_C],0)+1)</f>
        <v>474</v>
      </c>
    </row>
    <row r="206" spans="1:42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48</v>
      </c>
      <c r="E206" s="23"/>
      <c r="F206" s="26"/>
      <c r="G206" s="26"/>
      <c r="H206" s="31"/>
      <c r="I206" s="26"/>
      <c r="J206" s="51"/>
      <c r="K206" s="26"/>
      <c r="L206" s="26" t="s">
        <v>357</v>
      </c>
      <c r="M206" s="39">
        <v>4</v>
      </c>
      <c r="N206" s="26">
        <v>192</v>
      </c>
      <c r="O206" s="26" t="s">
        <v>261</v>
      </c>
      <c r="P206" s="49">
        <v>36000</v>
      </c>
      <c r="Q206" s="52"/>
      <c r="R206" s="39" t="s">
        <v>358</v>
      </c>
      <c r="S206" s="53">
        <v>0.125</v>
      </c>
      <c r="T206" s="53">
        <v>0.08</v>
      </c>
      <c r="U206" s="54"/>
      <c r="V206" s="37"/>
      <c r="W206" s="54">
        <f>IF(NOTA[[#This Row],[HARGA/ CTN]]="",NOTA[[#This Row],[JUMLAH_H]],NOTA[[#This Row],[HARGA/ CTN]]*IF(NOTA[[#This Row],[C]]="",0,NOTA[[#This Row],[C]]))</f>
        <v>6912000</v>
      </c>
      <c r="X206" s="54">
        <f>IF(NOTA[[#This Row],[JUMLAH]]="","",NOTA[[#This Row],[JUMLAH]]*NOTA[[#This Row],[DISC 1]])</f>
        <v>864000</v>
      </c>
      <c r="Y206" s="54">
        <f>IF(NOTA[[#This Row],[JUMLAH]]="","",(NOTA[[#This Row],[JUMLAH]]-NOTA[[#This Row],[DISC 1-]])*NOTA[[#This Row],[DISC 2]])</f>
        <v>483840</v>
      </c>
      <c r="Z206" s="54">
        <f>IF(NOTA[[#This Row],[JUMLAH]]="","",NOTA[[#This Row],[DISC 1-]]+NOTA[[#This Row],[DISC 2-]])</f>
        <v>1347840</v>
      </c>
      <c r="AA206" s="54">
        <f>IF(NOTA[[#This Row],[JUMLAH]]="","",NOTA[[#This Row],[JUMLAH]]-NOTA[[#This Row],[DISC]])</f>
        <v>5564160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06" s="54">
        <f>IF(OR(NOTA[[#This Row],[QTY]]="",NOTA[[#This Row],[HARGA SATUAN]]="",),"",NOTA[[#This Row],[QTY]]*NOTA[[#This Row],[HARGA SATUAN]])</f>
        <v>6912000</v>
      </c>
      <c r="AF206" s="51">
        <f ca="1">IF(NOTA[ID_H]="","",INDEX(NOTA[TANGGAL],MATCH(,INDIRECT(ADDRESS(ROW(NOTA[TANGGAL]),COLUMN(NOTA[TANGGAL]))&amp;":"&amp;ADDRESS(ROW(),COLUMN(NOTA[TANGGAL]))),-1)))</f>
        <v>45028</v>
      </c>
      <c r="AG206" s="65" t="str">
        <f ca="1">IF(NOTA[[#This Row],[NAMA BARANG]]="","",INDEX(NOTA[SUPPLIER],MATCH(,INDIRECT(ADDRESS(ROW(NOTA[ID]),COLUMN(NOTA[ID]))&amp;":"&amp;ADDRESS(ROW(),COLUMN(NOTA[ID]))),-1)))</f>
        <v>ATALI MAKMUR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4</v>
      </c>
      <c r="AK206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38" t="str">
        <f>IF(NOTA[[#This Row],[CONCAT4]]="","",_xlfn.IFNA(MATCH(NOTA[[#This Row],[CONCAT4]],[2]!RAW[CONCAT_H],0),FALSE))</f>
        <v/>
      </c>
      <c r="AP206" s="174">
        <f>IF(NOTA[[#This Row],[CONCAT1]]="","",MATCH(NOTA[[#This Row],[CONCAT1]],[3]!db[NB NOTA_C],0)+1)</f>
        <v>205</v>
      </c>
    </row>
    <row r="207" spans="1:42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48</v>
      </c>
      <c r="E207" s="23"/>
      <c r="F207" s="26"/>
      <c r="G207" s="26"/>
      <c r="H207" s="31"/>
      <c r="I207" s="26"/>
      <c r="J207" s="51"/>
      <c r="K207" s="26"/>
      <c r="L207" s="26" t="s">
        <v>464</v>
      </c>
      <c r="M207" s="39"/>
      <c r="N207" s="26">
        <v>24</v>
      </c>
      <c r="O207" s="26" t="s">
        <v>261</v>
      </c>
      <c r="P207" s="49">
        <v>13200</v>
      </c>
      <c r="Q207" s="52"/>
      <c r="R207" s="39" t="s">
        <v>354</v>
      </c>
      <c r="S207" s="53">
        <v>0.1</v>
      </c>
      <c r="T207" s="53">
        <v>0.05</v>
      </c>
      <c r="U207" s="54">
        <v>270864</v>
      </c>
      <c r="V207" s="37" t="s">
        <v>299</v>
      </c>
      <c r="W207" s="54">
        <f>IF(NOTA[[#This Row],[HARGA/ CTN]]="",NOTA[[#This Row],[JUMLAH_H]],NOTA[[#This Row],[HARGA/ CTN]]*IF(NOTA[[#This Row],[C]]="",0,NOTA[[#This Row],[C]]))</f>
        <v>316800</v>
      </c>
      <c r="X207" s="54">
        <f>IF(NOTA[[#This Row],[JUMLAH]]="","",NOTA[[#This Row],[JUMLAH]]*NOTA[[#This Row],[DISC 1]])</f>
        <v>31680</v>
      </c>
      <c r="Y207" s="54">
        <f>IF(NOTA[[#This Row],[JUMLAH]]="","",(NOTA[[#This Row],[JUMLAH]]-NOTA[[#This Row],[DISC 1-]])*NOTA[[#This Row],[DISC 2]])</f>
        <v>14256</v>
      </c>
      <c r="Z207" s="54">
        <f>IF(NOTA[[#This Row],[JUMLAH]]="","",NOTA[[#This Row],[DISC 1-]]+NOTA[[#This Row],[DISC 2-]])</f>
        <v>45936</v>
      </c>
      <c r="AA207" s="54">
        <f>IF(NOTA[[#This Row],[JUMLAH]]="","",NOTA[[#This Row],[JUMLAH]]-NOTA[[#This Row],[DISC]])</f>
        <v>270864</v>
      </c>
      <c r="AB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6054435</v>
      </c>
      <c r="AC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27187965</v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07" s="54">
        <f>IF(OR(NOTA[[#This Row],[QTY]]="",NOTA[[#This Row],[HARGA SATUAN]]="",),"",NOTA[[#This Row],[QTY]]*NOTA[[#This Row],[HARGA SATUAN]])</f>
        <v>316800</v>
      </c>
      <c r="AF207" s="51">
        <f ca="1">IF(NOTA[ID_H]="","",INDEX(NOTA[TANGGAL],MATCH(,INDIRECT(ADDRESS(ROW(NOTA[TANGGAL]),COLUMN(NOTA[TANGGAL]))&amp;":"&amp;ADDRESS(ROW(),COLUMN(NOTA[TANGGAL]))),-1)))</f>
        <v>45028</v>
      </c>
      <c r="AG207" s="65" t="str">
        <f ca="1">IF(NOTA[[#This Row],[NAMA BARANG]]="","",INDEX(NOTA[SUPPLIER],MATCH(,INDIRECT(ADDRESS(ROW(NOTA[ID]),COLUMN(NOTA[ID]))&amp;":"&amp;ADDRESS(ROW(),COLUMN(NOTA[ID]))),-1)))</f>
        <v>ATALI MAKMUR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4</v>
      </c>
      <c r="AK207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7" s="38" t="str">
        <f>IF(NOTA[[#This Row],[CONCAT4]]="","",_xlfn.IFNA(MATCH(NOTA[[#This Row],[CONCAT4]],[2]!RAW[CONCAT_H],0),FALSE))</f>
        <v/>
      </c>
      <c r="AP207" s="174">
        <f>IF(NOTA[[#This Row],[CONCAT1]]="","",MATCH(NOTA[[#This Row],[CONCAT1]],[3]!db[NB NOTA_C],0)+1)</f>
        <v>26</v>
      </c>
    </row>
    <row r="208" spans="1:42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38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38" t="str">
        <f>IF(NOTA[[#This Row],[CONCAT4]]="","",_xlfn.IFNA(MATCH(NOTA[[#This Row],[CONCAT4]],[2]!RAW[CONCAT_H],0),FALSE))</f>
        <v/>
      </c>
      <c r="AP208" s="174" t="str">
        <f>IF(NOTA[[#This Row],[CONCAT1]]="","",MATCH(NOTA[[#This Row],[CONCAT1]],[3]!db[NB NOTA_C],0)+1)</f>
        <v/>
      </c>
    </row>
    <row r="209" spans="1:42" ht="20.100000000000001" customHeight="1" x14ac:dyDescent="0.25">
      <c r="A209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ATA_1204_968-11</v>
      </c>
      <c r="C209" s="50" t="e">
        <f ca="1">IF(NOTA[[#This Row],[ID_P]]="","",MATCH(NOTA[[#This Row],[ID_P]],[1]!B_MSK[N_ID],0))</f>
        <v>#REF!</v>
      </c>
      <c r="D209" s="50">
        <f ca="1">IF(NOTA[[#This Row],[NAMA BARANG]]="","",INDEX(NOTA[ID],MATCH(,INDIRECT(ADDRESS(ROW(NOTA[ID]),COLUMN(NOTA[ID]))&amp;":"&amp;ADDRESS(ROW(),COLUMN(NOTA[ID]))),-1)))</f>
        <v>49</v>
      </c>
      <c r="E209" s="23"/>
      <c r="F209" s="26" t="s">
        <v>25</v>
      </c>
      <c r="G209" s="26" t="s">
        <v>24</v>
      </c>
      <c r="H209" s="31" t="s">
        <v>400</v>
      </c>
      <c r="I209" s="26"/>
      <c r="J209" s="51">
        <v>45022</v>
      </c>
      <c r="K209" s="26"/>
      <c r="L209" s="26" t="s">
        <v>129</v>
      </c>
      <c r="M209" s="39">
        <v>2</v>
      </c>
      <c r="N209" s="26">
        <v>288</v>
      </c>
      <c r="O209" s="26" t="s">
        <v>188</v>
      </c>
      <c r="P209" s="49">
        <v>10600</v>
      </c>
      <c r="Q209" s="52"/>
      <c r="R209" s="39" t="s">
        <v>328</v>
      </c>
      <c r="S209" s="53">
        <v>0.125</v>
      </c>
      <c r="T209" s="53">
        <v>0.05</v>
      </c>
      <c r="U209" s="54"/>
      <c r="V209" s="37"/>
      <c r="W209" s="54">
        <f>IF(NOTA[[#This Row],[HARGA/ CTN]]="",NOTA[[#This Row],[JUMLAH_H]],NOTA[[#This Row],[HARGA/ CTN]]*IF(NOTA[[#This Row],[C]]="",0,NOTA[[#This Row],[C]]))</f>
        <v>3052800</v>
      </c>
      <c r="X209" s="54">
        <f>IF(NOTA[[#This Row],[JUMLAH]]="","",NOTA[[#This Row],[JUMLAH]]*NOTA[[#This Row],[DISC 1]])</f>
        <v>381600</v>
      </c>
      <c r="Y209" s="54">
        <f>IF(NOTA[[#This Row],[JUMLAH]]="","",(NOTA[[#This Row],[JUMLAH]]-NOTA[[#This Row],[DISC 1-]])*NOTA[[#This Row],[DISC 2]])</f>
        <v>133560</v>
      </c>
      <c r="Z209" s="54">
        <f>IF(NOTA[[#This Row],[JUMLAH]]="","",NOTA[[#This Row],[DISC 1-]]+NOTA[[#This Row],[DISC 2-]])</f>
        <v>515160</v>
      </c>
      <c r="AA209" s="54">
        <f>IF(NOTA[[#This Row],[JUMLAH]]="","",NOTA[[#This Row],[JUMLAH]]-NOTA[[#This Row],[DISC]])</f>
        <v>2537640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09" s="54">
        <f>IF(OR(NOTA[[#This Row],[QTY]]="",NOTA[[#This Row],[HARGA SATUAN]]="",),"",NOTA[[#This Row],[QTY]]*NOTA[[#This Row],[HARGA SATUAN]])</f>
        <v>3052800</v>
      </c>
      <c r="AF209" s="51">
        <f ca="1">IF(NOTA[ID_H]="","",INDEX(NOTA[TANGGAL],MATCH(,INDIRECT(ADDRESS(ROW(NOTA[TANGGAL]),COLUMN(NOTA[TANGGAL]))&amp;":"&amp;ADDRESS(ROW(),COLUMN(NOTA[TANGGAL]))),-1)))</f>
        <v>45028</v>
      </c>
      <c r="AG209" s="65" t="str">
        <f ca="1">IF(NOTA[[#This Row],[NAMA BARANG]]="","",INDEX(NOTA[SUPPLIER],MATCH(,INDIRECT(ADDRESS(ROW(NOTA[ID]),COLUMN(NOTA[ID]))&amp;":"&amp;ADDRESS(ROW(),COLUMN(NOTA[ID]))),-1)))</f>
        <v>ATALI MAKMUR</v>
      </c>
      <c r="AH209" s="65" t="str">
        <f ca="1">IF(NOTA[[#This Row],[ID_H]]="","",IF(NOTA[[#This Row],[FAKTUR]]="",INDIRECT(ADDRESS(ROW()-1,COLUMN())),NOTA[[#This Row],[FAKTUR]]))</f>
        <v>ARTO MORO</v>
      </c>
      <c r="AI209" s="38">
        <f ca="1">IF(NOTA[[#This Row],[ID]]="","",COUNTIF(NOTA[ID_H],NOTA[[#This Row],[ID_H]]))</f>
        <v>11</v>
      </c>
      <c r="AJ209" s="38">
        <f>IF(NOTA[[#This Row],[TGL.NOTA]]="",IF(NOTA[[#This Row],[SUPPLIER_H]]="","",AJ208),MONTH(NOTA[[#This Row],[TGL.NOTA]]))</f>
        <v>4</v>
      </c>
      <c r="AK20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0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MOROSA23040596845022colorpencilcp12pbjk</v>
      </c>
      <c r="AO209" s="38" t="e">
        <f>IF(NOTA[[#This Row],[CONCAT4]]="","",_xlfn.IFNA(MATCH(NOTA[[#This Row],[CONCAT4]],[2]!RAW[CONCAT_H],0),FALSE))</f>
        <v>#REF!</v>
      </c>
      <c r="AP209" s="174">
        <f>IF(NOTA[[#This Row],[CONCAT1]]="","",MATCH(NOTA[[#This Row],[CONCAT1]],[3]!db[NB NOTA_C],0)+1)</f>
        <v>669</v>
      </c>
    </row>
    <row r="210" spans="1:42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49</v>
      </c>
      <c r="E210" s="23"/>
      <c r="F210" s="26"/>
      <c r="G210" s="26"/>
      <c r="H210" s="31"/>
      <c r="I210" s="26"/>
      <c r="J210" s="51"/>
      <c r="K210" s="26"/>
      <c r="L210" s="26" t="s">
        <v>123</v>
      </c>
      <c r="M210" s="39">
        <v>1</v>
      </c>
      <c r="N210" s="26">
        <v>72</v>
      </c>
      <c r="O210" s="26" t="s">
        <v>188</v>
      </c>
      <c r="P210" s="49">
        <v>21200</v>
      </c>
      <c r="Q210" s="52"/>
      <c r="R210" s="39" t="s">
        <v>331</v>
      </c>
      <c r="S210" s="53">
        <v>0.125</v>
      </c>
      <c r="T210" s="53">
        <v>0.05</v>
      </c>
      <c r="U210" s="54"/>
      <c r="V210" s="37"/>
      <c r="W210" s="54">
        <f>IF(NOTA[[#This Row],[HARGA/ CTN]]="",NOTA[[#This Row],[JUMLAH_H]],NOTA[[#This Row],[HARGA/ CTN]]*IF(NOTA[[#This Row],[C]]="",0,NOTA[[#This Row],[C]]))</f>
        <v>1526400</v>
      </c>
      <c r="X210" s="54">
        <f>IF(NOTA[[#This Row],[JUMLAH]]="","",NOTA[[#This Row],[JUMLAH]]*NOTA[[#This Row],[DISC 1]])</f>
        <v>190800</v>
      </c>
      <c r="Y210" s="54">
        <f>IF(NOTA[[#This Row],[JUMLAH]]="","",(NOTA[[#This Row],[JUMLAH]]-NOTA[[#This Row],[DISC 1-]])*NOTA[[#This Row],[DISC 2]])</f>
        <v>66780</v>
      </c>
      <c r="Z210" s="54">
        <f>IF(NOTA[[#This Row],[JUMLAH]]="","",NOTA[[#This Row],[DISC 1-]]+NOTA[[#This Row],[DISC 2-]])</f>
        <v>257580</v>
      </c>
      <c r="AA210" s="54">
        <f>IF(NOTA[[#This Row],[JUMLAH]]="","",NOTA[[#This Row],[JUMLAH]]-NOTA[[#This Row],[DISC]])</f>
        <v>1268820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0" s="54">
        <f>IF(OR(NOTA[[#This Row],[QTY]]="",NOTA[[#This Row],[HARGA SATUAN]]="",),"",NOTA[[#This Row],[QTY]]*NOTA[[#This Row],[HARGA SATUAN]])</f>
        <v>1526400</v>
      </c>
      <c r="AF210" s="51">
        <f ca="1">IF(NOTA[ID_H]="","",INDEX(NOTA[TANGGAL],MATCH(,INDIRECT(ADDRESS(ROW(NOTA[TANGGAL]),COLUMN(NOTA[TANGGAL]))&amp;":"&amp;ADDRESS(ROW(),COLUMN(NOTA[TANGGAL]))),-1)))</f>
        <v>45028</v>
      </c>
      <c r="AG210" s="65" t="str">
        <f ca="1">IF(NOTA[[#This Row],[NAMA BARANG]]="","",INDEX(NOTA[SUPPLIER],MATCH(,INDIRECT(ADDRESS(ROW(NOTA[ID]),COLUMN(NOTA[ID]))&amp;":"&amp;ADDRESS(ROW(),COLUMN(NOTA[ID]))),-1)))</f>
        <v>ATALI MAKMUR</v>
      </c>
      <c r="AH210" s="65" t="str">
        <f ca="1">IF(NOTA[[#This Row],[ID_H]]="","",IF(NOTA[[#This Row],[FAKTUR]]="",INDIRECT(ADDRESS(ROW()-1,COLUMN())),NOTA[[#This Row],[FAKTUR]]))</f>
        <v>ARTO MORO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4</v>
      </c>
      <c r="AK21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38" t="str">
        <f>IF(NOTA[[#This Row],[CONCAT4]]="","",_xlfn.IFNA(MATCH(NOTA[[#This Row],[CONCAT4]],[2]!RAW[CONCAT_H],0),FALSE))</f>
        <v/>
      </c>
      <c r="AP210" s="174">
        <f>IF(NOTA[[#This Row],[CONCAT1]]="","",MATCH(NOTA[[#This Row],[CONCAT1]],[3]!db[NB NOTA_C],0)+1)</f>
        <v>670</v>
      </c>
    </row>
    <row r="211" spans="1:42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49</v>
      </c>
      <c r="E211" s="23"/>
      <c r="F211" s="26"/>
      <c r="G211" s="26"/>
      <c r="H211" s="31"/>
      <c r="I211" s="26"/>
      <c r="J211" s="51"/>
      <c r="K211" s="26"/>
      <c r="L211" s="26" t="s">
        <v>401</v>
      </c>
      <c r="M211" s="39">
        <v>1</v>
      </c>
      <c r="N211" s="26">
        <v>288</v>
      </c>
      <c r="O211" s="26" t="s">
        <v>188</v>
      </c>
      <c r="P211" s="49">
        <v>6700</v>
      </c>
      <c r="Q211" s="52"/>
      <c r="R211" s="39" t="s">
        <v>402</v>
      </c>
      <c r="S211" s="53">
        <v>0.125</v>
      </c>
      <c r="T211" s="53">
        <v>0.05</v>
      </c>
      <c r="U211" s="54"/>
      <c r="V211" s="37"/>
      <c r="W211" s="54">
        <f>IF(NOTA[[#This Row],[HARGA/ CTN]]="",NOTA[[#This Row],[JUMLAH_H]],NOTA[[#This Row],[HARGA/ CTN]]*IF(NOTA[[#This Row],[C]]="",0,NOTA[[#This Row],[C]]))</f>
        <v>1929600</v>
      </c>
      <c r="X211" s="54">
        <f>IF(NOTA[[#This Row],[JUMLAH]]="","",NOTA[[#This Row],[JUMLAH]]*NOTA[[#This Row],[DISC 1]])</f>
        <v>241200</v>
      </c>
      <c r="Y211" s="54">
        <f>IF(NOTA[[#This Row],[JUMLAH]]="","",(NOTA[[#This Row],[JUMLAH]]-NOTA[[#This Row],[DISC 1-]])*NOTA[[#This Row],[DISC 2]])</f>
        <v>84420</v>
      </c>
      <c r="Z211" s="54">
        <f>IF(NOTA[[#This Row],[JUMLAH]]="","",NOTA[[#This Row],[DISC 1-]]+NOTA[[#This Row],[DISC 2-]])</f>
        <v>325620</v>
      </c>
      <c r="AA211" s="54">
        <f>IF(NOTA[[#This Row],[JUMLAH]]="","",NOTA[[#This Row],[JUMLAH]]-NOTA[[#This Row],[DISC]])</f>
        <v>1603980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11" s="54">
        <f>IF(OR(NOTA[[#This Row],[QTY]]="",NOTA[[#This Row],[HARGA SATUAN]]="",),"",NOTA[[#This Row],[QTY]]*NOTA[[#This Row],[HARGA SATUAN]])</f>
        <v>1929600</v>
      </c>
      <c r="AF211" s="51">
        <f ca="1">IF(NOTA[ID_H]="","",INDEX(NOTA[TANGGAL],MATCH(,INDIRECT(ADDRESS(ROW(NOTA[TANGGAL]),COLUMN(NOTA[TANGGAL]))&amp;":"&amp;ADDRESS(ROW(),COLUMN(NOTA[TANGGAL]))),-1)))</f>
        <v>45028</v>
      </c>
      <c r="AG211" s="65" t="str">
        <f ca="1">IF(NOTA[[#This Row],[NAMA BARANG]]="","",INDEX(NOTA[SUPPLIER],MATCH(,INDIRECT(ADDRESS(ROW(NOTA[ID]),COLUMN(NOTA[ID]))&amp;":"&amp;ADDRESS(ROW(),COLUMN(NOTA[ID]))),-1)))</f>
        <v>ATALI MAKMUR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4</v>
      </c>
      <c r="AK21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1" s="38" t="str">
        <f>IF(NOTA[[#This Row],[CONCAT4]]="","",_xlfn.IFNA(MATCH(NOTA[[#This Row],[CONCAT4]],[2]!RAW[CONCAT_H],0),FALSE))</f>
        <v/>
      </c>
      <c r="AP211" s="174">
        <f>IF(NOTA[[#This Row],[CONCAT1]]="","",MATCH(NOTA[[#This Row],[CONCAT1]],[3]!db[NB NOTA_C],0)+1)</f>
        <v>672</v>
      </c>
    </row>
    <row r="212" spans="1:42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49</v>
      </c>
      <c r="E212" s="23"/>
      <c r="F212" s="26"/>
      <c r="G212" s="26"/>
      <c r="H212" s="31"/>
      <c r="I212" s="26"/>
      <c r="J212" s="51"/>
      <c r="K212" s="26"/>
      <c r="L212" s="26" t="s">
        <v>335</v>
      </c>
      <c r="M212" s="39">
        <v>4</v>
      </c>
      <c r="N212" s="26">
        <v>2880</v>
      </c>
      <c r="O212" s="26" t="s">
        <v>198</v>
      </c>
      <c r="P212" s="49">
        <v>4500</v>
      </c>
      <c r="Q212" s="52"/>
      <c r="R212" s="39" t="s">
        <v>334</v>
      </c>
      <c r="S212" s="53">
        <v>0.125</v>
      </c>
      <c r="T212" s="53">
        <v>0.05</v>
      </c>
      <c r="U212" s="54"/>
      <c r="V212" s="37"/>
      <c r="W212" s="54">
        <f>IF(NOTA[[#This Row],[HARGA/ CTN]]="",NOTA[[#This Row],[JUMLAH_H]],NOTA[[#This Row],[HARGA/ CTN]]*IF(NOTA[[#This Row],[C]]="",0,NOTA[[#This Row],[C]]))</f>
        <v>12960000</v>
      </c>
      <c r="X212" s="54">
        <f>IF(NOTA[[#This Row],[JUMLAH]]="","",NOTA[[#This Row],[JUMLAH]]*NOTA[[#This Row],[DISC 1]])</f>
        <v>1620000</v>
      </c>
      <c r="Y212" s="54">
        <f>IF(NOTA[[#This Row],[JUMLAH]]="","",(NOTA[[#This Row],[JUMLAH]]-NOTA[[#This Row],[DISC 1-]])*NOTA[[#This Row],[DISC 2]])</f>
        <v>567000</v>
      </c>
      <c r="Z212" s="54">
        <f>IF(NOTA[[#This Row],[JUMLAH]]="","",NOTA[[#This Row],[DISC 1-]]+NOTA[[#This Row],[DISC 2-]])</f>
        <v>2187000</v>
      </c>
      <c r="AA212" s="54">
        <f>IF(NOTA[[#This Row],[JUMLAH]]="","",NOTA[[#This Row],[JUMLAH]]-NOTA[[#This Row],[DISC]])</f>
        <v>10773000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12" s="54">
        <f>IF(OR(NOTA[[#This Row],[QTY]]="",NOTA[[#This Row],[HARGA SATUAN]]="",),"",NOTA[[#This Row],[QTY]]*NOTA[[#This Row],[HARGA SATUAN]])</f>
        <v>12960000</v>
      </c>
      <c r="AF212" s="51">
        <f ca="1">IF(NOTA[ID_H]="","",INDEX(NOTA[TANGGAL],MATCH(,INDIRECT(ADDRESS(ROW(NOTA[TANGGAL]),COLUMN(NOTA[TANGGAL]))&amp;":"&amp;ADDRESS(ROW(),COLUMN(NOTA[TANGGAL]))),-1)))</f>
        <v>45028</v>
      </c>
      <c r="AG212" s="65" t="str">
        <f ca="1">IF(NOTA[[#This Row],[NAMA BARANG]]="","",INDEX(NOTA[SUPPLIER],MATCH(,INDIRECT(ADDRESS(ROW(NOTA[ID]),COLUMN(NOTA[ID]))&amp;":"&amp;ADDRESS(ROW(),COLUMN(NOTA[ID]))),-1)))</f>
        <v>ATALI MAKMUR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4</v>
      </c>
      <c r="AK212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38" t="str">
        <f>IF(NOTA[[#This Row],[CONCAT4]]="","",_xlfn.IFNA(MATCH(NOTA[[#This Row],[CONCAT4]],[2]!RAW[CONCAT_H],0),FALSE))</f>
        <v/>
      </c>
      <c r="AP212" s="174">
        <f>IF(NOTA[[#This Row],[CONCAT1]]="","",MATCH(NOTA[[#This Row],[CONCAT1]],[3]!db[NB NOTA_C],0)+1)</f>
        <v>221</v>
      </c>
    </row>
    <row r="213" spans="1:42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49</v>
      </c>
      <c r="E213" s="23"/>
      <c r="F213" s="26"/>
      <c r="G213" s="26"/>
      <c r="H213" s="31"/>
      <c r="I213" s="26"/>
      <c r="J213" s="51"/>
      <c r="K213" s="26"/>
      <c r="L213" s="26" t="s">
        <v>404</v>
      </c>
      <c r="M213" s="39">
        <v>2</v>
      </c>
      <c r="N213" s="26">
        <v>240</v>
      </c>
      <c r="O213" s="26" t="s">
        <v>198</v>
      </c>
      <c r="P213" s="49">
        <v>18000</v>
      </c>
      <c r="Q213" s="52"/>
      <c r="R213" s="39" t="s">
        <v>403</v>
      </c>
      <c r="S213" s="53">
        <v>0.125</v>
      </c>
      <c r="T213" s="53">
        <v>0.05</v>
      </c>
      <c r="U213" s="54"/>
      <c r="V213" s="37"/>
      <c r="W213" s="54">
        <f>IF(NOTA[[#This Row],[HARGA/ CTN]]="",NOTA[[#This Row],[JUMLAH_H]],NOTA[[#This Row],[HARGA/ CTN]]*IF(NOTA[[#This Row],[C]]="",0,NOTA[[#This Row],[C]]))</f>
        <v>4320000</v>
      </c>
      <c r="X213" s="54">
        <f>IF(NOTA[[#This Row],[JUMLAH]]="","",NOTA[[#This Row],[JUMLAH]]*NOTA[[#This Row],[DISC 1]])</f>
        <v>540000</v>
      </c>
      <c r="Y213" s="54">
        <f>IF(NOTA[[#This Row],[JUMLAH]]="","",(NOTA[[#This Row],[JUMLAH]]-NOTA[[#This Row],[DISC 1-]])*NOTA[[#This Row],[DISC 2]])</f>
        <v>189000</v>
      </c>
      <c r="Z213" s="54">
        <f>IF(NOTA[[#This Row],[JUMLAH]]="","",NOTA[[#This Row],[DISC 1-]]+NOTA[[#This Row],[DISC 2-]])</f>
        <v>729000</v>
      </c>
      <c r="AA213" s="54">
        <f>IF(NOTA[[#This Row],[JUMLAH]]="","",NOTA[[#This Row],[JUMLAH]]-NOTA[[#This Row],[DISC]])</f>
        <v>3591000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213" s="54">
        <f>IF(OR(NOTA[[#This Row],[QTY]]="",NOTA[[#This Row],[HARGA SATUAN]]="",),"",NOTA[[#This Row],[QTY]]*NOTA[[#This Row],[HARGA SATUAN]])</f>
        <v>4320000</v>
      </c>
      <c r="AF213" s="51">
        <f ca="1">IF(NOTA[ID_H]="","",INDEX(NOTA[TANGGAL],MATCH(,INDIRECT(ADDRESS(ROW(NOTA[TANGGAL]),COLUMN(NOTA[TANGGAL]))&amp;":"&amp;ADDRESS(ROW(),COLUMN(NOTA[TANGGAL]))),-1)))</f>
        <v>45028</v>
      </c>
      <c r="AG213" s="65" t="str">
        <f ca="1">IF(NOTA[[#This Row],[NAMA BARANG]]="","",INDEX(NOTA[SUPPLIER],MATCH(,INDIRECT(ADDRESS(ROW(NOTA[ID]),COLUMN(NOTA[ID]))&amp;":"&amp;ADDRESS(ROW(),COLUMN(NOTA[ID]))),-1)))</f>
        <v>ATALI MAKMUR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4</v>
      </c>
      <c r="AK213" s="38" t="str">
        <f>LOWER(SUBSTITUTE(SUBSTITUTE(SUBSTITUTE(SUBSTITUTE(SUBSTITUTE(SUBSTITUTE(SUBSTITUTE(SUBSTITUTE(SUBSTITUTE(NOTA[NAMA BARANG]," ",),".",""),"-",""),"(",""),")",""),",",""),"/",""),"""",""),"+",""))</f>
        <v>staplerhd50cljk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staplerhd50cljk21600000.1250.05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staplerhd50cljk21600000.1250.05</v>
      </c>
      <c r="AN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38" t="str">
        <f>IF(NOTA[[#This Row],[CONCAT4]]="","",_xlfn.IFNA(MATCH(NOTA[[#This Row],[CONCAT4]],[2]!RAW[CONCAT_H],0),FALSE))</f>
        <v/>
      </c>
      <c r="AP213" s="174">
        <f>IF(NOTA[[#This Row],[CONCAT1]]="","",MATCH(NOTA[[#This Row],[CONCAT1]],[3]!db[NB NOTA_C],0)+1)</f>
        <v>758</v>
      </c>
    </row>
    <row r="214" spans="1:42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49</v>
      </c>
      <c r="E214" s="23"/>
      <c r="F214" s="26"/>
      <c r="G214" s="26"/>
      <c r="H214" s="31"/>
      <c r="I214" s="26"/>
      <c r="J214" s="51"/>
      <c r="K214" s="26"/>
      <c r="L214" s="26" t="s">
        <v>102</v>
      </c>
      <c r="M214" s="39">
        <v>1</v>
      </c>
      <c r="N214" s="26">
        <v>50</v>
      </c>
      <c r="O214" s="26" t="s">
        <v>204</v>
      </c>
      <c r="P214" s="49">
        <v>28300</v>
      </c>
      <c r="Q214" s="52"/>
      <c r="R214" s="39" t="s">
        <v>352</v>
      </c>
      <c r="S214" s="53">
        <v>0.125</v>
      </c>
      <c r="T214" s="53">
        <v>0.05</v>
      </c>
      <c r="U214" s="54"/>
      <c r="V214" s="37"/>
      <c r="W214" s="54">
        <f>IF(NOTA[[#This Row],[HARGA/ CTN]]="",NOTA[[#This Row],[JUMLAH_H]],NOTA[[#This Row],[HARGA/ CTN]]*IF(NOTA[[#This Row],[C]]="",0,NOTA[[#This Row],[C]]))</f>
        <v>1415000</v>
      </c>
      <c r="X214" s="54">
        <f>IF(NOTA[[#This Row],[JUMLAH]]="","",NOTA[[#This Row],[JUMLAH]]*NOTA[[#This Row],[DISC 1]])</f>
        <v>176875</v>
      </c>
      <c r="Y214" s="54">
        <f>IF(NOTA[[#This Row],[JUMLAH]]="","",(NOTA[[#This Row],[JUMLAH]]-NOTA[[#This Row],[DISC 1-]])*NOTA[[#This Row],[DISC 2]])</f>
        <v>61906.25</v>
      </c>
      <c r="Z214" s="54">
        <f>IF(NOTA[[#This Row],[JUMLAH]]="","",NOTA[[#This Row],[DISC 1-]]+NOTA[[#This Row],[DISC 2-]])</f>
        <v>238781.25</v>
      </c>
      <c r="AA214" s="54">
        <f>IF(NOTA[[#This Row],[JUMLAH]]="","",NOTA[[#This Row],[JUMLAH]]-NOTA[[#This Row],[DISC]])</f>
        <v>1176218.75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14" s="54">
        <f>IF(OR(NOTA[[#This Row],[QTY]]="",NOTA[[#This Row],[HARGA SATUAN]]="",),"",NOTA[[#This Row],[QTY]]*NOTA[[#This Row],[HARGA SATUAN]])</f>
        <v>1415000</v>
      </c>
      <c r="AF214" s="51">
        <f ca="1">IF(NOTA[ID_H]="","",INDEX(NOTA[TANGGAL],MATCH(,INDIRECT(ADDRESS(ROW(NOTA[TANGGAL]),COLUMN(NOTA[TANGGAL]))&amp;":"&amp;ADDRESS(ROW(),COLUMN(NOTA[TANGGAL]))),-1)))</f>
        <v>45028</v>
      </c>
      <c r="AG214" s="65" t="str">
        <f ca="1">IF(NOTA[[#This Row],[NAMA BARANG]]="","",INDEX(NOTA[SUPPLIER],MATCH(,INDIRECT(ADDRESS(ROW(NOTA[ID]),COLUMN(NOTA[ID]))&amp;":"&amp;ADDRESS(ROW(),COLUMN(NOTA[ID]))),-1)))</f>
        <v>ATALI MAKMUR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4</v>
      </c>
      <c r="AK21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4" s="38" t="str">
        <f>IF(NOTA[[#This Row],[CONCAT4]]="","",_xlfn.IFNA(MATCH(NOTA[[#This Row],[CONCAT4]],[2]!RAW[CONCAT_H],0),FALSE))</f>
        <v/>
      </c>
      <c r="AP214" s="174">
        <f>IF(NOTA[[#This Row],[CONCAT1]]="","",MATCH(NOTA[[#This Row],[CONCAT1]],[3]!db[NB NOTA_C],0)+1)</f>
        <v>778</v>
      </c>
    </row>
    <row r="215" spans="1:42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49</v>
      </c>
      <c r="E215" s="23"/>
      <c r="F215" s="26"/>
      <c r="G215" s="26"/>
      <c r="H215" s="31"/>
      <c r="I215" s="26"/>
      <c r="J215" s="51"/>
      <c r="K215" s="26"/>
      <c r="L215" s="38" t="s">
        <v>405</v>
      </c>
      <c r="M215" s="39">
        <v>1</v>
      </c>
      <c r="N215" s="26">
        <v>50</v>
      </c>
      <c r="O215" s="26" t="s">
        <v>204</v>
      </c>
      <c r="P215" s="49">
        <v>32000</v>
      </c>
      <c r="Q215" s="52"/>
      <c r="R215" s="39" t="s">
        <v>406</v>
      </c>
      <c r="S215" s="53">
        <v>0.125</v>
      </c>
      <c r="T215" s="53">
        <v>0.05</v>
      </c>
      <c r="U215" s="54"/>
      <c r="V215" s="37"/>
      <c r="W215" s="54">
        <f>IF(NOTA[[#This Row],[HARGA/ CTN]]="",NOTA[[#This Row],[JUMLAH_H]],NOTA[[#This Row],[HARGA/ CTN]]*IF(NOTA[[#This Row],[C]]="",0,NOTA[[#This Row],[C]]))</f>
        <v>1600000</v>
      </c>
      <c r="X215" s="54">
        <f>IF(NOTA[[#This Row],[JUMLAH]]="","",NOTA[[#This Row],[JUMLAH]]*NOTA[[#This Row],[DISC 1]])</f>
        <v>200000</v>
      </c>
      <c r="Y215" s="54">
        <f>IF(NOTA[[#This Row],[JUMLAH]]="","",(NOTA[[#This Row],[JUMLAH]]-NOTA[[#This Row],[DISC 1-]])*NOTA[[#This Row],[DISC 2]])</f>
        <v>70000</v>
      </c>
      <c r="Z215" s="54">
        <f>IF(NOTA[[#This Row],[JUMLAH]]="","",NOTA[[#This Row],[DISC 1-]]+NOTA[[#This Row],[DISC 2-]])</f>
        <v>270000</v>
      </c>
      <c r="AA215" s="54">
        <f>IF(NOTA[[#This Row],[JUMLAH]]="","",NOTA[[#This Row],[JUMLAH]]-NOTA[[#This Row],[DISC]])</f>
        <v>1330000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5" s="54">
        <f>IF(OR(NOTA[[#This Row],[QTY]]="",NOTA[[#This Row],[HARGA SATUAN]]="",),"",NOTA[[#This Row],[QTY]]*NOTA[[#This Row],[HARGA SATUAN]])</f>
        <v>1600000</v>
      </c>
      <c r="AF215" s="51">
        <f ca="1">IF(NOTA[ID_H]="","",INDEX(NOTA[TANGGAL],MATCH(,INDIRECT(ADDRESS(ROW(NOTA[TANGGAL]),COLUMN(NOTA[TANGGAL]))&amp;":"&amp;ADDRESS(ROW(),COLUMN(NOTA[TANGGAL]))),-1)))</f>
        <v>45028</v>
      </c>
      <c r="AG215" s="65" t="str">
        <f ca="1">IF(NOTA[[#This Row],[NAMA BARANG]]="","",INDEX(NOTA[SUPPLIER],MATCH(,INDIRECT(ADDRESS(ROW(NOTA[ID]),COLUMN(NOTA[ID]))&amp;":"&amp;ADDRESS(ROW(),COLUMN(NOTA[ID]))),-1)))</f>
        <v>ATALI MAKMUR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4</v>
      </c>
      <c r="AK215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38" t="str">
        <f>IF(NOTA[[#This Row],[CONCAT4]]="","",_xlfn.IFNA(MATCH(NOTA[[#This Row],[CONCAT4]],[2]!RAW[CONCAT_H],0),FALSE))</f>
        <v/>
      </c>
      <c r="AP215" s="174">
        <f>IF(NOTA[[#This Row],[CONCAT1]]="","",MATCH(NOTA[[#This Row],[CONCAT1]],[3]!db[NB NOTA_C],0)+1)</f>
        <v>779</v>
      </c>
    </row>
    <row r="216" spans="1:42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49</v>
      </c>
      <c r="E216" s="23"/>
      <c r="F216" s="26"/>
      <c r="G216" s="26"/>
      <c r="H216" s="31"/>
      <c r="I216" s="26"/>
      <c r="J216" s="51"/>
      <c r="K216" s="26"/>
      <c r="L216" s="26" t="s">
        <v>122</v>
      </c>
      <c r="M216" s="39">
        <v>1</v>
      </c>
      <c r="N216" s="26">
        <v>50</v>
      </c>
      <c r="O216" s="26" t="s">
        <v>204</v>
      </c>
      <c r="P216" s="49">
        <v>32000</v>
      </c>
      <c r="Q216" s="52"/>
      <c r="R216" s="39" t="s">
        <v>406</v>
      </c>
      <c r="S216" s="53">
        <v>0.125</v>
      </c>
      <c r="T216" s="53">
        <v>0.05</v>
      </c>
      <c r="U216" s="54"/>
      <c r="V216" s="37"/>
      <c r="W216" s="54">
        <f>IF(NOTA[[#This Row],[HARGA/ CTN]]="",NOTA[[#This Row],[JUMLAH_H]],NOTA[[#This Row],[HARGA/ CTN]]*IF(NOTA[[#This Row],[C]]="",0,NOTA[[#This Row],[C]]))</f>
        <v>1600000</v>
      </c>
      <c r="X216" s="54">
        <f>IF(NOTA[[#This Row],[JUMLAH]]="","",NOTA[[#This Row],[JUMLAH]]*NOTA[[#This Row],[DISC 1]])</f>
        <v>200000</v>
      </c>
      <c r="Y216" s="54">
        <f>IF(NOTA[[#This Row],[JUMLAH]]="","",(NOTA[[#This Row],[JUMLAH]]-NOTA[[#This Row],[DISC 1-]])*NOTA[[#This Row],[DISC 2]])</f>
        <v>70000</v>
      </c>
      <c r="Z216" s="54">
        <f>IF(NOTA[[#This Row],[JUMLAH]]="","",NOTA[[#This Row],[DISC 1-]]+NOTA[[#This Row],[DISC 2-]])</f>
        <v>270000</v>
      </c>
      <c r="AA216" s="54">
        <f>IF(NOTA[[#This Row],[JUMLAH]]="","",NOTA[[#This Row],[JUMLAH]]-NOTA[[#This Row],[DISC]])</f>
        <v>1330000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6" s="54">
        <f>IF(OR(NOTA[[#This Row],[QTY]]="",NOTA[[#This Row],[HARGA SATUAN]]="",),"",NOTA[[#This Row],[QTY]]*NOTA[[#This Row],[HARGA SATUAN]])</f>
        <v>1600000</v>
      </c>
      <c r="AF216" s="51">
        <f ca="1">IF(NOTA[ID_H]="","",INDEX(NOTA[TANGGAL],MATCH(,INDIRECT(ADDRESS(ROW(NOTA[TANGGAL]),COLUMN(NOTA[TANGGAL]))&amp;":"&amp;ADDRESS(ROW(),COLUMN(NOTA[TANGGAL]))),-1)))</f>
        <v>45028</v>
      </c>
      <c r="AG216" s="65" t="str">
        <f ca="1">IF(NOTA[[#This Row],[NAMA BARANG]]="","",INDEX(NOTA[SUPPLIER],MATCH(,INDIRECT(ADDRESS(ROW(NOTA[ID]),COLUMN(NOTA[ID]))&amp;":"&amp;ADDRESS(ROW(),COLUMN(NOTA[ID]))),-1)))</f>
        <v>ATALI MAKMUR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4</v>
      </c>
      <c r="AK216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6" s="38" t="str">
        <f>IF(NOTA[[#This Row],[CONCAT4]]="","",_xlfn.IFNA(MATCH(NOTA[[#This Row],[CONCAT4]],[2]!RAW[CONCAT_H],0),FALSE))</f>
        <v/>
      </c>
      <c r="AP216" s="174">
        <f>IF(NOTA[[#This Row],[CONCAT1]]="","",MATCH(NOTA[[#This Row],[CONCAT1]],[3]!db[NB NOTA_C],0)+1)</f>
        <v>784</v>
      </c>
    </row>
    <row r="217" spans="1:42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49</v>
      </c>
      <c r="E217" s="23"/>
      <c r="F217" s="26"/>
      <c r="G217" s="26"/>
      <c r="H217" s="31"/>
      <c r="I217" s="26"/>
      <c r="J217" s="51"/>
      <c r="K217" s="26"/>
      <c r="L217" s="26" t="s">
        <v>407</v>
      </c>
      <c r="M217" s="39">
        <v>1</v>
      </c>
      <c r="N217" s="26">
        <v>24</v>
      </c>
      <c r="O217" s="26" t="s">
        <v>198</v>
      </c>
      <c r="P217" s="49">
        <v>12300</v>
      </c>
      <c r="Q217" s="52"/>
      <c r="R217" s="39" t="s">
        <v>257</v>
      </c>
      <c r="S217" s="53">
        <v>0.125</v>
      </c>
      <c r="T217" s="53">
        <v>0.05</v>
      </c>
      <c r="U217" s="54"/>
      <c r="V217" s="37"/>
      <c r="W217" s="54">
        <f>IF(NOTA[[#This Row],[HARGA/ CTN]]="",NOTA[[#This Row],[JUMLAH_H]],NOTA[[#This Row],[HARGA/ CTN]]*IF(NOTA[[#This Row],[C]]="",0,NOTA[[#This Row],[C]]))</f>
        <v>295200</v>
      </c>
      <c r="X217" s="54">
        <f>IF(NOTA[[#This Row],[JUMLAH]]="","",NOTA[[#This Row],[JUMLAH]]*NOTA[[#This Row],[DISC 1]])</f>
        <v>36900</v>
      </c>
      <c r="Y217" s="54">
        <f>IF(NOTA[[#This Row],[JUMLAH]]="","",(NOTA[[#This Row],[JUMLAH]]-NOTA[[#This Row],[DISC 1-]])*NOTA[[#This Row],[DISC 2]])</f>
        <v>12915</v>
      </c>
      <c r="Z217" s="54">
        <f>IF(NOTA[[#This Row],[JUMLAH]]="","",NOTA[[#This Row],[DISC 1-]]+NOTA[[#This Row],[DISC 2-]])</f>
        <v>49815</v>
      </c>
      <c r="AA217" s="54">
        <f>IF(NOTA[[#This Row],[JUMLAH]]="","",NOTA[[#This Row],[JUMLAH]]-NOTA[[#This Row],[DISC]])</f>
        <v>245385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E217" s="54">
        <f>IF(OR(NOTA[[#This Row],[QTY]]="",NOTA[[#This Row],[HARGA SATUAN]]="",),"",NOTA[[#This Row],[QTY]]*NOTA[[#This Row],[HARGA SATUAN]])</f>
        <v>295200</v>
      </c>
      <c r="AF217" s="51">
        <f ca="1">IF(NOTA[ID_H]="","",INDEX(NOTA[TANGGAL],MATCH(,INDIRECT(ADDRESS(ROW(NOTA[TANGGAL]),COLUMN(NOTA[TANGGAL]))&amp;":"&amp;ADDRESS(ROW(),COLUMN(NOTA[TANGGAL]))),-1)))</f>
        <v>45028</v>
      </c>
      <c r="AG217" s="65" t="str">
        <f ca="1">IF(NOTA[[#This Row],[NAMA BARANG]]="","",INDEX(NOTA[SUPPLIER],MATCH(,INDIRECT(ADDRESS(ROW(NOTA[ID]),COLUMN(NOTA[ID]))&amp;":"&amp;ADDRESS(ROW(),COLUMN(NOTA[ID]))),-1)))</f>
        <v>ATALI MAKMUR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4</v>
      </c>
      <c r="AK217" s="38" t="str">
        <f>LOWER(SUBSTITUTE(SUBSTITUTE(SUBSTITUTE(SUBSTITUTE(SUBSTITUTE(SUBSTITUTE(SUBSTITUTE(SUBSTITUTE(SUBSTITUTE(NOTA[NAMA BARANG]," ",),".",""),"-",""),"(",""),")",""),",",""),"/",""),"""",""),"+",""))</f>
        <v>tapecuttertc111jk</v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tapecuttertc111jk2952000.1250.05</v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tapecuttertc111jk2952000.1250.05</v>
      </c>
      <c r="AN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38" t="str">
        <f>IF(NOTA[[#This Row],[CONCAT4]]="","",_xlfn.IFNA(MATCH(NOTA[[#This Row],[CONCAT4]],[2]!RAW[CONCAT_H],0),FALSE))</f>
        <v/>
      </c>
      <c r="AP217" s="174">
        <f>IF(NOTA[[#This Row],[CONCAT1]]="","",MATCH(NOTA[[#This Row],[CONCAT1]],[3]!db[NB NOTA_C],0)+1)</f>
        <v>798</v>
      </c>
    </row>
    <row r="218" spans="1:42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49</v>
      </c>
      <c r="E218" s="23"/>
      <c r="F218" s="26"/>
      <c r="G218" s="26"/>
      <c r="H218" s="31"/>
      <c r="I218" s="26"/>
      <c r="J218" s="51"/>
      <c r="K218" s="26"/>
      <c r="L218" s="26" t="s">
        <v>355</v>
      </c>
      <c r="M218" s="39">
        <v>6</v>
      </c>
      <c r="N218" s="26">
        <v>144</v>
      </c>
      <c r="O218" s="26" t="s">
        <v>198</v>
      </c>
      <c r="P218" s="49">
        <v>11100</v>
      </c>
      <c r="Q218" s="52"/>
      <c r="R218" s="39" t="s">
        <v>257</v>
      </c>
      <c r="S218" s="53">
        <v>0.125</v>
      </c>
      <c r="T218" s="53">
        <v>0.05</v>
      </c>
      <c r="U218" s="54"/>
      <c r="V218" s="37"/>
      <c r="W218" s="54">
        <f>IF(NOTA[[#This Row],[HARGA/ CTN]]="",NOTA[[#This Row],[JUMLAH_H]],NOTA[[#This Row],[HARGA/ CTN]]*IF(NOTA[[#This Row],[C]]="",0,NOTA[[#This Row],[C]]))</f>
        <v>1598400</v>
      </c>
      <c r="X218" s="54">
        <f>IF(NOTA[[#This Row],[JUMLAH]]="","",NOTA[[#This Row],[JUMLAH]]*NOTA[[#This Row],[DISC 1]])</f>
        <v>199800</v>
      </c>
      <c r="Y218" s="54">
        <f>IF(NOTA[[#This Row],[JUMLAH]]="","",(NOTA[[#This Row],[JUMLAH]]-NOTA[[#This Row],[DISC 1-]])*NOTA[[#This Row],[DISC 2]])</f>
        <v>69930</v>
      </c>
      <c r="Z218" s="54">
        <f>IF(NOTA[[#This Row],[JUMLAH]]="","",NOTA[[#This Row],[DISC 1-]]+NOTA[[#This Row],[DISC 2-]])</f>
        <v>269730</v>
      </c>
      <c r="AA218" s="54">
        <f>IF(NOTA[[#This Row],[JUMLAH]]="","",NOTA[[#This Row],[JUMLAH]]-NOTA[[#This Row],[DISC]])</f>
        <v>1328670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218" s="54">
        <f>IF(OR(NOTA[[#This Row],[QTY]]="",NOTA[[#This Row],[HARGA SATUAN]]="",),"",NOTA[[#This Row],[QTY]]*NOTA[[#This Row],[HARGA SATUAN]])</f>
        <v>1598400</v>
      </c>
      <c r="AF218" s="51">
        <f ca="1">IF(NOTA[ID_H]="","",INDEX(NOTA[TANGGAL],MATCH(,INDIRECT(ADDRESS(ROW(NOTA[TANGGAL]),COLUMN(NOTA[TANGGAL]))&amp;":"&amp;ADDRESS(ROW(),COLUMN(NOTA[TANGGAL]))),-1)))</f>
        <v>45028</v>
      </c>
      <c r="AG218" s="65" t="str">
        <f ca="1">IF(NOTA[[#This Row],[NAMA BARANG]]="","",INDEX(NOTA[SUPPLIER],MATCH(,INDIRECT(ADDRESS(ROW(NOTA[ID]),COLUMN(NOTA[ID]))&amp;":"&amp;ADDRESS(ROW(),COLUMN(NOTA[ID]))),-1)))</f>
        <v>ATALI MAKMUR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4</v>
      </c>
      <c r="AK218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38" t="str">
        <f>IF(NOTA[[#This Row],[CONCAT4]]="","",_xlfn.IFNA(MATCH(NOTA[[#This Row],[CONCAT4]],[2]!RAW[CONCAT_H],0),FALSE))</f>
        <v/>
      </c>
      <c r="AP218" s="174">
        <f>IF(NOTA[[#This Row],[CONCAT1]]="","",MATCH(NOTA[[#This Row],[CONCAT1]],[3]!db[NB NOTA_C],0)+1)</f>
        <v>805</v>
      </c>
    </row>
    <row r="219" spans="1:42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49</v>
      </c>
      <c r="E219" s="23"/>
      <c r="F219" s="26"/>
      <c r="G219" s="26"/>
      <c r="H219" s="31"/>
      <c r="I219" s="26"/>
      <c r="J219" s="51"/>
      <c r="K219" s="26"/>
      <c r="L219" s="26" t="s">
        <v>408</v>
      </c>
      <c r="M219" s="39">
        <v>1</v>
      </c>
      <c r="N219" s="26">
        <v>24</v>
      </c>
      <c r="O219" s="26" t="s">
        <v>261</v>
      </c>
      <c r="P219" s="49">
        <v>118800</v>
      </c>
      <c r="Q219" s="52"/>
      <c r="R219" s="39" t="s">
        <v>409</v>
      </c>
      <c r="S219" s="53">
        <v>0.125</v>
      </c>
      <c r="T219" s="53">
        <v>0.05</v>
      </c>
      <c r="U219" s="54"/>
      <c r="V219" s="37"/>
      <c r="W219" s="54">
        <f>IF(NOTA[[#This Row],[HARGA/ CTN]]="",NOTA[[#This Row],[JUMLAH_H]],NOTA[[#This Row],[HARGA/ CTN]]*IF(NOTA[[#This Row],[C]]="",0,NOTA[[#This Row],[C]]))</f>
        <v>2851200</v>
      </c>
      <c r="X219" s="54">
        <f>IF(NOTA[[#This Row],[JUMLAH]]="","",NOTA[[#This Row],[JUMLAH]]*NOTA[[#This Row],[DISC 1]])</f>
        <v>356400</v>
      </c>
      <c r="Y219" s="54">
        <f>IF(NOTA[[#This Row],[JUMLAH]]="","",(NOTA[[#This Row],[JUMLAH]]-NOTA[[#This Row],[DISC 1-]])*NOTA[[#This Row],[DISC 2]])</f>
        <v>124740</v>
      </c>
      <c r="Z219" s="54">
        <f>IF(NOTA[[#This Row],[JUMLAH]]="","",NOTA[[#This Row],[DISC 1-]]+NOTA[[#This Row],[DISC 2-]])</f>
        <v>481140</v>
      </c>
      <c r="AA219" s="54">
        <f>IF(NOTA[[#This Row],[JUMLAH]]="","",NOTA[[#This Row],[JUMLAH]]-NOTA[[#This Row],[DISC]])</f>
        <v>2370060</v>
      </c>
      <c r="AB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5593826.25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27554773.75</v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19" s="54">
        <f>IF(OR(NOTA[[#This Row],[QTY]]="",NOTA[[#This Row],[HARGA SATUAN]]="",),"",NOTA[[#This Row],[QTY]]*NOTA[[#This Row],[HARGA SATUAN]])</f>
        <v>2851200</v>
      </c>
      <c r="AF219" s="51">
        <f ca="1">IF(NOTA[ID_H]="","",INDEX(NOTA[TANGGAL],MATCH(,INDIRECT(ADDRESS(ROW(NOTA[TANGGAL]),COLUMN(NOTA[TANGGAL]))&amp;":"&amp;ADDRESS(ROW(),COLUMN(NOTA[TANGGAL]))),-1)))</f>
        <v>45028</v>
      </c>
      <c r="AG219" s="65" t="str">
        <f ca="1">IF(NOTA[[#This Row],[NAMA BARANG]]="","",INDEX(NOTA[SUPPLIER],MATCH(,INDIRECT(ADDRESS(ROW(NOTA[ID]),COLUMN(NOTA[ID]))&amp;":"&amp;ADDRESS(ROW(),COLUMN(NOTA[ID]))),-1)))</f>
        <v>ATALI MAKMUR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4</v>
      </c>
      <c r="AK219" s="38" t="str">
        <f>LOWER(SUBSTITUTE(SUBSTITUTE(SUBSTITUTE(SUBSTITUTE(SUBSTITUTE(SUBSTITUTE(SUBSTITUTE(SUBSTITUTE(SUBSTITUTE(NOTA[NAMA BARANG]," ",),".",""),"-",""),"(",""),")",""),",",""),"/",""),"""",""),"+",""))</f>
        <v>mathsetms28jk</v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mathsetms28jk28512000.1250.05</v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mathsetms28jk28512000.1250.05</v>
      </c>
      <c r="AN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38" t="str">
        <f>IF(NOTA[[#This Row],[CONCAT4]]="","",_xlfn.IFNA(MATCH(NOTA[[#This Row],[CONCAT4]],[2]!RAW[CONCAT_H],0),FALSE))</f>
        <v/>
      </c>
      <c r="AP219" s="174">
        <f>IF(NOTA[[#This Row],[CONCAT1]]="","",MATCH(NOTA[[#This Row],[CONCAT1]],[3]!db[NB NOTA_C],0)+1)</f>
        <v>500</v>
      </c>
    </row>
    <row r="220" spans="1:42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0" s="38" t="str">
        <f>IF(NOTA[[#This Row],[CONCAT4]]="","",_xlfn.IFNA(MATCH(NOTA[[#This Row],[CONCAT4]],[2]!RAW[CONCAT_H],0),FALSE))</f>
        <v/>
      </c>
      <c r="AP220" s="174" t="str">
        <f>IF(NOTA[[#This Row],[CONCAT1]]="","",MATCH(NOTA[[#This Row],[CONCAT1]],[3]!db[NB NOTA_C],0)+1)</f>
        <v/>
      </c>
    </row>
    <row r="221" spans="1:42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ATA_1204_967-11</v>
      </c>
      <c r="C221" s="50" t="e">
        <f ca="1">IF(NOTA[[#This Row],[ID_P]]="","",MATCH(NOTA[[#This Row],[ID_P]],[1]!B_MSK[N_ID],0))</f>
        <v>#REF!</v>
      </c>
      <c r="D221" s="50">
        <f ca="1">IF(NOTA[[#This Row],[NAMA BARANG]]="","",INDEX(NOTA[ID],MATCH(,INDIRECT(ADDRESS(ROW(NOTA[ID]),COLUMN(NOTA[ID]))&amp;":"&amp;ADDRESS(ROW(),COLUMN(NOTA[ID]))),-1)))</f>
        <v>50</v>
      </c>
      <c r="E221" s="23"/>
      <c r="F221" s="26" t="s">
        <v>25</v>
      </c>
      <c r="G221" s="26" t="s">
        <v>24</v>
      </c>
      <c r="H221" s="31" t="s">
        <v>410</v>
      </c>
      <c r="I221" s="26"/>
      <c r="J221" s="51">
        <v>45022</v>
      </c>
      <c r="K221" s="26"/>
      <c r="L221" s="26" t="s">
        <v>117</v>
      </c>
      <c r="M221" s="39">
        <v>5</v>
      </c>
      <c r="N221" s="26">
        <v>3600</v>
      </c>
      <c r="O221" s="26" t="s">
        <v>198</v>
      </c>
      <c r="P221" s="49">
        <v>4600</v>
      </c>
      <c r="Q221" s="52"/>
      <c r="R221" s="39" t="s">
        <v>334</v>
      </c>
      <c r="S221" s="53">
        <v>0.125</v>
      </c>
      <c r="T221" s="53">
        <v>0.05</v>
      </c>
      <c r="U221" s="54"/>
      <c r="V221" s="37"/>
      <c r="W221" s="54">
        <f>IF(NOTA[[#This Row],[HARGA/ CTN]]="",NOTA[[#This Row],[JUMLAH_H]],NOTA[[#This Row],[HARGA/ CTN]]*IF(NOTA[[#This Row],[C]]="",0,NOTA[[#This Row],[C]]))</f>
        <v>16560000</v>
      </c>
      <c r="X221" s="54">
        <f>IF(NOTA[[#This Row],[JUMLAH]]="","",NOTA[[#This Row],[JUMLAH]]*NOTA[[#This Row],[DISC 1]])</f>
        <v>2070000</v>
      </c>
      <c r="Y221" s="54">
        <f>IF(NOTA[[#This Row],[JUMLAH]]="","",(NOTA[[#This Row],[JUMLAH]]-NOTA[[#This Row],[DISC 1-]])*NOTA[[#This Row],[DISC 2]])</f>
        <v>724500</v>
      </c>
      <c r="Z221" s="54">
        <f>IF(NOTA[[#This Row],[JUMLAH]]="","",NOTA[[#This Row],[DISC 1-]]+NOTA[[#This Row],[DISC 2-]])</f>
        <v>2794500</v>
      </c>
      <c r="AA221" s="54">
        <f>IF(NOTA[[#This Row],[JUMLAH]]="","",NOTA[[#This Row],[JUMLAH]]-NOTA[[#This Row],[DISC]])</f>
        <v>13765500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221" s="54">
        <f>IF(OR(NOTA[[#This Row],[QTY]]="",NOTA[[#This Row],[HARGA SATUAN]]="",),"",NOTA[[#This Row],[QTY]]*NOTA[[#This Row],[HARGA SATUAN]])</f>
        <v>16560000</v>
      </c>
      <c r="AF221" s="51">
        <f ca="1">IF(NOTA[ID_H]="","",INDEX(NOTA[TANGGAL],MATCH(,INDIRECT(ADDRESS(ROW(NOTA[TANGGAL]),COLUMN(NOTA[TANGGAL]))&amp;":"&amp;ADDRESS(ROW(),COLUMN(NOTA[TANGGAL]))),-1)))</f>
        <v>45028</v>
      </c>
      <c r="AG221" s="65" t="str">
        <f ca="1">IF(NOTA[[#This Row],[NAMA BARANG]]="","",INDEX(NOTA[SUPPLIER],MATCH(,INDIRECT(ADDRESS(ROW(NOTA[ID]),COLUMN(NOTA[ID]))&amp;":"&amp;ADDRESS(ROW(),COLUMN(NOTA[ID]))),-1)))</f>
        <v>ATALI MAKMUR</v>
      </c>
      <c r="AH221" s="65" t="str">
        <f ca="1">IF(NOTA[[#This Row],[ID_H]]="","",IF(NOTA[[#This Row],[FAKTUR]]="",INDIRECT(ADDRESS(ROW()-1,COLUMN())),NOTA[[#This Row],[FAKTUR]]))</f>
        <v>ARTO MORO</v>
      </c>
      <c r="AI221" s="38">
        <f ca="1">IF(NOTA[[#This Row],[ID]]="","",COUNTIF(NOTA[ID_H],NOTA[[#This Row],[ID_H]]))</f>
        <v>11</v>
      </c>
      <c r="AJ221" s="38">
        <f>IF(NOTA[[#This Row],[TGL.NOTA]]="",IF(NOTA[[#This Row],[SUPPLIER_H]]="","",AJ220),MONTH(NOTA[[#This Row],[TGL.NOTA]]))</f>
        <v>4</v>
      </c>
      <c r="AK221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22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MOROSA23040596745022correctiontapect507jk</v>
      </c>
      <c r="AO221" s="38" t="e">
        <f>IF(NOTA[[#This Row],[CONCAT4]]="","",_xlfn.IFNA(MATCH(NOTA[[#This Row],[CONCAT4]],[2]!RAW[CONCAT_H],0),FALSE))</f>
        <v>#REF!</v>
      </c>
      <c r="AP221" s="174">
        <f>IF(NOTA[[#This Row],[CONCAT1]]="","",MATCH(NOTA[[#This Row],[CONCAT1]],[3]!db[NB NOTA_C],0)+1)</f>
        <v>220</v>
      </c>
    </row>
    <row r="222" spans="1:42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50</v>
      </c>
      <c r="E222" s="23"/>
      <c r="F222" s="26"/>
      <c r="G222" s="26"/>
      <c r="H222" s="31"/>
      <c r="I222" s="26"/>
      <c r="J222" s="51"/>
      <c r="K222" s="26"/>
      <c r="L222" s="26" t="s">
        <v>99</v>
      </c>
      <c r="M222" s="39">
        <v>6</v>
      </c>
      <c r="N222" s="26">
        <v>864</v>
      </c>
      <c r="O222" s="26" t="s">
        <v>198</v>
      </c>
      <c r="P222" s="49">
        <v>4350</v>
      </c>
      <c r="Q222" s="52"/>
      <c r="R222" s="39" t="s">
        <v>333</v>
      </c>
      <c r="S222" s="53">
        <v>0.125</v>
      </c>
      <c r="T222" s="53">
        <v>0.05</v>
      </c>
      <c r="U222" s="54"/>
      <c r="V222" s="37"/>
      <c r="W222" s="54">
        <f>IF(NOTA[[#This Row],[HARGA/ CTN]]="",NOTA[[#This Row],[JUMLAH_H]],NOTA[[#This Row],[HARGA/ CTN]]*IF(NOTA[[#This Row],[C]]="",0,NOTA[[#This Row],[C]]))</f>
        <v>3758400</v>
      </c>
      <c r="X222" s="54">
        <f>IF(NOTA[[#This Row],[JUMLAH]]="","",NOTA[[#This Row],[JUMLAH]]*NOTA[[#This Row],[DISC 1]])</f>
        <v>469800</v>
      </c>
      <c r="Y222" s="54">
        <f>IF(NOTA[[#This Row],[JUMLAH]]="","",(NOTA[[#This Row],[JUMLAH]]-NOTA[[#This Row],[DISC 1-]])*NOTA[[#This Row],[DISC 2]])</f>
        <v>164430</v>
      </c>
      <c r="Z222" s="54">
        <f>IF(NOTA[[#This Row],[JUMLAH]]="","",NOTA[[#This Row],[DISC 1-]]+NOTA[[#This Row],[DISC 2-]])</f>
        <v>634230</v>
      </c>
      <c r="AA222" s="54">
        <f>IF(NOTA[[#This Row],[JUMLAH]]="","",NOTA[[#This Row],[JUMLAH]]-NOTA[[#This Row],[DISC]])</f>
        <v>3124170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22" s="54">
        <f>IF(OR(NOTA[[#This Row],[QTY]]="",NOTA[[#This Row],[HARGA SATUAN]]="",),"",NOTA[[#This Row],[QTY]]*NOTA[[#This Row],[HARGA SATUAN]])</f>
        <v>3758400</v>
      </c>
      <c r="AF222" s="51">
        <f ca="1">IF(NOTA[ID_H]="","",INDEX(NOTA[TANGGAL],MATCH(,INDIRECT(ADDRESS(ROW(NOTA[TANGGAL]),COLUMN(NOTA[TANGGAL]))&amp;":"&amp;ADDRESS(ROW(),COLUMN(NOTA[TANGGAL]))),-1)))</f>
        <v>45028</v>
      </c>
      <c r="AG222" s="65" t="str">
        <f ca="1">IF(NOTA[[#This Row],[NAMA BARANG]]="","",INDEX(NOTA[SUPPLIER],MATCH(,INDIRECT(ADDRESS(ROW(NOTA[ID]),COLUMN(NOTA[ID]))&amp;":"&amp;ADDRESS(ROW(),COLUMN(NOTA[ID]))),-1)))</f>
        <v>ATALI MAKMUR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4</v>
      </c>
      <c r="AK22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38" t="str">
        <f>IF(NOTA[[#This Row],[CONCAT4]]="","",_xlfn.IFNA(MATCH(NOTA[[#This Row],[CONCAT4]],[2]!RAW[CONCAT_H],0),FALSE))</f>
        <v/>
      </c>
      <c r="AP222" s="174">
        <f>IF(NOTA[[#This Row],[CONCAT1]]="","",MATCH(NOTA[[#This Row],[CONCAT1]],[3]!db[NB NOTA_C],0)+1)</f>
        <v>429</v>
      </c>
    </row>
    <row r="223" spans="1:42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50</v>
      </c>
      <c r="E223" s="23"/>
      <c r="F223" s="26"/>
      <c r="G223" s="26"/>
      <c r="H223" s="31"/>
      <c r="I223" s="26"/>
      <c r="J223" s="51"/>
      <c r="K223" s="26"/>
      <c r="L223" s="26" t="s">
        <v>105</v>
      </c>
      <c r="M223" s="39">
        <v>4</v>
      </c>
      <c r="N223" s="26">
        <v>576</v>
      </c>
      <c r="O223" s="26" t="s">
        <v>198</v>
      </c>
      <c r="P223" s="49">
        <v>6500</v>
      </c>
      <c r="Q223" s="52"/>
      <c r="R223" s="39" t="s">
        <v>333</v>
      </c>
      <c r="S223" s="53">
        <v>0.125</v>
      </c>
      <c r="T223" s="53">
        <v>0.05</v>
      </c>
      <c r="U223" s="54"/>
      <c r="V223" s="37"/>
      <c r="W223" s="54">
        <f>IF(NOTA[[#This Row],[HARGA/ CTN]]="",NOTA[[#This Row],[JUMLAH_H]],NOTA[[#This Row],[HARGA/ CTN]]*IF(NOTA[[#This Row],[C]]="",0,NOTA[[#This Row],[C]]))</f>
        <v>3744000</v>
      </c>
      <c r="X223" s="54">
        <f>IF(NOTA[[#This Row],[JUMLAH]]="","",NOTA[[#This Row],[JUMLAH]]*NOTA[[#This Row],[DISC 1]])</f>
        <v>468000</v>
      </c>
      <c r="Y223" s="54">
        <f>IF(NOTA[[#This Row],[JUMLAH]]="","",(NOTA[[#This Row],[JUMLAH]]-NOTA[[#This Row],[DISC 1-]])*NOTA[[#This Row],[DISC 2]])</f>
        <v>163800</v>
      </c>
      <c r="Z223" s="54">
        <f>IF(NOTA[[#This Row],[JUMLAH]]="","",NOTA[[#This Row],[DISC 1-]]+NOTA[[#This Row],[DISC 2-]])</f>
        <v>631800</v>
      </c>
      <c r="AA223" s="54">
        <f>IF(NOTA[[#This Row],[JUMLAH]]="","",NOTA[[#This Row],[JUMLAH]]-NOTA[[#This Row],[DISC]])</f>
        <v>3112200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23" s="54">
        <f>IF(OR(NOTA[[#This Row],[QTY]]="",NOTA[[#This Row],[HARGA SATUAN]]="",),"",NOTA[[#This Row],[QTY]]*NOTA[[#This Row],[HARGA SATUAN]])</f>
        <v>3744000</v>
      </c>
      <c r="AF223" s="51">
        <f ca="1">IF(NOTA[ID_H]="","",INDEX(NOTA[TANGGAL],MATCH(,INDIRECT(ADDRESS(ROW(NOTA[TANGGAL]),COLUMN(NOTA[TANGGAL]))&amp;":"&amp;ADDRESS(ROW(),COLUMN(NOTA[TANGGAL]))),-1)))</f>
        <v>45028</v>
      </c>
      <c r="AG223" s="65" t="str">
        <f ca="1">IF(NOTA[[#This Row],[NAMA BARANG]]="","",INDEX(NOTA[SUPPLIER],MATCH(,INDIRECT(ADDRESS(ROW(NOTA[ID]),COLUMN(NOTA[ID]))&amp;":"&amp;ADDRESS(ROW(),COLUMN(NOTA[ID]))),-1)))</f>
        <v>ATALI MAKMUR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4</v>
      </c>
      <c r="AK22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38" t="str">
        <f>IF(NOTA[[#This Row],[CONCAT4]]="","",_xlfn.IFNA(MATCH(NOTA[[#This Row],[CONCAT4]],[2]!RAW[CONCAT_H],0),FALSE))</f>
        <v/>
      </c>
      <c r="AP223" s="174">
        <f>IF(NOTA[[#This Row],[CONCAT1]]="","",MATCH(NOTA[[#This Row],[CONCAT1]],[3]!db[NB NOTA_C],0)+1)</f>
        <v>432</v>
      </c>
    </row>
    <row r="224" spans="1:42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50</v>
      </c>
      <c r="E224" s="23"/>
      <c r="F224" s="26"/>
      <c r="G224" s="26"/>
      <c r="H224" s="31"/>
      <c r="I224" s="26"/>
      <c r="J224" s="51"/>
      <c r="K224" s="26"/>
      <c r="L224" s="26" t="s">
        <v>411</v>
      </c>
      <c r="M224" s="39">
        <v>1</v>
      </c>
      <c r="N224" s="26">
        <v>144</v>
      </c>
      <c r="O224" s="26" t="s">
        <v>261</v>
      </c>
      <c r="P224" s="49">
        <v>27600</v>
      </c>
      <c r="Q224" s="52"/>
      <c r="R224" s="39" t="s">
        <v>354</v>
      </c>
      <c r="S224" s="53">
        <v>0.125</v>
      </c>
      <c r="T224" s="53">
        <v>0.05</v>
      </c>
      <c r="U224" s="54"/>
      <c r="V224" s="37"/>
      <c r="W224" s="54">
        <f>IF(NOTA[[#This Row],[HARGA/ CTN]]="",NOTA[[#This Row],[JUMLAH_H]],NOTA[[#This Row],[HARGA/ CTN]]*IF(NOTA[[#This Row],[C]]="",0,NOTA[[#This Row],[C]]))</f>
        <v>3974400</v>
      </c>
      <c r="X224" s="54">
        <f>IF(NOTA[[#This Row],[JUMLAH]]="","",NOTA[[#This Row],[JUMLAH]]*NOTA[[#This Row],[DISC 1]])</f>
        <v>496800</v>
      </c>
      <c r="Y224" s="54">
        <f>IF(NOTA[[#This Row],[JUMLAH]]="","",(NOTA[[#This Row],[JUMLAH]]-NOTA[[#This Row],[DISC 1-]])*NOTA[[#This Row],[DISC 2]])</f>
        <v>173880</v>
      </c>
      <c r="Z224" s="54">
        <f>IF(NOTA[[#This Row],[JUMLAH]]="","",NOTA[[#This Row],[DISC 1-]]+NOTA[[#This Row],[DISC 2-]])</f>
        <v>670680</v>
      </c>
      <c r="AA224" s="54">
        <f>IF(NOTA[[#This Row],[JUMLAH]]="","",NOTA[[#This Row],[JUMLAH]]-NOTA[[#This Row],[DISC]])</f>
        <v>3303720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224" s="54">
        <f>IF(OR(NOTA[[#This Row],[QTY]]="",NOTA[[#This Row],[HARGA SATUAN]]="",),"",NOTA[[#This Row],[QTY]]*NOTA[[#This Row],[HARGA SATUAN]])</f>
        <v>3974400</v>
      </c>
      <c r="AF224" s="51">
        <f ca="1">IF(NOTA[ID_H]="","",INDEX(NOTA[TANGGAL],MATCH(,INDIRECT(ADDRESS(ROW(NOTA[TANGGAL]),COLUMN(NOTA[TANGGAL]))&amp;":"&amp;ADDRESS(ROW(),COLUMN(NOTA[TANGGAL]))),-1)))</f>
        <v>45028</v>
      </c>
      <c r="AG224" s="65" t="str">
        <f ca="1">IF(NOTA[[#This Row],[NAMA BARANG]]="","",INDEX(NOTA[SUPPLIER],MATCH(,INDIRECT(ADDRESS(ROW(NOTA[ID]),COLUMN(NOTA[ID]))&amp;":"&amp;ADDRESS(ROW(),COLUMN(NOTA[ID]))),-1)))</f>
        <v>ATALI MAKMUR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4</v>
      </c>
      <c r="AK224" s="38" t="str">
        <f>LOWER(SUBSTITUTE(SUBSTITUTE(SUBSTITUTE(SUBSTITUTE(SUBSTITUTE(SUBSTITUTE(SUBSTITUTE(SUBSTITUTE(SUBSTITUTE(NOTA[NAMA BARANG]," ",),".",""),"-",""),"(",""),")",""),",",""),"/",""),"""",""),"+",""))</f>
        <v>gelpengp266itech2bluejk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gelpengp266itech2bluejk39744000.1250.05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gelpengp266itech2bluejk39744000.1250.05</v>
      </c>
      <c r="AN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4" s="38" t="str">
        <f>IF(NOTA[[#This Row],[CONCAT4]]="","",_xlfn.IFNA(MATCH(NOTA[[#This Row],[CONCAT4]],[2]!RAW[CONCAT_H],0),FALSE))</f>
        <v/>
      </c>
      <c r="AP224" s="174">
        <f>IF(NOTA[[#This Row],[CONCAT1]]="","",MATCH(NOTA[[#This Row],[CONCAT1]],[3]!db[NB NOTA_C],0)+1)</f>
        <v>331</v>
      </c>
    </row>
    <row r="225" spans="1:42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50</v>
      </c>
      <c r="E225" s="23"/>
      <c r="F225" s="26"/>
      <c r="G225" s="26"/>
      <c r="H225" s="31"/>
      <c r="I225" s="26"/>
      <c r="J225" s="51"/>
      <c r="K225" s="26"/>
      <c r="L225" s="26" t="s">
        <v>114</v>
      </c>
      <c r="M225" s="39">
        <v>3</v>
      </c>
      <c r="N225" s="26">
        <v>90</v>
      </c>
      <c r="O225" s="26" t="s">
        <v>294</v>
      </c>
      <c r="P225" s="49">
        <v>104400</v>
      </c>
      <c r="Q225" s="52"/>
      <c r="R225" s="39" t="s">
        <v>395</v>
      </c>
      <c r="S225" s="53">
        <v>0.125</v>
      </c>
      <c r="T225" s="53">
        <v>0.05</v>
      </c>
      <c r="U225" s="54"/>
      <c r="V225" s="37"/>
      <c r="W225" s="54">
        <f>IF(NOTA[[#This Row],[HARGA/ CTN]]="",NOTA[[#This Row],[JUMLAH_H]],NOTA[[#This Row],[HARGA/ CTN]]*IF(NOTA[[#This Row],[C]]="",0,NOTA[[#This Row],[C]]))</f>
        <v>9396000</v>
      </c>
      <c r="X225" s="54">
        <f>IF(NOTA[[#This Row],[JUMLAH]]="","",NOTA[[#This Row],[JUMLAH]]*NOTA[[#This Row],[DISC 1]])</f>
        <v>1174500</v>
      </c>
      <c r="Y225" s="54">
        <f>IF(NOTA[[#This Row],[JUMLAH]]="","",(NOTA[[#This Row],[JUMLAH]]-NOTA[[#This Row],[DISC 1-]])*NOTA[[#This Row],[DISC 2]])</f>
        <v>411075</v>
      </c>
      <c r="Z225" s="54">
        <f>IF(NOTA[[#This Row],[JUMLAH]]="","",NOTA[[#This Row],[DISC 1-]]+NOTA[[#This Row],[DISC 2-]])</f>
        <v>1585575</v>
      </c>
      <c r="AA225" s="54">
        <f>IF(NOTA[[#This Row],[JUMLAH]]="","",NOTA[[#This Row],[JUMLAH]]-NOTA[[#This Row],[DISC]])</f>
        <v>7810425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25" s="54">
        <f>IF(OR(NOTA[[#This Row],[QTY]]="",NOTA[[#This Row],[HARGA SATUAN]]="",),"",NOTA[[#This Row],[QTY]]*NOTA[[#This Row],[HARGA SATUAN]])</f>
        <v>9396000</v>
      </c>
      <c r="AF225" s="51">
        <f ca="1">IF(NOTA[ID_H]="","",INDEX(NOTA[TANGGAL],MATCH(,INDIRECT(ADDRESS(ROW(NOTA[TANGGAL]),COLUMN(NOTA[TANGGAL]))&amp;":"&amp;ADDRESS(ROW(),COLUMN(NOTA[TANGGAL]))),-1)))</f>
        <v>45028</v>
      </c>
      <c r="AG225" s="65" t="str">
        <f ca="1">IF(NOTA[[#This Row],[NAMA BARANG]]="","",INDEX(NOTA[SUPPLIER],MATCH(,INDIRECT(ADDRESS(ROW(NOTA[ID]),COLUMN(NOTA[ID]))&amp;":"&amp;ADDRESS(ROW(),COLUMN(NOTA[ID]))),-1)))</f>
        <v>ATALI MAKMUR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4</v>
      </c>
      <c r="AK225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38" t="str">
        <f>IF(NOTA[[#This Row],[CONCAT4]]="","",_xlfn.IFNA(MATCH(NOTA[[#This Row],[CONCAT4]],[2]!RAW[CONCAT_H],0),FALSE))</f>
        <v/>
      </c>
      <c r="AP225" s="174">
        <f>IF(NOTA[[#This Row],[CONCAT1]]="","",MATCH(NOTA[[#This Row],[CONCAT1]],[3]!db[NB NOTA_C],0)+1)</f>
        <v>644</v>
      </c>
    </row>
    <row r="226" spans="1:42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50</v>
      </c>
      <c r="E226" s="23"/>
      <c r="F226" s="26"/>
      <c r="G226" s="26"/>
      <c r="H226" s="31"/>
      <c r="I226" s="26"/>
      <c r="J226" s="51"/>
      <c r="K226" s="26"/>
      <c r="L226" s="26" t="s">
        <v>126</v>
      </c>
      <c r="M226" s="39">
        <v>3</v>
      </c>
      <c r="N226" s="26">
        <v>2304</v>
      </c>
      <c r="O226" s="26" t="s">
        <v>198</v>
      </c>
      <c r="P226" s="49">
        <v>2100</v>
      </c>
      <c r="Q226" s="52"/>
      <c r="R226" s="39" t="s">
        <v>397</v>
      </c>
      <c r="S226" s="53">
        <v>0.125</v>
      </c>
      <c r="T226" s="53">
        <v>0.05</v>
      </c>
      <c r="U226" s="54"/>
      <c r="V226" s="37"/>
      <c r="W226" s="54">
        <f>IF(NOTA[[#This Row],[HARGA/ CTN]]="",NOTA[[#This Row],[JUMLAH_H]],NOTA[[#This Row],[HARGA/ CTN]]*IF(NOTA[[#This Row],[C]]="",0,NOTA[[#This Row],[C]]))</f>
        <v>4838400</v>
      </c>
      <c r="X226" s="54">
        <f>IF(NOTA[[#This Row],[JUMLAH]]="","",NOTA[[#This Row],[JUMLAH]]*NOTA[[#This Row],[DISC 1]])</f>
        <v>604800</v>
      </c>
      <c r="Y226" s="54">
        <f>IF(NOTA[[#This Row],[JUMLAH]]="","",(NOTA[[#This Row],[JUMLAH]]-NOTA[[#This Row],[DISC 1-]])*NOTA[[#This Row],[DISC 2]])</f>
        <v>211680</v>
      </c>
      <c r="Z226" s="54">
        <f>IF(NOTA[[#This Row],[JUMLAH]]="","",NOTA[[#This Row],[DISC 1-]]+NOTA[[#This Row],[DISC 2-]])</f>
        <v>816480</v>
      </c>
      <c r="AA226" s="54">
        <f>IF(NOTA[[#This Row],[JUMLAH]]="","",NOTA[[#This Row],[JUMLAH]]-NOTA[[#This Row],[DISC]])</f>
        <v>4021920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26" s="54">
        <f>IF(OR(NOTA[[#This Row],[QTY]]="",NOTA[[#This Row],[HARGA SATUAN]]="",),"",NOTA[[#This Row],[QTY]]*NOTA[[#This Row],[HARGA SATUAN]])</f>
        <v>4838400</v>
      </c>
      <c r="AF226" s="51">
        <f ca="1">IF(NOTA[ID_H]="","",INDEX(NOTA[TANGGAL],MATCH(,INDIRECT(ADDRESS(ROW(NOTA[TANGGAL]),COLUMN(NOTA[TANGGAL]))&amp;":"&amp;ADDRESS(ROW(),COLUMN(NOTA[TANGGAL]))),-1)))</f>
        <v>45028</v>
      </c>
      <c r="AG226" s="65" t="str">
        <f ca="1">IF(NOTA[[#This Row],[NAMA BARANG]]="","",INDEX(NOTA[SUPPLIER],MATCH(,INDIRECT(ADDRESS(ROW(NOTA[ID]),COLUMN(NOTA[ID]))&amp;":"&amp;ADDRESS(ROW(),COLUMN(NOTA[ID]))),-1)))</f>
        <v>ATALI MAKMUR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4</v>
      </c>
      <c r="AK226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38" t="str">
        <f>IF(NOTA[[#This Row],[CONCAT4]]="","",_xlfn.IFNA(MATCH(NOTA[[#This Row],[CONCAT4]],[2]!RAW[CONCAT_H],0),FALSE))</f>
        <v/>
      </c>
      <c r="AP226" s="174">
        <f>IF(NOTA[[#This Row],[CONCAT1]]="","",MATCH(NOTA[[#This Row],[CONCAT1]],[3]!db[NB NOTA_C],0)+1)</f>
        <v>551</v>
      </c>
    </row>
    <row r="227" spans="1:42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50</v>
      </c>
      <c r="E227" s="23"/>
      <c r="F227" s="26"/>
      <c r="G227" s="26"/>
      <c r="H227" s="31"/>
      <c r="I227" s="26"/>
      <c r="J227" s="51"/>
      <c r="K227" s="26"/>
      <c r="L227" s="26" t="s">
        <v>398</v>
      </c>
      <c r="M227" s="39">
        <v>5</v>
      </c>
      <c r="N227" s="26">
        <v>200</v>
      </c>
      <c r="O227" s="26" t="s">
        <v>261</v>
      </c>
      <c r="P227" s="49">
        <v>49200</v>
      </c>
      <c r="Q227" s="52"/>
      <c r="R227" s="39" t="s">
        <v>399</v>
      </c>
      <c r="S227" s="53">
        <v>0.125</v>
      </c>
      <c r="T227" s="53">
        <v>0.05</v>
      </c>
      <c r="U227" s="54"/>
      <c r="V227" s="37"/>
      <c r="W227" s="54">
        <f>IF(NOTA[[#This Row],[HARGA/ CTN]]="",NOTA[[#This Row],[JUMLAH_H]],NOTA[[#This Row],[HARGA/ CTN]]*IF(NOTA[[#This Row],[C]]="",0,NOTA[[#This Row],[C]]))</f>
        <v>9840000</v>
      </c>
      <c r="X227" s="54">
        <f>IF(NOTA[[#This Row],[JUMLAH]]="","",NOTA[[#This Row],[JUMLAH]]*NOTA[[#This Row],[DISC 1]])</f>
        <v>1230000</v>
      </c>
      <c r="Y227" s="54">
        <f>IF(NOTA[[#This Row],[JUMLAH]]="","",(NOTA[[#This Row],[JUMLAH]]-NOTA[[#This Row],[DISC 1-]])*NOTA[[#This Row],[DISC 2]])</f>
        <v>430500</v>
      </c>
      <c r="Z227" s="54">
        <f>IF(NOTA[[#This Row],[JUMLAH]]="","",NOTA[[#This Row],[DISC 1-]]+NOTA[[#This Row],[DISC 2-]])</f>
        <v>1660500</v>
      </c>
      <c r="AA227" s="54">
        <f>IF(NOTA[[#This Row],[JUMLAH]]="","",NOTA[[#This Row],[JUMLAH]]-NOTA[[#This Row],[DISC]])</f>
        <v>8179500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27" s="54">
        <f>IF(OR(NOTA[[#This Row],[QTY]]="",NOTA[[#This Row],[HARGA SATUAN]]="",),"",NOTA[[#This Row],[QTY]]*NOTA[[#This Row],[HARGA SATUAN]])</f>
        <v>9840000</v>
      </c>
      <c r="AF227" s="51">
        <f ca="1">IF(NOTA[ID_H]="","",INDEX(NOTA[TANGGAL],MATCH(,INDIRECT(ADDRESS(ROW(NOTA[TANGGAL]),COLUMN(NOTA[TANGGAL]))&amp;":"&amp;ADDRESS(ROW(),COLUMN(NOTA[TANGGAL]))),-1)))</f>
        <v>45028</v>
      </c>
      <c r="AG227" s="65" t="str">
        <f ca="1">IF(NOTA[[#This Row],[NAMA BARANG]]="","",INDEX(NOTA[SUPPLIER],MATCH(,INDIRECT(ADDRESS(ROW(NOTA[ID]),COLUMN(NOTA[ID]))&amp;":"&amp;ADDRESS(ROW(),COLUMN(NOTA[ID]))),-1)))</f>
        <v>ATALI MAKMUR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4</v>
      </c>
      <c r="AK227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38" t="str">
        <f>IF(NOTA[[#This Row],[CONCAT4]]="","",_xlfn.IFNA(MATCH(NOTA[[#This Row],[CONCAT4]],[2]!RAW[CONCAT_H],0),FALSE))</f>
        <v/>
      </c>
      <c r="AP227" s="174">
        <f>IF(NOTA[[#This Row],[CONCAT1]]="","",MATCH(NOTA[[#This Row],[CONCAT1]],[3]!db[NB NOTA_C],0)+1)</f>
        <v>474</v>
      </c>
    </row>
    <row r="228" spans="1:42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50</v>
      </c>
      <c r="E228" s="23"/>
      <c r="F228" s="26"/>
      <c r="G228" s="26"/>
      <c r="H228" s="31"/>
      <c r="I228" s="26"/>
      <c r="J228" s="51"/>
      <c r="K228" s="26"/>
      <c r="L228" s="26" t="s">
        <v>134</v>
      </c>
      <c r="M228" s="39">
        <v>1</v>
      </c>
      <c r="N228" s="26">
        <v>144</v>
      </c>
      <c r="O228" s="26" t="s">
        <v>261</v>
      </c>
      <c r="P228" s="49">
        <v>40800</v>
      </c>
      <c r="Q228" s="52"/>
      <c r="R228" s="39" t="s">
        <v>354</v>
      </c>
      <c r="S228" s="53">
        <v>0.125</v>
      </c>
      <c r="T228" s="53">
        <v>0.05</v>
      </c>
      <c r="U228" s="54"/>
      <c r="V228" s="37"/>
      <c r="W228" s="54">
        <f>IF(NOTA[[#This Row],[HARGA/ CTN]]="",NOTA[[#This Row],[JUMLAH_H]],NOTA[[#This Row],[HARGA/ CTN]]*IF(NOTA[[#This Row],[C]]="",0,NOTA[[#This Row],[C]]))</f>
        <v>5875200</v>
      </c>
      <c r="X228" s="54">
        <f>IF(NOTA[[#This Row],[JUMLAH]]="","",NOTA[[#This Row],[JUMLAH]]*NOTA[[#This Row],[DISC 1]])</f>
        <v>734400</v>
      </c>
      <c r="Y228" s="54">
        <f>IF(NOTA[[#This Row],[JUMLAH]]="","",(NOTA[[#This Row],[JUMLAH]]-NOTA[[#This Row],[DISC 1-]])*NOTA[[#This Row],[DISC 2]])</f>
        <v>257040</v>
      </c>
      <c r="Z228" s="54">
        <f>IF(NOTA[[#This Row],[JUMLAH]]="","",NOTA[[#This Row],[DISC 1-]]+NOTA[[#This Row],[DISC 2-]])</f>
        <v>991440</v>
      </c>
      <c r="AA228" s="54">
        <f>IF(NOTA[[#This Row],[JUMLAH]]="","",NOTA[[#This Row],[JUMLAH]]-NOTA[[#This Row],[DISC]])</f>
        <v>4883760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28" s="54">
        <f>IF(OR(NOTA[[#This Row],[QTY]]="",NOTA[[#This Row],[HARGA SATUAN]]="",),"",NOTA[[#This Row],[QTY]]*NOTA[[#This Row],[HARGA SATUAN]])</f>
        <v>5875200</v>
      </c>
      <c r="AF228" s="51">
        <f ca="1">IF(NOTA[ID_H]="","",INDEX(NOTA[TANGGAL],MATCH(,INDIRECT(ADDRESS(ROW(NOTA[TANGGAL]),COLUMN(NOTA[TANGGAL]))&amp;":"&amp;ADDRESS(ROW(),COLUMN(NOTA[TANGGAL]))),-1)))</f>
        <v>45028</v>
      </c>
      <c r="AG228" s="65" t="str">
        <f ca="1">IF(NOTA[[#This Row],[NAMA BARANG]]="","",INDEX(NOTA[SUPPLIER],MATCH(,INDIRECT(ADDRESS(ROW(NOTA[ID]),COLUMN(NOTA[ID]))&amp;":"&amp;ADDRESS(ROW(),COLUMN(NOTA[ID]))),-1)))</f>
        <v>ATALI MAKMUR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4</v>
      </c>
      <c r="AK22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38" t="str">
        <f>IF(NOTA[[#This Row],[CONCAT4]]="","",_xlfn.IFNA(MATCH(NOTA[[#This Row],[CONCAT4]],[2]!RAW[CONCAT_H],0),FALSE))</f>
        <v/>
      </c>
      <c r="AP228" s="174">
        <f>IF(NOTA[[#This Row],[CONCAT1]]="","",MATCH(NOTA[[#This Row],[CONCAT1]],[3]!db[NB NOTA_C],0)+1)</f>
        <v>579</v>
      </c>
    </row>
    <row r="229" spans="1:42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50</v>
      </c>
      <c r="E229" s="23"/>
      <c r="F229" s="26"/>
      <c r="G229" s="26"/>
      <c r="H229" s="31"/>
      <c r="I229" s="26"/>
      <c r="J229" s="51"/>
      <c r="K229" s="26"/>
      <c r="L229" s="26" t="s">
        <v>412</v>
      </c>
      <c r="M229" s="39">
        <v>2</v>
      </c>
      <c r="N229" s="26">
        <v>480</v>
      </c>
      <c r="O229" s="26" t="s">
        <v>188</v>
      </c>
      <c r="P229" s="49">
        <v>8800</v>
      </c>
      <c r="Q229" s="52"/>
      <c r="R229" s="39" t="s">
        <v>413</v>
      </c>
      <c r="S229" s="53">
        <v>0.125</v>
      </c>
      <c r="T229" s="53">
        <v>0.05</v>
      </c>
      <c r="U229" s="54"/>
      <c r="V229" s="37"/>
      <c r="W229" s="54">
        <f>IF(NOTA[[#This Row],[HARGA/ CTN]]="",NOTA[[#This Row],[JUMLAH_H]],NOTA[[#This Row],[HARGA/ CTN]]*IF(NOTA[[#This Row],[C]]="",0,NOTA[[#This Row],[C]]))</f>
        <v>4224000</v>
      </c>
      <c r="X229" s="54">
        <f>IF(NOTA[[#This Row],[JUMLAH]]="","",NOTA[[#This Row],[JUMLAH]]*NOTA[[#This Row],[DISC 1]])</f>
        <v>528000</v>
      </c>
      <c r="Y229" s="54">
        <f>IF(NOTA[[#This Row],[JUMLAH]]="","",(NOTA[[#This Row],[JUMLAH]]-NOTA[[#This Row],[DISC 1-]])*NOTA[[#This Row],[DISC 2]])</f>
        <v>184800</v>
      </c>
      <c r="Z229" s="54">
        <f>IF(NOTA[[#This Row],[JUMLAH]]="","",NOTA[[#This Row],[DISC 1-]]+NOTA[[#This Row],[DISC 2-]])</f>
        <v>712800</v>
      </c>
      <c r="AA229" s="54">
        <f>IF(NOTA[[#This Row],[JUMLAH]]="","",NOTA[[#This Row],[JUMLAH]]-NOTA[[#This Row],[DISC]])</f>
        <v>3511200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29" s="54">
        <f>IF(OR(NOTA[[#This Row],[QTY]]="",NOTA[[#This Row],[HARGA SATUAN]]="",),"",NOTA[[#This Row],[QTY]]*NOTA[[#This Row],[HARGA SATUAN]])</f>
        <v>4224000</v>
      </c>
      <c r="AF229" s="51">
        <f ca="1">IF(NOTA[ID_H]="","",INDEX(NOTA[TANGGAL],MATCH(,INDIRECT(ADDRESS(ROW(NOTA[TANGGAL]),COLUMN(NOTA[TANGGAL]))&amp;":"&amp;ADDRESS(ROW(),COLUMN(NOTA[TANGGAL]))),-1)))</f>
        <v>45028</v>
      </c>
      <c r="AG229" s="65" t="str">
        <f ca="1">IF(NOTA[[#This Row],[NAMA BARANG]]="","",INDEX(NOTA[SUPPLIER],MATCH(,INDIRECT(ADDRESS(ROW(NOTA[ID]),COLUMN(NOTA[ID]))&amp;":"&amp;ADDRESS(ROW(),COLUMN(NOTA[ID]))),-1)))</f>
        <v>ATALI MAKMUR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4</v>
      </c>
      <c r="AK229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38" t="str">
        <f>IF(NOTA[[#This Row],[CONCAT4]]="","",_xlfn.IFNA(MATCH(NOTA[[#This Row],[CONCAT4]],[2]!RAW[CONCAT_H],0),FALSE))</f>
        <v/>
      </c>
      <c r="AP229" s="174">
        <f>IF(NOTA[[#This Row],[CONCAT1]]="","",MATCH(NOTA[[#This Row],[CONCAT1]],[3]!db[NB NOTA_C],0)+1)</f>
        <v>510</v>
      </c>
    </row>
    <row r="230" spans="1:42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50</v>
      </c>
      <c r="E230" s="23"/>
      <c r="F230" s="26"/>
      <c r="G230" s="26"/>
      <c r="H230" s="31"/>
      <c r="I230" s="26"/>
      <c r="J230" s="51"/>
      <c r="K230" s="26"/>
      <c r="L230" s="26" t="s">
        <v>414</v>
      </c>
      <c r="M230" s="39">
        <v>1</v>
      </c>
      <c r="N230" s="26">
        <v>144</v>
      </c>
      <c r="O230" s="26" t="s">
        <v>261</v>
      </c>
      <c r="P230" s="49">
        <v>6120</v>
      </c>
      <c r="Q230" s="52"/>
      <c r="R230" s="39" t="s">
        <v>354</v>
      </c>
      <c r="S230" s="53">
        <v>0.125</v>
      </c>
      <c r="T230" s="53">
        <v>0.05</v>
      </c>
      <c r="U230" s="54"/>
      <c r="V230" s="37"/>
      <c r="W230" s="54">
        <f>IF(NOTA[[#This Row],[HARGA/ CTN]]="",NOTA[[#This Row],[JUMLAH_H]],NOTA[[#This Row],[HARGA/ CTN]]*IF(NOTA[[#This Row],[C]]="",0,NOTA[[#This Row],[C]]))</f>
        <v>881280</v>
      </c>
      <c r="X230" s="54">
        <f>IF(NOTA[[#This Row],[JUMLAH]]="","",NOTA[[#This Row],[JUMLAH]]*NOTA[[#This Row],[DISC 1]])</f>
        <v>110160</v>
      </c>
      <c r="Y230" s="54">
        <f>IF(NOTA[[#This Row],[JUMLAH]]="","",(NOTA[[#This Row],[JUMLAH]]-NOTA[[#This Row],[DISC 1-]])*NOTA[[#This Row],[DISC 2]])</f>
        <v>38556</v>
      </c>
      <c r="Z230" s="54">
        <f>IF(NOTA[[#This Row],[JUMLAH]]="","",NOTA[[#This Row],[DISC 1-]]+NOTA[[#This Row],[DISC 2-]])</f>
        <v>148716</v>
      </c>
      <c r="AA230" s="54">
        <f>IF(NOTA[[#This Row],[JUMLAH]]="","",NOTA[[#This Row],[JUMLAH]]-NOTA[[#This Row],[DISC]])</f>
        <v>732564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E230" s="54">
        <f>IF(OR(NOTA[[#This Row],[QTY]]="",NOTA[[#This Row],[HARGA SATUAN]]="",),"",NOTA[[#This Row],[QTY]]*NOTA[[#This Row],[HARGA SATUAN]])</f>
        <v>881280</v>
      </c>
      <c r="AF230" s="51">
        <f ca="1">IF(NOTA[ID_H]="","",INDEX(NOTA[TANGGAL],MATCH(,INDIRECT(ADDRESS(ROW(NOTA[TANGGAL]),COLUMN(NOTA[TANGGAL]))&amp;":"&amp;ADDRESS(ROW(),COLUMN(NOTA[TANGGAL]))),-1)))</f>
        <v>45028</v>
      </c>
      <c r="AG230" s="65" t="str">
        <f ca="1">IF(NOTA[[#This Row],[NAMA BARANG]]="","",INDEX(NOTA[SUPPLIER],MATCH(,INDIRECT(ADDRESS(ROW(NOTA[ID]),COLUMN(NOTA[ID]))&amp;":"&amp;ADDRESS(ROW(),COLUMN(NOTA[ID]))),-1)))</f>
        <v>ATALI MAKMUR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4</v>
      </c>
      <c r="AK230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N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38" t="str">
        <f>IF(NOTA[[#This Row],[CONCAT4]]="","",_xlfn.IFNA(MATCH(NOTA[[#This Row],[CONCAT4]],[2]!RAW[CONCAT_H],0),FALSE))</f>
        <v/>
      </c>
      <c r="AP230" s="174">
        <f>IF(NOTA[[#This Row],[CONCAT1]]="","",MATCH(NOTA[[#This Row],[CONCAT1]],[3]!db[NB NOTA_C],0)+1)</f>
        <v>21</v>
      </c>
    </row>
    <row r="231" spans="1:42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50</v>
      </c>
      <c r="E231" s="23"/>
      <c r="F231" s="26"/>
      <c r="G231" s="26"/>
      <c r="H231" s="31"/>
      <c r="I231" s="26"/>
      <c r="J231" s="51"/>
      <c r="K231" s="26"/>
      <c r="L231" s="26" t="s">
        <v>415</v>
      </c>
      <c r="M231" s="39">
        <v>1</v>
      </c>
      <c r="N231" s="26">
        <v>50</v>
      </c>
      <c r="O231" s="26" t="s">
        <v>204</v>
      </c>
      <c r="P231" s="49">
        <v>44800</v>
      </c>
      <c r="Q231" s="52"/>
      <c r="R231" s="39" t="s">
        <v>416</v>
      </c>
      <c r="S231" s="53">
        <v>0.125</v>
      </c>
      <c r="T231" s="53">
        <v>0.05</v>
      </c>
      <c r="U231" s="54"/>
      <c r="V231" s="37"/>
      <c r="W231" s="54">
        <f>IF(NOTA[[#This Row],[HARGA/ CTN]]="",NOTA[[#This Row],[JUMLAH_H]],NOTA[[#This Row],[HARGA/ CTN]]*IF(NOTA[[#This Row],[C]]="",0,NOTA[[#This Row],[C]]))</f>
        <v>2240000</v>
      </c>
      <c r="X231" s="54">
        <f>IF(NOTA[[#This Row],[JUMLAH]]="","",NOTA[[#This Row],[JUMLAH]]*NOTA[[#This Row],[DISC 1]])</f>
        <v>280000</v>
      </c>
      <c r="Y231" s="54">
        <f>IF(NOTA[[#This Row],[JUMLAH]]="","",(NOTA[[#This Row],[JUMLAH]]-NOTA[[#This Row],[DISC 1-]])*NOTA[[#This Row],[DISC 2]])</f>
        <v>98000</v>
      </c>
      <c r="Z231" s="54">
        <f>IF(NOTA[[#This Row],[JUMLAH]]="","",NOTA[[#This Row],[DISC 1-]]+NOTA[[#This Row],[DISC 2-]])</f>
        <v>378000</v>
      </c>
      <c r="AA231" s="54">
        <f>IF(NOTA[[#This Row],[JUMLAH]]="","",NOTA[[#This Row],[JUMLAH]]-NOTA[[#This Row],[DISC]])</f>
        <v>1862000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11024721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54306959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E231" s="54">
        <f>IF(OR(NOTA[[#This Row],[QTY]]="",NOTA[[#This Row],[HARGA SATUAN]]="",),"",NOTA[[#This Row],[QTY]]*NOTA[[#This Row],[HARGA SATUAN]])</f>
        <v>2240000</v>
      </c>
      <c r="AF231" s="51">
        <f ca="1">IF(NOTA[ID_H]="","",INDEX(NOTA[TANGGAL],MATCH(,INDIRECT(ADDRESS(ROW(NOTA[TANGGAL]),COLUMN(NOTA[TANGGAL]))&amp;":"&amp;ADDRESS(ROW(),COLUMN(NOTA[TANGGAL]))),-1)))</f>
        <v>45028</v>
      </c>
      <c r="AG231" s="65" t="str">
        <f ca="1">IF(NOTA[[#This Row],[NAMA BARANG]]="","",INDEX(NOTA[SUPPLIER],MATCH(,INDIRECT(ADDRESS(ROW(NOTA[ID]),COLUMN(NOTA[ID]))&amp;":"&amp;ADDRESS(ROW(),COLUMN(NOTA[ID]))),-1)))</f>
        <v>ATALI MAKMUR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4</v>
      </c>
      <c r="AK231" s="38" t="str">
        <f>LOWER(SUBSTITUTE(SUBSTITUTE(SUBSTITUTE(SUBSTITUTE(SUBSTITUTE(SUBSTITUTE(SUBSTITUTE(SUBSTITUTE(SUBSTITUTE(NOTA[NAMA BARANG]," ",),".",""),"-",""),"(",""),")",""),",",""),"/",""),"""",""),"+",""))</f>
        <v>eraserer102jk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eraserer102jk22400000.1250.05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eraserer102jk22400000.1250.05</v>
      </c>
      <c r="AN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38" t="str">
        <f>IF(NOTA[[#This Row],[CONCAT4]]="","",_xlfn.IFNA(MATCH(NOTA[[#This Row],[CONCAT4]],[2]!RAW[CONCAT_H],0),FALSE))</f>
        <v/>
      </c>
      <c r="AP231" s="174">
        <f>IF(NOTA[[#This Row],[CONCAT1]]="","",MATCH(NOTA[[#This Row],[CONCAT1]],[3]!db[NB NOTA_C],0)+1)</f>
        <v>780</v>
      </c>
    </row>
    <row r="232" spans="1:42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38" t="str">
        <f>IF(NOTA[[#This Row],[CONCAT4]]="","",_xlfn.IFNA(MATCH(NOTA[[#This Row],[CONCAT4]],[2]!RAW[CONCAT_H],0),FALSE))</f>
        <v/>
      </c>
      <c r="AP232" s="174" t="str">
        <f>IF(NOTA[[#This Row],[CONCAT1]]="","",MATCH(NOTA[[#This Row],[CONCAT1]],[3]!db[NB NOTA_C],0)+1)</f>
        <v/>
      </c>
    </row>
    <row r="233" spans="1:42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ATA_1204_970-9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51</v>
      </c>
      <c r="E233" s="23"/>
      <c r="F233" s="26" t="s">
        <v>25</v>
      </c>
      <c r="G233" s="26" t="s">
        <v>24</v>
      </c>
      <c r="H233" s="31" t="s">
        <v>417</v>
      </c>
      <c r="I233" s="26"/>
      <c r="J233" s="51">
        <v>45022</v>
      </c>
      <c r="K233" s="26"/>
      <c r="L233" s="26" t="s">
        <v>103</v>
      </c>
      <c r="M233" s="39">
        <v>3</v>
      </c>
      <c r="N233" s="26">
        <v>150</v>
      </c>
      <c r="O233" s="26" t="s">
        <v>204</v>
      </c>
      <c r="P233" s="49">
        <v>34100</v>
      </c>
      <c r="Q233" s="52"/>
      <c r="R233" s="39" t="s">
        <v>353</v>
      </c>
      <c r="S233" s="53">
        <v>0.125</v>
      </c>
      <c r="T233" s="53">
        <v>0.05</v>
      </c>
      <c r="U233" s="54"/>
      <c r="V233" s="37"/>
      <c r="W233" s="54">
        <f>IF(NOTA[[#This Row],[HARGA/ CTN]]="",NOTA[[#This Row],[JUMLAH_H]],NOTA[[#This Row],[HARGA/ CTN]]*IF(NOTA[[#This Row],[C]]="",0,NOTA[[#This Row],[C]]))</f>
        <v>5115000</v>
      </c>
      <c r="X233" s="54">
        <f>IF(NOTA[[#This Row],[JUMLAH]]="","",NOTA[[#This Row],[JUMLAH]]*NOTA[[#This Row],[DISC 1]])</f>
        <v>639375</v>
      </c>
      <c r="Y233" s="54">
        <f>IF(NOTA[[#This Row],[JUMLAH]]="","",(NOTA[[#This Row],[JUMLAH]]-NOTA[[#This Row],[DISC 1-]])*NOTA[[#This Row],[DISC 2]])</f>
        <v>223781.25</v>
      </c>
      <c r="Z233" s="54">
        <f>IF(NOTA[[#This Row],[JUMLAH]]="","",NOTA[[#This Row],[DISC 1-]]+NOTA[[#This Row],[DISC 2-]])</f>
        <v>863156.25</v>
      </c>
      <c r="AA233" s="54">
        <f>IF(NOTA[[#This Row],[JUMLAH]]="","",NOTA[[#This Row],[JUMLAH]]-NOTA[[#This Row],[DISC]])</f>
        <v>4251843.75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33" s="54">
        <f>IF(OR(NOTA[[#This Row],[QTY]]="",NOTA[[#This Row],[HARGA SATUAN]]="",),"",NOTA[[#This Row],[QTY]]*NOTA[[#This Row],[HARGA SATUAN]])</f>
        <v>5115000</v>
      </c>
      <c r="AF233" s="51">
        <f ca="1">IF(NOTA[ID_H]="","",INDEX(NOTA[TANGGAL],MATCH(,INDIRECT(ADDRESS(ROW(NOTA[TANGGAL]),COLUMN(NOTA[TANGGAL]))&amp;":"&amp;ADDRESS(ROW(),COLUMN(NOTA[TANGGAL]))),-1)))</f>
        <v>45028</v>
      </c>
      <c r="AG233" s="65" t="str">
        <f ca="1">IF(NOTA[[#This Row],[NAMA BARANG]]="","",INDEX(NOTA[SUPPLIER],MATCH(,INDIRECT(ADDRESS(ROW(NOTA[ID]),COLUMN(NOTA[ID]))&amp;":"&amp;ADDRESS(ROW(),COLUMN(NOTA[ID]))),-1)))</f>
        <v>ATALI MAKMUR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9</v>
      </c>
      <c r="AJ233" s="38">
        <f>IF(NOTA[[#This Row],[TGL.NOTA]]="",IF(NOTA[[#This Row],[SUPPLIER_H]]="","",AJ232),MONTH(NOTA[[#This Row],[TGL.NOTA]]))</f>
        <v>4</v>
      </c>
      <c r="AK23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3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MOROSA23040597045022eraser526b20jk</v>
      </c>
      <c r="AO233" s="38" t="e">
        <f>IF(NOTA[[#This Row],[CONCAT4]]="","",_xlfn.IFNA(MATCH(NOTA[[#This Row],[CONCAT4]],[2]!RAW[CONCAT_H],0),FALSE))</f>
        <v>#REF!</v>
      </c>
      <c r="AP233" s="174">
        <f>IF(NOTA[[#This Row],[CONCAT1]]="","",MATCH(NOTA[[#This Row],[CONCAT1]],[3]!db[NB NOTA_C],0)+1)</f>
        <v>775</v>
      </c>
    </row>
    <row r="234" spans="1:42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51</v>
      </c>
      <c r="E234" s="23"/>
      <c r="F234" s="26"/>
      <c r="G234" s="26"/>
      <c r="H234" s="31"/>
      <c r="I234" s="26"/>
      <c r="J234" s="51"/>
      <c r="K234" s="26"/>
      <c r="L234" s="26" t="s">
        <v>137</v>
      </c>
      <c r="M234" s="39">
        <v>4</v>
      </c>
      <c r="N234" s="26">
        <v>192</v>
      </c>
      <c r="O234" s="26" t="s">
        <v>261</v>
      </c>
      <c r="P234" s="49">
        <v>36000</v>
      </c>
      <c r="Q234" s="52"/>
      <c r="R234" s="39" t="s">
        <v>358</v>
      </c>
      <c r="S234" s="53">
        <v>0.125</v>
      </c>
      <c r="T234" s="53">
        <v>0.05</v>
      </c>
      <c r="U234" s="54"/>
      <c r="V234" s="37"/>
      <c r="W234" s="54">
        <f>IF(NOTA[[#This Row],[HARGA/ CTN]]="",NOTA[[#This Row],[JUMLAH_H]],NOTA[[#This Row],[HARGA/ CTN]]*IF(NOTA[[#This Row],[C]]="",0,NOTA[[#This Row],[C]]))</f>
        <v>6912000</v>
      </c>
      <c r="X234" s="54">
        <f>IF(NOTA[[#This Row],[JUMLAH]]="","",NOTA[[#This Row],[JUMLAH]]*NOTA[[#This Row],[DISC 1]])</f>
        <v>864000</v>
      </c>
      <c r="Y234" s="54">
        <f>IF(NOTA[[#This Row],[JUMLAH]]="","",(NOTA[[#This Row],[JUMLAH]]-NOTA[[#This Row],[DISC 1-]])*NOTA[[#This Row],[DISC 2]])</f>
        <v>302400</v>
      </c>
      <c r="Z234" s="54">
        <f>IF(NOTA[[#This Row],[JUMLAH]]="","",NOTA[[#This Row],[DISC 1-]]+NOTA[[#This Row],[DISC 2-]])</f>
        <v>1166400</v>
      </c>
      <c r="AA234" s="54">
        <f>IF(NOTA[[#This Row],[JUMLAH]]="","",NOTA[[#This Row],[JUMLAH]]-NOTA[[#This Row],[DISC]])</f>
        <v>5745600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4" s="54">
        <f>IF(OR(NOTA[[#This Row],[QTY]]="",NOTA[[#This Row],[HARGA SATUAN]]="",),"",NOTA[[#This Row],[QTY]]*NOTA[[#This Row],[HARGA SATUAN]])</f>
        <v>6912000</v>
      </c>
      <c r="AF234" s="51">
        <f ca="1">IF(NOTA[ID_H]="","",INDEX(NOTA[TANGGAL],MATCH(,INDIRECT(ADDRESS(ROW(NOTA[TANGGAL]),COLUMN(NOTA[TANGGAL]))&amp;":"&amp;ADDRESS(ROW(),COLUMN(NOTA[TANGGAL]))),-1)))</f>
        <v>45028</v>
      </c>
      <c r="AG234" s="65" t="str">
        <f ca="1">IF(NOTA[[#This Row],[NAMA BARANG]]="","",INDEX(NOTA[SUPPLIER],MATCH(,INDIRECT(ADDRESS(ROW(NOTA[ID]),COLUMN(NOTA[ID]))&amp;":"&amp;ADDRESS(ROW(),COLUMN(NOTA[ID]))),-1)))</f>
        <v>ATALI MAKMUR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4</v>
      </c>
      <c r="AK23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38" t="str">
        <f>IF(NOTA[[#This Row],[CONCAT4]]="","",_xlfn.IFNA(MATCH(NOTA[[#This Row],[CONCAT4]],[2]!RAW[CONCAT_H],0),FALSE))</f>
        <v/>
      </c>
      <c r="AP234" s="174">
        <f>IF(NOTA[[#This Row],[CONCAT1]]="","",MATCH(NOTA[[#This Row],[CONCAT1]],[3]!db[NB NOTA_C],0)+1)</f>
        <v>206</v>
      </c>
    </row>
    <row r="235" spans="1:42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51</v>
      </c>
      <c r="E235" s="23"/>
      <c r="F235" s="26"/>
      <c r="G235" s="26"/>
      <c r="H235" s="31"/>
      <c r="I235" s="26"/>
      <c r="J235" s="51"/>
      <c r="K235" s="26"/>
      <c r="L235" s="26" t="s">
        <v>464</v>
      </c>
      <c r="M235" s="39"/>
      <c r="N235" s="26">
        <v>24</v>
      </c>
      <c r="O235" s="26" t="s">
        <v>261</v>
      </c>
      <c r="P235" s="49">
        <v>13200</v>
      </c>
      <c r="Q235" s="52"/>
      <c r="R235" s="39" t="s">
        <v>354</v>
      </c>
      <c r="S235" s="53">
        <v>0.125</v>
      </c>
      <c r="T235" s="53">
        <v>0.05</v>
      </c>
      <c r="U235" s="54"/>
      <c r="V235" s="37" t="s">
        <v>299</v>
      </c>
      <c r="W235" s="54">
        <f>IF(NOTA[[#This Row],[HARGA/ CTN]]="",NOTA[[#This Row],[JUMLAH_H]],NOTA[[#This Row],[HARGA/ CTN]]*IF(NOTA[[#This Row],[C]]="",0,NOTA[[#This Row],[C]]))</f>
        <v>316800</v>
      </c>
      <c r="X235" s="54">
        <f>IF(NOTA[[#This Row],[JUMLAH]]="","",NOTA[[#This Row],[JUMLAH]]*NOTA[[#This Row],[DISC 1]])</f>
        <v>39600</v>
      </c>
      <c r="Y235" s="54">
        <f>IF(NOTA[[#This Row],[JUMLAH]]="","",(NOTA[[#This Row],[JUMLAH]]-NOTA[[#This Row],[DISC 1-]])*NOTA[[#This Row],[DISC 2]])</f>
        <v>13860</v>
      </c>
      <c r="Z235" s="54">
        <f>IF(NOTA[[#This Row],[JUMLAH]]="","",NOTA[[#This Row],[DISC 1-]]+NOTA[[#This Row],[DISC 2-]])</f>
        <v>53460</v>
      </c>
      <c r="AA235" s="54">
        <f>IF(NOTA[[#This Row],[JUMLAH]]="","",NOTA[[#This Row],[JUMLAH]]-NOTA[[#This Row],[DISC]])</f>
        <v>263340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35" s="54">
        <f>IF(OR(NOTA[[#This Row],[QTY]]="",NOTA[[#This Row],[HARGA SATUAN]]="",),"",NOTA[[#This Row],[QTY]]*NOTA[[#This Row],[HARGA SATUAN]])</f>
        <v>316800</v>
      </c>
      <c r="AF235" s="51">
        <f ca="1">IF(NOTA[ID_H]="","",INDEX(NOTA[TANGGAL],MATCH(,INDIRECT(ADDRESS(ROW(NOTA[TANGGAL]),COLUMN(NOTA[TANGGAL]))&amp;":"&amp;ADDRESS(ROW(),COLUMN(NOTA[TANGGAL]))),-1)))</f>
        <v>45028</v>
      </c>
      <c r="AG235" s="65" t="str">
        <f ca="1">IF(NOTA[[#This Row],[NAMA BARANG]]="","",INDEX(NOTA[SUPPLIER],MATCH(,INDIRECT(ADDRESS(ROW(NOTA[ID]),COLUMN(NOTA[ID]))&amp;":"&amp;ADDRESS(ROW(),COLUMN(NOTA[ID]))),-1)))</f>
        <v>ATALI MAKMUR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4</v>
      </c>
      <c r="AK23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ballpenbp34912vokustransblackjkbonus3168000.1250.05</v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38" t="str">
        <f>IF(NOTA[[#This Row],[CONCAT4]]="","",_xlfn.IFNA(MATCH(NOTA[[#This Row],[CONCAT4]],[2]!RAW[CONCAT_H],0),FALSE))</f>
        <v/>
      </c>
      <c r="AP235" s="174">
        <f>IF(NOTA[[#This Row],[CONCAT1]]="","",MATCH(NOTA[[#This Row],[CONCAT1]],[3]!db[NB NOTA_C],0)+1)</f>
        <v>26</v>
      </c>
    </row>
    <row r="236" spans="1:42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51</v>
      </c>
      <c r="E236" s="23"/>
      <c r="F236" s="26"/>
      <c r="G236" s="26"/>
      <c r="H236" s="31"/>
      <c r="I236" s="26"/>
      <c r="J236" s="51"/>
      <c r="K236" s="26"/>
      <c r="L236" s="26" t="s">
        <v>418</v>
      </c>
      <c r="M236" s="39">
        <v>1</v>
      </c>
      <c r="N236" s="26">
        <v>60</v>
      </c>
      <c r="O236" s="26" t="s">
        <v>294</v>
      </c>
      <c r="P236" s="49">
        <v>27600</v>
      </c>
      <c r="Q236" s="52"/>
      <c r="R236" s="39" t="s">
        <v>419</v>
      </c>
      <c r="S236" s="53">
        <v>0.125</v>
      </c>
      <c r="T236" s="53">
        <v>0.05</v>
      </c>
      <c r="U236" s="54"/>
      <c r="V236" s="37"/>
      <c r="W236" s="54">
        <f>IF(NOTA[[#This Row],[HARGA/ CTN]]="",NOTA[[#This Row],[JUMLAH_H]],NOTA[[#This Row],[HARGA/ CTN]]*IF(NOTA[[#This Row],[C]]="",0,NOTA[[#This Row],[C]]))</f>
        <v>1656000</v>
      </c>
      <c r="X236" s="54">
        <f>IF(NOTA[[#This Row],[JUMLAH]]="","",NOTA[[#This Row],[JUMLAH]]*NOTA[[#This Row],[DISC 1]])</f>
        <v>207000</v>
      </c>
      <c r="Y236" s="54">
        <f>IF(NOTA[[#This Row],[JUMLAH]]="","",(NOTA[[#This Row],[JUMLAH]]-NOTA[[#This Row],[DISC 1-]])*NOTA[[#This Row],[DISC 2]])</f>
        <v>72450</v>
      </c>
      <c r="Z236" s="54">
        <f>IF(NOTA[[#This Row],[JUMLAH]]="","",NOTA[[#This Row],[DISC 1-]]+NOTA[[#This Row],[DISC 2-]])</f>
        <v>279450</v>
      </c>
      <c r="AA236" s="54">
        <f>IF(NOTA[[#This Row],[JUMLAH]]="","",NOTA[[#This Row],[JUMLAH]]-NOTA[[#This Row],[DISC]])</f>
        <v>1376550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36" s="54">
        <f>IF(OR(NOTA[[#This Row],[QTY]]="",NOTA[[#This Row],[HARGA SATUAN]]="",),"",NOTA[[#This Row],[QTY]]*NOTA[[#This Row],[HARGA SATUAN]])</f>
        <v>1656000</v>
      </c>
      <c r="AF236" s="51">
        <f ca="1">IF(NOTA[ID_H]="","",INDEX(NOTA[TANGGAL],MATCH(,INDIRECT(ADDRESS(ROW(NOTA[TANGGAL]),COLUMN(NOTA[TANGGAL]))&amp;":"&amp;ADDRESS(ROW(),COLUMN(NOTA[TANGGAL]))),-1)))</f>
        <v>45028</v>
      </c>
      <c r="AG236" s="65" t="str">
        <f ca="1">IF(NOTA[[#This Row],[NAMA BARANG]]="","",INDEX(NOTA[SUPPLIER],MATCH(,INDIRECT(ADDRESS(ROW(NOTA[ID]),COLUMN(NOTA[ID]))&amp;":"&amp;ADDRESS(ROW(),COLUMN(NOTA[ID]))),-1)))</f>
        <v>ATALI MAKMUR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4</v>
      </c>
      <c r="AK236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6" s="38" t="str">
        <f>IF(NOTA[[#This Row],[CONCAT4]]="","",_xlfn.IFNA(MATCH(NOTA[[#This Row],[CONCAT4]],[2]!RAW[CONCAT_H],0),FALSE))</f>
        <v/>
      </c>
      <c r="AP236" s="174">
        <f>IF(NOTA[[#This Row],[CONCAT1]]="","",MATCH(NOTA[[#This Row],[CONCAT1]],[3]!db[NB NOTA_C],0)+1)</f>
        <v>30</v>
      </c>
    </row>
    <row r="237" spans="1:42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51</v>
      </c>
      <c r="E237" s="23"/>
      <c r="F237" s="26"/>
      <c r="G237" s="26"/>
      <c r="H237" s="31"/>
      <c r="I237" s="26"/>
      <c r="J237" s="51"/>
      <c r="K237" s="26"/>
      <c r="L237" s="26" t="s">
        <v>420</v>
      </c>
      <c r="M237" s="39">
        <v>1</v>
      </c>
      <c r="N237" s="26">
        <v>50</v>
      </c>
      <c r="O237" s="26" t="s">
        <v>294</v>
      </c>
      <c r="P237" s="49">
        <v>31200</v>
      </c>
      <c r="Q237" s="52"/>
      <c r="R237" s="39" t="s">
        <v>421</v>
      </c>
      <c r="S237" s="53">
        <v>0.125</v>
      </c>
      <c r="T237" s="53">
        <v>0.05</v>
      </c>
      <c r="U237" s="54"/>
      <c r="V237" s="37"/>
      <c r="W237" s="54">
        <f>IF(NOTA[[#This Row],[HARGA/ CTN]]="",NOTA[[#This Row],[JUMLAH_H]],NOTA[[#This Row],[HARGA/ CTN]]*IF(NOTA[[#This Row],[C]]="",0,NOTA[[#This Row],[C]]))</f>
        <v>1560000</v>
      </c>
      <c r="X237" s="54">
        <f>IF(NOTA[[#This Row],[JUMLAH]]="","",NOTA[[#This Row],[JUMLAH]]*NOTA[[#This Row],[DISC 1]])</f>
        <v>195000</v>
      </c>
      <c r="Y237" s="54">
        <f>IF(NOTA[[#This Row],[JUMLAH]]="","",(NOTA[[#This Row],[JUMLAH]]-NOTA[[#This Row],[DISC 1-]])*NOTA[[#This Row],[DISC 2]])</f>
        <v>68250</v>
      </c>
      <c r="Z237" s="54">
        <f>IF(NOTA[[#This Row],[JUMLAH]]="","",NOTA[[#This Row],[DISC 1-]]+NOTA[[#This Row],[DISC 2-]])</f>
        <v>263250</v>
      </c>
      <c r="AA237" s="54">
        <f>IF(NOTA[[#This Row],[JUMLAH]]="","",NOTA[[#This Row],[JUMLAH]]-NOTA[[#This Row],[DISC]])</f>
        <v>1296750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37" s="54">
        <f>IF(OR(NOTA[[#This Row],[QTY]]="",NOTA[[#This Row],[HARGA SATUAN]]="",),"",NOTA[[#This Row],[QTY]]*NOTA[[#This Row],[HARGA SATUAN]])</f>
        <v>1560000</v>
      </c>
      <c r="AF237" s="51">
        <f ca="1">IF(NOTA[ID_H]="","",INDEX(NOTA[TANGGAL],MATCH(,INDIRECT(ADDRESS(ROW(NOTA[TANGGAL]),COLUMN(NOTA[TANGGAL]))&amp;":"&amp;ADDRESS(ROW(),COLUMN(NOTA[TANGGAL]))),-1)))</f>
        <v>45028</v>
      </c>
      <c r="AG237" s="65" t="str">
        <f ca="1">IF(NOTA[[#This Row],[NAMA BARANG]]="","",INDEX(NOTA[SUPPLIER],MATCH(,INDIRECT(ADDRESS(ROW(NOTA[ID]),COLUMN(NOTA[ID]))&amp;":"&amp;ADDRESS(ROW(),COLUMN(NOTA[ID]))),-1)))</f>
        <v>ATALI MAKMUR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4</v>
      </c>
      <c r="AK237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38" t="str">
        <f>IF(NOTA[[#This Row],[CONCAT4]]="","",_xlfn.IFNA(MATCH(NOTA[[#This Row],[CONCAT4]],[2]!RAW[CONCAT_H],0),FALSE))</f>
        <v/>
      </c>
      <c r="AP237" s="174">
        <f>IF(NOTA[[#This Row],[CONCAT1]]="","",MATCH(NOTA[[#This Row],[CONCAT1]],[3]!db[NB NOTA_C],0)+1)</f>
        <v>32</v>
      </c>
    </row>
    <row r="238" spans="1:42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51</v>
      </c>
      <c r="E238" s="23"/>
      <c r="F238" s="26"/>
      <c r="G238" s="26"/>
      <c r="H238" s="31"/>
      <c r="I238" s="26"/>
      <c r="J238" s="51"/>
      <c r="K238" s="26"/>
      <c r="L238" s="26" t="s">
        <v>422</v>
      </c>
      <c r="M238" s="39">
        <v>1</v>
      </c>
      <c r="N238" s="26">
        <v>30</v>
      </c>
      <c r="O238" s="26" t="s">
        <v>294</v>
      </c>
      <c r="P238" s="49">
        <v>48600</v>
      </c>
      <c r="Q238" s="52"/>
      <c r="R238" s="39" t="s">
        <v>395</v>
      </c>
      <c r="S238" s="53">
        <v>0.125</v>
      </c>
      <c r="T238" s="53">
        <v>0.05</v>
      </c>
      <c r="U238" s="54"/>
      <c r="V238" s="37"/>
      <c r="W238" s="54">
        <f>IF(NOTA[[#This Row],[HARGA/ CTN]]="",NOTA[[#This Row],[JUMLAH_H]],NOTA[[#This Row],[HARGA/ CTN]]*IF(NOTA[[#This Row],[C]]="",0,NOTA[[#This Row],[C]]))</f>
        <v>1458000</v>
      </c>
      <c r="X238" s="54">
        <f>IF(NOTA[[#This Row],[JUMLAH]]="","",NOTA[[#This Row],[JUMLAH]]*NOTA[[#This Row],[DISC 1]])</f>
        <v>182250</v>
      </c>
      <c r="Y238" s="54">
        <f>IF(NOTA[[#This Row],[JUMLAH]]="","",(NOTA[[#This Row],[JUMLAH]]-NOTA[[#This Row],[DISC 1-]])*NOTA[[#This Row],[DISC 2]])</f>
        <v>63787.5</v>
      </c>
      <c r="Z238" s="54">
        <f>IF(NOTA[[#This Row],[JUMLAH]]="","",NOTA[[#This Row],[DISC 1-]]+NOTA[[#This Row],[DISC 2-]])</f>
        <v>246037.5</v>
      </c>
      <c r="AA238" s="54">
        <f>IF(NOTA[[#This Row],[JUMLAH]]="","",NOTA[[#This Row],[JUMLAH]]-NOTA[[#This Row],[DISC]])</f>
        <v>1211962.5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238" s="54">
        <f>IF(OR(NOTA[[#This Row],[QTY]]="",NOTA[[#This Row],[HARGA SATUAN]]="",),"",NOTA[[#This Row],[QTY]]*NOTA[[#This Row],[HARGA SATUAN]])</f>
        <v>1458000</v>
      </c>
      <c r="AF238" s="51">
        <f ca="1">IF(NOTA[ID_H]="","",INDEX(NOTA[TANGGAL],MATCH(,INDIRECT(ADDRESS(ROW(NOTA[TANGGAL]),COLUMN(NOTA[TANGGAL]))&amp;":"&amp;ADDRESS(ROW(),COLUMN(NOTA[TANGGAL]))),-1)))</f>
        <v>45028</v>
      </c>
      <c r="AG238" s="65" t="str">
        <f ca="1">IF(NOTA[[#This Row],[NAMA BARANG]]="","",INDEX(NOTA[SUPPLIER],MATCH(,INDIRECT(ADDRESS(ROW(NOTA[ID]),COLUMN(NOTA[ID]))&amp;":"&amp;ADDRESS(ROW(),COLUMN(NOTA[ID]))),-1)))</f>
        <v>ATALI MAKMUR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4</v>
      </c>
      <c r="AK238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8" s="38" t="str">
        <f>IF(NOTA[[#This Row],[CONCAT4]]="","",_xlfn.IFNA(MATCH(NOTA[[#This Row],[CONCAT4]],[2]!RAW[CONCAT_H],0),FALSE))</f>
        <v/>
      </c>
      <c r="AP238" s="174">
        <f>IF(NOTA[[#This Row],[CONCAT1]]="","",MATCH(NOTA[[#This Row],[CONCAT1]],[3]!db[NB NOTA_C],0)+1)</f>
        <v>33</v>
      </c>
    </row>
    <row r="239" spans="1:42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51</v>
      </c>
      <c r="E239" s="23"/>
      <c r="F239" s="26"/>
      <c r="G239" s="26"/>
      <c r="H239" s="31"/>
      <c r="I239" s="26"/>
      <c r="J239" s="51"/>
      <c r="K239" s="26"/>
      <c r="L239" s="26" t="s">
        <v>101</v>
      </c>
      <c r="M239" s="39">
        <v>2</v>
      </c>
      <c r="N239" s="26">
        <v>40</v>
      </c>
      <c r="O239" s="26" t="s">
        <v>294</v>
      </c>
      <c r="P239" s="49">
        <v>67800</v>
      </c>
      <c r="Q239" s="52"/>
      <c r="R239" s="39" t="s">
        <v>226</v>
      </c>
      <c r="S239" s="53">
        <v>0.125</v>
      </c>
      <c r="T239" s="53">
        <v>0.05</v>
      </c>
      <c r="U239" s="54"/>
      <c r="V239" s="37"/>
      <c r="W239" s="54">
        <f>IF(NOTA[[#This Row],[HARGA/ CTN]]="",NOTA[[#This Row],[JUMLAH_H]],NOTA[[#This Row],[HARGA/ CTN]]*IF(NOTA[[#This Row],[C]]="",0,NOTA[[#This Row],[C]]))</f>
        <v>2712000</v>
      </c>
      <c r="X239" s="54">
        <f>IF(NOTA[[#This Row],[JUMLAH]]="","",NOTA[[#This Row],[JUMLAH]]*NOTA[[#This Row],[DISC 1]])</f>
        <v>339000</v>
      </c>
      <c r="Y239" s="54">
        <f>IF(NOTA[[#This Row],[JUMLAH]]="","",(NOTA[[#This Row],[JUMLAH]]-NOTA[[#This Row],[DISC 1-]])*NOTA[[#This Row],[DISC 2]])</f>
        <v>118650</v>
      </c>
      <c r="Z239" s="54">
        <f>IF(NOTA[[#This Row],[JUMLAH]]="","",NOTA[[#This Row],[DISC 1-]]+NOTA[[#This Row],[DISC 2-]])</f>
        <v>457650</v>
      </c>
      <c r="AA239" s="54">
        <f>IF(NOTA[[#This Row],[JUMLAH]]="","",NOTA[[#This Row],[JUMLAH]]-NOTA[[#This Row],[DISC]])</f>
        <v>2254350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39" s="54">
        <f>IF(OR(NOTA[[#This Row],[QTY]]="",NOTA[[#This Row],[HARGA SATUAN]]="",),"",NOTA[[#This Row],[QTY]]*NOTA[[#This Row],[HARGA SATUAN]])</f>
        <v>2712000</v>
      </c>
      <c r="AF239" s="51">
        <f ca="1">IF(NOTA[ID_H]="","",INDEX(NOTA[TANGGAL],MATCH(,INDIRECT(ADDRESS(ROW(NOTA[TANGGAL]),COLUMN(NOTA[TANGGAL]))&amp;":"&amp;ADDRESS(ROW(),COLUMN(NOTA[TANGGAL]))),-1)))</f>
        <v>45028</v>
      </c>
      <c r="AG239" s="65" t="str">
        <f ca="1">IF(NOTA[[#This Row],[NAMA BARANG]]="","",INDEX(NOTA[SUPPLIER],MATCH(,INDIRECT(ADDRESS(ROW(NOTA[ID]),COLUMN(NOTA[ID]))&amp;":"&amp;ADDRESS(ROW(),COLUMN(NOTA[ID]))),-1)))</f>
        <v>ATALI MAKMUR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4</v>
      </c>
      <c r="AK239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38" t="str">
        <f>IF(NOTA[[#This Row],[CONCAT4]]="","",_xlfn.IFNA(MATCH(NOTA[[#This Row],[CONCAT4]],[2]!RAW[CONCAT_H],0),FALSE))</f>
        <v/>
      </c>
      <c r="AP239" s="174">
        <f>IF(NOTA[[#This Row],[CONCAT1]]="","",MATCH(NOTA[[#This Row],[CONCAT1]],[3]!db[NB NOTA_C],0)+1)</f>
        <v>34</v>
      </c>
    </row>
    <row r="240" spans="1:42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51</v>
      </c>
      <c r="E240" s="23"/>
      <c r="F240" s="26"/>
      <c r="G240" s="26"/>
      <c r="H240" s="31"/>
      <c r="I240" s="26"/>
      <c r="J240" s="51"/>
      <c r="K240" s="26"/>
      <c r="L240" s="26" t="s">
        <v>423</v>
      </c>
      <c r="M240" s="39">
        <v>3</v>
      </c>
      <c r="N240" s="26">
        <v>30</v>
      </c>
      <c r="O240" s="26" t="s">
        <v>294</v>
      </c>
      <c r="P240" s="49">
        <v>115800</v>
      </c>
      <c r="Q240" s="52"/>
      <c r="R240" s="39" t="s">
        <v>424</v>
      </c>
      <c r="S240" s="53">
        <v>0.125</v>
      </c>
      <c r="T240" s="53">
        <v>0.05</v>
      </c>
      <c r="U240" s="54"/>
      <c r="V240" s="37"/>
      <c r="W240" s="54">
        <f>IF(NOTA[[#This Row],[HARGA/ CTN]]="",NOTA[[#This Row],[JUMLAH_H]],NOTA[[#This Row],[HARGA/ CTN]]*IF(NOTA[[#This Row],[C]]="",0,NOTA[[#This Row],[C]]))</f>
        <v>3474000</v>
      </c>
      <c r="X240" s="54">
        <f>IF(NOTA[[#This Row],[JUMLAH]]="","",NOTA[[#This Row],[JUMLAH]]*NOTA[[#This Row],[DISC 1]])</f>
        <v>434250</v>
      </c>
      <c r="Y240" s="54">
        <f>IF(NOTA[[#This Row],[JUMLAH]]="","",(NOTA[[#This Row],[JUMLAH]]-NOTA[[#This Row],[DISC 1-]])*NOTA[[#This Row],[DISC 2]])</f>
        <v>151987.5</v>
      </c>
      <c r="Z240" s="54">
        <f>IF(NOTA[[#This Row],[JUMLAH]]="","",NOTA[[#This Row],[DISC 1-]]+NOTA[[#This Row],[DISC 2-]])</f>
        <v>586237.5</v>
      </c>
      <c r="AA240" s="54">
        <f>IF(NOTA[[#This Row],[JUMLAH]]="","",NOTA[[#This Row],[JUMLAH]]-NOTA[[#This Row],[DISC]])</f>
        <v>2887762.5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240" s="54">
        <f>IF(OR(NOTA[[#This Row],[QTY]]="",NOTA[[#This Row],[HARGA SATUAN]]="",),"",NOTA[[#This Row],[QTY]]*NOTA[[#This Row],[HARGA SATUAN]])</f>
        <v>3474000</v>
      </c>
      <c r="AF240" s="51">
        <f ca="1">IF(NOTA[ID_H]="","",INDEX(NOTA[TANGGAL],MATCH(,INDIRECT(ADDRESS(ROW(NOTA[TANGGAL]),COLUMN(NOTA[TANGGAL]))&amp;":"&amp;ADDRESS(ROW(),COLUMN(NOTA[TANGGAL]))),-1)))</f>
        <v>45028</v>
      </c>
      <c r="AG240" s="65" t="str">
        <f ca="1">IF(NOTA[[#This Row],[NAMA BARANG]]="","",INDEX(NOTA[SUPPLIER],MATCH(,INDIRECT(ADDRESS(ROW(NOTA[ID]),COLUMN(NOTA[ID]))&amp;":"&amp;ADDRESS(ROW(),COLUMN(NOTA[ID]))),-1)))</f>
        <v>ATALI MAKMUR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4</v>
      </c>
      <c r="AK240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38" t="str">
        <f>IF(NOTA[[#This Row],[CONCAT4]]="","",_xlfn.IFNA(MATCH(NOTA[[#This Row],[CONCAT4]],[2]!RAW[CONCAT_H],0),FALSE))</f>
        <v/>
      </c>
      <c r="AP240" s="174">
        <f>IF(NOTA[[#This Row],[CONCAT1]]="","",MATCH(NOTA[[#This Row],[CONCAT1]],[3]!db[NB NOTA_C],0)+1)</f>
        <v>35</v>
      </c>
    </row>
    <row r="241" spans="1:42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51</v>
      </c>
      <c r="E241" s="23"/>
      <c r="F241" s="26"/>
      <c r="G241" s="26"/>
      <c r="H241" s="31"/>
      <c r="I241" s="26"/>
      <c r="J241" s="51"/>
      <c r="K241" s="26"/>
      <c r="L241" s="26" t="s">
        <v>464</v>
      </c>
      <c r="M241" s="39"/>
      <c r="N241" s="26">
        <v>48</v>
      </c>
      <c r="O241" s="26" t="s">
        <v>261</v>
      </c>
      <c r="P241" s="49">
        <v>13200</v>
      </c>
      <c r="Q241" s="52"/>
      <c r="R241" s="39" t="s">
        <v>354</v>
      </c>
      <c r="S241" s="53">
        <v>0.125</v>
      </c>
      <c r="T241" s="53">
        <v>0.05</v>
      </c>
      <c r="U241" s="54">
        <v>790020</v>
      </c>
      <c r="V241" s="37" t="s">
        <v>299</v>
      </c>
      <c r="W241" s="54">
        <f>IF(NOTA[[#This Row],[HARGA/ CTN]]="",NOTA[[#This Row],[JUMLAH_H]],NOTA[[#This Row],[HARGA/ CTN]]*IF(NOTA[[#This Row],[C]]="",0,NOTA[[#This Row],[C]]))</f>
        <v>633600</v>
      </c>
      <c r="X241" s="54">
        <f>IF(NOTA[[#This Row],[JUMLAH]]="","",NOTA[[#This Row],[JUMLAH]]*NOTA[[#This Row],[DISC 1]])</f>
        <v>79200</v>
      </c>
      <c r="Y241" s="54">
        <f>IF(NOTA[[#This Row],[JUMLAH]]="","",(NOTA[[#This Row],[JUMLAH]]-NOTA[[#This Row],[DISC 1-]])*NOTA[[#This Row],[DISC 2]])</f>
        <v>27720</v>
      </c>
      <c r="Z241" s="54">
        <f>IF(NOTA[[#This Row],[JUMLAH]]="","",NOTA[[#This Row],[DISC 1-]]+NOTA[[#This Row],[DISC 2-]])</f>
        <v>106920</v>
      </c>
      <c r="AA241" s="54">
        <f>IF(NOTA[[#This Row],[JUMLAH]]="","",NOTA[[#This Row],[JUMLAH]]-NOTA[[#This Row],[DISC]])</f>
        <v>526680</v>
      </c>
      <c r="AB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4812581.25</v>
      </c>
      <c r="AC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19024818.75</v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E241" s="54">
        <f>IF(OR(NOTA[[#This Row],[QTY]]="",NOTA[[#This Row],[HARGA SATUAN]]="",),"",NOTA[[#This Row],[QTY]]*NOTA[[#This Row],[HARGA SATUAN]])</f>
        <v>633600</v>
      </c>
      <c r="AF241" s="51">
        <f ca="1">IF(NOTA[ID_H]="","",INDEX(NOTA[TANGGAL],MATCH(,INDIRECT(ADDRESS(ROW(NOTA[TANGGAL]),COLUMN(NOTA[TANGGAL]))&amp;":"&amp;ADDRESS(ROW(),COLUMN(NOTA[TANGGAL]))),-1)))</f>
        <v>45028</v>
      </c>
      <c r="AG241" s="65" t="str">
        <f ca="1">IF(NOTA[[#This Row],[NAMA BARANG]]="","",INDEX(NOTA[SUPPLIER],MATCH(,INDIRECT(ADDRESS(ROW(NOTA[ID]),COLUMN(NOTA[ID]))&amp;":"&amp;ADDRESS(ROW(),COLUMN(NOTA[ID]))),-1)))</f>
        <v>ATALI MAKMUR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4</v>
      </c>
      <c r="AK24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38" t="str">
        <f>IF(NOTA[[#This Row],[CONCAT4]]="","",_xlfn.IFNA(MATCH(NOTA[[#This Row],[CONCAT4]],[2]!RAW[CONCAT_H],0),FALSE))</f>
        <v/>
      </c>
      <c r="AP241" s="174">
        <f>IF(NOTA[[#This Row],[CONCAT1]]="","",MATCH(NOTA[[#This Row],[CONCAT1]],[3]!db[NB NOTA_C],0)+1)</f>
        <v>26</v>
      </c>
    </row>
    <row r="242" spans="1:42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38" t="str">
        <f>IF(NOTA[[#This Row],[CONCAT4]]="","",_xlfn.IFNA(MATCH(NOTA[[#This Row],[CONCAT4]],[2]!RAW[CONCAT_H],0),FALSE))</f>
        <v/>
      </c>
      <c r="AP242" s="174" t="str">
        <f>IF(NOTA[[#This Row],[CONCAT1]]="","",MATCH(NOTA[[#This Row],[CONCAT1]],[3]!db[NB NOTA_C],0)+1)</f>
        <v/>
      </c>
    </row>
    <row r="243" spans="1:42" ht="20.100000000000001" customHeight="1" x14ac:dyDescent="0.25">
      <c r="A24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ATA_1204_063-3</v>
      </c>
      <c r="C243" s="50" t="e">
        <f ca="1">IF(NOTA[[#This Row],[ID_P]]="","",MATCH(NOTA[[#This Row],[ID_P]],[1]!B_MSK[N_ID],0))</f>
        <v>#REF!</v>
      </c>
      <c r="D243" s="50">
        <f ca="1">IF(NOTA[[#This Row],[NAMA BARANG]]="","",INDEX(NOTA[ID],MATCH(,INDIRECT(ADDRESS(ROW(NOTA[ID]),COLUMN(NOTA[ID]))&amp;":"&amp;ADDRESS(ROW(),COLUMN(NOTA[ID]))),-1)))</f>
        <v>52</v>
      </c>
      <c r="E243" s="23"/>
      <c r="F243" s="26" t="s">
        <v>25</v>
      </c>
      <c r="G243" s="26" t="s">
        <v>24</v>
      </c>
      <c r="H243" s="31" t="s">
        <v>425</v>
      </c>
      <c r="I243" s="26"/>
      <c r="J243" s="51">
        <v>45024</v>
      </c>
      <c r="K243" s="26"/>
      <c r="L243" s="26" t="s">
        <v>132</v>
      </c>
      <c r="M243" s="39">
        <v>40</v>
      </c>
      <c r="N243" s="26">
        <v>5760</v>
      </c>
      <c r="O243" s="26" t="s">
        <v>188</v>
      </c>
      <c r="P243" s="49">
        <v>11900</v>
      </c>
      <c r="Q243" s="52"/>
      <c r="R243" s="39" t="s">
        <v>328</v>
      </c>
      <c r="S243" s="53">
        <v>0.125</v>
      </c>
      <c r="T243" s="53">
        <v>0.08</v>
      </c>
      <c r="U243" s="54"/>
      <c r="V243" s="37"/>
      <c r="W243" s="54">
        <f>IF(NOTA[[#This Row],[HARGA/ CTN]]="",NOTA[[#This Row],[JUMLAH_H]],NOTA[[#This Row],[HARGA/ CTN]]*IF(NOTA[[#This Row],[C]]="",0,NOTA[[#This Row],[C]]))</f>
        <v>68544000</v>
      </c>
      <c r="X243" s="54">
        <f>IF(NOTA[[#This Row],[JUMLAH]]="","",NOTA[[#This Row],[JUMLAH]]*NOTA[[#This Row],[DISC 1]])</f>
        <v>8568000</v>
      </c>
      <c r="Y243" s="54">
        <f>IF(NOTA[[#This Row],[JUMLAH]]="","",(NOTA[[#This Row],[JUMLAH]]-NOTA[[#This Row],[DISC 1-]])*NOTA[[#This Row],[DISC 2]])</f>
        <v>4798080</v>
      </c>
      <c r="Z243" s="54">
        <f>IF(NOTA[[#This Row],[JUMLAH]]="","",NOTA[[#This Row],[DISC 1-]]+NOTA[[#This Row],[DISC 2-]])</f>
        <v>13366080</v>
      </c>
      <c r="AA243" s="54">
        <f>IF(NOTA[[#This Row],[JUMLAH]]="","",NOTA[[#This Row],[JUMLAH]]-NOTA[[#This Row],[DISC]])</f>
        <v>55177920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43" s="54">
        <f>IF(OR(NOTA[[#This Row],[QTY]]="",NOTA[[#This Row],[HARGA SATUAN]]="",),"",NOTA[[#This Row],[QTY]]*NOTA[[#This Row],[HARGA SATUAN]])</f>
        <v>68544000</v>
      </c>
      <c r="AF243" s="51">
        <f ca="1">IF(NOTA[ID_H]="","",INDEX(NOTA[TANGGAL],MATCH(,INDIRECT(ADDRESS(ROW(NOTA[TANGGAL]),COLUMN(NOTA[TANGGAL]))&amp;":"&amp;ADDRESS(ROW(),COLUMN(NOTA[TANGGAL]))),-1)))</f>
        <v>45028</v>
      </c>
      <c r="AG243" s="65" t="str">
        <f ca="1">IF(NOTA[[#This Row],[NAMA BARANG]]="","",INDEX(NOTA[SUPPLIER],MATCH(,INDIRECT(ADDRESS(ROW(NOTA[ID]),COLUMN(NOTA[ID]))&amp;":"&amp;ADDRESS(ROW(),COLUMN(NOTA[ID]))),-1)))</f>
        <v>ATALI MAKMUR</v>
      </c>
      <c r="AH243" s="65" t="str">
        <f ca="1">IF(NOTA[[#This Row],[ID_H]]="","",IF(NOTA[[#This Row],[FAKTUR]]="",INDIRECT(ADDRESS(ROW()-1,COLUMN())),NOTA[[#This Row],[FAKTUR]]))</f>
        <v>ARTO MORO</v>
      </c>
      <c r="AI243" s="38">
        <f ca="1">IF(NOTA[[#This Row],[ID]]="","",COUNTIF(NOTA[ID_H],NOTA[[#This Row],[ID_H]]))</f>
        <v>3</v>
      </c>
      <c r="AJ243" s="38">
        <f>IF(NOTA[[#This Row],[TGL.NOTA]]="",IF(NOTA[[#This Row],[SUPPLIER_H]]="","",AJ242),MONTH(NOTA[[#This Row],[TGL.NOTA]]))</f>
        <v>4</v>
      </c>
      <c r="AK243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4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MOROSA23040606345024oilpastelop12sppcaseseaworldjk</v>
      </c>
      <c r="AO243" s="38" t="e">
        <f>IF(NOTA[[#This Row],[CONCAT4]]="","",_xlfn.IFNA(MATCH(NOTA[[#This Row],[CONCAT4]],[2]!RAW[CONCAT_H],0),FALSE))</f>
        <v>#REF!</v>
      </c>
      <c r="AP243" s="174">
        <f>IF(NOTA[[#This Row],[CONCAT1]]="","",MATCH(NOTA[[#This Row],[CONCAT1]],[3]!db[NB NOTA_C],0)+1)</f>
        <v>267</v>
      </c>
    </row>
    <row r="244" spans="1:42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52</v>
      </c>
      <c r="E244" s="23"/>
      <c r="F244" s="26"/>
      <c r="G244" s="26"/>
      <c r="H244" s="31"/>
      <c r="I244" s="26"/>
      <c r="J244" s="51"/>
      <c r="K244" s="26"/>
      <c r="L244" s="26" t="s">
        <v>113</v>
      </c>
      <c r="M244" s="39">
        <v>10</v>
      </c>
      <c r="N244" s="26">
        <v>720</v>
      </c>
      <c r="O244" s="26" t="s">
        <v>188</v>
      </c>
      <c r="P244" s="49">
        <v>23000</v>
      </c>
      <c r="Q244" s="52"/>
      <c r="R244" s="39" t="s">
        <v>329</v>
      </c>
      <c r="S244" s="53">
        <v>0.125</v>
      </c>
      <c r="T244" s="53">
        <v>0.08</v>
      </c>
      <c r="U244" s="54"/>
      <c r="V244" s="37"/>
      <c r="W244" s="54">
        <f>IF(NOTA[[#This Row],[HARGA/ CTN]]="",NOTA[[#This Row],[JUMLAH_H]],NOTA[[#This Row],[HARGA/ CTN]]*IF(NOTA[[#This Row],[C]]="",0,NOTA[[#This Row],[C]]))</f>
        <v>16560000</v>
      </c>
      <c r="X244" s="54">
        <f>IF(NOTA[[#This Row],[JUMLAH]]="","",NOTA[[#This Row],[JUMLAH]]*NOTA[[#This Row],[DISC 1]])</f>
        <v>2070000</v>
      </c>
      <c r="Y244" s="54">
        <f>IF(NOTA[[#This Row],[JUMLAH]]="","",(NOTA[[#This Row],[JUMLAH]]-NOTA[[#This Row],[DISC 1-]])*NOTA[[#This Row],[DISC 2]])</f>
        <v>1159200</v>
      </c>
      <c r="Z244" s="54">
        <f>IF(NOTA[[#This Row],[JUMLAH]]="","",NOTA[[#This Row],[DISC 1-]]+NOTA[[#This Row],[DISC 2-]])</f>
        <v>3229200</v>
      </c>
      <c r="AA244" s="54">
        <f>IF(NOTA[[#This Row],[JUMLAH]]="","",NOTA[[#This Row],[JUMLAH]]-NOTA[[#This Row],[DISC]])</f>
        <v>13330800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44" s="54">
        <f>IF(OR(NOTA[[#This Row],[QTY]]="",NOTA[[#This Row],[HARGA SATUAN]]="",),"",NOTA[[#This Row],[QTY]]*NOTA[[#This Row],[HARGA SATUAN]])</f>
        <v>16560000</v>
      </c>
      <c r="AF244" s="51">
        <f ca="1">IF(NOTA[ID_H]="","",INDEX(NOTA[TANGGAL],MATCH(,INDIRECT(ADDRESS(ROW(NOTA[TANGGAL]),COLUMN(NOTA[TANGGAL]))&amp;":"&amp;ADDRESS(ROW(),COLUMN(NOTA[TANGGAL]))),-1)))</f>
        <v>45028</v>
      </c>
      <c r="AG244" s="65" t="str">
        <f ca="1">IF(NOTA[[#This Row],[NAMA BARANG]]="","",INDEX(NOTA[SUPPLIER],MATCH(,INDIRECT(ADDRESS(ROW(NOTA[ID]),COLUMN(NOTA[ID]))&amp;":"&amp;ADDRESS(ROW(),COLUMN(NOTA[ID]))),-1)))</f>
        <v>ATALI MAKMUR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4</v>
      </c>
      <c r="AK244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38" t="str">
        <f>IF(NOTA[[#This Row],[CONCAT4]]="","",_xlfn.IFNA(MATCH(NOTA[[#This Row],[CONCAT4]],[2]!RAW[CONCAT_H],0),FALSE))</f>
        <v/>
      </c>
      <c r="AP244" s="174">
        <f>IF(NOTA[[#This Row],[CONCAT1]]="","",MATCH(NOTA[[#This Row],[CONCAT1]],[3]!db[NB NOTA_C],0)+1)</f>
        <v>268</v>
      </c>
    </row>
    <row r="245" spans="1:42" s="38" customFormat="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52</v>
      </c>
      <c r="E245" s="23"/>
      <c r="F245" s="26"/>
      <c r="G245" s="26"/>
      <c r="H245" s="31"/>
      <c r="I245" s="26"/>
      <c r="J245" s="51"/>
      <c r="K245" s="26"/>
      <c r="L245" s="26" t="s">
        <v>133</v>
      </c>
      <c r="M245" s="39">
        <v>10</v>
      </c>
      <c r="N245" s="26">
        <v>480</v>
      </c>
      <c r="O245" s="26" t="s">
        <v>188</v>
      </c>
      <c r="P245" s="49">
        <v>29600</v>
      </c>
      <c r="Q245" s="52"/>
      <c r="R245" s="39" t="s">
        <v>221</v>
      </c>
      <c r="S245" s="53">
        <v>0.125</v>
      </c>
      <c r="T245" s="53">
        <v>0.08</v>
      </c>
      <c r="U245" s="54"/>
      <c r="V245" s="37"/>
      <c r="W245" s="54">
        <f>IF(NOTA[[#This Row],[HARGA/ CTN]]="",NOTA[[#This Row],[JUMLAH_H]],NOTA[[#This Row],[HARGA/ CTN]]*IF(NOTA[[#This Row],[C]]="",0,NOTA[[#This Row],[C]]))</f>
        <v>14208000</v>
      </c>
      <c r="X245" s="54">
        <f>IF(NOTA[[#This Row],[JUMLAH]]="","",NOTA[[#This Row],[JUMLAH]]*NOTA[[#This Row],[DISC 1]])</f>
        <v>1776000</v>
      </c>
      <c r="Y245" s="54">
        <f>IF(NOTA[[#This Row],[JUMLAH]]="","",(NOTA[[#This Row],[JUMLAH]]-NOTA[[#This Row],[DISC 1-]])*NOTA[[#This Row],[DISC 2]])</f>
        <v>994560</v>
      </c>
      <c r="Z245" s="54">
        <f>IF(NOTA[[#This Row],[JUMLAH]]="","",NOTA[[#This Row],[DISC 1-]]+NOTA[[#This Row],[DISC 2-]])</f>
        <v>2770560</v>
      </c>
      <c r="AA245" s="54">
        <f>IF(NOTA[[#This Row],[JUMLAH]]="","",NOTA[[#This Row],[JUMLAH]]-NOTA[[#This Row],[DISC]])</f>
        <v>11437440</v>
      </c>
      <c r="AB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19365840</v>
      </c>
      <c r="AC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79946160</v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245" s="54">
        <f>IF(OR(NOTA[[#This Row],[QTY]]="",NOTA[[#This Row],[HARGA SATUAN]]="",),"",NOTA[[#This Row],[QTY]]*NOTA[[#This Row],[HARGA SATUAN]])</f>
        <v>14208000</v>
      </c>
      <c r="AF245" s="51">
        <f ca="1">IF(NOTA[ID_H]="","",INDEX(NOTA[TANGGAL],MATCH(,INDIRECT(ADDRESS(ROW(NOTA[TANGGAL]),COLUMN(NOTA[TANGGAL]))&amp;":"&amp;ADDRESS(ROW(),COLUMN(NOTA[TANGGAL]))),-1)))</f>
        <v>45028</v>
      </c>
      <c r="AG245" s="65" t="str">
        <f ca="1">IF(NOTA[[#This Row],[NAMA BARANG]]="","",INDEX(NOTA[SUPPLIER],MATCH(,INDIRECT(ADDRESS(ROW(NOTA[ID]),COLUMN(NOTA[ID]))&amp;":"&amp;ADDRESS(ROW(),COLUMN(NOTA[ID]))),-1)))</f>
        <v>ATALI MAKMUR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4</v>
      </c>
      <c r="AK2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38" t="str">
        <f>IF(NOTA[[#This Row],[CONCAT4]]="","",_xlfn.IFNA(MATCH(NOTA[[#This Row],[CONCAT4]],[2]!RAW[CONCAT_H],0),FALSE))</f>
        <v/>
      </c>
      <c r="AP245" s="174">
        <f>IF(NOTA[[#This Row],[CONCAT1]]="","",MATCH(NOTA[[#This Row],[CONCAT1]],[3]!db[NB NOTA_C],0)+1)</f>
        <v>269</v>
      </c>
    </row>
    <row r="246" spans="1:42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38" t="str">
        <f>IF(NOTA[[#This Row],[CONCAT4]]="","",_xlfn.IFNA(MATCH(NOTA[[#This Row],[CONCAT4]],[2]!RAW[CONCAT_H],0),FALSE))</f>
        <v/>
      </c>
      <c r="AP246" s="174" t="str">
        <f>IF(NOTA[[#This Row],[CONCAT1]]="","",MATCH(NOTA[[#This Row],[CONCAT1]],[3]!db[NB NOTA_C],0)+1)</f>
        <v/>
      </c>
    </row>
    <row r="247" spans="1:42" ht="20.100000000000001" customHeight="1" x14ac:dyDescent="0.25">
      <c r="A247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ATA_1204_064-4</v>
      </c>
      <c r="C247" s="50" t="e">
        <f ca="1">IF(NOTA[[#This Row],[ID_P]]="","",MATCH(NOTA[[#This Row],[ID_P]],[1]!B_MSK[N_ID],0))</f>
        <v>#REF!</v>
      </c>
      <c r="D247" s="50">
        <f ca="1">IF(NOTA[[#This Row],[NAMA BARANG]]="","",INDEX(NOTA[ID],MATCH(,INDIRECT(ADDRESS(ROW(NOTA[ID]),COLUMN(NOTA[ID]))&amp;":"&amp;ADDRESS(ROW(),COLUMN(NOTA[ID]))),-1)))</f>
        <v>53</v>
      </c>
      <c r="E247" s="23"/>
      <c r="F247" s="26" t="s">
        <v>25</v>
      </c>
      <c r="G247" s="26" t="s">
        <v>24</v>
      </c>
      <c r="H247" s="31" t="s">
        <v>426</v>
      </c>
      <c r="I247" s="26"/>
      <c r="J247" s="51">
        <v>45024</v>
      </c>
      <c r="K247" s="26"/>
      <c r="L247" s="26" t="s">
        <v>91</v>
      </c>
      <c r="M247" s="39">
        <v>10</v>
      </c>
      <c r="N247" s="26">
        <v>360</v>
      </c>
      <c r="O247" s="26" t="s">
        <v>188</v>
      </c>
      <c r="P247" s="49">
        <v>41500</v>
      </c>
      <c r="Q247" s="52"/>
      <c r="R247" s="39" t="s">
        <v>223</v>
      </c>
      <c r="S247" s="53">
        <v>0.125</v>
      </c>
      <c r="T247" s="53">
        <v>0.08</v>
      </c>
      <c r="U247" s="54"/>
      <c r="V247" s="37"/>
      <c r="W247" s="54">
        <f>IF(NOTA[[#This Row],[HARGA/ CTN]]="",NOTA[[#This Row],[JUMLAH_H]],NOTA[[#This Row],[HARGA/ CTN]]*IF(NOTA[[#This Row],[C]]="",0,NOTA[[#This Row],[C]]))</f>
        <v>14940000</v>
      </c>
      <c r="X247" s="54">
        <f>IF(NOTA[[#This Row],[JUMLAH]]="","",NOTA[[#This Row],[JUMLAH]]*NOTA[[#This Row],[DISC 1]])</f>
        <v>1867500</v>
      </c>
      <c r="Y247" s="54">
        <f>IF(NOTA[[#This Row],[JUMLAH]]="","",(NOTA[[#This Row],[JUMLAH]]-NOTA[[#This Row],[DISC 1-]])*NOTA[[#This Row],[DISC 2]])</f>
        <v>1045800</v>
      </c>
      <c r="Z247" s="54">
        <f>IF(NOTA[[#This Row],[JUMLAH]]="","",NOTA[[#This Row],[DISC 1-]]+NOTA[[#This Row],[DISC 2-]])</f>
        <v>2913300</v>
      </c>
      <c r="AA247" s="54">
        <f>IF(NOTA[[#This Row],[JUMLAH]]="","",NOTA[[#This Row],[JUMLAH]]-NOTA[[#This Row],[DISC]])</f>
        <v>12026700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7" s="54">
        <f>IF(OR(NOTA[[#This Row],[QTY]]="",NOTA[[#This Row],[HARGA SATUAN]]="",),"",NOTA[[#This Row],[QTY]]*NOTA[[#This Row],[HARGA SATUAN]])</f>
        <v>14940000</v>
      </c>
      <c r="AF247" s="51">
        <f ca="1">IF(NOTA[ID_H]="","",INDEX(NOTA[TANGGAL],MATCH(,INDIRECT(ADDRESS(ROW(NOTA[TANGGAL]),COLUMN(NOTA[TANGGAL]))&amp;":"&amp;ADDRESS(ROW(),COLUMN(NOTA[TANGGAL]))),-1)))</f>
        <v>45028</v>
      </c>
      <c r="AG247" s="65" t="str">
        <f ca="1">IF(NOTA[[#This Row],[NAMA BARANG]]="","",INDEX(NOTA[SUPPLIER],MATCH(,INDIRECT(ADDRESS(ROW(NOTA[ID]),COLUMN(NOTA[ID]))&amp;":"&amp;ADDRESS(ROW(),COLUMN(NOTA[ID]))),-1)))</f>
        <v>ATALI MAKMUR</v>
      </c>
      <c r="AH247" s="65" t="str">
        <f ca="1">IF(NOTA[[#This Row],[ID_H]]="","",IF(NOTA[[#This Row],[FAKTUR]]="",INDIRECT(ADDRESS(ROW()-1,COLUMN())),NOTA[[#This Row],[FAKTUR]]))</f>
        <v>ARTO MORO</v>
      </c>
      <c r="AI247" s="38">
        <f ca="1">IF(NOTA[[#This Row],[ID]]="","",COUNTIF(NOTA[ID_H],NOTA[[#This Row],[ID_H]]))</f>
        <v>4</v>
      </c>
      <c r="AJ247" s="38">
        <f>IF(NOTA[[#This Row],[TGL.NOTA]]="",IF(NOTA[[#This Row],[SUPPLIER_H]]="","",AJ246),MONTH(NOTA[[#This Row],[TGL.NOTA]]))</f>
        <v>4</v>
      </c>
      <c r="AK24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2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MOROSA23040606445024oilpastelop36sppcaseseaworldjk</v>
      </c>
      <c r="AO247" s="38" t="e">
        <f>IF(NOTA[[#This Row],[CONCAT4]]="","",_xlfn.IFNA(MATCH(NOTA[[#This Row],[CONCAT4]],[2]!RAW[CONCAT_H],0),FALSE))</f>
        <v>#REF!</v>
      </c>
      <c r="AP247" s="174">
        <f>IF(NOTA[[#This Row],[CONCAT1]]="","",MATCH(NOTA[[#This Row],[CONCAT1]],[3]!db[NB NOTA_C],0)+1)</f>
        <v>270</v>
      </c>
    </row>
    <row r="248" spans="1:42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53</v>
      </c>
      <c r="E248" s="23"/>
      <c r="F248" s="26"/>
      <c r="G248" s="26"/>
      <c r="H248" s="31"/>
      <c r="I248" s="26"/>
      <c r="J248" s="51"/>
      <c r="K248" s="26"/>
      <c r="L248" s="26" t="s">
        <v>341</v>
      </c>
      <c r="M248" s="39">
        <v>5</v>
      </c>
      <c r="N248" s="26">
        <v>720</v>
      </c>
      <c r="O248" s="26" t="s">
        <v>188</v>
      </c>
      <c r="P248" s="49">
        <v>11000</v>
      </c>
      <c r="Q248" s="52"/>
      <c r="R248" s="39" t="s">
        <v>328</v>
      </c>
      <c r="S248" s="53">
        <v>0.125</v>
      </c>
      <c r="T248" s="53">
        <v>0.08</v>
      </c>
      <c r="U248" s="54"/>
      <c r="V248" s="37"/>
      <c r="W248" s="54">
        <f>IF(NOTA[[#This Row],[HARGA/ CTN]]="",NOTA[[#This Row],[JUMLAH_H]],NOTA[[#This Row],[HARGA/ CTN]]*IF(NOTA[[#This Row],[C]]="",0,NOTA[[#This Row],[C]]))</f>
        <v>7920000</v>
      </c>
      <c r="X248" s="54">
        <f>IF(NOTA[[#This Row],[JUMLAH]]="","",NOTA[[#This Row],[JUMLAH]]*NOTA[[#This Row],[DISC 1]])</f>
        <v>990000</v>
      </c>
      <c r="Y248" s="54">
        <f>IF(NOTA[[#This Row],[JUMLAH]]="","",(NOTA[[#This Row],[JUMLAH]]-NOTA[[#This Row],[DISC 1-]])*NOTA[[#This Row],[DISC 2]])</f>
        <v>554400</v>
      </c>
      <c r="Z248" s="54">
        <f>IF(NOTA[[#This Row],[JUMLAH]]="","",NOTA[[#This Row],[DISC 1-]]+NOTA[[#This Row],[DISC 2-]])</f>
        <v>1544400</v>
      </c>
      <c r="AA248" s="54">
        <f>IF(NOTA[[#This Row],[JUMLAH]]="","",NOTA[[#This Row],[JUMLAH]]-NOTA[[#This Row],[DISC]])</f>
        <v>6375600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48" s="54">
        <f>IF(OR(NOTA[[#This Row],[QTY]]="",NOTA[[#This Row],[HARGA SATUAN]]="",),"",NOTA[[#This Row],[QTY]]*NOTA[[#This Row],[HARGA SATUAN]])</f>
        <v>7920000</v>
      </c>
      <c r="AF248" s="51">
        <f ca="1">IF(NOTA[ID_H]="","",INDEX(NOTA[TANGGAL],MATCH(,INDIRECT(ADDRESS(ROW(NOTA[TANGGAL]),COLUMN(NOTA[TANGGAL]))&amp;":"&amp;ADDRESS(ROW(),COLUMN(NOTA[TANGGAL]))),-1)))</f>
        <v>45028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4</v>
      </c>
      <c r="AK24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38" t="str">
        <f>IF(NOTA[[#This Row],[CONCAT4]]="","",_xlfn.IFNA(MATCH(NOTA[[#This Row],[CONCAT4]],[2]!RAW[CONCAT_H],0),FALSE))</f>
        <v/>
      </c>
      <c r="AP248" s="174">
        <f>IF(NOTA[[#This Row],[CONCAT1]]="","",MATCH(NOTA[[#This Row],[CONCAT1]],[3]!db[NB NOTA_C],0)+1)</f>
        <v>264</v>
      </c>
    </row>
    <row r="249" spans="1:42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53</v>
      </c>
      <c r="E249" s="23"/>
      <c r="F249" s="26"/>
      <c r="G249" s="26"/>
      <c r="H249" s="31"/>
      <c r="I249" s="26"/>
      <c r="J249" s="51"/>
      <c r="K249" s="26"/>
      <c r="L249" s="26" t="s">
        <v>357</v>
      </c>
      <c r="M249" s="39">
        <v>6</v>
      </c>
      <c r="N249" s="26">
        <v>288</v>
      </c>
      <c r="O249" s="26" t="s">
        <v>261</v>
      </c>
      <c r="P249" s="49">
        <v>36000</v>
      </c>
      <c r="Q249" s="52"/>
      <c r="R249" s="39" t="s">
        <v>358</v>
      </c>
      <c r="S249" s="53">
        <v>0.125</v>
      </c>
      <c r="T249" s="53">
        <v>0.08</v>
      </c>
      <c r="U249" s="54"/>
      <c r="V249" s="37"/>
      <c r="W249" s="54">
        <f>IF(NOTA[[#This Row],[HARGA/ CTN]]="",NOTA[[#This Row],[JUMLAH_H]],NOTA[[#This Row],[HARGA/ CTN]]*IF(NOTA[[#This Row],[C]]="",0,NOTA[[#This Row],[C]]))</f>
        <v>10368000</v>
      </c>
      <c r="X249" s="54">
        <f>IF(NOTA[[#This Row],[JUMLAH]]="","",NOTA[[#This Row],[JUMLAH]]*NOTA[[#This Row],[DISC 1]])</f>
        <v>1296000</v>
      </c>
      <c r="Y249" s="54">
        <f>IF(NOTA[[#This Row],[JUMLAH]]="","",(NOTA[[#This Row],[JUMLAH]]-NOTA[[#This Row],[DISC 1-]])*NOTA[[#This Row],[DISC 2]])</f>
        <v>725760</v>
      </c>
      <c r="Z249" s="54">
        <f>IF(NOTA[[#This Row],[JUMLAH]]="","",NOTA[[#This Row],[DISC 1-]]+NOTA[[#This Row],[DISC 2-]])</f>
        <v>2021760</v>
      </c>
      <c r="AA249" s="54">
        <f>IF(NOTA[[#This Row],[JUMLAH]]="","",NOTA[[#This Row],[JUMLAH]]-NOTA[[#This Row],[DISC]])</f>
        <v>8346240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49" s="54">
        <f>IF(OR(NOTA[[#This Row],[QTY]]="",NOTA[[#This Row],[HARGA SATUAN]]="",),"",NOTA[[#This Row],[QTY]]*NOTA[[#This Row],[HARGA SATUAN]])</f>
        <v>10368000</v>
      </c>
      <c r="AF249" s="51">
        <f ca="1">IF(NOTA[ID_H]="","",INDEX(NOTA[TANGGAL],MATCH(,INDIRECT(ADDRESS(ROW(NOTA[TANGGAL]),COLUMN(NOTA[TANGGAL]))&amp;":"&amp;ADDRESS(ROW(),COLUMN(NOTA[TANGGAL]))),-1)))</f>
        <v>45028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4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38" t="str">
        <f>IF(NOTA[[#This Row],[CONCAT4]]="","",_xlfn.IFNA(MATCH(NOTA[[#This Row],[CONCAT4]],[2]!RAW[CONCAT_H],0),FALSE))</f>
        <v/>
      </c>
      <c r="AP249" s="174">
        <f>IF(NOTA[[#This Row],[CONCAT1]]="","",MATCH(NOTA[[#This Row],[CONCAT1]],[3]!db[NB NOTA_C],0)+1)</f>
        <v>205</v>
      </c>
    </row>
    <row r="250" spans="1:42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53</v>
      </c>
      <c r="E250" s="23"/>
      <c r="F250" s="26"/>
      <c r="G250" s="26"/>
      <c r="H250" s="31"/>
      <c r="I250" s="26"/>
      <c r="J250" s="51"/>
      <c r="K250" s="26"/>
      <c r="L250" s="26" t="s">
        <v>464</v>
      </c>
      <c r="M250" s="39"/>
      <c r="N250" s="26">
        <v>36</v>
      </c>
      <c r="O250" s="26" t="s">
        <v>261</v>
      </c>
      <c r="P250" s="49">
        <v>13200</v>
      </c>
      <c r="Q250" s="52"/>
      <c r="R250" s="39" t="s">
        <v>354</v>
      </c>
      <c r="S250" s="53">
        <v>0.1</v>
      </c>
      <c r="T250" s="53">
        <v>0.05</v>
      </c>
      <c r="U250" s="54">
        <v>406296</v>
      </c>
      <c r="V250" s="37"/>
      <c r="W250" s="54">
        <f>IF(NOTA[[#This Row],[HARGA/ CTN]]="",NOTA[[#This Row],[JUMLAH_H]],NOTA[[#This Row],[HARGA/ CTN]]*IF(NOTA[[#This Row],[C]]="",0,NOTA[[#This Row],[C]]))</f>
        <v>475200</v>
      </c>
      <c r="X250" s="54">
        <f>IF(NOTA[[#This Row],[JUMLAH]]="","",NOTA[[#This Row],[JUMLAH]]*NOTA[[#This Row],[DISC 1]])</f>
        <v>47520</v>
      </c>
      <c r="Y250" s="54">
        <f>IF(NOTA[[#This Row],[JUMLAH]]="","",(NOTA[[#This Row],[JUMLAH]]-NOTA[[#This Row],[DISC 1-]])*NOTA[[#This Row],[DISC 2]])</f>
        <v>21384</v>
      </c>
      <c r="Z250" s="54">
        <f>IF(NOTA[[#This Row],[JUMLAH]]="","",NOTA[[#This Row],[DISC 1-]]+NOTA[[#This Row],[DISC 2-]])</f>
        <v>68904</v>
      </c>
      <c r="AA250" s="54">
        <f>IF(NOTA[[#This Row],[JUMLAH]]="","",NOTA[[#This Row],[JUMLAH]]-NOTA[[#This Row],[DISC]])</f>
        <v>406296</v>
      </c>
      <c r="AB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6954660</v>
      </c>
      <c r="AC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26748540</v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475200</v>
      </c>
      <c r="AE250" s="54">
        <f>IF(OR(NOTA[[#This Row],[QTY]]="",NOTA[[#This Row],[HARGA SATUAN]]="",),"",NOTA[[#This Row],[QTY]]*NOTA[[#This Row],[HARGA SATUAN]])</f>
        <v>475200</v>
      </c>
      <c r="AF250" s="51">
        <f ca="1">IF(NOTA[ID_H]="","",INDEX(NOTA[TANGGAL],MATCH(,INDIRECT(ADDRESS(ROW(NOTA[TANGGAL]),COLUMN(NOTA[TANGGAL]))&amp;":"&amp;ADDRESS(ROW(),COLUMN(NOTA[TANGGAL]))),-1)))</f>
        <v>45028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4</v>
      </c>
      <c r="AK250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ballpenbp34912vokustransblackjkbonus4752000.10.05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38" t="str">
        <f>IF(NOTA[[#This Row],[CONCAT4]]="","",_xlfn.IFNA(MATCH(NOTA[[#This Row],[CONCAT4]],[2]!RAW[CONCAT_H],0),FALSE))</f>
        <v/>
      </c>
      <c r="AP250" s="174">
        <f>IF(NOTA[[#This Row],[CONCAT1]]="","",MATCH(NOTA[[#This Row],[CONCAT1]],[3]!db[NB NOTA_C],0)+1)</f>
        <v>26</v>
      </c>
    </row>
    <row r="251" spans="1:42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38" t="str">
        <f>IF(NOTA[[#This Row],[CONCAT4]]="","",_xlfn.IFNA(MATCH(NOTA[[#This Row],[CONCAT4]],[2]!RAW[CONCAT_H],0),FALSE))</f>
        <v/>
      </c>
      <c r="AP251" s="174" t="str">
        <f>IF(NOTA[[#This Row],[CONCAT1]]="","",MATCH(NOTA[[#This Row],[CONCAT1]],[3]!db[NB NOTA_C],0)+1)</f>
        <v/>
      </c>
    </row>
    <row r="252" spans="1:42" ht="20.100000000000001" customHeight="1" x14ac:dyDescent="0.25">
      <c r="A25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ATA_1204_022-11</v>
      </c>
      <c r="C252" s="50" t="e">
        <f ca="1">IF(NOTA[[#This Row],[ID_P]]="","",MATCH(NOTA[[#This Row],[ID_P]],[1]!B_MSK[N_ID],0))</f>
        <v>#REF!</v>
      </c>
      <c r="D252" s="50">
        <f ca="1">IF(NOTA[[#This Row],[NAMA BARANG]]="","",INDEX(NOTA[ID],MATCH(,INDIRECT(ADDRESS(ROW(NOTA[ID]),COLUMN(NOTA[ID]))&amp;":"&amp;ADDRESS(ROW(),COLUMN(NOTA[ID]))),-1)))</f>
        <v>54</v>
      </c>
      <c r="E252" s="23"/>
      <c r="F252" s="26" t="s">
        <v>25</v>
      </c>
      <c r="G252" s="26" t="s">
        <v>24</v>
      </c>
      <c r="H252" s="31" t="s">
        <v>427</v>
      </c>
      <c r="I252" s="26"/>
      <c r="J252" s="51">
        <v>45024</v>
      </c>
      <c r="K252" s="26"/>
      <c r="L252" s="213" t="s">
        <v>433</v>
      </c>
      <c r="M252" s="39">
        <v>1</v>
      </c>
      <c r="N252" s="26">
        <v>288</v>
      </c>
      <c r="O252" s="26" t="s">
        <v>198</v>
      </c>
      <c r="P252" s="49">
        <v>4800</v>
      </c>
      <c r="Q252" s="52"/>
      <c r="R252" s="39" t="s">
        <v>428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1382400</v>
      </c>
      <c r="X252" s="54">
        <f>IF(NOTA[[#This Row],[JUMLAH]]="","",NOTA[[#This Row],[JUMLAH]]*NOTA[[#This Row],[DISC 1]])</f>
        <v>172800</v>
      </c>
      <c r="Y252" s="54">
        <f>IF(NOTA[[#This Row],[JUMLAH]]="","",(NOTA[[#This Row],[JUMLAH]]-NOTA[[#This Row],[DISC 1-]])*NOTA[[#This Row],[DISC 2]])</f>
        <v>60480</v>
      </c>
      <c r="Z252" s="54">
        <f>IF(NOTA[[#This Row],[JUMLAH]]="","",NOTA[[#This Row],[DISC 1-]]+NOTA[[#This Row],[DISC 2-]])</f>
        <v>233280</v>
      </c>
      <c r="AA252" s="54">
        <f>IF(NOTA[[#This Row],[JUMLAH]]="","",NOTA[[#This Row],[JUMLAH]]-NOTA[[#This Row],[DISC]])</f>
        <v>1149120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2" s="54">
        <f>IF(OR(NOTA[[#This Row],[QTY]]="",NOTA[[#This Row],[HARGA SATUAN]]="",),"",NOTA[[#This Row],[QTY]]*NOTA[[#This Row],[HARGA SATUAN]])</f>
        <v>1382400</v>
      </c>
      <c r="AF252" s="51">
        <f ca="1">IF(NOTA[ID_H]="","",INDEX(NOTA[TANGGAL],MATCH(,INDIRECT(ADDRESS(ROW(NOTA[TANGGAL]),COLUMN(NOTA[TANGGAL]))&amp;":"&amp;ADDRESS(ROW(),COLUMN(NOTA[TANGGAL]))),-1)))</f>
        <v>45028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>
        <f ca="1">IF(NOTA[[#This Row],[ID]]="","",COUNTIF(NOTA[ID_H],NOTA[[#This Row],[ID_H]]))</f>
        <v>11</v>
      </c>
      <c r="AJ252" s="38">
        <f>IF(NOTA[[#This Row],[TGL.NOTA]]="",IF(NOTA[[#This Row],[SUPPLIER_H]]="","",AJ251),MONTH(NOTA[[#This Row],[TGL.NOTA]]))</f>
        <v>4</v>
      </c>
      <c r="AK25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MOROSA23040602245024pencilcasepc0719ac36afanimalcalenderjk</v>
      </c>
      <c r="AO252" s="38" t="e">
        <f>IF(NOTA[[#This Row],[CONCAT4]]="","",_xlfn.IFNA(MATCH(NOTA[[#This Row],[CONCAT4]],[2]!RAW[CONCAT_H],0),FALSE))</f>
        <v>#REF!</v>
      </c>
      <c r="AP252" s="174">
        <f>IF(NOTA[[#This Row],[CONCAT1]]="","",MATCH(NOTA[[#This Row],[CONCAT1]],[3]!db[NB NOTA_C],0)+1)</f>
        <v>622</v>
      </c>
    </row>
    <row r="253" spans="1:42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54</v>
      </c>
      <c r="E253" s="23"/>
      <c r="F253" s="26"/>
      <c r="G253" s="26"/>
      <c r="H253" s="31"/>
      <c r="I253" s="26"/>
      <c r="J253" s="51"/>
      <c r="K253" s="26"/>
      <c r="L253" s="26" t="s">
        <v>434</v>
      </c>
      <c r="M253" s="39">
        <v>1</v>
      </c>
      <c r="N253" s="26">
        <v>288</v>
      </c>
      <c r="O253" s="26" t="s">
        <v>198</v>
      </c>
      <c r="P253" s="49">
        <v>4800</v>
      </c>
      <c r="Q253" s="52"/>
      <c r="R253" s="39" t="s">
        <v>429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1382400</v>
      </c>
      <c r="X253" s="54">
        <f>IF(NOTA[[#This Row],[JUMLAH]]="","",NOTA[[#This Row],[JUMLAH]]*NOTA[[#This Row],[DISC 1]])</f>
        <v>172800</v>
      </c>
      <c r="Y253" s="54">
        <f>IF(NOTA[[#This Row],[JUMLAH]]="","",(NOTA[[#This Row],[JUMLAH]]-NOTA[[#This Row],[DISC 1-]])*NOTA[[#This Row],[DISC 2]])</f>
        <v>60480</v>
      </c>
      <c r="Z253" s="54">
        <f>IF(NOTA[[#This Row],[JUMLAH]]="","",NOTA[[#This Row],[DISC 1-]]+NOTA[[#This Row],[DISC 2-]])</f>
        <v>233280</v>
      </c>
      <c r="AA253" s="54">
        <f>IF(NOTA[[#This Row],[JUMLAH]]="","",NOTA[[#This Row],[JUMLAH]]-NOTA[[#This Row],[DISC]])</f>
        <v>1149120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3" s="54">
        <f>IF(OR(NOTA[[#This Row],[QTY]]="",NOTA[[#This Row],[HARGA SATUAN]]="",),"",NOTA[[#This Row],[QTY]]*NOTA[[#This Row],[HARGA SATUAN]])</f>
        <v>1382400</v>
      </c>
      <c r="AF253" s="51">
        <f ca="1">IF(NOTA[ID_H]="","",INDEX(NOTA[TANGGAL],MATCH(,INDIRECT(ADDRESS(ROW(NOTA[TANGGAL]),COLUMN(NOTA[TANGGAL]))&amp;":"&amp;ADDRESS(ROW(),COLUMN(NOTA[TANGGAL]))),-1)))</f>
        <v>45028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4</v>
      </c>
      <c r="AK25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38" t="str">
        <f>IF(NOTA[[#This Row],[CONCAT4]]="","",_xlfn.IFNA(MATCH(NOTA[[#This Row],[CONCAT4]],[2]!RAW[CONCAT_H],0),FALSE))</f>
        <v/>
      </c>
      <c r="AP253" s="174">
        <f>IF(NOTA[[#This Row],[CONCAT1]]="","",MATCH(NOTA[[#This Row],[CONCAT1]],[3]!db[NB NOTA_C],0)+1)</f>
        <v>633</v>
      </c>
    </row>
    <row r="254" spans="1:42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54</v>
      </c>
      <c r="E254" s="23"/>
      <c r="F254" s="26"/>
      <c r="G254" s="26"/>
      <c r="H254" s="31"/>
      <c r="I254" s="26"/>
      <c r="J254" s="51"/>
      <c r="K254" s="26"/>
      <c r="L254" s="26" t="s">
        <v>127</v>
      </c>
      <c r="M254" s="39">
        <v>1</v>
      </c>
      <c r="N254" s="26">
        <v>24</v>
      </c>
      <c r="O254" s="26" t="s">
        <v>261</v>
      </c>
      <c r="P254" s="49">
        <v>162000</v>
      </c>
      <c r="Q254" s="52"/>
      <c r="R254" s="39" t="s">
        <v>409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3888000</v>
      </c>
      <c r="X254" s="54">
        <f>IF(NOTA[[#This Row],[JUMLAH]]="","",NOTA[[#This Row],[JUMLAH]]*NOTA[[#This Row],[DISC 1]])</f>
        <v>486000</v>
      </c>
      <c r="Y254" s="54">
        <f>IF(NOTA[[#This Row],[JUMLAH]]="","",(NOTA[[#This Row],[JUMLAH]]-NOTA[[#This Row],[DISC 1-]])*NOTA[[#This Row],[DISC 2]])</f>
        <v>170100</v>
      </c>
      <c r="Z254" s="54">
        <f>IF(NOTA[[#This Row],[JUMLAH]]="","",NOTA[[#This Row],[DISC 1-]]+NOTA[[#This Row],[DISC 2-]])</f>
        <v>656100</v>
      </c>
      <c r="AA254" s="54">
        <f>IF(NOTA[[#This Row],[JUMLAH]]="","",NOTA[[#This Row],[JUMLAH]]-NOTA[[#This Row],[DISC]])</f>
        <v>3231900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54" s="54">
        <f>IF(OR(NOTA[[#This Row],[QTY]]="",NOTA[[#This Row],[HARGA SATUAN]]="",),"",NOTA[[#This Row],[QTY]]*NOTA[[#This Row],[HARGA SATUAN]])</f>
        <v>3888000</v>
      </c>
      <c r="AF254" s="51">
        <f ca="1">IF(NOTA[ID_H]="","",INDEX(NOTA[TANGGAL],MATCH(,INDIRECT(ADDRESS(ROW(NOTA[TANGGAL]),COLUMN(NOTA[TANGGAL]))&amp;":"&amp;ADDRESS(ROW(),COLUMN(NOTA[TANGGAL]))),-1)))</f>
        <v>45028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4</v>
      </c>
      <c r="AK2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4" s="38" t="str">
        <f>IF(NOTA[[#This Row],[CONCAT4]]="","",_xlfn.IFNA(MATCH(NOTA[[#This Row],[CONCAT4]],[2]!RAW[CONCAT_H],0),FALSE))</f>
        <v/>
      </c>
      <c r="AP254" s="174">
        <f>IF(NOTA[[#This Row],[CONCAT1]]="","",MATCH(NOTA[[#This Row],[CONCAT1]],[3]!db[NB NOTA_C],0)+1)</f>
        <v>289</v>
      </c>
    </row>
    <row r="255" spans="1:42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54</v>
      </c>
      <c r="E255" s="23"/>
      <c r="F255" s="26"/>
      <c r="G255" s="26"/>
      <c r="H255" s="31"/>
      <c r="I255" s="26"/>
      <c r="J255" s="51"/>
      <c r="K255" s="26"/>
      <c r="L255" s="26" t="s">
        <v>495</v>
      </c>
      <c r="M255" s="39"/>
      <c r="N255" s="26">
        <v>24</v>
      </c>
      <c r="O255" s="26" t="s">
        <v>261</v>
      </c>
      <c r="P255" s="49"/>
      <c r="Q255" s="52"/>
      <c r="R255" s="39" t="s">
        <v>399</v>
      </c>
      <c r="S255" s="53"/>
      <c r="T255" s="53"/>
      <c r="U255" s="54"/>
      <c r="V255" s="37" t="s">
        <v>299</v>
      </c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5" s="54" t="str">
        <f>IF(OR(NOTA[[#This Row],[QTY]]="",NOTA[[#This Row],[HARGA SATUAN]]="",),"",NOTA[[#This Row],[QTY]]*NOTA[[#This Row],[HARGA SATUAN]])</f>
        <v/>
      </c>
      <c r="AF255" s="51">
        <f ca="1">IF(NOTA[ID_H]="","",INDEX(NOTA[TANGGAL],MATCH(,INDIRECT(ADDRESS(ROW(NOTA[TANGGAL]),COLUMN(NOTA[TANGGAL]))&amp;":"&amp;ADDRESS(ROW(),COLUMN(NOTA[TANGGAL]))),-1)))</f>
        <v>45028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4</v>
      </c>
      <c r="AK2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N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38" t="str">
        <f>IF(NOTA[[#This Row],[CONCAT4]]="","",_xlfn.IFNA(MATCH(NOTA[[#This Row],[CONCAT4]],[2]!RAW[CONCAT_H],0),FALSE))</f>
        <v/>
      </c>
      <c r="AP255" s="174">
        <f>IF(NOTA[[#This Row],[CONCAT1]]="","",MATCH(NOTA[[#This Row],[CONCAT1]],[3]!db[NB NOTA_C],0)+1)</f>
        <v>475</v>
      </c>
    </row>
    <row r="256" spans="1:42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54</v>
      </c>
      <c r="E256" s="23"/>
      <c r="F256" s="26"/>
      <c r="G256" s="26"/>
      <c r="H256" s="31"/>
      <c r="I256" s="26"/>
      <c r="J256" s="51"/>
      <c r="K256" s="26"/>
      <c r="L256" s="26" t="s">
        <v>430</v>
      </c>
      <c r="M256" s="39">
        <v>1</v>
      </c>
      <c r="N256" s="26">
        <v>120</v>
      </c>
      <c r="O256" s="26" t="s">
        <v>261</v>
      </c>
      <c r="P256" s="49">
        <v>24600</v>
      </c>
      <c r="Q256" s="52"/>
      <c r="R256" s="39" t="s">
        <v>431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2952000</v>
      </c>
      <c r="X256" s="54">
        <f>IF(NOTA[[#This Row],[JUMLAH]]="","",NOTA[[#This Row],[JUMLAH]]*NOTA[[#This Row],[DISC 1]])</f>
        <v>369000</v>
      </c>
      <c r="Y256" s="54">
        <f>IF(NOTA[[#This Row],[JUMLAH]]="","",(NOTA[[#This Row],[JUMLAH]]-NOTA[[#This Row],[DISC 1-]])*NOTA[[#This Row],[DISC 2]])</f>
        <v>129150</v>
      </c>
      <c r="Z256" s="54">
        <f>IF(NOTA[[#This Row],[JUMLAH]]="","",NOTA[[#This Row],[DISC 1-]]+NOTA[[#This Row],[DISC 2-]])</f>
        <v>498150</v>
      </c>
      <c r="AA256" s="54">
        <f>IF(NOTA[[#This Row],[JUMLAH]]="","",NOTA[[#This Row],[JUMLAH]]-NOTA[[#This Row],[DISC]])</f>
        <v>2453850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56" s="54">
        <f>IF(OR(NOTA[[#This Row],[QTY]]="",NOTA[[#This Row],[HARGA SATUAN]]="",),"",NOTA[[#This Row],[QTY]]*NOTA[[#This Row],[HARGA SATUAN]])</f>
        <v>2952000</v>
      </c>
      <c r="AF256" s="51">
        <f ca="1">IF(NOTA[ID_H]="","",INDEX(NOTA[TANGGAL],MATCH(,INDIRECT(ADDRESS(ROW(NOTA[TANGGAL]),COLUMN(NOTA[TANGGAL]))&amp;":"&amp;ADDRESS(ROW(),COLUMN(NOTA[TANGGAL]))),-1)))</f>
        <v>45028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4</v>
      </c>
      <c r="AK256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38" t="str">
        <f>IF(NOTA[[#This Row],[CONCAT4]]="","",_xlfn.IFNA(MATCH(NOTA[[#This Row],[CONCAT4]],[2]!RAW[CONCAT_H],0),FALSE))</f>
        <v/>
      </c>
      <c r="AP256" s="174">
        <f>IF(NOTA[[#This Row],[CONCAT1]]="","",MATCH(NOTA[[#This Row],[CONCAT1]],[3]!db[NB NOTA_C],0)+1)</f>
        <v>473</v>
      </c>
    </row>
    <row r="257" spans="1:42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54</v>
      </c>
      <c r="E257" s="23"/>
      <c r="F257" s="26"/>
      <c r="G257" s="26"/>
      <c r="H257" s="31"/>
      <c r="I257" s="26"/>
      <c r="J257" s="51"/>
      <c r="K257" s="26"/>
      <c r="L257" s="26" t="s">
        <v>435</v>
      </c>
      <c r="M257" s="39">
        <v>1</v>
      </c>
      <c r="N257" s="26">
        <v>40</v>
      </c>
      <c r="O257" s="26" t="s">
        <v>261</v>
      </c>
      <c r="P257" s="49">
        <v>49200</v>
      </c>
      <c r="Q257" s="52"/>
      <c r="R257" s="39" t="s">
        <v>399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1968000</v>
      </c>
      <c r="X257" s="54">
        <f>IF(NOTA[[#This Row],[JUMLAH]]="","",NOTA[[#This Row],[JUMLAH]]*NOTA[[#This Row],[DISC 1]])</f>
        <v>246000</v>
      </c>
      <c r="Y257" s="54">
        <f>IF(NOTA[[#This Row],[JUMLAH]]="","",(NOTA[[#This Row],[JUMLAH]]-NOTA[[#This Row],[DISC 1-]])*NOTA[[#This Row],[DISC 2]])</f>
        <v>86100</v>
      </c>
      <c r="Z257" s="54">
        <f>IF(NOTA[[#This Row],[JUMLAH]]="","",NOTA[[#This Row],[DISC 1-]]+NOTA[[#This Row],[DISC 2-]])</f>
        <v>332100</v>
      </c>
      <c r="AA257" s="54">
        <f>IF(NOTA[[#This Row],[JUMLAH]]="","",NOTA[[#This Row],[JUMLAH]]-NOTA[[#This Row],[DISC]])</f>
        <v>1635900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57" s="54">
        <f>IF(OR(NOTA[[#This Row],[QTY]]="",NOTA[[#This Row],[HARGA SATUAN]]="",),"",NOTA[[#This Row],[QTY]]*NOTA[[#This Row],[HARGA SATUAN]])</f>
        <v>1968000</v>
      </c>
      <c r="AF257" s="51">
        <f ca="1">IF(NOTA[ID_H]="","",INDEX(NOTA[TANGGAL],MATCH(,INDIRECT(ADDRESS(ROW(NOTA[TANGGAL]),COLUMN(NOTA[TANGGAL]))&amp;":"&amp;ADDRESS(ROW(),COLUMN(NOTA[TANGGAL]))),-1)))</f>
        <v>45028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4</v>
      </c>
      <c r="AK257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N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38" t="str">
        <f>IF(NOTA[[#This Row],[CONCAT4]]="","",_xlfn.IFNA(MATCH(NOTA[[#This Row],[CONCAT4]],[2]!RAW[CONCAT_H],0),FALSE))</f>
        <v/>
      </c>
      <c r="AP257" s="174">
        <f>IF(NOTA[[#This Row],[CONCAT1]]="","",MATCH(NOTA[[#This Row],[CONCAT1]],[3]!db[NB NOTA_C],0)+1)</f>
        <v>476</v>
      </c>
    </row>
    <row r="258" spans="1:42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54</v>
      </c>
      <c r="E258" s="23"/>
      <c r="F258" s="26"/>
      <c r="G258" s="26"/>
      <c r="H258" s="31"/>
      <c r="I258" s="26"/>
      <c r="J258" s="51"/>
      <c r="K258" s="26"/>
      <c r="L258" s="26" t="s">
        <v>459</v>
      </c>
      <c r="M258" s="39">
        <v>2</v>
      </c>
      <c r="N258" s="26">
        <v>288</v>
      </c>
      <c r="O258" s="26" t="s">
        <v>261</v>
      </c>
      <c r="P258" s="49">
        <v>12600</v>
      </c>
      <c r="Q258" s="52"/>
      <c r="R258" s="39" t="s">
        <v>354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3628800</v>
      </c>
      <c r="X258" s="54">
        <f>IF(NOTA[[#This Row],[JUMLAH]]="","",NOTA[[#This Row],[JUMLAH]]*NOTA[[#This Row],[DISC 1]])</f>
        <v>453600</v>
      </c>
      <c r="Y258" s="54">
        <f>IF(NOTA[[#This Row],[JUMLAH]]="","",(NOTA[[#This Row],[JUMLAH]]-NOTA[[#This Row],[DISC 1-]])*NOTA[[#This Row],[DISC 2]])</f>
        <v>158760</v>
      </c>
      <c r="Z258" s="54">
        <f>IF(NOTA[[#This Row],[JUMLAH]]="","",NOTA[[#This Row],[DISC 1-]]+NOTA[[#This Row],[DISC 2-]])</f>
        <v>612360</v>
      </c>
      <c r="AA258" s="54">
        <f>IF(NOTA[[#This Row],[JUMLAH]]="","",NOTA[[#This Row],[JUMLAH]]-NOTA[[#This Row],[DISC]])</f>
        <v>3016440</v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58" s="54">
        <f>IF(OR(NOTA[[#This Row],[QTY]]="",NOTA[[#This Row],[HARGA SATUAN]]="",),"",NOTA[[#This Row],[QTY]]*NOTA[[#This Row],[HARGA SATUAN]])</f>
        <v>3628800</v>
      </c>
      <c r="AF258" s="51">
        <f ca="1">IF(NOTA[ID_H]="","",INDEX(NOTA[TANGGAL],MATCH(,INDIRECT(ADDRESS(ROW(NOTA[TANGGAL]),COLUMN(NOTA[TANGGAL]))&amp;":"&amp;ADDRESS(ROW(),COLUMN(NOTA[TANGGAL]))),-1)))</f>
        <v>45028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4</v>
      </c>
      <c r="AK258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38" t="str">
        <f>IF(NOTA[[#This Row],[CONCAT4]]="","",_xlfn.IFNA(MATCH(NOTA[[#This Row],[CONCAT4]],[2]!RAW[CONCAT_H],0),FALSE))</f>
        <v/>
      </c>
      <c r="AP258" s="174">
        <f>IF(NOTA[[#This Row],[CONCAT1]]="","",MATCH(NOTA[[#This Row],[CONCAT1]],[3]!db[NB NOTA_C],0)+1)</f>
        <v>24</v>
      </c>
    </row>
    <row r="259" spans="1:42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>
        <f ca="1">IF(NOTA[[#This Row],[NAMA BARANG]]="","",INDEX(NOTA[ID],MATCH(,INDIRECT(ADDRESS(ROW(NOTA[ID]),COLUMN(NOTA[ID]))&amp;":"&amp;ADDRESS(ROW(),COLUMN(NOTA[ID]))),-1)))</f>
        <v>54</v>
      </c>
      <c r="E259" s="23"/>
      <c r="F259" s="26"/>
      <c r="G259" s="26"/>
      <c r="H259" s="31"/>
      <c r="I259" s="26"/>
      <c r="J259" s="51"/>
      <c r="K259" s="26"/>
      <c r="L259" s="26" t="s">
        <v>102</v>
      </c>
      <c r="M259" s="39">
        <v>3</v>
      </c>
      <c r="N259" s="26">
        <v>150</v>
      </c>
      <c r="O259" s="26" t="s">
        <v>204</v>
      </c>
      <c r="P259" s="49">
        <v>28300</v>
      </c>
      <c r="Q259" s="52"/>
      <c r="R259" s="39" t="s">
        <v>352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4245000</v>
      </c>
      <c r="X259" s="54">
        <f>IF(NOTA[[#This Row],[JUMLAH]]="","",NOTA[[#This Row],[JUMLAH]]*NOTA[[#This Row],[DISC 1]])</f>
        <v>530625</v>
      </c>
      <c r="Y259" s="54">
        <f>IF(NOTA[[#This Row],[JUMLAH]]="","",(NOTA[[#This Row],[JUMLAH]]-NOTA[[#This Row],[DISC 1-]])*NOTA[[#This Row],[DISC 2]])</f>
        <v>185718.75</v>
      </c>
      <c r="Z259" s="54">
        <f>IF(NOTA[[#This Row],[JUMLAH]]="","",NOTA[[#This Row],[DISC 1-]]+NOTA[[#This Row],[DISC 2-]])</f>
        <v>716343.75</v>
      </c>
      <c r="AA259" s="54">
        <f>IF(NOTA[[#This Row],[JUMLAH]]="","",NOTA[[#This Row],[JUMLAH]]-NOTA[[#This Row],[DISC]])</f>
        <v>3528656.25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59" s="54">
        <f>IF(OR(NOTA[[#This Row],[QTY]]="",NOTA[[#This Row],[HARGA SATUAN]]="",),"",NOTA[[#This Row],[QTY]]*NOTA[[#This Row],[HARGA SATUAN]])</f>
        <v>4245000</v>
      </c>
      <c r="AF259" s="51">
        <f ca="1">IF(NOTA[ID_H]="","",INDEX(NOTA[TANGGAL],MATCH(,INDIRECT(ADDRESS(ROW(NOTA[TANGGAL]),COLUMN(NOTA[TANGGAL]))&amp;":"&amp;ADDRESS(ROW(),COLUMN(NOTA[TANGGAL]))),-1)))</f>
        <v>45028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 t="str">
        <f ca="1">IF(NOTA[[#This Row],[ID]]="","",COUNTIF(NOTA[ID_H],NOTA[[#This Row],[ID_H]]))</f>
        <v/>
      </c>
      <c r="AJ259" s="38">
        <f ca="1">IF(NOTA[[#This Row],[TGL.NOTA]]="",IF(NOTA[[#This Row],[SUPPLIER_H]]="","",AJ258),MONTH(NOTA[[#This Row],[TGL.NOTA]]))</f>
        <v>4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9" s="38" t="str">
        <f>IF(NOTA[[#This Row],[CONCAT4]]="","",_xlfn.IFNA(MATCH(NOTA[[#This Row],[CONCAT4]],[2]!RAW[CONCAT_H],0),FALSE))</f>
        <v/>
      </c>
      <c r="AP259" s="174">
        <f>IF(NOTA[[#This Row],[CONCAT1]]="","",MATCH(NOTA[[#This Row],[CONCAT1]],[3]!db[NB NOTA_C],0)+1)</f>
        <v>778</v>
      </c>
    </row>
    <row r="260" spans="1:42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54</v>
      </c>
      <c r="E260" s="23"/>
      <c r="F260" s="26"/>
      <c r="G260" s="26"/>
      <c r="H260" s="31"/>
      <c r="I260" s="26"/>
      <c r="J260" s="51"/>
      <c r="K260" s="26"/>
      <c r="L260" s="26" t="s">
        <v>105</v>
      </c>
      <c r="M260" s="39">
        <v>3</v>
      </c>
      <c r="N260" s="26">
        <v>432</v>
      </c>
      <c r="O260" s="26" t="s">
        <v>198</v>
      </c>
      <c r="P260" s="49">
        <v>6500</v>
      </c>
      <c r="Q260" s="52"/>
      <c r="R260" s="39" t="s">
        <v>333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2808000</v>
      </c>
      <c r="X260" s="54">
        <f>IF(NOTA[[#This Row],[JUMLAH]]="","",NOTA[[#This Row],[JUMLAH]]*NOTA[[#This Row],[DISC 1]])</f>
        <v>351000</v>
      </c>
      <c r="Y260" s="54">
        <f>IF(NOTA[[#This Row],[JUMLAH]]="","",(NOTA[[#This Row],[JUMLAH]]-NOTA[[#This Row],[DISC 1-]])*NOTA[[#This Row],[DISC 2]])</f>
        <v>122850</v>
      </c>
      <c r="Z260" s="54">
        <f>IF(NOTA[[#This Row],[JUMLAH]]="","",NOTA[[#This Row],[DISC 1-]]+NOTA[[#This Row],[DISC 2-]])</f>
        <v>473850</v>
      </c>
      <c r="AA260" s="54">
        <f>IF(NOTA[[#This Row],[JUMLAH]]="","",NOTA[[#This Row],[JUMLAH]]-NOTA[[#This Row],[DISC]])</f>
        <v>2334150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60" s="54">
        <f>IF(OR(NOTA[[#This Row],[QTY]]="",NOTA[[#This Row],[HARGA SATUAN]]="",),"",NOTA[[#This Row],[QTY]]*NOTA[[#This Row],[HARGA SATUAN]])</f>
        <v>2808000</v>
      </c>
      <c r="AF260" s="51">
        <f ca="1">IF(NOTA[ID_H]="","",INDEX(NOTA[TANGGAL],MATCH(,INDIRECT(ADDRESS(ROW(NOTA[TANGGAL]),COLUMN(NOTA[TANGGAL]))&amp;":"&amp;ADDRESS(ROW(),COLUMN(NOTA[TANGGAL]))),-1)))</f>
        <v>45028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4</v>
      </c>
      <c r="AK26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38" t="str">
        <f>IF(NOTA[[#This Row],[CONCAT4]]="","",_xlfn.IFNA(MATCH(NOTA[[#This Row],[CONCAT4]],[2]!RAW[CONCAT_H],0),FALSE))</f>
        <v/>
      </c>
      <c r="AP260" s="174">
        <f>IF(NOTA[[#This Row],[CONCAT1]]="","",MATCH(NOTA[[#This Row],[CONCAT1]],[3]!db[NB NOTA_C],0)+1)</f>
        <v>432</v>
      </c>
    </row>
    <row r="261" spans="1:42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54</v>
      </c>
      <c r="E261" s="23"/>
      <c r="F261" s="26"/>
      <c r="G261" s="26"/>
      <c r="H261" s="31"/>
      <c r="I261" s="26"/>
      <c r="J261" s="51"/>
      <c r="K261" s="26"/>
      <c r="L261" s="26" t="s">
        <v>100</v>
      </c>
      <c r="M261" s="39">
        <v>3</v>
      </c>
      <c r="N261" s="26">
        <v>432</v>
      </c>
      <c r="O261" s="26" t="s">
        <v>198</v>
      </c>
      <c r="P261" s="49">
        <v>9750</v>
      </c>
      <c r="Q261" s="52"/>
      <c r="R261" s="39" t="s">
        <v>432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4212000</v>
      </c>
      <c r="X261" s="54">
        <f>IF(NOTA[[#This Row],[JUMLAH]]="","",NOTA[[#This Row],[JUMLAH]]*NOTA[[#This Row],[DISC 1]])</f>
        <v>526500</v>
      </c>
      <c r="Y261" s="54">
        <f>IF(NOTA[[#This Row],[JUMLAH]]="","",(NOTA[[#This Row],[JUMLAH]]-NOTA[[#This Row],[DISC 1-]])*NOTA[[#This Row],[DISC 2]])</f>
        <v>184275</v>
      </c>
      <c r="Z261" s="54">
        <f>IF(NOTA[[#This Row],[JUMLAH]]="","",NOTA[[#This Row],[DISC 1-]]+NOTA[[#This Row],[DISC 2-]])</f>
        <v>710775</v>
      </c>
      <c r="AA261" s="54">
        <f>IF(NOTA[[#This Row],[JUMLAH]]="","",NOTA[[#This Row],[JUMLAH]]-NOTA[[#This Row],[DISC]])</f>
        <v>3501225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261" s="54">
        <f>IF(OR(NOTA[[#This Row],[QTY]]="",NOTA[[#This Row],[HARGA SATUAN]]="",),"",NOTA[[#This Row],[QTY]]*NOTA[[#This Row],[HARGA SATUAN]])</f>
        <v>4212000</v>
      </c>
      <c r="AF261" s="51">
        <f ca="1">IF(NOTA[ID_H]="","",INDEX(NOTA[TANGGAL],MATCH(,INDIRECT(ADDRESS(ROW(NOTA[TANGGAL]),COLUMN(NOTA[TANGGAL]))&amp;":"&amp;ADDRESS(ROW(),COLUMN(NOTA[TANGGAL]))),-1)))</f>
        <v>45028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4</v>
      </c>
      <c r="AK26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38" t="str">
        <f>IF(NOTA[[#This Row],[CONCAT4]]="","",_xlfn.IFNA(MATCH(NOTA[[#This Row],[CONCAT4]],[2]!RAW[CONCAT_H],0),FALSE))</f>
        <v/>
      </c>
      <c r="AP261" s="174">
        <f>IF(NOTA[[#This Row],[CONCAT1]]="","",MATCH(NOTA[[#This Row],[CONCAT1]],[3]!db[NB NOTA_C],0)+1)</f>
        <v>435</v>
      </c>
    </row>
    <row r="262" spans="1:42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54</v>
      </c>
      <c r="E262" s="23"/>
      <c r="F262" s="26"/>
      <c r="G262" s="26"/>
      <c r="H262" s="31"/>
      <c r="I262" s="26"/>
      <c r="J262" s="51"/>
      <c r="K262" s="26"/>
      <c r="L262" s="26" t="s">
        <v>99</v>
      </c>
      <c r="M262" s="39">
        <v>1</v>
      </c>
      <c r="N262" s="26">
        <v>144</v>
      </c>
      <c r="O262" s="26" t="s">
        <v>198</v>
      </c>
      <c r="P262" s="49">
        <v>4350</v>
      </c>
      <c r="Q262" s="52"/>
      <c r="R262" s="39" t="s">
        <v>333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626400</v>
      </c>
      <c r="X262" s="54">
        <f>IF(NOTA[[#This Row],[JUMLAH]]="","",NOTA[[#This Row],[JUMLAH]]*NOTA[[#This Row],[DISC 1]])</f>
        <v>78300</v>
      </c>
      <c r="Y262" s="54">
        <f>IF(NOTA[[#This Row],[JUMLAH]]="","",(NOTA[[#This Row],[JUMLAH]]-NOTA[[#This Row],[DISC 1-]])*NOTA[[#This Row],[DISC 2]])</f>
        <v>27405</v>
      </c>
      <c r="Z262" s="54">
        <f>IF(NOTA[[#This Row],[JUMLAH]]="","",NOTA[[#This Row],[DISC 1-]]+NOTA[[#This Row],[DISC 2-]])</f>
        <v>105705</v>
      </c>
      <c r="AA262" s="54">
        <f>IF(NOTA[[#This Row],[JUMLAH]]="","",NOTA[[#This Row],[JUMLAH]]-NOTA[[#This Row],[DISC]])</f>
        <v>520695</v>
      </c>
      <c r="AB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4571943.75</v>
      </c>
      <c r="AC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22521056.25</v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626400</v>
      </c>
      <c r="AF262" s="51">
        <f ca="1">IF(NOTA[ID_H]="","",INDEX(NOTA[TANGGAL],MATCH(,INDIRECT(ADDRESS(ROW(NOTA[TANGGAL]),COLUMN(NOTA[TANGGAL]))&amp;":"&amp;ADDRESS(ROW(),COLUMN(NOTA[TANGGAL]))),-1)))</f>
        <v>45028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4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2" s="38" t="str">
        <f>IF(NOTA[[#This Row],[CONCAT4]]="","",_xlfn.IFNA(MATCH(NOTA[[#This Row],[CONCAT4]],[2]!RAW[CONCAT_H],0),FALSE))</f>
        <v/>
      </c>
      <c r="AP262" s="174">
        <f>IF(NOTA[[#This Row],[CONCAT1]]="","",MATCH(NOTA[[#This Row],[CONCAT1]],[3]!db[NB NOTA_C],0)+1)</f>
        <v>429</v>
      </c>
    </row>
    <row r="263" spans="1:42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51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38" t="str">
        <f>IF(NOTA[[#This Row],[CONCAT4]]="","",_xlfn.IFNA(MATCH(NOTA[[#This Row],[CONCAT4]],[2]!RAW[CONCAT_H],0),FALSE))</f>
        <v/>
      </c>
      <c r="AP263" s="174" t="str">
        <f>IF(NOTA[[#This Row],[CONCAT1]]="","",MATCH(NOTA[[#This Row],[CONCAT1]],[3]!db[NB NOTA_C],0)+1)</f>
        <v/>
      </c>
    </row>
    <row r="264" spans="1:42" ht="20.100000000000001" customHeight="1" x14ac:dyDescent="0.25">
      <c r="A264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ATA_1204_023-2</v>
      </c>
      <c r="C264" s="50" t="e">
        <f ca="1">IF(NOTA[[#This Row],[ID_P]]="","",MATCH(NOTA[[#This Row],[ID_P]],[1]!B_MSK[N_ID],0))</f>
        <v>#REF!</v>
      </c>
      <c r="D264" s="50">
        <f ca="1">IF(NOTA[[#This Row],[NAMA BARANG]]="","",INDEX(NOTA[ID],MATCH(,INDIRECT(ADDRESS(ROW(NOTA[ID]),COLUMN(NOTA[ID]))&amp;":"&amp;ADDRESS(ROW(),COLUMN(NOTA[ID]))),-1)))</f>
        <v>55</v>
      </c>
      <c r="E264" s="23"/>
      <c r="F264" s="26" t="s">
        <v>25</v>
      </c>
      <c r="G264" s="26" t="s">
        <v>24</v>
      </c>
      <c r="H264" s="31" t="s">
        <v>436</v>
      </c>
      <c r="I264" s="26"/>
      <c r="J264" s="51">
        <v>45024</v>
      </c>
      <c r="K264" s="26"/>
      <c r="L264" s="26" t="s">
        <v>137</v>
      </c>
      <c r="M264" s="39">
        <v>3</v>
      </c>
      <c r="N264" s="26">
        <v>144</v>
      </c>
      <c r="O264" s="26" t="s">
        <v>261</v>
      </c>
      <c r="P264" s="49">
        <v>36000</v>
      </c>
      <c r="Q264" s="52"/>
      <c r="R264" s="39" t="s">
        <v>358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5184000</v>
      </c>
      <c r="X264" s="54">
        <f>IF(NOTA[[#This Row],[JUMLAH]]="","",NOTA[[#This Row],[JUMLAH]]*NOTA[[#This Row],[DISC 1]])</f>
        <v>648000</v>
      </c>
      <c r="Y264" s="54">
        <f>IF(NOTA[[#This Row],[JUMLAH]]="","",(NOTA[[#This Row],[JUMLAH]]-NOTA[[#This Row],[DISC 1-]])*NOTA[[#This Row],[DISC 2]])</f>
        <v>226800</v>
      </c>
      <c r="Z264" s="54">
        <f>IF(NOTA[[#This Row],[JUMLAH]]="","",NOTA[[#This Row],[DISC 1-]]+NOTA[[#This Row],[DISC 2-]])</f>
        <v>874800</v>
      </c>
      <c r="AA264" s="54">
        <f>IF(NOTA[[#This Row],[JUMLAH]]="","",NOTA[[#This Row],[JUMLAH]]-NOTA[[#This Row],[DISC]])</f>
        <v>4309200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64" s="54">
        <f>IF(OR(NOTA[[#This Row],[QTY]]="",NOTA[[#This Row],[HARGA SATUAN]]="",),"",NOTA[[#This Row],[QTY]]*NOTA[[#This Row],[HARGA SATUAN]])</f>
        <v>5184000</v>
      </c>
      <c r="AF264" s="51">
        <f ca="1">IF(NOTA[ID_H]="","",INDEX(NOTA[TANGGAL],MATCH(,INDIRECT(ADDRESS(ROW(NOTA[TANGGAL]),COLUMN(NOTA[TANGGAL]))&amp;":"&amp;ADDRESS(ROW(),COLUMN(NOTA[TANGGAL]))),-1)))</f>
        <v>45028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>
        <f ca="1">IF(NOTA[[#This Row],[ID]]="","",COUNTIF(NOTA[ID_H],NOTA[[#This Row],[ID_H]]))</f>
        <v>2</v>
      </c>
      <c r="AJ264" s="38">
        <f>IF(NOTA[[#This Row],[TGL.NOTA]]="",IF(NOTA[[#This Row],[SUPPLIER_H]]="","",AJ263),MONTH(NOTA[[#This Row],[TGL.NOTA]]))</f>
        <v>4</v>
      </c>
      <c r="AK2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6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MOROSA23040602345024correctionfluidjk101jk</v>
      </c>
      <c r="AO264" s="38" t="e">
        <f>IF(NOTA[[#This Row],[CONCAT4]]="","",_xlfn.IFNA(MATCH(NOTA[[#This Row],[CONCAT4]],[2]!RAW[CONCAT_H],0),FALSE))</f>
        <v>#REF!</v>
      </c>
      <c r="AP264" s="174">
        <f>IF(NOTA[[#This Row],[CONCAT1]]="","",MATCH(NOTA[[#This Row],[CONCAT1]],[3]!db[NB NOTA_C],0)+1)</f>
        <v>206</v>
      </c>
    </row>
    <row r="265" spans="1:42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55</v>
      </c>
      <c r="E265" s="23"/>
      <c r="F265" s="26"/>
      <c r="G265" s="26"/>
      <c r="H265" s="31"/>
      <c r="I265" s="26"/>
      <c r="J265" s="51"/>
      <c r="K265" s="26"/>
      <c r="L265" s="26" t="s">
        <v>464</v>
      </c>
      <c r="M265" s="39"/>
      <c r="N265" s="26">
        <v>12</v>
      </c>
      <c r="O265" s="26" t="s">
        <v>261</v>
      </c>
      <c r="P265" s="49">
        <v>13200</v>
      </c>
      <c r="Q265" s="52"/>
      <c r="R265" s="39" t="s">
        <v>354</v>
      </c>
      <c r="S265" s="53">
        <v>0.1</v>
      </c>
      <c r="T265" s="53">
        <v>0.05</v>
      </c>
      <c r="U265" s="54">
        <v>135432</v>
      </c>
      <c r="V265" s="37" t="s">
        <v>299</v>
      </c>
      <c r="W265" s="54">
        <f>IF(NOTA[[#This Row],[HARGA/ CTN]]="",NOTA[[#This Row],[JUMLAH_H]],NOTA[[#This Row],[HARGA/ CTN]]*IF(NOTA[[#This Row],[C]]="",0,NOTA[[#This Row],[C]]))</f>
        <v>158400</v>
      </c>
      <c r="X265" s="54">
        <f>IF(NOTA[[#This Row],[JUMLAH]]="","",NOTA[[#This Row],[JUMLAH]]*NOTA[[#This Row],[DISC 1]])</f>
        <v>15840</v>
      </c>
      <c r="Y265" s="54">
        <f>IF(NOTA[[#This Row],[JUMLAH]]="","",(NOTA[[#This Row],[JUMLAH]]-NOTA[[#This Row],[DISC 1-]])*NOTA[[#This Row],[DISC 2]])</f>
        <v>7128</v>
      </c>
      <c r="Z265" s="54">
        <f>IF(NOTA[[#This Row],[JUMLAH]]="","",NOTA[[#This Row],[DISC 1-]]+NOTA[[#This Row],[DISC 2-]])</f>
        <v>22968</v>
      </c>
      <c r="AA265" s="54">
        <f>IF(NOTA[[#This Row],[JUMLAH]]="","",NOTA[[#This Row],[JUMLAH]]-NOTA[[#This Row],[DISC]])</f>
        <v>135432</v>
      </c>
      <c r="AB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1033200</v>
      </c>
      <c r="AC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4309200</v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E265" s="54">
        <f>IF(OR(NOTA[[#This Row],[QTY]]="",NOTA[[#This Row],[HARGA SATUAN]]="",),"",NOTA[[#This Row],[QTY]]*NOTA[[#This Row],[HARGA SATUAN]])</f>
        <v>158400</v>
      </c>
      <c r="AF265" s="51">
        <f ca="1">IF(NOTA[ID_H]="","",INDEX(NOTA[TANGGAL],MATCH(,INDIRECT(ADDRESS(ROW(NOTA[TANGGAL]),COLUMN(NOTA[TANGGAL]))&amp;":"&amp;ADDRESS(ROW(),COLUMN(NOTA[TANGGAL]))),-1)))</f>
        <v>45028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4</v>
      </c>
      <c r="AK26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38" t="str">
        <f>IF(NOTA[[#This Row],[CONCAT4]]="","",_xlfn.IFNA(MATCH(NOTA[[#This Row],[CONCAT4]],[2]!RAW[CONCAT_H],0),FALSE))</f>
        <v/>
      </c>
      <c r="AP265" s="174">
        <f>IF(NOTA[[#This Row],[CONCAT1]]="","",MATCH(NOTA[[#This Row],[CONCAT1]],[3]!db[NB NOTA_C],0)+1)</f>
        <v>26</v>
      </c>
    </row>
    <row r="266" spans="1:42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38" t="str">
        <f>IF(NOTA[[#This Row],[CONCAT4]]="","",_xlfn.IFNA(MATCH(NOTA[[#This Row],[CONCAT4]],[2]!RAW[CONCAT_H],0),FALSE))</f>
        <v/>
      </c>
      <c r="AP266" s="174" t="str">
        <f>IF(NOTA[[#This Row],[CONCAT1]]="","",MATCH(NOTA[[#This Row],[CONCAT1]],[3]!db[NB NOTA_C],0)+1)</f>
        <v/>
      </c>
    </row>
    <row r="267" spans="1:42" ht="20.100000000000001" customHeight="1" x14ac:dyDescent="0.25">
      <c r="A267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ATA_1204_100-11</v>
      </c>
      <c r="C267" s="50" t="e">
        <f ca="1">IF(NOTA[[#This Row],[ID_P]]="","",MATCH(NOTA[[#This Row],[ID_P]],[1]!B_MSK[N_ID],0))</f>
        <v>#REF!</v>
      </c>
      <c r="D267" s="50">
        <f ca="1">IF(NOTA[[#This Row],[NAMA BARANG]]="","",INDEX(NOTA[ID],MATCH(,INDIRECT(ADDRESS(ROW(NOTA[ID]),COLUMN(NOTA[ID]))&amp;":"&amp;ADDRESS(ROW(),COLUMN(NOTA[ID]))),-1)))</f>
        <v>56</v>
      </c>
      <c r="E267" s="23"/>
      <c r="F267" s="26" t="s">
        <v>25</v>
      </c>
      <c r="G267" s="26" t="s">
        <v>24</v>
      </c>
      <c r="H267" s="31" t="s">
        <v>437</v>
      </c>
      <c r="I267" s="26"/>
      <c r="J267" s="51">
        <v>45026</v>
      </c>
      <c r="K267" s="26"/>
      <c r="L267" s="26" t="s">
        <v>92</v>
      </c>
      <c r="M267" s="39">
        <v>2</v>
      </c>
      <c r="N267" s="26">
        <v>48</v>
      </c>
      <c r="O267" s="26" t="s">
        <v>188</v>
      </c>
      <c r="P267" s="49">
        <v>58900</v>
      </c>
      <c r="Q267" s="52"/>
      <c r="R267" s="39" t="s">
        <v>222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2827200</v>
      </c>
      <c r="X267" s="54">
        <f>IF(NOTA[[#This Row],[JUMLAH]]="","",NOTA[[#This Row],[JUMLAH]]*NOTA[[#This Row],[DISC 1]])</f>
        <v>353400</v>
      </c>
      <c r="Y267" s="54">
        <f>IF(NOTA[[#This Row],[JUMLAH]]="","",(NOTA[[#This Row],[JUMLAH]]-NOTA[[#This Row],[DISC 1-]])*NOTA[[#This Row],[DISC 2]])</f>
        <v>123690</v>
      </c>
      <c r="Z267" s="54">
        <f>IF(NOTA[[#This Row],[JUMLAH]]="","",NOTA[[#This Row],[DISC 1-]]+NOTA[[#This Row],[DISC 2-]])</f>
        <v>477090</v>
      </c>
      <c r="AA267" s="54">
        <f>IF(NOTA[[#This Row],[JUMLAH]]="","",NOTA[[#This Row],[JUMLAH]]-NOTA[[#This Row],[DISC]])</f>
        <v>2350110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67" s="54">
        <f>IF(OR(NOTA[[#This Row],[QTY]]="",NOTA[[#This Row],[HARGA SATUAN]]="",),"",NOTA[[#This Row],[QTY]]*NOTA[[#This Row],[HARGA SATUAN]])</f>
        <v>2827200</v>
      </c>
      <c r="AF267" s="51">
        <f ca="1">IF(NOTA[ID_H]="","",INDEX(NOTA[TANGGAL],MATCH(,INDIRECT(ADDRESS(ROW(NOTA[TANGGAL]),COLUMN(NOTA[TANGGAL]))&amp;":"&amp;ADDRESS(ROW(),COLUMN(NOTA[TANGGAL]))),-1)))</f>
        <v>45028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>
        <f ca="1">IF(NOTA[[#This Row],[ID]]="","",COUNTIF(NOTA[ID_H],NOTA[[#This Row],[ID_H]]))</f>
        <v>11</v>
      </c>
      <c r="AJ267" s="38">
        <f>IF(NOTA[[#This Row],[TGL.NOTA]]="",IF(NOTA[[#This Row],[SUPPLIER_H]]="","",AJ266),MONTH(NOTA[[#This Row],[TGL.NOTA]]))</f>
        <v>4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26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MOROSA23040610045026oilpastelop48sppcaseseaworldjk</v>
      </c>
      <c r="AO267" s="38" t="e">
        <f>IF(NOTA[[#This Row],[CONCAT4]]="","",_xlfn.IFNA(MATCH(NOTA[[#This Row],[CONCAT4]],[2]!RAW[CONCAT_H],0),FALSE))</f>
        <v>#REF!</v>
      </c>
      <c r="AP267" s="174">
        <f>IF(NOTA[[#This Row],[CONCAT1]]="","",MATCH(NOTA[[#This Row],[CONCAT1]],[3]!db[NB NOTA_C],0)+1)</f>
        <v>271</v>
      </c>
    </row>
    <row r="268" spans="1:42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56</v>
      </c>
      <c r="E268" s="23"/>
      <c r="F268" s="26"/>
      <c r="G268" s="26"/>
      <c r="H268" s="31"/>
      <c r="I268" s="26"/>
      <c r="J268" s="51"/>
      <c r="K268" s="26"/>
      <c r="L268" s="26" t="s">
        <v>93</v>
      </c>
      <c r="M268" s="39">
        <v>2</v>
      </c>
      <c r="N268" s="26">
        <v>48</v>
      </c>
      <c r="O268" s="26" t="s">
        <v>188</v>
      </c>
      <c r="P268" s="49">
        <v>66900</v>
      </c>
      <c r="Q268" s="52"/>
      <c r="R268" s="39" t="s">
        <v>222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3211200</v>
      </c>
      <c r="X268" s="54">
        <f>IF(NOTA[[#This Row],[JUMLAH]]="","",NOTA[[#This Row],[JUMLAH]]*NOTA[[#This Row],[DISC 1]])</f>
        <v>401400</v>
      </c>
      <c r="Y268" s="54">
        <f>IF(NOTA[[#This Row],[JUMLAH]]="","",(NOTA[[#This Row],[JUMLAH]]-NOTA[[#This Row],[DISC 1-]])*NOTA[[#This Row],[DISC 2]])</f>
        <v>140490</v>
      </c>
      <c r="Z268" s="54">
        <f>IF(NOTA[[#This Row],[JUMLAH]]="","",NOTA[[#This Row],[DISC 1-]]+NOTA[[#This Row],[DISC 2-]])</f>
        <v>541890</v>
      </c>
      <c r="AA268" s="54">
        <f>IF(NOTA[[#This Row],[JUMLAH]]="","",NOTA[[#This Row],[JUMLAH]]-NOTA[[#This Row],[DISC]])</f>
        <v>2669310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68" s="54">
        <f>IF(OR(NOTA[[#This Row],[QTY]]="",NOTA[[#This Row],[HARGA SATUAN]]="",),"",NOTA[[#This Row],[QTY]]*NOTA[[#This Row],[HARGA SATUAN]])</f>
        <v>3211200</v>
      </c>
      <c r="AF268" s="51">
        <f ca="1">IF(NOTA[ID_H]="","",INDEX(NOTA[TANGGAL],MATCH(,INDIRECT(ADDRESS(ROW(NOTA[TANGGAL]),COLUMN(NOTA[TANGGAL]))&amp;":"&amp;ADDRESS(ROW(),COLUMN(NOTA[TANGGAL]))),-1)))</f>
        <v>45028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4</v>
      </c>
      <c r="AK26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38" t="str">
        <f>IF(NOTA[[#This Row],[CONCAT4]]="","",_xlfn.IFNA(MATCH(NOTA[[#This Row],[CONCAT4]],[2]!RAW[CONCAT_H],0),FALSE))</f>
        <v/>
      </c>
      <c r="AP268" s="174">
        <f>IF(NOTA[[#This Row],[CONCAT1]]="","",MATCH(NOTA[[#This Row],[CONCAT1]],[3]!db[NB NOTA_C],0)+1)</f>
        <v>272</v>
      </c>
    </row>
    <row r="269" spans="1:42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56</v>
      </c>
      <c r="E269" s="23"/>
      <c r="F269" s="26"/>
      <c r="G269" s="26"/>
      <c r="H269" s="31"/>
      <c r="I269" s="26"/>
      <c r="J269" s="51"/>
      <c r="K269" s="26"/>
      <c r="L269" s="26" t="s">
        <v>115</v>
      </c>
      <c r="M269" s="39">
        <v>3</v>
      </c>
      <c r="N269" s="26">
        <v>432</v>
      </c>
      <c r="O269" s="26" t="s">
        <v>188</v>
      </c>
      <c r="P269" s="49">
        <v>23900</v>
      </c>
      <c r="Q269" s="52"/>
      <c r="R269" s="39" t="s">
        <v>328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10324800</v>
      </c>
      <c r="X269" s="54">
        <f>IF(NOTA[[#This Row],[JUMLAH]]="","",NOTA[[#This Row],[JUMLAH]]*NOTA[[#This Row],[DISC 1]])</f>
        <v>1290600</v>
      </c>
      <c r="Y269" s="54">
        <f>IF(NOTA[[#This Row],[JUMLAH]]="","",(NOTA[[#This Row],[JUMLAH]]-NOTA[[#This Row],[DISC 1-]])*NOTA[[#This Row],[DISC 2]])</f>
        <v>451710</v>
      </c>
      <c r="Z269" s="54">
        <f>IF(NOTA[[#This Row],[JUMLAH]]="","",NOTA[[#This Row],[DISC 1-]]+NOTA[[#This Row],[DISC 2-]])</f>
        <v>1742310</v>
      </c>
      <c r="AA269" s="54">
        <f>IF(NOTA[[#This Row],[JUMLAH]]="","",NOTA[[#This Row],[JUMLAH]]-NOTA[[#This Row],[DISC]])</f>
        <v>8582490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9" s="54">
        <f>IF(OR(NOTA[[#This Row],[QTY]]="",NOTA[[#This Row],[HARGA SATUAN]]="",),"",NOTA[[#This Row],[QTY]]*NOTA[[#This Row],[HARGA SATUAN]])</f>
        <v>10324800</v>
      </c>
      <c r="AF269" s="51">
        <f ca="1">IF(NOTA[ID_H]="","",INDEX(NOTA[TANGGAL],MATCH(,INDIRECT(ADDRESS(ROW(NOTA[TANGGAL]),COLUMN(NOTA[TANGGAL]))&amp;":"&amp;ADDRESS(ROW(),COLUMN(NOTA[TANGGAL]))),-1)))</f>
        <v>45028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4</v>
      </c>
      <c r="AK26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9" s="38" t="str">
        <f>IF(NOTA[[#This Row],[CONCAT4]]="","",_xlfn.IFNA(MATCH(NOTA[[#This Row],[CONCAT4]],[2]!RAW[CONCAT_H],0),FALSE))</f>
        <v/>
      </c>
      <c r="AP269" s="174">
        <f>IF(NOTA[[#This Row],[CONCAT1]]="","",MATCH(NOTA[[#This Row],[CONCAT1]],[3]!db[NB NOTA_C],0)+1)</f>
        <v>279</v>
      </c>
    </row>
    <row r="270" spans="1:42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56</v>
      </c>
      <c r="E270" s="23"/>
      <c r="F270" s="26"/>
      <c r="G270" s="26"/>
      <c r="H270" s="31"/>
      <c r="I270" s="26"/>
      <c r="J270" s="51"/>
      <c r="K270" s="26"/>
      <c r="L270" s="26" t="s">
        <v>130</v>
      </c>
      <c r="M270" s="39">
        <v>2</v>
      </c>
      <c r="N270" s="26">
        <v>144</v>
      </c>
      <c r="O270" s="26" t="s">
        <v>188</v>
      </c>
      <c r="P270" s="49">
        <v>47800</v>
      </c>
      <c r="Q270" s="52"/>
      <c r="R270" s="39" t="s">
        <v>331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6883200</v>
      </c>
      <c r="X270" s="54">
        <f>IF(NOTA[[#This Row],[JUMLAH]]="","",NOTA[[#This Row],[JUMLAH]]*NOTA[[#This Row],[DISC 1]])</f>
        <v>860400</v>
      </c>
      <c r="Y270" s="54">
        <f>IF(NOTA[[#This Row],[JUMLAH]]="","",(NOTA[[#This Row],[JUMLAH]]-NOTA[[#This Row],[DISC 1-]])*NOTA[[#This Row],[DISC 2]])</f>
        <v>301140</v>
      </c>
      <c r="Z270" s="54">
        <f>IF(NOTA[[#This Row],[JUMLAH]]="","",NOTA[[#This Row],[DISC 1-]]+NOTA[[#This Row],[DISC 2-]])</f>
        <v>1161540</v>
      </c>
      <c r="AA270" s="54">
        <f>IF(NOTA[[#This Row],[JUMLAH]]="","",NOTA[[#This Row],[JUMLAH]]-NOTA[[#This Row],[DISC]])</f>
        <v>5721660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0" s="54">
        <f>IF(OR(NOTA[[#This Row],[QTY]]="",NOTA[[#This Row],[HARGA SATUAN]]="",),"",NOTA[[#This Row],[QTY]]*NOTA[[#This Row],[HARGA SATUAN]])</f>
        <v>6883200</v>
      </c>
      <c r="AF270" s="51">
        <f ca="1">IF(NOTA[ID_H]="","",INDEX(NOTA[TANGGAL],MATCH(,INDIRECT(ADDRESS(ROW(NOTA[TANGGAL]),COLUMN(NOTA[TANGGAL]))&amp;":"&amp;ADDRESS(ROW(),COLUMN(NOTA[TANGGAL]))),-1)))</f>
        <v>45028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4</v>
      </c>
      <c r="AK270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N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38" t="str">
        <f>IF(NOTA[[#This Row],[CONCAT4]]="","",_xlfn.IFNA(MATCH(NOTA[[#This Row],[CONCAT4]],[2]!RAW[CONCAT_H],0),FALSE))</f>
        <v/>
      </c>
      <c r="AP270" s="174">
        <f>IF(NOTA[[#This Row],[CONCAT1]]="","",MATCH(NOTA[[#This Row],[CONCAT1]],[3]!db[NB NOTA_C],0)+1)</f>
        <v>280</v>
      </c>
    </row>
    <row r="271" spans="1:42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56</v>
      </c>
      <c r="E271" s="23"/>
      <c r="F271" s="26"/>
      <c r="G271" s="26"/>
      <c r="H271" s="31"/>
      <c r="I271" s="26"/>
      <c r="J271" s="51"/>
      <c r="K271" s="26"/>
      <c r="L271" s="26" t="s">
        <v>131</v>
      </c>
      <c r="M271" s="39">
        <v>3</v>
      </c>
      <c r="N271" s="26">
        <v>432</v>
      </c>
      <c r="O271" s="26" t="s">
        <v>188</v>
      </c>
      <c r="P271" s="49">
        <v>18600</v>
      </c>
      <c r="Q271" s="52"/>
      <c r="R271" s="39" t="s">
        <v>328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8035200</v>
      </c>
      <c r="X271" s="54">
        <f>IF(NOTA[[#This Row],[JUMLAH]]="","",NOTA[[#This Row],[JUMLAH]]*NOTA[[#This Row],[DISC 1]])</f>
        <v>1004400</v>
      </c>
      <c r="Y271" s="54">
        <f>IF(NOTA[[#This Row],[JUMLAH]]="","",(NOTA[[#This Row],[JUMLAH]]-NOTA[[#This Row],[DISC 1-]])*NOTA[[#This Row],[DISC 2]])</f>
        <v>351540</v>
      </c>
      <c r="Z271" s="54">
        <f>IF(NOTA[[#This Row],[JUMLAH]]="","",NOTA[[#This Row],[DISC 1-]]+NOTA[[#This Row],[DISC 2-]])</f>
        <v>1355940</v>
      </c>
      <c r="AA271" s="54">
        <f>IF(NOTA[[#This Row],[JUMLAH]]="","",NOTA[[#This Row],[JUMLAH]]-NOTA[[#This Row],[DISC]])</f>
        <v>6679260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71" s="54">
        <f>IF(OR(NOTA[[#This Row],[QTY]]="",NOTA[[#This Row],[HARGA SATUAN]]="",),"",NOTA[[#This Row],[QTY]]*NOTA[[#This Row],[HARGA SATUAN]])</f>
        <v>8035200</v>
      </c>
      <c r="AF271" s="51">
        <f ca="1">IF(NOTA[ID_H]="","",INDEX(NOTA[TANGGAL],MATCH(,INDIRECT(ADDRESS(ROW(NOTA[TANGGAL]),COLUMN(NOTA[TANGGAL]))&amp;":"&amp;ADDRESS(ROW(),COLUMN(NOTA[TANGGAL]))),-1)))</f>
        <v>45028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4</v>
      </c>
      <c r="AK271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38" t="str">
        <f>IF(NOTA[[#This Row],[CONCAT4]]="","",_xlfn.IFNA(MATCH(NOTA[[#This Row],[CONCAT4]],[2]!RAW[CONCAT_H],0),FALSE))</f>
        <v/>
      </c>
      <c r="AP271" s="174">
        <f>IF(NOTA[[#This Row],[CONCAT1]]="","",MATCH(NOTA[[#This Row],[CONCAT1]],[3]!db[NB NOTA_C],0)+1)</f>
        <v>278</v>
      </c>
    </row>
    <row r="272" spans="1:42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56</v>
      </c>
      <c r="E272" s="80"/>
      <c r="F272" s="26"/>
      <c r="G272" s="26"/>
      <c r="H272" s="31"/>
      <c r="I272" s="26"/>
      <c r="J272" s="81"/>
      <c r="K272" s="82"/>
      <c r="L272" s="26" t="s">
        <v>99</v>
      </c>
      <c r="M272" s="83">
        <v>2</v>
      </c>
      <c r="N272" s="26">
        <v>288</v>
      </c>
      <c r="O272" s="26" t="s">
        <v>198</v>
      </c>
      <c r="P272" s="49">
        <v>4350</v>
      </c>
      <c r="Q272" s="85"/>
      <c r="R272" s="39" t="s">
        <v>333</v>
      </c>
      <c r="S272" s="86">
        <v>0.125</v>
      </c>
      <c r="T272" s="86">
        <v>0.05</v>
      </c>
      <c r="U272" s="87"/>
      <c r="V272" s="37"/>
      <c r="W272" s="54">
        <f>IF(NOTA[[#This Row],[HARGA/ CTN]]="",NOTA[[#This Row],[JUMLAH_H]],NOTA[[#This Row],[HARGA/ CTN]]*IF(NOTA[[#This Row],[C]]="",0,NOTA[[#This Row],[C]]))</f>
        <v>1252800</v>
      </c>
      <c r="X272" s="54">
        <f>IF(NOTA[[#This Row],[JUMLAH]]="","",NOTA[[#This Row],[JUMLAH]]*NOTA[[#This Row],[DISC 1]])</f>
        <v>156600</v>
      </c>
      <c r="Y272" s="54">
        <f>IF(NOTA[[#This Row],[JUMLAH]]="","",(NOTA[[#This Row],[JUMLAH]]-NOTA[[#This Row],[DISC 1-]])*NOTA[[#This Row],[DISC 2]])</f>
        <v>54810</v>
      </c>
      <c r="Z272" s="54">
        <f>IF(NOTA[[#This Row],[JUMLAH]]="","",NOTA[[#This Row],[DISC 1-]]+NOTA[[#This Row],[DISC 2-]])</f>
        <v>211410</v>
      </c>
      <c r="AA272" s="54">
        <f>IF(NOTA[[#This Row],[JUMLAH]]="","",NOTA[[#This Row],[JUMLAH]]-NOTA[[#This Row],[DISC]])</f>
        <v>1041390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2" s="54">
        <f>IF(OR(NOTA[[#This Row],[QTY]]="",NOTA[[#This Row],[HARGA SATUAN]]="",),"",NOTA[[#This Row],[QTY]]*NOTA[[#This Row],[HARGA SATUAN]])</f>
        <v>1252800</v>
      </c>
      <c r="AF272" s="51">
        <f ca="1">IF(NOTA[ID_H]="","",INDEX(NOTA[TANGGAL],MATCH(,INDIRECT(ADDRESS(ROW(NOTA[TANGGAL]),COLUMN(NOTA[TANGGAL]))&amp;":"&amp;ADDRESS(ROW(),COLUMN(NOTA[TANGGAL]))),-1)))</f>
        <v>45028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4</v>
      </c>
      <c r="AK2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38" t="str">
        <f>IF(NOTA[[#This Row],[CONCAT4]]="","",_xlfn.IFNA(MATCH(NOTA[[#This Row],[CONCAT4]],[2]!RAW[CONCAT_H],0),FALSE))</f>
        <v/>
      </c>
      <c r="AP272" s="174">
        <f>IF(NOTA[[#This Row],[CONCAT1]]="","",MATCH(NOTA[[#This Row],[CONCAT1]],[3]!db[NB NOTA_C],0)+1)</f>
        <v>429</v>
      </c>
    </row>
    <row r="273" spans="1:42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56</v>
      </c>
      <c r="E273" s="80"/>
      <c r="F273" s="82"/>
      <c r="G273" s="82"/>
      <c r="H273" s="88"/>
      <c r="I273" s="82"/>
      <c r="J273" s="81"/>
      <c r="K273" s="82"/>
      <c r="L273" s="26" t="s">
        <v>105</v>
      </c>
      <c r="M273" s="83">
        <v>2</v>
      </c>
      <c r="N273" s="26">
        <v>288</v>
      </c>
      <c r="O273" s="26" t="s">
        <v>198</v>
      </c>
      <c r="P273" s="49">
        <v>6500</v>
      </c>
      <c r="Q273" s="85"/>
      <c r="R273" s="39" t="s">
        <v>333</v>
      </c>
      <c r="S273" s="86">
        <v>0.125</v>
      </c>
      <c r="T273" s="86">
        <v>0.05</v>
      </c>
      <c r="U273" s="87"/>
      <c r="V273" s="37"/>
      <c r="W273" s="54">
        <f>IF(NOTA[[#This Row],[HARGA/ CTN]]="",NOTA[[#This Row],[JUMLAH_H]],NOTA[[#This Row],[HARGA/ CTN]]*IF(NOTA[[#This Row],[C]]="",0,NOTA[[#This Row],[C]]))</f>
        <v>1872000</v>
      </c>
      <c r="X273" s="54">
        <f>IF(NOTA[[#This Row],[JUMLAH]]="","",NOTA[[#This Row],[JUMLAH]]*NOTA[[#This Row],[DISC 1]])</f>
        <v>234000</v>
      </c>
      <c r="Y273" s="54">
        <f>IF(NOTA[[#This Row],[JUMLAH]]="","",(NOTA[[#This Row],[JUMLAH]]-NOTA[[#This Row],[DISC 1-]])*NOTA[[#This Row],[DISC 2]])</f>
        <v>81900</v>
      </c>
      <c r="Z273" s="54">
        <f>IF(NOTA[[#This Row],[JUMLAH]]="","",NOTA[[#This Row],[DISC 1-]]+NOTA[[#This Row],[DISC 2-]])</f>
        <v>315900</v>
      </c>
      <c r="AA273" s="54">
        <f>IF(NOTA[[#This Row],[JUMLAH]]="","",NOTA[[#This Row],[JUMLAH]]-NOTA[[#This Row],[DISC]])</f>
        <v>1556100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73" s="54">
        <f>IF(OR(NOTA[[#This Row],[QTY]]="",NOTA[[#This Row],[HARGA SATUAN]]="",),"",NOTA[[#This Row],[QTY]]*NOTA[[#This Row],[HARGA SATUAN]])</f>
        <v>1872000</v>
      </c>
      <c r="AF273" s="51">
        <f ca="1">IF(NOTA[ID_H]="","",INDEX(NOTA[TANGGAL],MATCH(,INDIRECT(ADDRESS(ROW(NOTA[TANGGAL]),COLUMN(NOTA[TANGGAL]))&amp;":"&amp;ADDRESS(ROW(),COLUMN(NOTA[TANGGAL]))),-1)))</f>
        <v>45028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4</v>
      </c>
      <c r="AK2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38" t="str">
        <f>IF(NOTA[[#This Row],[CONCAT4]]="","",_xlfn.IFNA(MATCH(NOTA[[#This Row],[CONCAT4]],[2]!RAW[CONCAT_H],0),FALSE))</f>
        <v/>
      </c>
      <c r="AP273" s="174">
        <f>IF(NOTA[[#This Row],[CONCAT1]]="","",MATCH(NOTA[[#This Row],[CONCAT1]],[3]!db[NB NOTA_C],0)+1)</f>
        <v>432</v>
      </c>
    </row>
    <row r="274" spans="1:42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56</v>
      </c>
      <c r="E274" s="80"/>
      <c r="F274" s="26"/>
      <c r="G274" s="26"/>
      <c r="H274" s="31"/>
      <c r="I274" s="26"/>
      <c r="J274" s="81"/>
      <c r="K274" s="26"/>
      <c r="L274" s="26" t="s">
        <v>102</v>
      </c>
      <c r="M274" s="83">
        <v>2</v>
      </c>
      <c r="N274" s="26">
        <v>100</v>
      </c>
      <c r="O274" s="26" t="s">
        <v>204</v>
      </c>
      <c r="P274" s="49">
        <v>28300</v>
      </c>
      <c r="Q274" s="85"/>
      <c r="R274" s="39" t="s">
        <v>352</v>
      </c>
      <c r="S274" s="86">
        <v>0.125</v>
      </c>
      <c r="T274" s="86">
        <v>0.05</v>
      </c>
      <c r="U274" s="87"/>
      <c r="V274" s="37"/>
      <c r="W274" s="54">
        <f>IF(NOTA[[#This Row],[HARGA/ CTN]]="",NOTA[[#This Row],[JUMLAH_H]],NOTA[[#This Row],[HARGA/ CTN]]*IF(NOTA[[#This Row],[C]]="",0,NOTA[[#This Row],[C]]))</f>
        <v>2830000</v>
      </c>
      <c r="X274" s="54">
        <f>IF(NOTA[[#This Row],[JUMLAH]]="","",NOTA[[#This Row],[JUMLAH]]*NOTA[[#This Row],[DISC 1]])</f>
        <v>353750</v>
      </c>
      <c r="Y274" s="54">
        <f>IF(NOTA[[#This Row],[JUMLAH]]="","",(NOTA[[#This Row],[JUMLAH]]-NOTA[[#This Row],[DISC 1-]])*NOTA[[#This Row],[DISC 2]])</f>
        <v>123812.5</v>
      </c>
      <c r="Z274" s="54">
        <f>IF(NOTA[[#This Row],[JUMLAH]]="","",NOTA[[#This Row],[DISC 1-]]+NOTA[[#This Row],[DISC 2-]])</f>
        <v>477562.5</v>
      </c>
      <c r="AA274" s="54">
        <f>IF(NOTA[[#This Row],[JUMLAH]]="","",NOTA[[#This Row],[JUMLAH]]-NOTA[[#This Row],[DISC]])</f>
        <v>2352437.5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4" s="54">
        <f>IF(OR(NOTA[[#This Row],[QTY]]="",NOTA[[#This Row],[HARGA SATUAN]]="",),"",NOTA[[#This Row],[QTY]]*NOTA[[#This Row],[HARGA SATUAN]])</f>
        <v>2830000</v>
      </c>
      <c r="AF274" s="51">
        <f ca="1">IF(NOTA[ID_H]="","",INDEX(NOTA[TANGGAL],MATCH(,INDIRECT(ADDRESS(ROW(NOTA[TANGGAL]),COLUMN(NOTA[TANGGAL]))&amp;":"&amp;ADDRESS(ROW(),COLUMN(NOTA[TANGGAL]))),-1)))</f>
        <v>45028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4</v>
      </c>
      <c r="AK27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38" t="str">
        <f>IF(NOTA[[#This Row],[CONCAT4]]="","",_xlfn.IFNA(MATCH(NOTA[[#This Row],[CONCAT4]],[2]!RAW[CONCAT_H],0),FALSE))</f>
        <v/>
      </c>
      <c r="AP274" s="174">
        <f>IF(NOTA[[#This Row],[CONCAT1]]="","",MATCH(NOTA[[#This Row],[CONCAT1]],[3]!db[NB NOTA_C],0)+1)</f>
        <v>778</v>
      </c>
    </row>
    <row r="275" spans="1:42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56</v>
      </c>
      <c r="E275" s="80"/>
      <c r="F275" s="82"/>
      <c r="G275" s="82"/>
      <c r="H275" s="88"/>
      <c r="I275" s="26"/>
      <c r="J275" s="81"/>
      <c r="K275" s="38"/>
      <c r="L275" s="26" t="s">
        <v>104</v>
      </c>
      <c r="M275" s="83">
        <v>2</v>
      </c>
      <c r="N275" s="26">
        <v>100</v>
      </c>
      <c r="O275" s="26" t="s">
        <v>204</v>
      </c>
      <c r="P275" s="49">
        <v>28300</v>
      </c>
      <c r="Q275" s="85"/>
      <c r="R275" s="39" t="s">
        <v>352</v>
      </c>
      <c r="S275" s="86">
        <v>0.125</v>
      </c>
      <c r="T275" s="86">
        <v>0.05</v>
      </c>
      <c r="U275" s="87"/>
      <c r="V275" s="37"/>
      <c r="W275" s="54">
        <f>IF(NOTA[[#This Row],[HARGA/ CTN]]="",NOTA[[#This Row],[JUMLAH_H]],NOTA[[#This Row],[HARGA/ CTN]]*IF(NOTA[[#This Row],[C]]="",0,NOTA[[#This Row],[C]]))</f>
        <v>2830000</v>
      </c>
      <c r="X275" s="54">
        <f>IF(NOTA[[#This Row],[JUMLAH]]="","",NOTA[[#This Row],[JUMLAH]]*NOTA[[#This Row],[DISC 1]])</f>
        <v>353750</v>
      </c>
      <c r="Y275" s="54">
        <f>IF(NOTA[[#This Row],[JUMLAH]]="","",(NOTA[[#This Row],[JUMLAH]]-NOTA[[#This Row],[DISC 1-]])*NOTA[[#This Row],[DISC 2]])</f>
        <v>123812.5</v>
      </c>
      <c r="Z275" s="54">
        <f>IF(NOTA[[#This Row],[JUMLAH]]="","",NOTA[[#This Row],[DISC 1-]]+NOTA[[#This Row],[DISC 2-]])</f>
        <v>477562.5</v>
      </c>
      <c r="AA275" s="54">
        <f>IF(NOTA[[#This Row],[JUMLAH]]="","",NOTA[[#This Row],[JUMLAH]]-NOTA[[#This Row],[DISC]])</f>
        <v>2352437.5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5" s="54">
        <f>IF(OR(NOTA[[#This Row],[QTY]]="",NOTA[[#This Row],[HARGA SATUAN]]="",),"",NOTA[[#This Row],[QTY]]*NOTA[[#This Row],[HARGA SATUAN]])</f>
        <v>2830000</v>
      </c>
      <c r="AF275" s="51">
        <f ca="1">IF(NOTA[ID_H]="","",INDEX(NOTA[TANGGAL],MATCH(,INDIRECT(ADDRESS(ROW(NOTA[TANGGAL]),COLUMN(NOTA[TANGGAL]))&amp;":"&amp;ADDRESS(ROW(),COLUMN(NOTA[TANGGAL]))),-1)))</f>
        <v>45028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4</v>
      </c>
      <c r="AK27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5" s="38" t="str">
        <f>IF(NOTA[[#This Row],[CONCAT4]]="","",_xlfn.IFNA(MATCH(NOTA[[#This Row],[CONCAT4]],[2]!RAW[CONCAT_H],0),FALSE))</f>
        <v/>
      </c>
      <c r="AP275" s="174">
        <f>IF(NOTA[[#This Row],[CONCAT1]]="","",MATCH(NOTA[[#This Row],[CONCAT1]],[3]!db[NB NOTA_C],0)+1)</f>
        <v>776</v>
      </c>
    </row>
    <row r="276" spans="1:42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56</v>
      </c>
      <c r="E276" s="80"/>
      <c r="F276" s="26"/>
      <c r="G276" s="26"/>
      <c r="H276" s="31"/>
      <c r="I276" s="26"/>
      <c r="J276" s="81"/>
      <c r="K276" s="82"/>
      <c r="L276" s="26" t="s">
        <v>114</v>
      </c>
      <c r="M276" s="39">
        <v>2</v>
      </c>
      <c r="N276" s="26">
        <v>60</v>
      </c>
      <c r="O276" s="26" t="s">
        <v>294</v>
      </c>
      <c r="P276" s="49">
        <v>104400</v>
      </c>
      <c r="Q276" s="85"/>
      <c r="R276" s="39" t="s">
        <v>395</v>
      </c>
      <c r="S276" s="86">
        <v>0.125</v>
      </c>
      <c r="T276" s="86">
        <v>0.05</v>
      </c>
      <c r="U276" s="87"/>
      <c r="V276" s="37"/>
      <c r="W276" s="54">
        <f>IF(NOTA[[#This Row],[HARGA/ CTN]]="",NOTA[[#This Row],[JUMLAH_H]],NOTA[[#This Row],[HARGA/ CTN]]*IF(NOTA[[#This Row],[C]]="",0,NOTA[[#This Row],[C]]))</f>
        <v>6264000</v>
      </c>
      <c r="X276" s="54">
        <f>IF(NOTA[[#This Row],[JUMLAH]]="","",NOTA[[#This Row],[JUMLAH]]*NOTA[[#This Row],[DISC 1]])</f>
        <v>783000</v>
      </c>
      <c r="Y276" s="54">
        <f>IF(NOTA[[#This Row],[JUMLAH]]="","",(NOTA[[#This Row],[JUMLAH]]-NOTA[[#This Row],[DISC 1-]])*NOTA[[#This Row],[DISC 2]])</f>
        <v>274050</v>
      </c>
      <c r="Z276" s="54">
        <f>IF(NOTA[[#This Row],[JUMLAH]]="","",NOTA[[#This Row],[DISC 1-]]+NOTA[[#This Row],[DISC 2-]])</f>
        <v>1057050</v>
      </c>
      <c r="AA276" s="54">
        <f>IF(NOTA[[#This Row],[JUMLAH]]="","",NOTA[[#This Row],[JUMLAH]]-NOTA[[#This Row],[DISC]])</f>
        <v>5206950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76" s="54">
        <f>IF(OR(NOTA[[#This Row],[QTY]]="",NOTA[[#This Row],[HARGA SATUAN]]="",),"",NOTA[[#This Row],[QTY]]*NOTA[[#This Row],[HARGA SATUAN]])</f>
        <v>6264000</v>
      </c>
      <c r="AF276" s="51">
        <f ca="1">IF(NOTA[ID_H]="","",INDEX(NOTA[TANGGAL],MATCH(,INDIRECT(ADDRESS(ROW(NOTA[TANGGAL]),COLUMN(NOTA[TANGGAL]))&amp;":"&amp;ADDRESS(ROW(),COLUMN(NOTA[TANGGAL]))),-1)))</f>
        <v>45028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4</v>
      </c>
      <c r="AK27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38" t="str">
        <f>IF(NOTA[[#This Row],[CONCAT4]]="","",_xlfn.IFNA(MATCH(NOTA[[#This Row],[CONCAT4]],[2]!RAW[CONCAT_H],0),FALSE))</f>
        <v/>
      </c>
      <c r="AP276" s="174">
        <f>IF(NOTA[[#This Row],[CONCAT1]]="","",MATCH(NOTA[[#This Row],[CONCAT1]],[3]!db[NB NOTA_C],0)+1)</f>
        <v>644</v>
      </c>
    </row>
    <row r="277" spans="1:42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56</v>
      </c>
      <c r="E277" s="80"/>
      <c r="F277" s="82"/>
      <c r="G277" s="82"/>
      <c r="H277" s="88"/>
      <c r="I277" s="82"/>
      <c r="J277" s="81"/>
      <c r="K277" s="82"/>
      <c r="L277" s="26" t="s">
        <v>438</v>
      </c>
      <c r="M277" s="83">
        <v>2</v>
      </c>
      <c r="N277" s="26">
        <v>1728</v>
      </c>
      <c r="O277" s="26" t="s">
        <v>198</v>
      </c>
      <c r="P277" s="49">
        <v>2100</v>
      </c>
      <c r="Q277" s="85"/>
      <c r="R277" s="39" t="s">
        <v>439</v>
      </c>
      <c r="S277" s="86">
        <v>0.125</v>
      </c>
      <c r="T277" s="86">
        <v>0.05</v>
      </c>
      <c r="U277" s="87"/>
      <c r="V277" s="37"/>
      <c r="W277" s="54">
        <f>IF(NOTA[[#This Row],[HARGA/ CTN]]="",NOTA[[#This Row],[JUMLAH_H]],NOTA[[#This Row],[HARGA/ CTN]]*IF(NOTA[[#This Row],[C]]="",0,NOTA[[#This Row],[C]]))</f>
        <v>3628800</v>
      </c>
      <c r="X277" s="54">
        <f>IF(NOTA[[#This Row],[JUMLAH]]="","",NOTA[[#This Row],[JUMLAH]]*NOTA[[#This Row],[DISC 1]])</f>
        <v>453600</v>
      </c>
      <c r="Y277" s="54">
        <f>IF(NOTA[[#This Row],[JUMLAH]]="","",(NOTA[[#This Row],[JUMLAH]]-NOTA[[#This Row],[DISC 1-]])*NOTA[[#This Row],[DISC 2]])</f>
        <v>158760</v>
      </c>
      <c r="Z277" s="54">
        <f>IF(NOTA[[#This Row],[JUMLAH]]="","",NOTA[[#This Row],[DISC 1-]]+NOTA[[#This Row],[DISC 2-]])</f>
        <v>612360</v>
      </c>
      <c r="AA277" s="54">
        <f>IF(NOTA[[#This Row],[JUMLAH]]="","",NOTA[[#This Row],[JUMLAH]]-NOTA[[#This Row],[DISC]])</f>
        <v>3016440</v>
      </c>
      <c r="AB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8430615</v>
      </c>
      <c r="AC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41528585</v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77" s="54">
        <f>IF(OR(NOTA[[#This Row],[QTY]]="",NOTA[[#This Row],[HARGA SATUAN]]="",),"",NOTA[[#This Row],[QTY]]*NOTA[[#This Row],[HARGA SATUAN]])</f>
        <v>3628800</v>
      </c>
      <c r="AF277" s="51">
        <f ca="1">IF(NOTA[ID_H]="","",INDEX(NOTA[TANGGAL],MATCH(,INDIRECT(ADDRESS(ROW(NOTA[TANGGAL]),COLUMN(NOTA[TANGGAL]))&amp;":"&amp;ADDRESS(ROW(),COLUMN(NOTA[TANGGAL]))),-1)))</f>
        <v>45028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4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38" t="str">
        <f>IF(NOTA[[#This Row],[CONCAT4]]="","",_xlfn.IFNA(MATCH(NOTA[[#This Row],[CONCAT4]],[2]!RAW[CONCAT_H],0),FALSE))</f>
        <v/>
      </c>
      <c r="AP277" s="174">
        <f>IF(NOTA[[#This Row],[CONCAT1]]="","",MATCH(NOTA[[#This Row],[CONCAT1]],[3]!db[NB NOTA_C],0)+1)</f>
        <v>552</v>
      </c>
    </row>
    <row r="278" spans="1:42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80"/>
      <c r="F278" s="82"/>
      <c r="G278" s="82"/>
      <c r="H278" s="88"/>
      <c r="I278" s="82"/>
      <c r="J278" s="81"/>
      <c r="K278" s="82"/>
      <c r="L278" s="26"/>
      <c r="M278" s="83"/>
      <c r="N278" s="26"/>
      <c r="O278" s="26"/>
      <c r="P278" s="49"/>
      <c r="Q278" s="85"/>
      <c r="R278" s="39"/>
      <c r="S278" s="86"/>
      <c r="T278" s="86"/>
      <c r="U278" s="87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8" s="38" t="str">
        <f>IF(NOTA[[#This Row],[CONCAT4]]="","",_xlfn.IFNA(MATCH(NOTA[[#This Row],[CONCAT4]],[2]!RAW[CONCAT_H],0),FALSE))</f>
        <v/>
      </c>
      <c r="AP278" s="174" t="str">
        <f>IF(NOTA[[#This Row],[CONCAT1]]="","",MATCH(NOTA[[#This Row],[CONCAT1]],[3]!db[NB NOTA_C],0)+1)</f>
        <v/>
      </c>
    </row>
    <row r="279" spans="1:42" ht="20.100000000000001" customHeight="1" x14ac:dyDescent="0.25">
      <c r="A279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ATA_1204_101-7</v>
      </c>
      <c r="C279" s="50" t="e">
        <f ca="1">IF(NOTA[[#This Row],[ID_P]]="","",MATCH(NOTA[[#This Row],[ID_P]],[1]!B_MSK[N_ID],0))</f>
        <v>#REF!</v>
      </c>
      <c r="D279" s="50">
        <f ca="1">IF(NOTA[[#This Row],[NAMA BARANG]]="","",INDEX(NOTA[ID],MATCH(,INDIRECT(ADDRESS(ROW(NOTA[ID]),COLUMN(NOTA[ID]))&amp;":"&amp;ADDRESS(ROW(),COLUMN(NOTA[ID]))),-1)))</f>
        <v>57</v>
      </c>
      <c r="E279" s="23"/>
      <c r="F279" s="26" t="s">
        <v>25</v>
      </c>
      <c r="G279" s="26" t="s">
        <v>24</v>
      </c>
      <c r="H279" s="31" t="s">
        <v>440</v>
      </c>
      <c r="I279" s="26"/>
      <c r="J279" s="51">
        <v>45026</v>
      </c>
      <c r="K279" s="26"/>
      <c r="L279" s="26" t="s">
        <v>129</v>
      </c>
      <c r="M279" s="39">
        <v>3</v>
      </c>
      <c r="N279" s="26">
        <v>432</v>
      </c>
      <c r="O279" s="26" t="s">
        <v>188</v>
      </c>
      <c r="P279" s="49">
        <v>10600</v>
      </c>
      <c r="Q279" s="52"/>
      <c r="R279" s="39" t="s">
        <v>328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4579200</v>
      </c>
      <c r="X279" s="54">
        <f>IF(NOTA[[#This Row],[JUMLAH]]="","",NOTA[[#This Row],[JUMLAH]]*NOTA[[#This Row],[DISC 1]])</f>
        <v>572400</v>
      </c>
      <c r="Y279" s="54">
        <f>IF(NOTA[[#This Row],[JUMLAH]]="","",(NOTA[[#This Row],[JUMLAH]]-NOTA[[#This Row],[DISC 1-]])*NOTA[[#This Row],[DISC 2]])</f>
        <v>200340</v>
      </c>
      <c r="Z279" s="54">
        <f>IF(NOTA[[#This Row],[JUMLAH]]="","",NOTA[[#This Row],[DISC 1-]]+NOTA[[#This Row],[DISC 2-]])</f>
        <v>772740</v>
      </c>
      <c r="AA279" s="54">
        <f>IF(NOTA[[#This Row],[JUMLAH]]="","",NOTA[[#This Row],[JUMLAH]]-NOTA[[#This Row],[DISC]])</f>
        <v>3806460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9" s="54">
        <f>IF(OR(NOTA[[#This Row],[QTY]]="",NOTA[[#This Row],[HARGA SATUAN]]="",),"",NOTA[[#This Row],[QTY]]*NOTA[[#This Row],[HARGA SATUAN]])</f>
        <v>4579200</v>
      </c>
      <c r="AF279" s="51">
        <f ca="1">IF(NOTA[ID_H]="","",INDEX(NOTA[TANGGAL],MATCH(,INDIRECT(ADDRESS(ROW(NOTA[TANGGAL]),COLUMN(NOTA[TANGGAL]))&amp;":"&amp;ADDRESS(ROW(),COLUMN(NOTA[TANGGAL]))),-1)))</f>
        <v>45028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>
        <f ca="1">IF(NOTA[[#This Row],[ID]]="","",COUNTIF(NOTA[ID_H],NOTA[[#This Row],[ID_H]]))</f>
        <v>7</v>
      </c>
      <c r="AJ279" s="38">
        <f>IF(NOTA[[#This Row],[TGL.NOTA]]="",IF(NOTA[[#This Row],[SUPPLIER_H]]="","",#REF!),MONTH(NOTA[[#This Row],[TGL.NOTA]]))</f>
        <v>4</v>
      </c>
      <c r="AK27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7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MOROSA23040610145026colorpencilcp12pbjk</v>
      </c>
      <c r="AO279" s="38" t="e">
        <f>IF(NOTA[[#This Row],[CONCAT4]]="","",_xlfn.IFNA(MATCH(NOTA[[#This Row],[CONCAT4]],[2]!RAW[CONCAT_H],0),FALSE))</f>
        <v>#REF!</v>
      </c>
      <c r="AP279" s="174">
        <f>IF(NOTA[[#This Row],[CONCAT1]]="","",MATCH(NOTA[[#This Row],[CONCAT1]],[3]!db[NB NOTA_C],0)+1)</f>
        <v>669</v>
      </c>
    </row>
    <row r="280" spans="1:42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57</v>
      </c>
      <c r="E280" s="23"/>
      <c r="F280" s="26"/>
      <c r="G280" s="26"/>
      <c r="H280" s="31"/>
      <c r="I280" s="26"/>
      <c r="J280" s="51"/>
      <c r="K280" s="26"/>
      <c r="L280" s="26" t="s">
        <v>116</v>
      </c>
      <c r="M280" s="39">
        <v>5</v>
      </c>
      <c r="N280" s="26" t="s">
        <v>441</v>
      </c>
      <c r="O280" s="26" t="s">
        <v>261</v>
      </c>
      <c r="P280" s="49">
        <v>85200</v>
      </c>
      <c r="Q280" s="52"/>
      <c r="R280" s="39" t="s">
        <v>442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8520000</v>
      </c>
      <c r="X280" s="54">
        <f>IF(NOTA[[#This Row],[JUMLAH]]="","",NOTA[[#This Row],[JUMLAH]]*NOTA[[#This Row],[DISC 1]])</f>
        <v>1065000</v>
      </c>
      <c r="Y280" s="54">
        <f>IF(NOTA[[#This Row],[JUMLAH]]="","",(NOTA[[#This Row],[JUMLAH]]-NOTA[[#This Row],[DISC 1-]])*NOTA[[#This Row],[DISC 2]])</f>
        <v>372750</v>
      </c>
      <c r="Z280" s="54">
        <f>IF(NOTA[[#This Row],[JUMLAH]]="","",NOTA[[#This Row],[DISC 1-]]+NOTA[[#This Row],[DISC 2-]])</f>
        <v>1437750</v>
      </c>
      <c r="AA280" s="54">
        <f>IF(NOTA[[#This Row],[JUMLAH]]="","",NOTA[[#This Row],[JUMLAH]]-NOTA[[#This Row],[DISC]])</f>
        <v>7082250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80" s="54">
        <f>IF(OR(NOTA[[#This Row],[QTY]]="",NOTA[[#This Row],[HARGA SATUAN]]="",),"",NOTA[[#This Row],[QTY]]*NOTA[[#This Row],[HARGA SATUAN]])</f>
        <v>8520000</v>
      </c>
      <c r="AF280" s="51">
        <f ca="1">IF(NOTA[ID_H]="","",INDEX(NOTA[TANGGAL],MATCH(,INDIRECT(ADDRESS(ROW(NOTA[TANGGAL]),COLUMN(NOTA[TANGGAL]))&amp;":"&amp;ADDRESS(ROW(),COLUMN(NOTA[TANGGAL]))),-1)))</f>
        <v>45028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4</v>
      </c>
      <c r="AK280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38" t="str">
        <f>IF(NOTA[[#This Row],[CONCAT4]]="","",_xlfn.IFNA(MATCH(NOTA[[#This Row],[CONCAT4]],[2]!RAW[CONCAT_H],0),FALSE))</f>
        <v/>
      </c>
      <c r="AP280" s="174">
        <f>IF(NOTA[[#This Row],[CONCAT1]]="","",MATCH(NOTA[[#This Row],[CONCAT1]],[3]!db[NB NOTA_C],0)+1)</f>
        <v>752</v>
      </c>
    </row>
    <row r="281" spans="1:42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57</v>
      </c>
      <c r="E281" s="23"/>
      <c r="F281" s="26"/>
      <c r="G281" s="26"/>
      <c r="H281" s="31"/>
      <c r="I281" s="26"/>
      <c r="J281" s="51"/>
      <c r="K281" s="26"/>
      <c r="L281" s="26" t="s">
        <v>443</v>
      </c>
      <c r="M281" s="39">
        <v>2</v>
      </c>
      <c r="N281" s="26">
        <v>240</v>
      </c>
      <c r="O281" s="26" t="s">
        <v>198</v>
      </c>
      <c r="P281" s="49">
        <v>18700</v>
      </c>
      <c r="Q281" s="52"/>
      <c r="R281" s="39" t="s">
        <v>403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4488000</v>
      </c>
      <c r="X281" s="54">
        <f>IF(NOTA[[#This Row],[JUMLAH]]="","",NOTA[[#This Row],[JUMLAH]]*NOTA[[#This Row],[DISC 1]])</f>
        <v>561000</v>
      </c>
      <c r="Y281" s="54">
        <f>IF(NOTA[[#This Row],[JUMLAH]]="","",(NOTA[[#This Row],[JUMLAH]]-NOTA[[#This Row],[DISC 1-]])*NOTA[[#This Row],[DISC 2]])</f>
        <v>196350</v>
      </c>
      <c r="Z281" s="54">
        <f>IF(NOTA[[#This Row],[JUMLAH]]="","",NOTA[[#This Row],[DISC 1-]]+NOTA[[#This Row],[DISC 2-]])</f>
        <v>757350</v>
      </c>
      <c r="AA281" s="54">
        <f>IF(NOTA[[#This Row],[JUMLAH]]="","",NOTA[[#This Row],[JUMLAH]]-NOTA[[#This Row],[DISC]])</f>
        <v>3730650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E281" s="54">
        <f>IF(OR(NOTA[[#This Row],[QTY]]="",NOTA[[#This Row],[HARGA SATUAN]]="",),"",NOTA[[#This Row],[QTY]]*NOTA[[#This Row],[HARGA SATUAN]])</f>
        <v>4488000</v>
      </c>
      <c r="AF281" s="51">
        <f ca="1">IF(NOTA[ID_H]="","",INDEX(NOTA[TANGGAL],MATCH(,INDIRECT(ADDRESS(ROW(NOTA[TANGGAL]),COLUMN(NOTA[TANGGAL]))&amp;":"&amp;ADDRESS(ROW(),COLUMN(NOTA[TANGGAL]))),-1)))</f>
        <v>45028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4</v>
      </c>
      <c r="AK281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N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38" t="str">
        <f>IF(NOTA[[#This Row],[CONCAT4]]="","",_xlfn.IFNA(MATCH(NOTA[[#This Row],[CONCAT4]],[2]!RAW[CONCAT_H],0),FALSE))</f>
        <v/>
      </c>
      <c r="AP281" s="174">
        <f>IF(NOTA[[#This Row],[CONCAT1]]="","",MATCH(NOTA[[#This Row],[CONCAT1]],[3]!db[NB NOTA_C],0)+1)</f>
        <v>757</v>
      </c>
    </row>
    <row r="282" spans="1:42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57</v>
      </c>
      <c r="E282" s="23"/>
      <c r="F282" s="26"/>
      <c r="G282" s="26"/>
      <c r="H282" s="31"/>
      <c r="I282" s="26"/>
      <c r="J282" s="51"/>
      <c r="K282" s="26"/>
      <c r="L282" s="26" t="s">
        <v>444</v>
      </c>
      <c r="M282" s="39">
        <v>2</v>
      </c>
      <c r="N282" s="26">
        <v>40</v>
      </c>
      <c r="O282" s="26" t="s">
        <v>198</v>
      </c>
      <c r="P282" s="49">
        <v>94500</v>
      </c>
      <c r="Q282" s="52"/>
      <c r="R282" s="39" t="s">
        <v>445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3780000</v>
      </c>
      <c r="X282" s="54">
        <f>IF(NOTA[[#This Row],[JUMLAH]]="","",NOTA[[#This Row],[JUMLAH]]*NOTA[[#This Row],[DISC 1]])</f>
        <v>472500</v>
      </c>
      <c r="Y282" s="54">
        <f>IF(NOTA[[#This Row],[JUMLAH]]="","",(NOTA[[#This Row],[JUMLAH]]-NOTA[[#This Row],[DISC 1-]])*NOTA[[#This Row],[DISC 2]])</f>
        <v>165375</v>
      </c>
      <c r="Z282" s="54">
        <f>IF(NOTA[[#This Row],[JUMLAH]]="","",NOTA[[#This Row],[DISC 1-]]+NOTA[[#This Row],[DISC 2-]])</f>
        <v>637875</v>
      </c>
      <c r="AA282" s="54">
        <f>IF(NOTA[[#This Row],[JUMLAH]]="","",NOTA[[#This Row],[JUMLAH]]-NOTA[[#This Row],[DISC]])</f>
        <v>3142125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282" s="54">
        <f>IF(OR(NOTA[[#This Row],[QTY]]="",NOTA[[#This Row],[HARGA SATUAN]]="",),"",NOTA[[#This Row],[QTY]]*NOTA[[#This Row],[HARGA SATUAN]])</f>
        <v>3780000</v>
      </c>
      <c r="AF282" s="51">
        <f ca="1">IF(NOTA[ID_H]="","",INDEX(NOTA[TANGGAL],MATCH(,INDIRECT(ADDRESS(ROW(NOTA[TANGGAL]),COLUMN(NOTA[TANGGAL]))&amp;":"&amp;ADDRESS(ROW(),COLUMN(NOTA[TANGGAL]))),-1)))</f>
        <v>45028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4</v>
      </c>
      <c r="AK282" s="38" t="str">
        <f>LOWER(SUBSTITUTE(SUBSTITUTE(SUBSTITUTE(SUBSTITUTE(SUBSTITUTE(SUBSTITUTE(SUBSTITUTE(SUBSTITUTE(SUBSTITUTE(NOTA[NAMA BARANG]," ",),".",""),"-",""),"(",""),")",""),",",""),"/",""),"""",""),"+",""))</f>
        <v>labellermx6600a10d2linejk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labellermx6600a10d2linejk18900000.1250.05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labellermx6600a10d2linejk18900000.1250.05</v>
      </c>
      <c r="AN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38" t="str">
        <f>IF(NOTA[[#This Row],[CONCAT4]]="","",_xlfn.IFNA(MATCH(NOTA[[#This Row],[CONCAT4]],[2]!RAW[CONCAT_H],0),FALSE))</f>
        <v/>
      </c>
      <c r="AP282" s="174">
        <f>IF(NOTA[[#This Row],[CONCAT1]]="","",MATCH(NOTA[[#This Row],[CONCAT1]],[3]!db[NB NOTA_C],0)+1)</f>
        <v>582</v>
      </c>
    </row>
    <row r="283" spans="1:42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57</v>
      </c>
      <c r="E283" s="23"/>
      <c r="F283" s="26"/>
      <c r="G283" s="26"/>
      <c r="H283" s="31"/>
      <c r="I283" s="26"/>
      <c r="J283" s="51"/>
      <c r="K283" s="26"/>
      <c r="L283" s="26" t="s">
        <v>446</v>
      </c>
      <c r="M283" s="39">
        <v>2</v>
      </c>
      <c r="N283" s="26">
        <v>2000</v>
      </c>
      <c r="O283" s="26" t="s">
        <v>447</v>
      </c>
      <c r="P283" s="49">
        <v>2050</v>
      </c>
      <c r="Q283" s="52"/>
      <c r="R283" s="39" t="s">
        <v>448</v>
      </c>
      <c r="S283" s="53">
        <v>0.125</v>
      </c>
      <c r="T283" s="53">
        <v>0.05</v>
      </c>
      <c r="U283" s="54"/>
      <c r="V283" s="37"/>
      <c r="W283" s="54">
        <f>IF(NOTA[[#This Row],[HARGA/ CTN]]="",NOTA[[#This Row],[JUMLAH_H]],NOTA[[#This Row],[HARGA/ CTN]]*IF(NOTA[[#This Row],[C]]="",0,NOTA[[#This Row],[C]]))</f>
        <v>4100000</v>
      </c>
      <c r="X283" s="54">
        <f>IF(NOTA[[#This Row],[JUMLAH]]="","",NOTA[[#This Row],[JUMLAH]]*NOTA[[#This Row],[DISC 1]])</f>
        <v>512500</v>
      </c>
      <c r="Y283" s="54">
        <f>IF(NOTA[[#This Row],[JUMLAH]]="","",(NOTA[[#This Row],[JUMLAH]]-NOTA[[#This Row],[DISC 1-]])*NOTA[[#This Row],[DISC 2]])</f>
        <v>179375</v>
      </c>
      <c r="Z283" s="54">
        <f>IF(NOTA[[#This Row],[JUMLAH]]="","",NOTA[[#This Row],[DISC 1-]]+NOTA[[#This Row],[DISC 2-]])</f>
        <v>691875</v>
      </c>
      <c r="AA283" s="54">
        <f>IF(NOTA[[#This Row],[JUMLAH]]="","",NOTA[[#This Row],[JUMLAH]]-NOTA[[#This Row],[DISC]])</f>
        <v>3408125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83" s="54">
        <f>IF(OR(NOTA[[#This Row],[QTY]]="",NOTA[[#This Row],[HARGA SATUAN]]="",),"",NOTA[[#This Row],[QTY]]*NOTA[[#This Row],[HARGA SATUAN]])</f>
        <v>4100000</v>
      </c>
      <c r="AF283" s="51">
        <f ca="1">IF(NOTA[ID_H]="","",INDEX(NOTA[TANGGAL],MATCH(,INDIRECT(ADDRESS(ROW(NOTA[TANGGAL]),COLUMN(NOTA[TANGGAL]))&amp;":"&amp;ADDRESS(ROW(),COLUMN(NOTA[TANGGAL]))),-1)))</f>
        <v>45028</v>
      </c>
      <c r="AG283" s="65" t="str">
        <f ca="1">IF(NOTA[[#This Row],[NAMA BARANG]]="","",INDEX(NOTA[SUPPLIER],MATCH(,INDIRECT(ADDRESS(ROW(NOTA[ID]),COLUMN(NOTA[ID]))&amp;":"&amp;ADDRESS(ROW(),COLUMN(NOTA[ID]))),-1)))</f>
        <v>ATALI MAKMUR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4</v>
      </c>
      <c r="AK283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38" t="str">
        <f>IF(NOTA[[#This Row],[CONCAT4]]="","",_xlfn.IFNA(MATCH(NOTA[[#This Row],[CONCAT4]],[2]!RAW[CONCAT_H],0),FALSE))</f>
        <v/>
      </c>
      <c r="AP283" s="174">
        <f>IF(NOTA[[#This Row],[CONCAT1]]="","",MATCH(NOTA[[#This Row],[CONCAT1]],[3]!db[NB NOTA_C],0)+1)</f>
        <v>528</v>
      </c>
    </row>
    <row r="284" spans="1:42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57</v>
      </c>
      <c r="E284" s="23"/>
      <c r="F284" s="26"/>
      <c r="G284" s="26"/>
      <c r="H284" s="31"/>
      <c r="I284" s="26"/>
      <c r="J284" s="51"/>
      <c r="K284" s="26"/>
      <c r="L284" s="26" t="s">
        <v>449</v>
      </c>
      <c r="M284" s="39">
        <v>2</v>
      </c>
      <c r="N284" s="26">
        <v>1000</v>
      </c>
      <c r="O284" s="26" t="s">
        <v>447</v>
      </c>
      <c r="P284" s="49">
        <v>3050</v>
      </c>
      <c r="Q284" s="52"/>
      <c r="R284" s="39" t="s">
        <v>450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3050000</v>
      </c>
      <c r="X284" s="54">
        <f>IF(NOTA[[#This Row],[JUMLAH]]="","",NOTA[[#This Row],[JUMLAH]]*NOTA[[#This Row],[DISC 1]])</f>
        <v>381250</v>
      </c>
      <c r="Y284" s="54">
        <f>IF(NOTA[[#This Row],[JUMLAH]]="","",(NOTA[[#This Row],[JUMLAH]]-NOTA[[#This Row],[DISC 1-]])*NOTA[[#This Row],[DISC 2]])</f>
        <v>133437.5</v>
      </c>
      <c r="Z284" s="54">
        <f>IF(NOTA[[#This Row],[JUMLAH]]="","",NOTA[[#This Row],[DISC 1-]]+NOTA[[#This Row],[DISC 2-]])</f>
        <v>514687.5</v>
      </c>
      <c r="AA284" s="54">
        <f>IF(NOTA[[#This Row],[JUMLAH]]="","",NOTA[[#This Row],[JUMLAH]]-NOTA[[#This Row],[DISC]])</f>
        <v>2535312.5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84" s="54">
        <f>IF(OR(NOTA[[#This Row],[QTY]]="",NOTA[[#This Row],[HARGA SATUAN]]="",),"",NOTA[[#This Row],[QTY]]*NOTA[[#This Row],[HARGA SATUAN]])</f>
        <v>3050000</v>
      </c>
      <c r="AF284" s="51">
        <f ca="1">IF(NOTA[ID_H]="","",INDEX(NOTA[TANGGAL],MATCH(,INDIRECT(ADDRESS(ROW(NOTA[TANGGAL]),COLUMN(NOTA[TANGGAL]))&amp;":"&amp;ADDRESS(ROW(),COLUMN(NOTA[TANGGAL]))),-1)))</f>
        <v>45028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4</v>
      </c>
      <c r="AK284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38" t="str">
        <f>IF(NOTA[[#This Row],[CONCAT4]]="","",_xlfn.IFNA(MATCH(NOTA[[#This Row],[CONCAT4]],[2]!RAW[CONCAT_H],0),FALSE))</f>
        <v/>
      </c>
      <c r="AP284" s="174">
        <f>IF(NOTA[[#This Row],[CONCAT1]]="","",MATCH(NOTA[[#This Row],[CONCAT1]],[3]!db[NB NOTA_C],0)+1)</f>
        <v>532</v>
      </c>
    </row>
    <row r="285" spans="1:42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57</v>
      </c>
      <c r="E285" s="23"/>
      <c r="F285" s="26"/>
      <c r="G285" s="26"/>
      <c r="H285" s="31"/>
      <c r="I285" s="26"/>
      <c r="J285" s="51"/>
      <c r="K285" s="26"/>
      <c r="L285" s="26" t="s">
        <v>451</v>
      </c>
      <c r="M285" s="39">
        <v>2</v>
      </c>
      <c r="N285" s="26">
        <v>2000</v>
      </c>
      <c r="O285" s="26" t="s">
        <v>447</v>
      </c>
      <c r="P285" s="49">
        <v>3000</v>
      </c>
      <c r="Q285" s="52"/>
      <c r="R285" s="39" t="s">
        <v>448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6000000</v>
      </c>
      <c r="X285" s="54">
        <f>IF(NOTA[[#This Row],[JUMLAH]]="","",NOTA[[#This Row],[JUMLAH]]*NOTA[[#This Row],[DISC 1]])</f>
        <v>750000</v>
      </c>
      <c r="Y285" s="54">
        <f>IF(NOTA[[#This Row],[JUMLAH]]="","",(NOTA[[#This Row],[JUMLAH]]-NOTA[[#This Row],[DISC 1-]])*NOTA[[#This Row],[DISC 2]])</f>
        <v>262500</v>
      </c>
      <c r="Z285" s="54">
        <f>IF(NOTA[[#This Row],[JUMLAH]]="","",NOTA[[#This Row],[DISC 1-]]+NOTA[[#This Row],[DISC 2-]])</f>
        <v>1012500</v>
      </c>
      <c r="AA285" s="54">
        <f>IF(NOTA[[#This Row],[JUMLAH]]="","",NOTA[[#This Row],[JUMLAH]]-NOTA[[#This Row],[DISC]])</f>
        <v>4987500</v>
      </c>
      <c r="AB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5824777.5</v>
      </c>
      <c r="AC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28692422.5</v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85" s="54">
        <f>IF(OR(NOTA[[#This Row],[QTY]]="",NOTA[[#This Row],[HARGA SATUAN]]="",),"",NOTA[[#This Row],[QTY]]*NOTA[[#This Row],[HARGA SATUAN]])</f>
        <v>6000000</v>
      </c>
      <c r="AF285" s="51">
        <f ca="1">IF(NOTA[ID_H]="","",INDEX(NOTA[TANGGAL],MATCH(,INDIRECT(ADDRESS(ROW(NOTA[TANGGAL]),COLUMN(NOTA[TANGGAL]))&amp;":"&amp;ADDRESS(ROW(),COLUMN(NOTA[TANGGAL]))),-1)))</f>
        <v>45028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4</v>
      </c>
      <c r="AK28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38" t="str">
        <f>IF(NOTA[[#This Row],[CONCAT4]]="","",_xlfn.IFNA(MATCH(NOTA[[#This Row],[CONCAT4]],[2]!RAW[CONCAT_H],0),FALSE))</f>
        <v/>
      </c>
      <c r="AP285" s="174">
        <f>IF(NOTA[[#This Row],[CONCAT1]]="","",MATCH(NOTA[[#This Row],[CONCAT1]],[3]!db[NB NOTA_C],0)+1)</f>
        <v>527</v>
      </c>
    </row>
    <row r="286" spans="1:42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38" t="str">
        <f>IF(NOTA[[#This Row],[CONCAT4]]="","",_xlfn.IFNA(MATCH(NOTA[[#This Row],[CONCAT4]],[2]!RAW[CONCAT_H],0),FALSE))</f>
        <v/>
      </c>
      <c r="AP286" s="174" t="str">
        <f>IF(NOTA[[#This Row],[CONCAT1]]="","",MATCH(NOTA[[#This Row],[CONCAT1]],[3]!db[NB NOTA_C],0)+1)</f>
        <v/>
      </c>
    </row>
    <row r="287" spans="1:42" ht="20.100000000000001" customHeight="1" x14ac:dyDescent="0.25">
      <c r="A28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2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GAD_1204_488-2</v>
      </c>
      <c r="C287" s="50" t="e">
        <f ca="1">IF(NOTA[[#This Row],[ID_P]]="","",MATCH(NOTA[[#This Row],[ID_P]],[1]!B_MSK[N_ID],0))</f>
        <v>#REF!</v>
      </c>
      <c r="D287" s="50">
        <f ca="1">IF(NOTA[[#This Row],[NAMA BARANG]]="","",INDEX(NOTA[ID],MATCH(,INDIRECT(ADDRESS(ROW(NOTA[ID]),COLUMN(NOTA[ID]))&amp;":"&amp;ADDRESS(ROW(),COLUMN(NOTA[ID]))),-1)))</f>
        <v>58</v>
      </c>
      <c r="E287" s="23"/>
      <c r="F287" s="26" t="s">
        <v>452</v>
      </c>
      <c r="G287" s="26" t="s">
        <v>176</v>
      </c>
      <c r="H287" s="31" t="s">
        <v>453</v>
      </c>
      <c r="I287" s="26"/>
      <c r="J287" s="51">
        <v>45026</v>
      </c>
      <c r="K287" s="26"/>
      <c r="L287" s="26" t="s">
        <v>454</v>
      </c>
      <c r="M287" s="39">
        <v>45</v>
      </c>
      <c r="N287" s="26">
        <v>2700</v>
      </c>
      <c r="O287" s="26"/>
      <c r="P287" s="49">
        <v>35420</v>
      </c>
      <c r="Q287" s="52"/>
      <c r="R287" s="39" t="s">
        <v>455</v>
      </c>
      <c r="S287" s="53"/>
      <c r="T287" s="53"/>
      <c r="U287" s="54"/>
      <c r="V287" s="37"/>
      <c r="W287" s="54">
        <f>IF(NOTA[[#This Row],[HARGA/ CTN]]="",NOTA[[#This Row],[JUMLAH_H]],NOTA[[#This Row],[HARGA/ CTN]]*IF(NOTA[[#This Row],[C]]="",0,NOTA[[#This Row],[C]]))</f>
        <v>95634000</v>
      </c>
      <c r="X287" s="54">
        <f>IF(NOTA[[#This Row],[JUMLAH]]="","",NOTA[[#This Row],[JUMLAH]]*NOTA[[#This Row],[DISC 1]])</f>
        <v>0</v>
      </c>
      <c r="Y287" s="54">
        <f>IF(NOTA[[#This Row],[JUMLAH]]="","",(NOTA[[#This Row],[JUMLAH]]-NOTA[[#This Row],[DISC 1-]])*NOTA[[#This Row],[DISC 2]])</f>
        <v>0</v>
      </c>
      <c r="Z287" s="54">
        <f>IF(NOTA[[#This Row],[JUMLAH]]="","",NOTA[[#This Row],[DISC 1-]]+NOTA[[#This Row],[DISC 2-]])</f>
        <v>0</v>
      </c>
      <c r="AA287" s="54">
        <f>IF(NOTA[[#This Row],[JUMLAH]]="","",NOTA[[#This Row],[JUMLAH]]-NOTA[[#This Row],[DISC]])</f>
        <v>95634000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2125200</v>
      </c>
      <c r="AE287" s="54">
        <f>IF(OR(NOTA[[#This Row],[QTY]]="",NOTA[[#This Row],[HARGA SATUAN]]="",),"",NOTA[[#This Row],[QTY]]*NOTA[[#This Row],[HARGA SATUAN]])</f>
        <v>95634000</v>
      </c>
      <c r="AF287" s="51">
        <f ca="1">IF(NOTA[ID_H]="","",INDEX(NOTA[TANGGAL],MATCH(,INDIRECT(ADDRESS(ROW(NOTA[TANGGAL]),COLUMN(NOTA[TANGGAL]))&amp;":"&amp;ADDRESS(ROW(),COLUMN(NOTA[TANGGAL]))),-1)))</f>
        <v>45028</v>
      </c>
      <c r="AG287" s="65" t="str">
        <f ca="1">IF(NOTA[[#This Row],[NAMA BARANG]]="","",INDEX(NOTA[SUPPLIER],MATCH(,INDIRECT(ADDRESS(ROW(NOTA[ID]),COLUMN(NOTA[ID]))&amp;":"&amp;ADDRESS(ROW(),COLUMN(NOTA[ID]))),-1)))</f>
        <v>GADING MURNI</v>
      </c>
      <c r="AH287" s="65" t="str">
        <f ca="1">IF(NOTA[[#This Row],[ID_H]]="","",IF(NOTA[[#This Row],[FAKTUR]]="",INDIRECT(ADDRESS(ROW()-1,COLUMN())),NOTA[[#This Row],[FAKTUR]]))</f>
        <v>UNTANA</v>
      </c>
      <c r="AI287" s="38">
        <f ca="1">IF(NOTA[[#This Row],[ID]]="","",COUNTIF(NOTA[ID_H],NOTA[[#This Row],[ID_H]]))</f>
        <v>2</v>
      </c>
      <c r="AJ287" s="38">
        <f>IF(NOTA[[#This Row],[TGL.NOTA]]="",IF(NOTA[[#This Row],[SUPPLIER_H]]="","",AJ286),MONTH(NOTA[[#This Row],[TGL.NOTA]]))</f>
        <v>4</v>
      </c>
      <c r="AK287" s="38" t="str">
        <f>LOWER(SUBSTITUTE(SUBSTITUTE(SUBSTITUTE(SUBSTITUTE(SUBSTITUTE(SUBSTITUTE(SUBSTITUTE(SUBSTITUTE(SUBSTITUTE(NOTA[NAMA BARANG]," ",),".",""),"-",""),"(",""),")",""),",",""),"/",""),"""",""),"+",""))</f>
        <v>mariesacrclr81212wrn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mariesacrclr81212wrn2125200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mariesacrclr81212wrn2125200</v>
      </c>
      <c r="AN287" s="38" t="str">
        <f>IF(NOTA[[#This Row],[SUPPLIER]]="","",NOTA[[#This Row],[SUPPLIER]]&amp;NOTA[[#This Row],[FAKTUR]]&amp;NOTA[[#This Row],[NO.NOTA]]&amp;NOTA[[#This Row],[NO.SJ]]&amp;NOTA[[#This Row],[TGL.NOTA]]&amp;NOTA[[#This Row],[CONCAT1]])</f>
        <v>GADING MURNIUNTANAE.230548845026mariesacrclr81212wrn</v>
      </c>
      <c r="AO287" s="38" t="e">
        <f>IF(NOTA[[#This Row],[CONCAT4]]="","",_xlfn.IFNA(MATCH(NOTA[[#This Row],[CONCAT4]],[2]!RAW[CONCAT_H],0),FALSE))</f>
        <v>#REF!</v>
      </c>
      <c r="AP287" s="174" t="e">
        <f>IF(NOTA[[#This Row],[CONCAT1]]="","",MATCH(NOTA[[#This Row],[CONCAT1]],[3]!db[NB NOTA_C],0)+1)</f>
        <v>#N/A</v>
      </c>
    </row>
    <row r="288" spans="1:42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58</v>
      </c>
      <c r="E288" s="23"/>
      <c r="F288" s="26"/>
      <c r="G288" s="26"/>
      <c r="H288" s="31"/>
      <c r="I288" s="26"/>
      <c r="J288" s="51"/>
      <c r="K288" s="26"/>
      <c r="L288" s="26" t="s">
        <v>456</v>
      </c>
      <c r="M288" s="39">
        <v>100</v>
      </c>
      <c r="N288" s="26">
        <v>9600</v>
      </c>
      <c r="O288" s="26" t="s">
        <v>188</v>
      </c>
      <c r="P288" s="49">
        <v>15420</v>
      </c>
      <c r="Q288" s="52"/>
      <c r="R288" s="39" t="s">
        <v>457</v>
      </c>
      <c r="S288" s="53"/>
      <c r="T288" s="53"/>
      <c r="U288" s="54"/>
      <c r="V288" s="37"/>
      <c r="W288" s="54">
        <f>IF(NOTA[[#This Row],[HARGA/ CTN]]="",NOTA[[#This Row],[JUMLAH_H]],NOTA[[#This Row],[HARGA/ CTN]]*IF(NOTA[[#This Row],[C]]="",0,NOTA[[#This Row],[C]]))</f>
        <v>148032000</v>
      </c>
      <c r="X288" s="54">
        <f>IF(NOTA[[#This Row],[JUMLAH]]="","",NOTA[[#This Row],[JUMLAH]]*NOTA[[#This Row],[DISC 1]])</f>
        <v>0</v>
      </c>
      <c r="Y288" s="54">
        <f>IF(NOTA[[#This Row],[JUMLAH]]="","",(NOTA[[#This Row],[JUMLAH]]-NOTA[[#This Row],[DISC 1-]])*NOTA[[#This Row],[DISC 2]])</f>
        <v>0</v>
      </c>
      <c r="Z288" s="54">
        <f>IF(NOTA[[#This Row],[JUMLAH]]="","",NOTA[[#This Row],[DISC 1-]]+NOTA[[#This Row],[DISC 2-]])</f>
        <v>0</v>
      </c>
      <c r="AA288" s="54">
        <f>IF(NOTA[[#This Row],[JUMLAH]]="","",NOTA[[#This Row],[JUMLAH]]-NOTA[[#This Row],[DISC]])</f>
        <v>148032000</v>
      </c>
      <c r="AB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243666000</v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1480320</v>
      </c>
      <c r="AE288" s="54">
        <f>IF(OR(NOTA[[#This Row],[QTY]]="",NOTA[[#This Row],[HARGA SATUAN]]="",),"",NOTA[[#This Row],[QTY]]*NOTA[[#This Row],[HARGA SATUAN]])</f>
        <v>148032000</v>
      </c>
      <c r="AF288" s="51">
        <f ca="1">IF(NOTA[ID_H]="","",INDEX(NOTA[TANGGAL],MATCH(,INDIRECT(ADDRESS(ROW(NOTA[TANGGAL]),COLUMN(NOTA[TANGGAL]))&amp;":"&amp;ADDRESS(ROW(),COLUMN(NOTA[TANGGAL]))),-1)))</f>
        <v>45028</v>
      </c>
      <c r="AG288" s="65" t="str">
        <f ca="1">IF(NOTA[[#This Row],[NAMA BARANG]]="","",INDEX(NOTA[SUPPLIER],MATCH(,INDIRECT(ADDRESS(ROW(NOTA[ID]),COLUMN(NOTA[ID]))&amp;":"&amp;ADDRESS(ROW(),COLUMN(NOTA[ID]))),-1)))</f>
        <v>GADING MURNI</v>
      </c>
      <c r="AH288" s="65" t="str">
        <f ca="1">IF(NOTA[[#This Row],[ID_H]]="","",IF(NOTA[[#This Row],[FAKTUR]]="",INDIRECT(ADDRESS(ROW()-1,COLUMN())),NOTA[[#This Row],[FAKTUR]]))</f>
        <v>UNTANA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4</v>
      </c>
      <c r="AK288" s="38" t="str">
        <f>LOWER(SUBSTITUTE(SUBSTITUTE(SUBSTITUTE(SUBSTITUTE(SUBSTITUTE(SUBSTITUTE(SUBSTITUTE(SUBSTITUTE(SUBSTITUTE(NOTA[NAMA BARANG]," ",),".",""),"-",""),"(",""),")",""),",",""),"/",""),"""",""),"+",""))</f>
        <v>marieswaterclre1325b12warna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marieswaterclre1325b12warna1480320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marieswaterclre1325b12warna1480320</v>
      </c>
      <c r="AN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38" t="str">
        <f>IF(NOTA[[#This Row],[CONCAT4]]="","",_xlfn.IFNA(MATCH(NOTA[[#This Row],[CONCAT4]],[2]!RAW[CONCAT_H],0),FALSE))</f>
        <v/>
      </c>
      <c r="AP288" s="174" t="e">
        <f>IF(NOTA[[#This Row],[CONCAT1]]="","",MATCH(NOTA[[#This Row],[CONCAT1]],[3]!db[NB NOTA_C],0)+1)</f>
        <v>#N/A</v>
      </c>
    </row>
    <row r="289" spans="1:42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51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38" t="str">
        <f>IF(NOTA[[#This Row],[CONCAT4]]="","",_xlfn.IFNA(MATCH(NOTA[[#This Row],[CONCAT4]],[2]!RAW[CONCAT_H],0),FALSE))</f>
        <v/>
      </c>
      <c r="AP289" s="174" t="str">
        <f>IF(NOTA[[#This Row],[CONCAT1]]="","",MATCH(NOTA[[#This Row],[CONCAT1]],[3]!db[NB NOTA_C],0)+1)</f>
        <v/>
      </c>
    </row>
    <row r="290" spans="1:42" ht="20.100000000000001" customHeight="1" x14ac:dyDescent="0.25">
      <c r="A29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2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KEN_1404_860-2</v>
      </c>
      <c r="C290" s="50" t="e">
        <f ca="1">IF(NOTA[[#This Row],[ID_P]]="","",MATCH(NOTA[[#This Row],[ID_P]],[1]!B_MSK[N_ID],0))</f>
        <v>#REF!</v>
      </c>
      <c r="D290" s="50">
        <f ca="1">IF(NOTA[[#This Row],[NAMA BARANG]]="","",INDEX(NOTA[ID],MATCH(,INDIRECT(ADDRESS(ROW(NOTA[ID]),COLUMN(NOTA[ID]))&amp;":"&amp;ADDRESS(ROW(),COLUMN(NOTA[ID]))),-1)))</f>
        <v>59</v>
      </c>
      <c r="E290" s="23">
        <v>45030</v>
      </c>
      <c r="F290" s="26" t="s">
        <v>23</v>
      </c>
      <c r="G290" s="26" t="s">
        <v>24</v>
      </c>
      <c r="H290" s="31" t="s">
        <v>471</v>
      </c>
      <c r="I290" s="26" t="s">
        <v>470</v>
      </c>
      <c r="J290" s="51">
        <v>45028</v>
      </c>
      <c r="K290" s="26"/>
      <c r="L290" s="26" t="s">
        <v>165</v>
      </c>
      <c r="M290" s="39">
        <v>3</v>
      </c>
      <c r="N290" s="26"/>
      <c r="O290" s="26"/>
      <c r="P290" s="49"/>
      <c r="Q290" s="52">
        <v>2952000</v>
      </c>
      <c r="R290" s="39" t="s">
        <v>169</v>
      </c>
      <c r="S290" s="53">
        <v>0.17</v>
      </c>
      <c r="T290" s="53"/>
      <c r="U290" s="54"/>
      <c r="V290" s="37"/>
      <c r="W290" s="54">
        <f>IF(NOTA[[#This Row],[HARGA/ CTN]]="",NOTA[[#This Row],[JUMLAH_H]],NOTA[[#This Row],[HARGA/ CTN]]*IF(NOTA[[#This Row],[C]]="",0,NOTA[[#This Row],[C]]))</f>
        <v>8856000</v>
      </c>
      <c r="X290" s="54">
        <f>IF(NOTA[[#This Row],[JUMLAH]]="","",NOTA[[#This Row],[JUMLAH]]*NOTA[[#This Row],[DISC 1]])</f>
        <v>1505520</v>
      </c>
      <c r="Y290" s="54">
        <f>IF(NOTA[[#This Row],[JUMLAH]]="","",(NOTA[[#This Row],[JUMLAH]]-NOTA[[#This Row],[DISC 1-]])*NOTA[[#This Row],[DISC 2]])</f>
        <v>0</v>
      </c>
      <c r="Z290" s="54">
        <f>IF(NOTA[[#This Row],[JUMLAH]]="","",NOTA[[#This Row],[DISC 1-]]+NOTA[[#This Row],[DISC 2-]])</f>
        <v>1505520</v>
      </c>
      <c r="AA290" s="54">
        <f>IF(NOTA[[#This Row],[JUMLAH]]="","",NOTA[[#This Row],[JUMLAH]]-NOTA[[#This Row],[DISC]])</f>
        <v>7350480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90" s="54" t="str">
        <f>IF(OR(NOTA[[#This Row],[QTY]]="",NOTA[[#This Row],[HARGA SATUAN]]="",),"",NOTA[[#This Row],[QTY]]*NOTA[[#This Row],[HARGA SATUAN]])</f>
        <v/>
      </c>
      <c r="AF290" s="51">
        <f ca="1">IF(NOTA[ID_H]="","",INDEX(NOTA[TANGGAL],MATCH(,INDIRECT(ADDRESS(ROW(NOTA[TANGGAL]),COLUMN(NOTA[TANGGAL]))&amp;":"&amp;ADDRESS(ROW(),COLUMN(NOTA[TANGGAL]))),-1)))</f>
        <v>45030</v>
      </c>
      <c r="AG290" s="65" t="str">
        <f ca="1">IF(NOTA[[#This Row],[NAMA BARANG]]="","",INDEX(NOTA[SUPPLIER],MATCH(,INDIRECT(ADDRESS(ROW(NOTA[ID]),COLUMN(NOTA[ID]))&amp;":"&amp;ADDRESS(ROW(),COLUMN(NOTA[ID]))),-1)))</f>
        <v>KENKO SINAR INDONESIA</v>
      </c>
      <c r="AH290" s="65" t="str">
        <f ca="1">IF(NOTA[[#This Row],[ID_H]]="","",IF(NOTA[[#This Row],[FAKTUR]]="",INDIRECT(ADDRESS(ROW()-1,COLUMN())),NOTA[[#This Row],[FAKTUR]]))</f>
        <v>ARTO MORO</v>
      </c>
      <c r="AI290" s="38">
        <f ca="1">IF(NOTA[[#This Row],[ID]]="","",COUNTIF(NOTA[ID_H],NOTA[[#This Row],[ID_H]]))</f>
        <v>2</v>
      </c>
      <c r="AJ290" s="38">
        <f>IF(NOTA[[#This Row],[TGL.NOTA]]="",IF(NOTA[[#This Row],[SUPPLIER_H]]="","",AJ289),MONTH(NOTA[[#This Row],[TGL.NOTA]]))</f>
        <v>4</v>
      </c>
      <c r="AK29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MORO23040860SA 4106445028kenkocutterl50018mmblade</v>
      </c>
      <c r="AO290" s="38" t="e">
        <f>IF(NOTA[[#This Row],[CONCAT4]]="","",_xlfn.IFNA(MATCH(NOTA[[#This Row],[CONCAT4]],[2]!RAW[CONCAT_H],0),FALSE))</f>
        <v>#REF!</v>
      </c>
      <c r="AP290" s="174">
        <f>IF(NOTA[[#This Row],[CONCAT1]]="","",MATCH(NOTA[[#This Row],[CONCAT1]],[3]!db[NB NOTA_C],0)+1)</f>
        <v>291</v>
      </c>
    </row>
    <row r="291" spans="1:42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59</v>
      </c>
      <c r="E291" s="23"/>
      <c r="F291" s="26"/>
      <c r="G291" s="26"/>
      <c r="H291" s="31"/>
      <c r="I291" s="26"/>
      <c r="J291" s="51"/>
      <c r="K291" s="26"/>
      <c r="L291" s="26" t="s">
        <v>371</v>
      </c>
      <c r="M291" s="39">
        <v>5</v>
      </c>
      <c r="N291" s="26"/>
      <c r="O291" s="26"/>
      <c r="P291" s="49"/>
      <c r="Q291" s="52">
        <v>1050000</v>
      </c>
      <c r="R291" s="39" t="s">
        <v>373</v>
      </c>
      <c r="S291" s="53">
        <v>0.17</v>
      </c>
      <c r="T291" s="53"/>
      <c r="U291" s="54"/>
      <c r="V291" s="37"/>
      <c r="W291" s="54">
        <f>IF(NOTA[[#This Row],[HARGA/ CTN]]="",NOTA[[#This Row],[JUMLAH_H]],NOTA[[#This Row],[HARGA/ CTN]]*IF(NOTA[[#This Row],[C]]="",0,NOTA[[#This Row],[C]]))</f>
        <v>5250000</v>
      </c>
      <c r="X291" s="54">
        <f>IF(NOTA[[#This Row],[JUMLAH]]="","",NOTA[[#This Row],[JUMLAH]]*NOTA[[#This Row],[DISC 1]])</f>
        <v>892500.00000000012</v>
      </c>
      <c r="Y291" s="54">
        <f>IF(NOTA[[#This Row],[JUMLAH]]="","",(NOTA[[#This Row],[JUMLAH]]-NOTA[[#This Row],[DISC 1-]])*NOTA[[#This Row],[DISC 2]])</f>
        <v>0</v>
      </c>
      <c r="Z291" s="54">
        <f>IF(NOTA[[#This Row],[JUMLAH]]="","",NOTA[[#This Row],[DISC 1-]]+NOTA[[#This Row],[DISC 2-]])</f>
        <v>892500.00000000012</v>
      </c>
      <c r="AA291" s="54">
        <f>IF(NOTA[[#This Row],[JUMLAH]]="","",NOTA[[#This Row],[JUMLAH]]-NOTA[[#This Row],[DISC]])</f>
        <v>4357500</v>
      </c>
      <c r="AB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2398020</v>
      </c>
      <c r="AC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11707980</v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291" s="54" t="str">
        <f>IF(OR(NOTA[[#This Row],[QTY]]="",NOTA[[#This Row],[HARGA SATUAN]]="",),"",NOTA[[#This Row],[QTY]]*NOTA[[#This Row],[HARGA SATUAN]])</f>
        <v/>
      </c>
      <c r="AF291" s="51">
        <f ca="1">IF(NOTA[ID_H]="","",INDEX(NOTA[TANGGAL],MATCH(,INDIRECT(ADDRESS(ROW(NOTA[TANGGAL]),COLUMN(NOTA[TANGGAL]))&amp;":"&amp;ADDRESS(ROW(),COLUMN(NOTA[TANGGAL]))),-1)))</f>
        <v>45030</v>
      </c>
      <c r="AG291" s="65" t="str">
        <f ca="1">IF(NOTA[[#This Row],[NAMA BARANG]]="","",INDEX(NOTA[SUPPLIER],MATCH(,INDIRECT(ADDRESS(ROW(NOTA[ID]),COLUMN(NOTA[ID]))&amp;":"&amp;ADDRESS(ROW(),COLUMN(NOTA[ID]))),-1)))</f>
        <v>KENKO SINAR INDONESIA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4</v>
      </c>
      <c r="AK291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38" t="str">
        <f>IF(NOTA[[#This Row],[CONCAT4]]="","",_xlfn.IFNA(MATCH(NOTA[[#This Row],[CONCAT4]],[2]!RAW[CONCAT_H],0),FALSE))</f>
        <v/>
      </c>
      <c r="AP291" s="174">
        <f>IF(NOTA[[#This Row],[CONCAT1]]="","",MATCH(NOTA[[#This Row],[CONCAT1]],[3]!db[NB NOTA_C],0)+1)</f>
        <v>534</v>
      </c>
    </row>
    <row r="292" spans="1:42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51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38" t="str">
        <f>IF(NOTA[[#This Row],[CONCAT4]]="","",_xlfn.IFNA(MATCH(NOTA[[#This Row],[CONCAT4]],[2]!RAW[CONCAT_H],0),FALSE))</f>
        <v/>
      </c>
      <c r="AP292" s="174" t="str">
        <f>IF(NOTA[[#This Row],[CONCAT1]]="","",MATCH(NOTA[[#This Row],[CONCAT1]],[3]!db[NB NOTA_C],0)+1)</f>
        <v/>
      </c>
    </row>
    <row r="293" spans="1:42" ht="20.100000000000001" customHeight="1" x14ac:dyDescent="0.25">
      <c r="A293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2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KEN_1404_951-3</v>
      </c>
      <c r="C293" s="50" t="e">
        <f ca="1">IF(NOTA[[#This Row],[ID_P]]="","",MATCH(NOTA[[#This Row],[ID_P]],[1]!B_MSK[N_ID],0))</f>
        <v>#REF!</v>
      </c>
      <c r="D293" s="50">
        <f ca="1">IF(NOTA[[#This Row],[NAMA BARANG]]="","",INDEX(NOTA[ID],MATCH(,INDIRECT(ADDRESS(ROW(NOTA[ID]),COLUMN(NOTA[ID]))&amp;":"&amp;ADDRESS(ROW(),COLUMN(NOTA[ID]))),-1)))</f>
        <v>60</v>
      </c>
      <c r="E293" s="23"/>
      <c r="F293" s="26" t="s">
        <v>23</v>
      </c>
      <c r="G293" s="26" t="s">
        <v>24</v>
      </c>
      <c r="H293" s="31" t="s">
        <v>472</v>
      </c>
      <c r="I293" s="26" t="s">
        <v>475</v>
      </c>
      <c r="J293" s="51">
        <v>45029</v>
      </c>
      <c r="K293" s="51"/>
      <c r="L293" s="26" t="s">
        <v>473</v>
      </c>
      <c r="M293" s="39">
        <v>5</v>
      </c>
      <c r="N293" s="26"/>
      <c r="O293" s="26"/>
      <c r="P293" s="49"/>
      <c r="Q293" s="52">
        <v>840000</v>
      </c>
      <c r="R293" s="39" t="s">
        <v>476</v>
      </c>
      <c r="S293" s="53">
        <v>0.17</v>
      </c>
      <c r="T293" s="53"/>
      <c r="U293" s="54"/>
      <c r="V293" s="37"/>
      <c r="W293" s="54">
        <f>IF(NOTA[[#This Row],[HARGA/ CTN]]="",NOTA[[#This Row],[JUMLAH_H]],NOTA[[#This Row],[HARGA/ CTN]]*IF(NOTA[[#This Row],[C]]="",0,NOTA[[#This Row],[C]]))</f>
        <v>4200000</v>
      </c>
      <c r="X293" s="54">
        <f>IF(NOTA[[#This Row],[JUMLAH]]="","",NOTA[[#This Row],[JUMLAH]]*NOTA[[#This Row],[DISC 1]])</f>
        <v>714000</v>
      </c>
      <c r="Y293" s="54">
        <f>IF(NOTA[[#This Row],[JUMLAH]]="","",(NOTA[[#This Row],[JUMLAH]]-NOTA[[#This Row],[DISC 1-]])*NOTA[[#This Row],[DISC 2]])</f>
        <v>0</v>
      </c>
      <c r="Z293" s="54">
        <f>IF(NOTA[[#This Row],[JUMLAH]]="","",NOTA[[#This Row],[DISC 1-]]+NOTA[[#This Row],[DISC 2-]])</f>
        <v>714000</v>
      </c>
      <c r="AA293" s="54">
        <f>IF(NOTA[[#This Row],[JUMLAH]]="","",NOTA[[#This Row],[JUMLAH]]-NOTA[[#This Row],[DISC]])</f>
        <v>3486000</v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93" s="54" t="str">
        <f>IF(OR(NOTA[[#This Row],[QTY]]="",NOTA[[#This Row],[HARGA SATUAN]]="",),"",NOTA[[#This Row],[QTY]]*NOTA[[#This Row],[HARGA SATUAN]])</f>
        <v/>
      </c>
      <c r="AF293" s="51">
        <f ca="1">IF(NOTA[ID_H]="","",INDEX(NOTA[TANGGAL],MATCH(,INDIRECT(ADDRESS(ROW(NOTA[TANGGAL]),COLUMN(NOTA[TANGGAL]))&amp;":"&amp;ADDRESS(ROW(),COLUMN(NOTA[TANGGAL]))),-1)))</f>
        <v>45030</v>
      </c>
      <c r="AG293" s="65" t="str">
        <f ca="1">IF(NOTA[[#This Row],[NAMA BARANG]]="","",INDEX(NOTA[SUPPLIER],MATCH(,INDIRECT(ADDRESS(ROW(NOTA[ID]),COLUMN(NOTA[ID]))&amp;":"&amp;ADDRESS(ROW(),COLUMN(NOTA[ID]))),-1)))</f>
        <v>KENKO SINAR INDONESIA</v>
      </c>
      <c r="AH293" s="65" t="str">
        <f ca="1">IF(NOTA[[#This Row],[ID_H]]="","",IF(NOTA[[#This Row],[FAKTUR]]="",INDIRECT(ADDRESS(ROW()-1,COLUMN())),NOTA[[#This Row],[FAKTUR]]))</f>
        <v>ARTO MORO</v>
      </c>
      <c r="AI293" s="38">
        <f ca="1">IF(NOTA[[#This Row],[ID]]="","",COUNTIF(NOTA[ID_H],NOTA[[#This Row],[ID_H]]))</f>
        <v>3</v>
      </c>
      <c r="AJ293" s="38">
        <f>IF(NOTA[[#This Row],[TGL.NOTA]]="",IF(NOTA[[#This Row],[SUPPLIER_H]]="","",AJ292),MONTH(NOTA[[#This Row],[TGL.NOTA]]))</f>
        <v>4</v>
      </c>
      <c r="AK293" s="38" t="str">
        <f>LOWER(SUBSTITUTE(SUBSTITUTE(SUBSTITUTE(SUBSTITUTE(SUBSTITUTE(SUBSTITUTE(SUBSTITUTE(SUBSTITUTE(SUBSTITUTE(NOTA[NAMA BARANG]," ",),".",""),"-",""),"(",""),")",""),",",""),"/",""),"""",""),"+",""))</f>
        <v>kenkostaplesno101m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kenkostaplesno101m8400000.17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kenkostaplesno101m8400000.17</v>
      </c>
      <c r="AN29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MORO23040951SA 4107445029kenkostaplesno101m</v>
      </c>
      <c r="AO293" s="38" t="e">
        <f>IF(NOTA[[#This Row],[CONCAT4]]="","",_xlfn.IFNA(MATCH(NOTA[[#This Row],[CONCAT4]],[2]!RAW[CONCAT_H],0),FALSE))</f>
        <v>#REF!</v>
      </c>
      <c r="AP293" s="174">
        <f>IF(NOTA[[#This Row],[CONCAT1]]="","",MATCH(NOTA[[#This Row],[CONCAT1]],[3]!db[NB NOTA_C],0)+1)</f>
        <v>491</v>
      </c>
    </row>
    <row r="294" spans="1:42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>
        <f ca="1">IF(NOTA[[#This Row],[NAMA BARANG]]="","",INDEX(NOTA[ID],MATCH(,INDIRECT(ADDRESS(ROW(NOTA[ID]),COLUMN(NOTA[ID]))&amp;":"&amp;ADDRESS(ROW(),COLUMN(NOTA[ID]))),-1)))</f>
        <v>60</v>
      </c>
      <c r="E294" s="23"/>
      <c r="F294" s="26"/>
      <c r="G294" s="26"/>
      <c r="H294" s="31"/>
      <c r="I294" s="26"/>
      <c r="J294" s="51"/>
      <c r="K294" s="26"/>
      <c r="L294" s="26" t="s">
        <v>474</v>
      </c>
      <c r="M294" s="39">
        <v>3</v>
      </c>
      <c r="N294" s="26"/>
      <c r="O294" s="26"/>
      <c r="P294" s="49"/>
      <c r="Q294" s="52">
        <v>1548000</v>
      </c>
      <c r="R294" s="39" t="s">
        <v>477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4644000</v>
      </c>
      <c r="X294" s="54">
        <f>IF(NOTA[[#This Row],[JUMLAH]]="","",NOTA[[#This Row],[JUMLAH]]*NOTA[[#This Row],[DISC 1]])</f>
        <v>789480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789480</v>
      </c>
      <c r="AA294" s="54">
        <f>IF(NOTA[[#This Row],[JUMLAH]]="","",NOTA[[#This Row],[JUMLAH]]-NOTA[[#This Row],[DISC]])</f>
        <v>3854520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45030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 t="str">
        <f ca="1">IF(NOTA[[#This Row],[ID]]="","",COUNTIF(NOTA[ID_H],NOTA[[#This Row],[ID_H]]))</f>
        <v/>
      </c>
      <c r="AJ294" s="38">
        <f ca="1">IF(NOTA[[#This Row],[TGL.NOTA]]="",IF(NOTA[[#This Row],[SUPPLIER_H]]="","",AJ293),MONTH(NOTA[[#This Row],[TGL.NOTA]]))</f>
        <v>4</v>
      </c>
      <c r="AK294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38" t="str">
        <f>IF(NOTA[[#This Row],[CONCAT4]]="","",_xlfn.IFNA(MATCH(NOTA[[#This Row],[CONCAT4]],[2]!RAW[CONCAT_H],0),FALSE))</f>
        <v/>
      </c>
      <c r="AP294" s="174">
        <f>IF(NOTA[[#This Row],[CONCAT1]]="","",MATCH(NOTA[[#This Row],[CONCAT1]],[3]!db[NB NOTA_C],0)+1)</f>
        <v>50</v>
      </c>
    </row>
    <row r="295" spans="1:42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60</v>
      </c>
      <c r="E295" s="23"/>
      <c r="F295" s="26"/>
      <c r="G295" s="38"/>
      <c r="H295" s="26"/>
      <c r="I295" s="26"/>
      <c r="J295" s="51"/>
      <c r="K295" s="26"/>
      <c r="L295" s="26" t="s">
        <v>140</v>
      </c>
      <c r="M295" s="39">
        <v>1</v>
      </c>
      <c r="N295" s="26"/>
      <c r="O295" s="26"/>
      <c r="P295" s="49"/>
      <c r="Q295" s="52">
        <v>1380000</v>
      </c>
      <c r="R295" s="39" t="s">
        <v>226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1380000</v>
      </c>
      <c r="X295" s="54">
        <f>IF(NOTA[[#This Row],[JUMLAH]]="","",NOTA[[#This Row],[JUMLAH]]*NOTA[[#This Row],[DISC 1]])</f>
        <v>234600.00000000003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234600.00000000003</v>
      </c>
      <c r="AA295" s="54">
        <f>IF(NOTA[[#This Row],[JUMLAH]]="","",NOTA[[#This Row],[JUMLAH]]-NOTA[[#This Row],[DISC]])</f>
        <v>1145400</v>
      </c>
      <c r="AB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1738080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8485920</v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45030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4</v>
      </c>
      <c r="AK295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38" t="str">
        <f>IF(NOTA[[#This Row],[CONCAT4]]="","",_xlfn.IFNA(MATCH(NOTA[[#This Row],[CONCAT4]],[2]!RAW[CONCAT_H],0),FALSE))</f>
        <v/>
      </c>
      <c r="AP295" s="174">
        <f>IF(NOTA[[#This Row],[CONCAT1]]="","",MATCH(NOTA[[#This Row],[CONCAT1]],[3]!db[NB NOTA_C],0)+1)</f>
        <v>46</v>
      </c>
    </row>
    <row r="296" spans="1:42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38" t="str">
        <f>IF(NOTA[[#This Row],[CONCAT4]]="","",_xlfn.IFNA(MATCH(NOTA[[#This Row],[CONCAT4]],[2]!RAW[CONCAT_H],0),FALSE))</f>
        <v/>
      </c>
      <c r="AP296" s="174" t="str">
        <f>IF(NOTA[[#This Row],[CONCAT1]]="","",MATCH(NOTA[[#This Row],[CONCAT1]],[3]!db[NB NOTA_C],0)+1)</f>
        <v/>
      </c>
    </row>
    <row r="297" spans="1:42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ATA_1404_164-6</v>
      </c>
      <c r="C297" s="50" t="e">
        <f ca="1">IF(NOTA[[#This Row],[ID_P]]="","",MATCH(NOTA[[#This Row],[ID_P]],[1]!B_MSK[N_ID],0))</f>
        <v>#REF!</v>
      </c>
      <c r="D297" s="50">
        <f ca="1">IF(NOTA[[#This Row],[NAMA BARANG]]="","",INDEX(NOTA[ID],MATCH(,INDIRECT(ADDRESS(ROW(NOTA[ID]),COLUMN(NOTA[ID]))&amp;":"&amp;ADDRESS(ROW(),COLUMN(NOTA[ID]))),-1)))</f>
        <v>61</v>
      </c>
      <c r="E297" s="23"/>
      <c r="F297" s="26" t="s">
        <v>25</v>
      </c>
      <c r="G297" s="26" t="s">
        <v>24</v>
      </c>
      <c r="H297" s="31" t="s">
        <v>478</v>
      </c>
      <c r="I297" s="26"/>
      <c r="J297" s="51">
        <v>45027</v>
      </c>
      <c r="K297" s="26"/>
      <c r="L297" s="26" t="s">
        <v>479</v>
      </c>
      <c r="M297" s="39">
        <v>1</v>
      </c>
      <c r="N297" s="26">
        <v>30</v>
      </c>
      <c r="O297" s="26" t="s">
        <v>294</v>
      </c>
      <c r="P297" s="49">
        <v>104400</v>
      </c>
      <c r="Q297" s="52"/>
      <c r="R297" s="39" t="s">
        <v>395</v>
      </c>
      <c r="S297" s="53">
        <v>0.125</v>
      </c>
      <c r="T297" s="53">
        <v>0.05</v>
      </c>
      <c r="U297" s="54"/>
      <c r="V297" s="37"/>
      <c r="W297" s="54">
        <f>IF(NOTA[[#This Row],[HARGA/ CTN]]="",NOTA[[#This Row],[JUMLAH_H]],NOTA[[#This Row],[HARGA/ CTN]]*IF(NOTA[[#This Row],[C]]="",0,NOTA[[#This Row],[C]]))</f>
        <v>3132000</v>
      </c>
      <c r="X297" s="54">
        <f>IF(NOTA[[#This Row],[JUMLAH]]="","",NOTA[[#This Row],[JUMLAH]]*NOTA[[#This Row],[DISC 1]])</f>
        <v>391500</v>
      </c>
      <c r="Y297" s="54">
        <f>IF(NOTA[[#This Row],[JUMLAH]]="","",(NOTA[[#This Row],[JUMLAH]]-NOTA[[#This Row],[DISC 1-]])*NOTA[[#This Row],[DISC 2]])</f>
        <v>137025</v>
      </c>
      <c r="Z297" s="54">
        <f>IF(NOTA[[#This Row],[JUMLAH]]="","",NOTA[[#This Row],[DISC 1-]]+NOTA[[#This Row],[DISC 2-]])</f>
        <v>528525</v>
      </c>
      <c r="AA297" s="54">
        <f>IF(NOTA[[#This Row],[JUMLAH]]="","",NOTA[[#This Row],[JUMLAH]]-NOTA[[#This Row],[DISC]])</f>
        <v>2603475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97" s="54">
        <f>IF(OR(NOTA[[#This Row],[QTY]]="",NOTA[[#This Row],[HARGA SATUAN]]="",),"",NOTA[[#This Row],[QTY]]*NOTA[[#This Row],[HARGA SATUAN]])</f>
        <v>3132000</v>
      </c>
      <c r="AF297" s="51">
        <f ca="1">IF(NOTA[ID_H]="","",INDEX(NOTA[TANGGAL],MATCH(,INDIRECT(ADDRESS(ROW(NOTA[TANGGAL]),COLUMN(NOTA[TANGGAL]))&amp;":"&amp;ADDRESS(ROW(),COLUMN(NOTA[TANGGAL]))),-1)))</f>
        <v>45030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>
        <f ca="1">IF(NOTA[[#This Row],[ID]]="","",COUNTIF(NOTA[ID_H],NOTA[[#This Row],[ID_H]]))</f>
        <v>6</v>
      </c>
      <c r="AJ297" s="38">
        <f>IF(NOTA[[#This Row],[TGL.NOTA]]="",IF(NOTA[[#This Row],[SUPPLIER_H]]="","",AJ296),MONTH(NOTA[[#This Row],[TGL.NOTA]]))</f>
        <v>4</v>
      </c>
      <c r="AK29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9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MOROSA23040616445027pencilp882bjk</v>
      </c>
      <c r="AO297" s="38" t="e">
        <f>IF(NOTA[[#This Row],[CONCAT4]]="","",_xlfn.IFNA(MATCH(NOTA[[#This Row],[CONCAT4]],[2]!RAW[CONCAT_H],0),FALSE))</f>
        <v>#REF!</v>
      </c>
      <c r="AP297" s="174">
        <f>IF(NOTA[[#This Row],[CONCAT1]]="","",MATCH(NOTA[[#This Row],[CONCAT1]],[3]!db[NB NOTA_C],0)+1)</f>
        <v>644</v>
      </c>
    </row>
    <row r="298" spans="1:42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61</v>
      </c>
      <c r="E298" s="23"/>
      <c r="F298" s="26"/>
      <c r="G298" s="26"/>
      <c r="H298" s="31"/>
      <c r="I298" s="26"/>
      <c r="J298" s="51"/>
      <c r="K298" s="26"/>
      <c r="L298" s="26" t="s">
        <v>129</v>
      </c>
      <c r="M298" s="39">
        <v>1</v>
      </c>
      <c r="N298" s="26">
        <v>144</v>
      </c>
      <c r="O298" s="26" t="s">
        <v>188</v>
      </c>
      <c r="P298" s="49">
        <v>10600</v>
      </c>
      <c r="Q298" s="52"/>
      <c r="R298" s="39" t="s">
        <v>328</v>
      </c>
      <c r="S298" s="53">
        <v>0.125</v>
      </c>
      <c r="T298" s="53">
        <v>0.05</v>
      </c>
      <c r="U298" s="54"/>
      <c r="V298" s="37"/>
      <c r="W298" s="54">
        <f>IF(NOTA[[#This Row],[HARGA/ CTN]]="",NOTA[[#This Row],[JUMLAH_H]],NOTA[[#This Row],[HARGA/ CTN]]*IF(NOTA[[#This Row],[C]]="",0,NOTA[[#This Row],[C]]))</f>
        <v>1526400</v>
      </c>
      <c r="X298" s="54">
        <f>IF(NOTA[[#This Row],[JUMLAH]]="","",NOTA[[#This Row],[JUMLAH]]*NOTA[[#This Row],[DISC 1]])</f>
        <v>190800</v>
      </c>
      <c r="Y298" s="54">
        <f>IF(NOTA[[#This Row],[JUMLAH]]="","",(NOTA[[#This Row],[JUMLAH]]-NOTA[[#This Row],[DISC 1-]])*NOTA[[#This Row],[DISC 2]])</f>
        <v>66780</v>
      </c>
      <c r="Z298" s="54">
        <f>IF(NOTA[[#This Row],[JUMLAH]]="","",NOTA[[#This Row],[DISC 1-]]+NOTA[[#This Row],[DISC 2-]])</f>
        <v>257580</v>
      </c>
      <c r="AA298" s="54">
        <f>IF(NOTA[[#This Row],[JUMLAH]]="","",NOTA[[#This Row],[JUMLAH]]-NOTA[[#This Row],[DISC]])</f>
        <v>1268820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98" s="54">
        <f>IF(OR(NOTA[[#This Row],[QTY]]="",NOTA[[#This Row],[HARGA SATUAN]]="",),"",NOTA[[#This Row],[QTY]]*NOTA[[#This Row],[HARGA SATUAN]])</f>
        <v>1526400</v>
      </c>
      <c r="AF298" s="51">
        <f ca="1">IF(NOTA[ID_H]="","",INDEX(NOTA[TANGGAL],MATCH(,INDIRECT(ADDRESS(ROW(NOTA[TANGGAL]),COLUMN(NOTA[TANGGAL]))&amp;":"&amp;ADDRESS(ROW(),COLUMN(NOTA[TANGGAL]))),-1)))</f>
        <v>45030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4</v>
      </c>
      <c r="AK29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38" t="str">
        <f>IF(NOTA[[#This Row],[CONCAT4]]="","",_xlfn.IFNA(MATCH(NOTA[[#This Row],[CONCAT4]],[2]!RAW[CONCAT_H],0),FALSE))</f>
        <v/>
      </c>
      <c r="AP298" s="174">
        <f>IF(NOTA[[#This Row],[CONCAT1]]="","",MATCH(NOTA[[#This Row],[CONCAT1]],[3]!db[NB NOTA_C],0)+1)</f>
        <v>669</v>
      </c>
    </row>
    <row r="299" spans="1:42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61</v>
      </c>
      <c r="E299" s="23"/>
      <c r="F299" s="38"/>
      <c r="G299" s="38"/>
      <c r="H299" s="79"/>
      <c r="I299" s="26"/>
      <c r="J299" s="51"/>
      <c r="K299" s="26"/>
      <c r="L299" s="26" t="s">
        <v>124</v>
      </c>
      <c r="M299" s="39">
        <v>1</v>
      </c>
      <c r="N299" s="26">
        <v>144</v>
      </c>
      <c r="O299" s="26" t="s">
        <v>188</v>
      </c>
      <c r="P299" s="49">
        <v>13800</v>
      </c>
      <c r="Q299" s="52"/>
      <c r="R299" s="39" t="s">
        <v>328</v>
      </c>
      <c r="S299" s="53">
        <v>0.125</v>
      </c>
      <c r="T299" s="53">
        <v>0.05</v>
      </c>
      <c r="U299" s="54"/>
      <c r="V299" s="37"/>
      <c r="W299" s="54">
        <f>IF(NOTA[[#This Row],[HARGA/ CTN]]="",NOTA[[#This Row],[JUMLAH_H]],NOTA[[#This Row],[HARGA/ CTN]]*IF(NOTA[[#This Row],[C]]="",0,NOTA[[#This Row],[C]]))</f>
        <v>1987200</v>
      </c>
      <c r="X299" s="54">
        <f>IF(NOTA[[#This Row],[JUMLAH]]="","",NOTA[[#This Row],[JUMLAH]]*NOTA[[#This Row],[DISC 1]])</f>
        <v>248400</v>
      </c>
      <c r="Y299" s="54">
        <f>IF(NOTA[[#This Row],[JUMLAH]]="","",(NOTA[[#This Row],[JUMLAH]]-NOTA[[#This Row],[DISC 1-]])*NOTA[[#This Row],[DISC 2]])</f>
        <v>86940</v>
      </c>
      <c r="Z299" s="54">
        <f>IF(NOTA[[#This Row],[JUMLAH]]="","",NOTA[[#This Row],[DISC 1-]]+NOTA[[#This Row],[DISC 2-]])</f>
        <v>335340</v>
      </c>
      <c r="AA299" s="54">
        <f>IF(NOTA[[#This Row],[JUMLAH]]="","",NOTA[[#This Row],[JUMLAH]]-NOTA[[#This Row],[DISC]])</f>
        <v>1651860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99" s="54">
        <f>IF(OR(NOTA[[#This Row],[QTY]]="",NOTA[[#This Row],[HARGA SATUAN]]="",),"",NOTA[[#This Row],[QTY]]*NOTA[[#This Row],[HARGA SATUAN]])</f>
        <v>1987200</v>
      </c>
      <c r="AF299" s="51">
        <f ca="1">IF(NOTA[ID_H]="","",INDEX(NOTA[TANGGAL],MATCH(,INDIRECT(ADDRESS(ROW(NOTA[TANGGAL]),COLUMN(NOTA[TANGGAL]))&amp;":"&amp;ADDRESS(ROW(),COLUMN(NOTA[TANGGAL]))),-1)))</f>
        <v>45030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4</v>
      </c>
      <c r="AK299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N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9" s="38" t="str">
        <f>IF(NOTA[[#This Row],[CONCAT4]]="","",_xlfn.IFNA(MATCH(NOTA[[#This Row],[CONCAT4]],[2]!RAW[CONCAT_H],0),FALSE))</f>
        <v/>
      </c>
      <c r="AP299" s="174">
        <f>IF(NOTA[[#This Row],[CONCAT1]]="","",MATCH(NOTA[[#This Row],[CONCAT1]],[3]!db[NB NOTA_C],0)+1)</f>
        <v>673</v>
      </c>
    </row>
    <row r="300" spans="1:42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61</v>
      </c>
      <c r="E300" s="23"/>
      <c r="F300" s="26"/>
      <c r="G300" s="26"/>
      <c r="H300" s="31"/>
      <c r="I300" s="26"/>
      <c r="J300" s="51"/>
      <c r="K300" s="26"/>
      <c r="L300" s="26" t="s">
        <v>480</v>
      </c>
      <c r="M300" s="39">
        <v>1</v>
      </c>
      <c r="N300" s="26">
        <v>50</v>
      </c>
      <c r="O300" s="26" t="s">
        <v>204</v>
      </c>
      <c r="P300" s="49">
        <v>28300</v>
      </c>
      <c r="Q300" s="52"/>
      <c r="R300" s="39" t="s">
        <v>352</v>
      </c>
      <c r="S300" s="53">
        <v>0.125</v>
      </c>
      <c r="T300" s="53">
        <v>0.05</v>
      </c>
      <c r="U300" s="54"/>
      <c r="V300" s="37"/>
      <c r="W300" s="54">
        <f>IF(NOTA[[#This Row],[HARGA/ CTN]]="",NOTA[[#This Row],[JUMLAH_H]],NOTA[[#This Row],[HARGA/ CTN]]*IF(NOTA[[#This Row],[C]]="",0,NOTA[[#This Row],[C]]))</f>
        <v>1415000</v>
      </c>
      <c r="X300" s="54">
        <f>IF(NOTA[[#This Row],[JUMLAH]]="","",NOTA[[#This Row],[JUMLAH]]*NOTA[[#This Row],[DISC 1]])</f>
        <v>176875</v>
      </c>
      <c r="Y300" s="54">
        <f>IF(NOTA[[#This Row],[JUMLAH]]="","",(NOTA[[#This Row],[JUMLAH]]-NOTA[[#This Row],[DISC 1-]])*NOTA[[#This Row],[DISC 2]])</f>
        <v>61906.25</v>
      </c>
      <c r="Z300" s="54">
        <f>IF(NOTA[[#This Row],[JUMLAH]]="","",NOTA[[#This Row],[DISC 1-]]+NOTA[[#This Row],[DISC 2-]])</f>
        <v>238781.25</v>
      </c>
      <c r="AA300" s="54">
        <f>IF(NOTA[[#This Row],[JUMLAH]]="","",NOTA[[#This Row],[JUMLAH]]-NOTA[[#This Row],[DISC]])</f>
        <v>1176218.75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00" s="54">
        <f>IF(OR(NOTA[[#This Row],[QTY]]="",NOTA[[#This Row],[HARGA SATUAN]]="",),"",NOTA[[#This Row],[QTY]]*NOTA[[#This Row],[HARGA SATUAN]])</f>
        <v>1415000</v>
      </c>
      <c r="AF300" s="51">
        <f ca="1">IF(NOTA[ID_H]="","",INDEX(NOTA[TANGGAL],MATCH(,INDIRECT(ADDRESS(ROW(NOTA[TANGGAL]),COLUMN(NOTA[TANGGAL]))&amp;":"&amp;ADDRESS(ROW(),COLUMN(NOTA[TANGGAL]))),-1)))</f>
        <v>45030</v>
      </c>
      <c r="AG300" s="65" t="str">
        <f ca="1">IF(NOTA[[#This Row],[NAMA BARANG]]="","",INDEX(NOTA[SUPPLIER],MATCH(,INDIRECT(ADDRESS(ROW(NOTA[ID]),COLUMN(NOTA[ID]))&amp;":"&amp;ADDRESS(ROW(),COLUMN(NOTA[ID]))),-1)))</f>
        <v>ATALI MAKMUR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4</v>
      </c>
      <c r="AK30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38" t="str">
        <f>IF(NOTA[[#This Row],[CONCAT4]]="","",_xlfn.IFNA(MATCH(NOTA[[#This Row],[CONCAT4]],[2]!RAW[CONCAT_H],0),FALSE))</f>
        <v/>
      </c>
      <c r="AP300" s="174">
        <f>IF(NOTA[[#This Row],[CONCAT1]]="","",MATCH(NOTA[[#This Row],[CONCAT1]],[3]!db[NB NOTA_C],0)+1)</f>
        <v>778</v>
      </c>
    </row>
    <row r="301" spans="1:42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61</v>
      </c>
      <c r="E301" s="23"/>
      <c r="F301" s="26"/>
      <c r="G301" s="26"/>
      <c r="H301" s="31"/>
      <c r="I301" s="26"/>
      <c r="J301" s="51"/>
      <c r="K301" s="26"/>
      <c r="L301" s="26" t="s">
        <v>481</v>
      </c>
      <c r="M301" s="39">
        <v>1</v>
      </c>
      <c r="N301" s="26">
        <v>50</v>
      </c>
      <c r="O301" s="26" t="s">
        <v>204</v>
      </c>
      <c r="P301" s="49">
        <v>28600</v>
      </c>
      <c r="Q301" s="52"/>
      <c r="R301" s="39" t="s">
        <v>352</v>
      </c>
      <c r="S301" s="53">
        <v>0.125</v>
      </c>
      <c r="T301" s="53">
        <v>0.05</v>
      </c>
      <c r="U301" s="54"/>
      <c r="V301" s="37"/>
      <c r="W301" s="54">
        <f>IF(NOTA[[#This Row],[HARGA/ CTN]]="",NOTA[[#This Row],[JUMLAH_H]],NOTA[[#This Row],[HARGA/ CTN]]*IF(NOTA[[#This Row],[C]]="",0,NOTA[[#This Row],[C]]))</f>
        <v>1430000</v>
      </c>
      <c r="X301" s="54">
        <f>IF(NOTA[[#This Row],[JUMLAH]]="","",NOTA[[#This Row],[JUMLAH]]*NOTA[[#This Row],[DISC 1]])</f>
        <v>178750</v>
      </c>
      <c r="Y301" s="54">
        <f>IF(NOTA[[#This Row],[JUMLAH]]="","",(NOTA[[#This Row],[JUMLAH]]-NOTA[[#This Row],[DISC 1-]])*NOTA[[#This Row],[DISC 2]])</f>
        <v>62562.5</v>
      </c>
      <c r="Z301" s="54">
        <f>IF(NOTA[[#This Row],[JUMLAH]]="","",NOTA[[#This Row],[DISC 1-]]+NOTA[[#This Row],[DISC 2-]])</f>
        <v>241312.5</v>
      </c>
      <c r="AA301" s="54">
        <f>IF(NOTA[[#This Row],[JUMLAH]]="","",NOTA[[#This Row],[JUMLAH]]-NOTA[[#This Row],[DISC]])</f>
        <v>1188687.5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301" s="54">
        <f>IF(OR(NOTA[[#This Row],[QTY]]="",NOTA[[#This Row],[HARGA SATUAN]]="",),"",NOTA[[#This Row],[QTY]]*NOTA[[#This Row],[HARGA SATUAN]])</f>
        <v>1430000</v>
      </c>
      <c r="AF301" s="51">
        <f ca="1">IF(NOTA[ID_H]="","",INDEX(NOTA[TANGGAL],MATCH(,INDIRECT(ADDRESS(ROW(NOTA[TANGGAL]),COLUMN(NOTA[TANGGAL]))&amp;":"&amp;ADDRESS(ROW(),COLUMN(NOTA[TANGGAL]))),-1)))</f>
        <v>45030</v>
      </c>
      <c r="AG301" s="65" t="str">
        <f ca="1">IF(NOTA[[#This Row],[NAMA BARANG]]="","",INDEX(NOTA[SUPPLIER],MATCH(,INDIRECT(ADDRESS(ROW(NOTA[ID]),COLUMN(NOTA[ID]))&amp;":"&amp;ADDRESS(ROW(),COLUMN(NOTA[ID]))),-1)))</f>
        <v>ATALI MAKMUR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4</v>
      </c>
      <c r="AK301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1" s="38" t="str">
        <f>IF(NOTA[[#This Row],[CONCAT4]]="","",_xlfn.IFNA(MATCH(NOTA[[#This Row],[CONCAT4]],[2]!RAW[CONCAT_H],0),FALSE))</f>
        <v/>
      </c>
      <c r="AP301" s="174">
        <f>IF(NOTA[[#This Row],[CONCAT1]]="","",MATCH(NOTA[[#This Row],[CONCAT1]],[3]!db[NB NOTA_C],0)+1)</f>
        <v>777</v>
      </c>
    </row>
    <row r="302" spans="1:42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61</v>
      </c>
      <c r="E302" s="23"/>
      <c r="F302" s="26"/>
      <c r="G302" s="26"/>
      <c r="H302" s="31"/>
      <c r="I302" s="26"/>
      <c r="J302" s="51"/>
      <c r="K302" s="26"/>
      <c r="L302" s="26" t="s">
        <v>105</v>
      </c>
      <c r="M302" s="39">
        <v>1</v>
      </c>
      <c r="N302" s="26">
        <v>144</v>
      </c>
      <c r="O302" s="26" t="s">
        <v>198</v>
      </c>
      <c r="P302" s="49">
        <v>6500</v>
      </c>
      <c r="Q302" s="52"/>
      <c r="R302" s="39" t="s">
        <v>333</v>
      </c>
      <c r="S302" s="53">
        <v>0.125</v>
      </c>
      <c r="T302" s="53">
        <v>0.05</v>
      </c>
      <c r="U302" s="54"/>
      <c r="V302" s="37"/>
      <c r="W302" s="54">
        <f>IF(NOTA[[#This Row],[HARGA/ CTN]]="",NOTA[[#This Row],[JUMLAH_H]],NOTA[[#This Row],[HARGA/ CTN]]*IF(NOTA[[#This Row],[C]]="",0,NOTA[[#This Row],[C]]))</f>
        <v>936000</v>
      </c>
      <c r="X302" s="54">
        <f>IF(NOTA[[#This Row],[JUMLAH]]="","",NOTA[[#This Row],[JUMLAH]]*NOTA[[#This Row],[DISC 1]])</f>
        <v>117000</v>
      </c>
      <c r="Y302" s="54">
        <f>IF(NOTA[[#This Row],[JUMLAH]]="","",(NOTA[[#This Row],[JUMLAH]]-NOTA[[#This Row],[DISC 1-]])*NOTA[[#This Row],[DISC 2]])</f>
        <v>40950</v>
      </c>
      <c r="Z302" s="54">
        <f>IF(NOTA[[#This Row],[JUMLAH]]="","",NOTA[[#This Row],[DISC 1-]]+NOTA[[#This Row],[DISC 2-]])</f>
        <v>157950</v>
      </c>
      <c r="AA302" s="54">
        <f>IF(NOTA[[#This Row],[JUMLAH]]="","",NOTA[[#This Row],[JUMLAH]]-NOTA[[#This Row],[DISC]])</f>
        <v>778050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1759488.75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8667111.25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02" s="54">
        <f>IF(OR(NOTA[[#This Row],[QTY]]="",NOTA[[#This Row],[HARGA SATUAN]]="",),"",NOTA[[#This Row],[QTY]]*NOTA[[#This Row],[HARGA SATUAN]])</f>
        <v>936000</v>
      </c>
      <c r="AF302" s="51">
        <f ca="1">IF(NOTA[ID_H]="","",INDEX(NOTA[TANGGAL],MATCH(,INDIRECT(ADDRESS(ROW(NOTA[TANGGAL]),COLUMN(NOTA[TANGGAL]))&amp;":"&amp;ADDRESS(ROW(),COLUMN(NOTA[TANGGAL]))),-1)))</f>
        <v>45030</v>
      </c>
      <c r="AG302" s="65" t="str">
        <f ca="1">IF(NOTA[[#This Row],[NAMA BARANG]]="","",INDEX(NOTA[SUPPLIER],MATCH(,INDIRECT(ADDRESS(ROW(NOTA[ID]),COLUMN(NOTA[ID]))&amp;":"&amp;ADDRESS(ROW(),COLUMN(NOTA[ID]))),-1)))</f>
        <v>ATALI MAKMUR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4</v>
      </c>
      <c r="AK302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38" t="str">
        <f>IF(NOTA[[#This Row],[CONCAT4]]="","",_xlfn.IFNA(MATCH(NOTA[[#This Row],[CONCAT4]],[2]!RAW[CONCAT_H],0),FALSE))</f>
        <v/>
      </c>
      <c r="AP302" s="174">
        <f>IF(NOTA[[#This Row],[CONCAT1]]="","",MATCH(NOTA[[#This Row],[CONCAT1]],[3]!db[NB NOTA_C],0)+1)</f>
        <v>432</v>
      </c>
    </row>
    <row r="303" spans="1:42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23"/>
      <c r="F303" s="26"/>
      <c r="G303" s="26"/>
      <c r="H303" s="31"/>
      <c r="I303" s="26"/>
      <c r="J303" s="51"/>
      <c r="K303" s="26"/>
      <c r="L303" s="26"/>
      <c r="M303" s="39"/>
      <c r="N303" s="26"/>
      <c r="O303" s="26"/>
      <c r="P303" s="49"/>
      <c r="Q303" s="52"/>
      <c r="R303" s="39"/>
      <c r="S303" s="53"/>
      <c r="T303" s="53"/>
      <c r="U303" s="54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38" t="str">
        <f>IF(NOTA[[#This Row],[CONCAT4]]="","",_xlfn.IFNA(MATCH(NOTA[[#This Row],[CONCAT4]],[2]!RAW[CONCAT_H],0),FALSE))</f>
        <v/>
      </c>
      <c r="AP303" s="174" t="str">
        <f>IF(NOTA[[#This Row],[CONCAT1]]="","",MATCH(NOTA[[#This Row],[CONCAT1]],[3]!db[NB NOTA_C],0)+1)</f>
        <v/>
      </c>
    </row>
    <row r="304" spans="1:42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ATA_1404_190-8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62</v>
      </c>
      <c r="E304" s="23"/>
      <c r="F304" s="26" t="s">
        <v>25</v>
      </c>
      <c r="G304" s="26" t="s">
        <v>24</v>
      </c>
      <c r="H304" s="31" t="s">
        <v>482</v>
      </c>
      <c r="I304" s="26"/>
      <c r="J304" s="51">
        <v>45028</v>
      </c>
      <c r="K304" s="26"/>
      <c r="L304" s="26" t="s">
        <v>418</v>
      </c>
      <c r="M304" s="39">
        <v>4</v>
      </c>
      <c r="N304" s="26">
        <v>240</v>
      </c>
      <c r="O304" s="26" t="s">
        <v>294</v>
      </c>
      <c r="P304" s="49">
        <v>27600</v>
      </c>
      <c r="Q304" s="52"/>
      <c r="R304" s="39" t="s">
        <v>419</v>
      </c>
      <c r="S304" s="53">
        <v>0.125</v>
      </c>
      <c r="T304" s="53">
        <v>0.05</v>
      </c>
      <c r="U304" s="54"/>
      <c r="V304" s="37"/>
      <c r="W304" s="54">
        <f>IF(NOTA[[#This Row],[HARGA/ CTN]]="",NOTA[[#This Row],[JUMLAH_H]],NOTA[[#This Row],[HARGA/ CTN]]*IF(NOTA[[#This Row],[C]]="",0,NOTA[[#This Row],[C]]))</f>
        <v>6624000</v>
      </c>
      <c r="X304" s="54">
        <f>IF(NOTA[[#This Row],[JUMLAH]]="","",NOTA[[#This Row],[JUMLAH]]*NOTA[[#This Row],[DISC 1]])</f>
        <v>828000</v>
      </c>
      <c r="Y304" s="54">
        <f>IF(NOTA[[#This Row],[JUMLAH]]="","",(NOTA[[#This Row],[JUMLAH]]-NOTA[[#This Row],[DISC 1-]])*NOTA[[#This Row],[DISC 2]])</f>
        <v>289800</v>
      </c>
      <c r="Z304" s="54">
        <f>IF(NOTA[[#This Row],[JUMLAH]]="","",NOTA[[#This Row],[DISC 1-]]+NOTA[[#This Row],[DISC 2-]])</f>
        <v>1117800</v>
      </c>
      <c r="AA304" s="54">
        <f>IF(NOTA[[#This Row],[JUMLAH]]="","",NOTA[[#This Row],[JUMLAH]]-NOTA[[#This Row],[DISC]])</f>
        <v>5506200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04" s="54">
        <f>IF(OR(NOTA[[#This Row],[QTY]]="",NOTA[[#This Row],[HARGA SATUAN]]="",),"",NOTA[[#This Row],[QTY]]*NOTA[[#This Row],[HARGA SATUAN]])</f>
        <v>6624000</v>
      </c>
      <c r="AF304" s="51">
        <f ca="1">IF(NOTA[ID_H]="","",INDEX(NOTA[TANGGAL],MATCH(,INDIRECT(ADDRESS(ROW(NOTA[TANGGAL]),COLUMN(NOTA[TANGGAL]))&amp;":"&amp;ADDRESS(ROW(),COLUMN(NOTA[TANGGAL]))),-1)))</f>
        <v>45030</v>
      </c>
      <c r="AG304" s="65" t="str">
        <f ca="1">IF(NOTA[[#This Row],[NAMA BARANG]]="","",INDEX(NOTA[SUPPLIER],MATCH(,INDIRECT(ADDRESS(ROW(NOTA[ID]),COLUMN(NOTA[ID]))&amp;":"&amp;ADDRESS(ROW(),COLUMN(NOTA[ID]))),-1)))</f>
        <v>ATALI MAKMUR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8</v>
      </c>
      <c r="AJ304" s="38">
        <f>IF(NOTA[[#This Row],[TGL.NOTA]]="",IF(NOTA[[#This Row],[SUPPLIER_H]]="","",AJ303),MONTH(NOTA[[#This Row],[TGL.NOTA]]))</f>
        <v>4</v>
      </c>
      <c r="AK304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30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MOROSA23040619045028binderclip105jk</v>
      </c>
      <c r="AO304" s="38" t="e">
        <f>IF(NOTA[[#This Row],[CONCAT4]]="","",_xlfn.IFNA(MATCH(NOTA[[#This Row],[CONCAT4]],[2]!RAW[CONCAT_H],0),FALSE))</f>
        <v>#REF!</v>
      </c>
      <c r="AP304" s="174">
        <f>IF(NOTA[[#This Row],[CONCAT1]]="","",MATCH(NOTA[[#This Row],[CONCAT1]],[3]!db[NB NOTA_C],0)+1)</f>
        <v>30</v>
      </c>
    </row>
    <row r="305" spans="1:42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62</v>
      </c>
      <c r="E305" s="23"/>
      <c r="F305" s="26"/>
      <c r="G305" s="26"/>
      <c r="H305" s="31"/>
      <c r="I305" s="26"/>
      <c r="J305" s="51"/>
      <c r="K305" s="26"/>
      <c r="L305" s="26" t="s">
        <v>420</v>
      </c>
      <c r="M305" s="39">
        <v>6</v>
      </c>
      <c r="N305" s="26">
        <v>300</v>
      </c>
      <c r="O305" s="26" t="s">
        <v>294</v>
      </c>
      <c r="P305" s="49">
        <v>31200</v>
      </c>
      <c r="Q305" s="52"/>
      <c r="R305" s="39" t="s">
        <v>421</v>
      </c>
      <c r="S305" s="53">
        <v>0.125</v>
      </c>
      <c r="T305" s="53">
        <v>0.05</v>
      </c>
      <c r="U305" s="54"/>
      <c r="V305" s="37"/>
      <c r="W305" s="54">
        <f>IF(NOTA[[#This Row],[HARGA/ CTN]]="",NOTA[[#This Row],[JUMLAH_H]],NOTA[[#This Row],[HARGA/ CTN]]*IF(NOTA[[#This Row],[C]]="",0,NOTA[[#This Row],[C]]))</f>
        <v>9360000</v>
      </c>
      <c r="X305" s="54">
        <f>IF(NOTA[[#This Row],[JUMLAH]]="","",NOTA[[#This Row],[JUMLAH]]*NOTA[[#This Row],[DISC 1]])</f>
        <v>1170000</v>
      </c>
      <c r="Y305" s="54">
        <f>IF(NOTA[[#This Row],[JUMLAH]]="","",(NOTA[[#This Row],[JUMLAH]]-NOTA[[#This Row],[DISC 1-]])*NOTA[[#This Row],[DISC 2]])</f>
        <v>409500</v>
      </c>
      <c r="Z305" s="54">
        <f>IF(NOTA[[#This Row],[JUMLAH]]="","",NOTA[[#This Row],[DISC 1-]]+NOTA[[#This Row],[DISC 2-]])</f>
        <v>1579500</v>
      </c>
      <c r="AA305" s="54">
        <f>IF(NOTA[[#This Row],[JUMLAH]]="","",NOTA[[#This Row],[JUMLAH]]-NOTA[[#This Row],[DISC]])</f>
        <v>7780500</v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5" s="54">
        <f>IF(OR(NOTA[[#This Row],[QTY]]="",NOTA[[#This Row],[HARGA SATUAN]]="",),"",NOTA[[#This Row],[QTY]]*NOTA[[#This Row],[HARGA SATUAN]])</f>
        <v>9360000</v>
      </c>
      <c r="AF305" s="51">
        <f ca="1">IF(NOTA[ID_H]="","",INDEX(NOTA[TANGGAL],MATCH(,INDIRECT(ADDRESS(ROW(NOTA[TANGGAL]),COLUMN(NOTA[TANGGAL]))&amp;":"&amp;ADDRESS(ROW(),COLUMN(NOTA[TANGGAL]))),-1)))</f>
        <v>45030</v>
      </c>
      <c r="AG305" s="65" t="str">
        <f ca="1">IF(NOTA[[#This Row],[NAMA BARANG]]="","",INDEX(NOTA[SUPPLIER],MATCH(,INDIRECT(ADDRESS(ROW(NOTA[ID]),COLUMN(NOTA[ID]))&amp;":"&amp;ADDRESS(ROW(),COLUMN(NOTA[ID]))),-1)))</f>
        <v>ATALI MAKMUR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4</v>
      </c>
      <c r="AK305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38" t="str">
        <f>IF(NOTA[[#This Row],[CONCAT4]]="","",_xlfn.IFNA(MATCH(NOTA[[#This Row],[CONCAT4]],[2]!RAW[CONCAT_H],0),FALSE))</f>
        <v/>
      </c>
      <c r="AP305" s="174">
        <f>IF(NOTA[[#This Row],[CONCAT1]]="","",MATCH(NOTA[[#This Row],[CONCAT1]],[3]!db[NB NOTA_C],0)+1)</f>
        <v>32</v>
      </c>
    </row>
    <row r="306" spans="1:42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>
        <f ca="1">IF(NOTA[[#This Row],[NAMA BARANG]]="","",INDEX(NOTA[ID],MATCH(,INDIRECT(ADDRESS(ROW(NOTA[ID]),COLUMN(NOTA[ID]))&amp;":"&amp;ADDRESS(ROW(),COLUMN(NOTA[ID]))),-1)))</f>
        <v>62</v>
      </c>
      <c r="E306" s="23"/>
      <c r="F306" s="26"/>
      <c r="G306" s="26"/>
      <c r="H306" s="31"/>
      <c r="I306" s="26"/>
      <c r="J306" s="51"/>
      <c r="K306" s="26"/>
      <c r="L306" s="26" t="s">
        <v>422</v>
      </c>
      <c r="M306" s="39">
        <v>6</v>
      </c>
      <c r="N306" s="26">
        <v>180</v>
      </c>
      <c r="O306" s="26" t="s">
        <v>294</v>
      </c>
      <c r="P306" s="49">
        <v>48600</v>
      </c>
      <c r="Q306" s="52"/>
      <c r="R306" s="39" t="s">
        <v>395</v>
      </c>
      <c r="S306" s="53">
        <v>0.125</v>
      </c>
      <c r="T306" s="53">
        <v>0.05</v>
      </c>
      <c r="U306" s="54"/>
      <c r="V306" s="37"/>
      <c r="W306" s="54">
        <f>IF(NOTA[[#This Row],[HARGA/ CTN]]="",NOTA[[#This Row],[JUMLAH_H]],NOTA[[#This Row],[HARGA/ CTN]]*IF(NOTA[[#This Row],[C]]="",0,NOTA[[#This Row],[C]]))</f>
        <v>8748000</v>
      </c>
      <c r="X306" s="54">
        <f>IF(NOTA[[#This Row],[JUMLAH]]="","",NOTA[[#This Row],[JUMLAH]]*NOTA[[#This Row],[DISC 1]])</f>
        <v>1093500</v>
      </c>
      <c r="Y306" s="54">
        <f>IF(NOTA[[#This Row],[JUMLAH]]="","",(NOTA[[#This Row],[JUMLAH]]-NOTA[[#This Row],[DISC 1-]])*NOTA[[#This Row],[DISC 2]])</f>
        <v>382725</v>
      </c>
      <c r="Z306" s="54">
        <f>IF(NOTA[[#This Row],[JUMLAH]]="","",NOTA[[#This Row],[DISC 1-]]+NOTA[[#This Row],[DISC 2-]])</f>
        <v>1476225</v>
      </c>
      <c r="AA306" s="54">
        <f>IF(NOTA[[#This Row],[JUMLAH]]="","",NOTA[[#This Row],[JUMLAH]]-NOTA[[#This Row],[DISC]])</f>
        <v>7271775</v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306" s="54">
        <f>IF(OR(NOTA[[#This Row],[QTY]]="",NOTA[[#This Row],[HARGA SATUAN]]="",),"",NOTA[[#This Row],[QTY]]*NOTA[[#This Row],[HARGA SATUAN]])</f>
        <v>8748000</v>
      </c>
      <c r="AF306" s="51">
        <f ca="1">IF(NOTA[ID_H]="","",INDEX(NOTA[TANGGAL],MATCH(,INDIRECT(ADDRESS(ROW(NOTA[TANGGAL]),COLUMN(NOTA[TANGGAL]))&amp;":"&amp;ADDRESS(ROW(),COLUMN(NOTA[TANGGAL]))),-1)))</f>
        <v>45030</v>
      </c>
      <c r="AG306" s="65" t="str">
        <f ca="1">IF(NOTA[[#This Row],[NAMA BARANG]]="","",INDEX(NOTA[SUPPLIER],MATCH(,INDIRECT(ADDRESS(ROW(NOTA[ID]),COLUMN(NOTA[ID]))&amp;":"&amp;ADDRESS(ROW(),COLUMN(NOTA[ID]))),-1)))</f>
        <v>ATALI MAKMUR</v>
      </c>
      <c r="AH306" s="65" t="str">
        <f ca="1">IF(NOTA[[#This Row],[ID_H]]="","",IF(NOTA[[#This Row],[FAKTUR]]="",INDIRECT(ADDRESS(ROW()-1,COLUMN())),NOTA[[#This Row],[FAKTUR]]))</f>
        <v>ARTO MORO</v>
      </c>
      <c r="AI306" s="38" t="str">
        <f ca="1">IF(NOTA[[#This Row],[ID]]="","",COUNTIF(NOTA[ID_H],NOTA[[#This Row],[ID_H]]))</f>
        <v/>
      </c>
      <c r="AJ306" s="38">
        <f ca="1">IF(NOTA[[#This Row],[TGL.NOTA]]="",IF(NOTA[[#This Row],[SUPPLIER_H]]="","",AJ305),MONTH(NOTA[[#This Row],[TGL.NOTA]]))</f>
        <v>4</v>
      </c>
      <c r="AK306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38" t="str">
        <f>IF(NOTA[[#This Row],[CONCAT4]]="","",_xlfn.IFNA(MATCH(NOTA[[#This Row],[CONCAT4]],[2]!RAW[CONCAT_H],0),FALSE))</f>
        <v/>
      </c>
      <c r="AP306" s="174">
        <f>IF(NOTA[[#This Row],[CONCAT1]]="","",MATCH(NOTA[[#This Row],[CONCAT1]],[3]!db[NB NOTA_C],0)+1)</f>
        <v>33</v>
      </c>
    </row>
    <row r="307" spans="1:42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>
        <f ca="1">IF(NOTA[[#This Row],[NAMA BARANG]]="","",INDEX(NOTA[ID],MATCH(,INDIRECT(ADDRESS(ROW(NOTA[ID]),COLUMN(NOTA[ID]))&amp;":"&amp;ADDRESS(ROW(),COLUMN(NOTA[ID]))),-1)))</f>
        <v>62</v>
      </c>
      <c r="E307" s="23"/>
      <c r="F307" s="26"/>
      <c r="G307" s="26"/>
      <c r="H307" s="31"/>
      <c r="I307" s="26"/>
      <c r="J307" s="51"/>
      <c r="K307" s="26"/>
      <c r="L307" s="26" t="s">
        <v>101</v>
      </c>
      <c r="M307" s="39">
        <v>6</v>
      </c>
      <c r="N307" s="26">
        <v>120</v>
      </c>
      <c r="O307" s="26" t="s">
        <v>294</v>
      </c>
      <c r="P307" s="49">
        <v>67800</v>
      </c>
      <c r="Q307" s="52"/>
      <c r="R307" s="39" t="s">
        <v>226</v>
      </c>
      <c r="S307" s="53">
        <v>0.125</v>
      </c>
      <c r="T307" s="53">
        <v>0.05</v>
      </c>
      <c r="U307" s="54"/>
      <c r="V307" s="37"/>
      <c r="W307" s="54">
        <f>IF(NOTA[[#This Row],[HARGA/ CTN]]="",NOTA[[#This Row],[JUMLAH_H]],NOTA[[#This Row],[HARGA/ CTN]]*IF(NOTA[[#This Row],[C]]="",0,NOTA[[#This Row],[C]]))</f>
        <v>8136000</v>
      </c>
      <c r="X307" s="54">
        <f>IF(NOTA[[#This Row],[JUMLAH]]="","",NOTA[[#This Row],[JUMLAH]]*NOTA[[#This Row],[DISC 1]])</f>
        <v>1017000</v>
      </c>
      <c r="Y307" s="54">
        <f>IF(NOTA[[#This Row],[JUMLAH]]="","",(NOTA[[#This Row],[JUMLAH]]-NOTA[[#This Row],[DISC 1-]])*NOTA[[#This Row],[DISC 2]])</f>
        <v>355950</v>
      </c>
      <c r="Z307" s="54">
        <f>IF(NOTA[[#This Row],[JUMLAH]]="","",NOTA[[#This Row],[DISC 1-]]+NOTA[[#This Row],[DISC 2-]])</f>
        <v>1372950</v>
      </c>
      <c r="AA307" s="54">
        <f>IF(NOTA[[#This Row],[JUMLAH]]="","",NOTA[[#This Row],[JUMLAH]]-NOTA[[#This Row],[DISC]])</f>
        <v>6763050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307" s="54">
        <f>IF(OR(NOTA[[#This Row],[QTY]]="",NOTA[[#This Row],[HARGA SATUAN]]="",),"",NOTA[[#This Row],[QTY]]*NOTA[[#This Row],[HARGA SATUAN]])</f>
        <v>8136000</v>
      </c>
      <c r="AF307" s="51">
        <f ca="1">IF(NOTA[ID_H]="","",INDEX(NOTA[TANGGAL],MATCH(,INDIRECT(ADDRESS(ROW(NOTA[TANGGAL]),COLUMN(NOTA[TANGGAL]))&amp;":"&amp;ADDRESS(ROW(),COLUMN(NOTA[TANGGAL]))),-1)))</f>
        <v>45030</v>
      </c>
      <c r="AG307" s="65" t="str">
        <f ca="1">IF(NOTA[[#This Row],[NAMA BARANG]]="","",INDEX(NOTA[SUPPLIER],MATCH(,INDIRECT(ADDRESS(ROW(NOTA[ID]),COLUMN(NOTA[ID]))&amp;":"&amp;ADDRESS(ROW(),COLUMN(NOTA[ID]))),-1)))</f>
        <v>ATALI MAKMUR</v>
      </c>
      <c r="AH307" s="65" t="str">
        <f ca="1">IF(NOTA[[#This Row],[ID_H]]="","",IF(NOTA[[#This Row],[FAKTUR]]="",INDIRECT(ADDRESS(ROW()-1,COLUMN())),NOTA[[#This Row],[FAKTUR]]))</f>
        <v>ARTO MORO</v>
      </c>
      <c r="AI307" s="38" t="str">
        <f ca="1">IF(NOTA[[#This Row],[ID]]="","",COUNTIF(NOTA[ID_H],NOTA[[#This Row],[ID_H]]))</f>
        <v/>
      </c>
      <c r="AJ307" s="38">
        <f ca="1">IF(NOTA[[#This Row],[TGL.NOTA]]="",IF(NOTA[[#This Row],[SUPPLIER_H]]="","",AJ306),MONTH(NOTA[[#This Row],[TGL.NOTA]]))</f>
        <v>4</v>
      </c>
      <c r="AK30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7" s="38" t="str">
        <f>IF(NOTA[[#This Row],[CONCAT4]]="","",_xlfn.IFNA(MATCH(NOTA[[#This Row],[CONCAT4]],[2]!RAW[CONCAT_H],0),FALSE))</f>
        <v/>
      </c>
      <c r="AP307" s="174">
        <f>IF(NOTA[[#This Row],[CONCAT1]]="","",MATCH(NOTA[[#This Row],[CONCAT1]],[3]!db[NB NOTA_C],0)+1)</f>
        <v>34</v>
      </c>
    </row>
    <row r="308" spans="1:42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62</v>
      </c>
      <c r="E308" s="23"/>
      <c r="F308" s="26"/>
      <c r="G308" s="26"/>
      <c r="H308" s="31"/>
      <c r="I308" s="26"/>
      <c r="J308" s="51"/>
      <c r="K308" s="26"/>
      <c r="L308" s="26" t="s">
        <v>423</v>
      </c>
      <c r="M308" s="39">
        <v>10</v>
      </c>
      <c r="N308" s="26">
        <v>100</v>
      </c>
      <c r="O308" s="26" t="s">
        <v>294</v>
      </c>
      <c r="P308" s="49">
        <v>115800</v>
      </c>
      <c r="Q308" s="52"/>
      <c r="R308" s="39" t="s">
        <v>248</v>
      </c>
      <c r="S308" s="53">
        <v>0.125</v>
      </c>
      <c r="T308" s="53">
        <v>0.05</v>
      </c>
      <c r="U308" s="54"/>
      <c r="V308" s="37"/>
      <c r="W308" s="54">
        <f>IF(NOTA[[#This Row],[HARGA/ CTN]]="",NOTA[[#This Row],[JUMLAH_H]],NOTA[[#This Row],[HARGA/ CTN]]*IF(NOTA[[#This Row],[C]]="",0,NOTA[[#This Row],[C]]))</f>
        <v>11580000</v>
      </c>
      <c r="X308" s="54">
        <f>IF(NOTA[[#This Row],[JUMLAH]]="","",NOTA[[#This Row],[JUMLAH]]*NOTA[[#This Row],[DISC 1]])</f>
        <v>1447500</v>
      </c>
      <c r="Y308" s="54">
        <f>IF(NOTA[[#This Row],[JUMLAH]]="","",(NOTA[[#This Row],[JUMLAH]]-NOTA[[#This Row],[DISC 1-]])*NOTA[[#This Row],[DISC 2]])</f>
        <v>506625</v>
      </c>
      <c r="Z308" s="54">
        <f>IF(NOTA[[#This Row],[JUMLAH]]="","",NOTA[[#This Row],[DISC 1-]]+NOTA[[#This Row],[DISC 2-]])</f>
        <v>1954125</v>
      </c>
      <c r="AA308" s="54">
        <f>IF(NOTA[[#This Row],[JUMLAH]]="","",NOTA[[#This Row],[JUMLAH]]-NOTA[[#This Row],[DISC]])</f>
        <v>9625875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308" s="54">
        <f>IF(OR(NOTA[[#This Row],[QTY]]="",NOTA[[#This Row],[HARGA SATUAN]]="",),"",NOTA[[#This Row],[QTY]]*NOTA[[#This Row],[HARGA SATUAN]])</f>
        <v>11580000</v>
      </c>
      <c r="AF308" s="51">
        <f ca="1">IF(NOTA[ID_H]="","",INDEX(NOTA[TANGGAL],MATCH(,INDIRECT(ADDRESS(ROW(NOTA[TANGGAL]),COLUMN(NOTA[TANGGAL]))&amp;":"&amp;ADDRESS(ROW(),COLUMN(NOTA[TANGGAL]))),-1)))</f>
        <v>45030</v>
      </c>
      <c r="AG308" s="65" t="str">
        <f ca="1">IF(NOTA[[#This Row],[NAMA BARANG]]="","",INDEX(NOTA[SUPPLIER],MATCH(,INDIRECT(ADDRESS(ROW(NOTA[ID]),COLUMN(NOTA[ID]))&amp;":"&amp;ADDRESS(ROW(),COLUMN(NOTA[ID]))),-1)))</f>
        <v>ATALI MAKMUR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4</v>
      </c>
      <c r="AK308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38" t="str">
        <f>IF(NOTA[[#This Row],[CONCAT4]]="","",_xlfn.IFNA(MATCH(NOTA[[#This Row],[CONCAT4]],[2]!RAW[CONCAT_H],0),FALSE))</f>
        <v/>
      </c>
      <c r="AP308" s="174">
        <f>IF(NOTA[[#This Row],[CONCAT1]]="","",MATCH(NOTA[[#This Row],[CONCAT1]],[3]!db[NB NOTA_C],0)+1)</f>
        <v>35</v>
      </c>
    </row>
    <row r="309" spans="1:42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62</v>
      </c>
      <c r="E309" s="23"/>
      <c r="F309" s="26"/>
      <c r="G309" s="26"/>
      <c r="H309" s="31"/>
      <c r="I309" s="26"/>
      <c r="J309" s="51"/>
      <c r="K309" s="26"/>
      <c r="L309" s="26" t="s">
        <v>483</v>
      </c>
      <c r="M309" s="39">
        <v>10</v>
      </c>
      <c r="N309" s="26">
        <v>50</v>
      </c>
      <c r="O309" s="26" t="s">
        <v>294</v>
      </c>
      <c r="P309" s="49">
        <v>177000</v>
      </c>
      <c r="Q309" s="52"/>
      <c r="R309" s="39" t="s">
        <v>484</v>
      </c>
      <c r="S309" s="53">
        <v>0.125</v>
      </c>
      <c r="T309" s="53">
        <v>0.05</v>
      </c>
      <c r="U309" s="54"/>
      <c r="V309" s="37"/>
      <c r="W309" s="54">
        <f>IF(NOTA[[#This Row],[HARGA/ CTN]]="",NOTA[[#This Row],[JUMLAH_H]],NOTA[[#This Row],[HARGA/ CTN]]*IF(NOTA[[#This Row],[C]]="",0,NOTA[[#This Row],[C]]))</f>
        <v>8850000</v>
      </c>
      <c r="X309" s="54">
        <f>IF(NOTA[[#This Row],[JUMLAH]]="","",NOTA[[#This Row],[JUMLAH]]*NOTA[[#This Row],[DISC 1]])</f>
        <v>1106250</v>
      </c>
      <c r="Y309" s="54">
        <f>IF(NOTA[[#This Row],[JUMLAH]]="","",(NOTA[[#This Row],[JUMLAH]]-NOTA[[#This Row],[DISC 1-]])*NOTA[[#This Row],[DISC 2]])</f>
        <v>387187.5</v>
      </c>
      <c r="Z309" s="54">
        <f>IF(NOTA[[#This Row],[JUMLAH]]="","",NOTA[[#This Row],[DISC 1-]]+NOTA[[#This Row],[DISC 2-]])</f>
        <v>1493437.5</v>
      </c>
      <c r="AA309" s="54">
        <f>IF(NOTA[[#This Row],[JUMLAH]]="","",NOTA[[#This Row],[JUMLAH]]-NOTA[[#This Row],[DISC]])</f>
        <v>7356562.5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309" s="54">
        <f>IF(OR(NOTA[[#This Row],[QTY]]="",NOTA[[#This Row],[HARGA SATUAN]]="",),"",NOTA[[#This Row],[QTY]]*NOTA[[#This Row],[HARGA SATUAN]])</f>
        <v>8850000</v>
      </c>
      <c r="AF309" s="51">
        <f ca="1">IF(NOTA[ID_H]="","",INDEX(NOTA[TANGGAL],MATCH(,INDIRECT(ADDRESS(ROW(NOTA[TANGGAL]),COLUMN(NOTA[TANGGAL]))&amp;":"&amp;ADDRESS(ROW(),COLUMN(NOTA[TANGGAL]))),-1)))</f>
        <v>45030</v>
      </c>
      <c r="AG309" s="65" t="str">
        <f ca="1">IF(NOTA[[#This Row],[NAMA BARANG]]="","",INDEX(NOTA[SUPPLIER],MATCH(,INDIRECT(ADDRESS(ROW(NOTA[ID]),COLUMN(NOTA[ID]))&amp;":"&amp;ADDRESS(ROW(),COLUMN(NOTA[ID]))),-1)))</f>
        <v>ATALI MAKMUR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4</v>
      </c>
      <c r="AK309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38" t="str">
        <f>IF(NOTA[[#This Row],[CONCAT4]]="","",_xlfn.IFNA(MATCH(NOTA[[#This Row],[CONCAT4]],[2]!RAW[CONCAT_H],0),FALSE))</f>
        <v/>
      </c>
      <c r="AP309" s="174">
        <f>IF(NOTA[[#This Row],[CONCAT1]]="","",MATCH(NOTA[[#This Row],[CONCAT1]],[3]!db[NB NOTA_C],0)+1)</f>
        <v>36</v>
      </c>
    </row>
    <row r="310" spans="1:42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62</v>
      </c>
      <c r="E310" s="23"/>
      <c r="F310" s="26"/>
      <c r="G310" s="26"/>
      <c r="H310" s="31"/>
      <c r="I310" s="26"/>
      <c r="J310" s="51"/>
      <c r="K310" s="26"/>
      <c r="L310" s="26" t="s">
        <v>485</v>
      </c>
      <c r="M310" s="39">
        <v>4</v>
      </c>
      <c r="N310" s="26">
        <v>12</v>
      </c>
      <c r="O310" s="26" t="s">
        <v>294</v>
      </c>
      <c r="P310" s="49">
        <v>507600</v>
      </c>
      <c r="Q310" s="52"/>
      <c r="R310" s="39" t="s">
        <v>486</v>
      </c>
      <c r="S310" s="53">
        <v>0.125</v>
      </c>
      <c r="T310" s="53">
        <v>0.05</v>
      </c>
      <c r="U310" s="54"/>
      <c r="V310" s="37"/>
      <c r="W310" s="54">
        <f>IF(NOTA[[#This Row],[HARGA/ CTN]]="",NOTA[[#This Row],[JUMLAH_H]],NOTA[[#This Row],[HARGA/ CTN]]*IF(NOTA[[#This Row],[C]]="",0,NOTA[[#This Row],[C]]))</f>
        <v>6091200</v>
      </c>
      <c r="X310" s="54">
        <f>IF(NOTA[[#This Row],[JUMLAH]]="","",NOTA[[#This Row],[JUMLAH]]*NOTA[[#This Row],[DISC 1]])</f>
        <v>761400</v>
      </c>
      <c r="Y310" s="54">
        <f>IF(NOTA[[#This Row],[JUMLAH]]="","",(NOTA[[#This Row],[JUMLAH]]-NOTA[[#This Row],[DISC 1-]])*NOTA[[#This Row],[DISC 2]])</f>
        <v>266490</v>
      </c>
      <c r="Z310" s="54">
        <f>IF(NOTA[[#This Row],[JUMLAH]]="","",NOTA[[#This Row],[DISC 1-]]+NOTA[[#This Row],[DISC 2-]])</f>
        <v>1027890</v>
      </c>
      <c r="AA310" s="54">
        <f>IF(NOTA[[#This Row],[JUMLAH]]="","",NOTA[[#This Row],[JUMLAH]]-NOTA[[#This Row],[DISC]])</f>
        <v>5063310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310" s="54">
        <f>IF(OR(NOTA[[#This Row],[QTY]]="",NOTA[[#This Row],[HARGA SATUAN]]="",),"",NOTA[[#This Row],[QTY]]*NOTA[[#This Row],[HARGA SATUAN]])</f>
        <v>6091200</v>
      </c>
      <c r="AF310" s="51">
        <f ca="1">IF(NOTA[ID_H]="","",INDEX(NOTA[TANGGAL],MATCH(,INDIRECT(ADDRESS(ROW(NOTA[TANGGAL]),COLUMN(NOTA[TANGGAL]))&amp;":"&amp;ADDRESS(ROW(),COLUMN(NOTA[TANGGAL]))),-1)))</f>
        <v>45030</v>
      </c>
      <c r="AG310" s="65" t="str">
        <f ca="1">IF(NOTA[[#This Row],[NAMA BARANG]]="","",INDEX(NOTA[SUPPLIER],MATCH(,INDIRECT(ADDRESS(ROW(NOTA[ID]),COLUMN(NOTA[ID]))&amp;":"&amp;ADDRESS(ROW(),COLUMN(NOTA[ID]))),-1)))</f>
        <v>ATALI MAKMUR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4</v>
      </c>
      <c r="AK310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38" t="str">
        <f>IF(NOTA[[#This Row],[CONCAT4]]="","",_xlfn.IFNA(MATCH(NOTA[[#This Row],[CONCAT4]],[2]!RAW[CONCAT_H],0),FALSE))</f>
        <v/>
      </c>
      <c r="AP310" s="174">
        <f>IF(NOTA[[#This Row],[CONCAT1]]="","",MATCH(NOTA[[#This Row],[CONCAT1]],[3]!db[NB NOTA_C],0)+1)</f>
        <v>37</v>
      </c>
    </row>
    <row r="311" spans="1:42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62</v>
      </c>
      <c r="E311" s="23"/>
      <c r="F311" s="26"/>
      <c r="G311" s="26"/>
      <c r="H311" s="31"/>
      <c r="I311" s="26"/>
      <c r="J311" s="51"/>
      <c r="K311" s="26"/>
      <c r="L311" s="26" t="s">
        <v>494</v>
      </c>
      <c r="M311" s="39"/>
      <c r="N311" s="26">
        <v>276</v>
      </c>
      <c r="O311" s="26" t="s">
        <v>261</v>
      </c>
      <c r="P311" s="49">
        <v>13200</v>
      </c>
      <c r="Q311" s="52"/>
      <c r="R311" s="39" t="s">
        <v>354</v>
      </c>
      <c r="S311" s="53">
        <v>0.125</v>
      </c>
      <c r="T311" s="53">
        <v>0.05</v>
      </c>
      <c r="U311" s="54">
        <v>3028410</v>
      </c>
      <c r="V311" s="37" t="s">
        <v>493</v>
      </c>
      <c r="W311" s="54">
        <f>IF(NOTA[[#This Row],[HARGA/ CTN]]="",NOTA[[#This Row],[JUMLAH_H]],NOTA[[#This Row],[HARGA/ CTN]]*IF(NOTA[[#This Row],[C]]="",0,NOTA[[#This Row],[C]]))</f>
        <v>3643200</v>
      </c>
      <c r="X311" s="54">
        <f>IF(NOTA[[#This Row],[JUMLAH]]="","",NOTA[[#This Row],[JUMLAH]]*NOTA[[#This Row],[DISC 1]])</f>
        <v>455400</v>
      </c>
      <c r="Y311" s="54">
        <f>IF(NOTA[[#This Row],[JUMLAH]]="","",(NOTA[[#This Row],[JUMLAH]]-NOTA[[#This Row],[DISC 1-]])*NOTA[[#This Row],[DISC 2]])</f>
        <v>159390</v>
      </c>
      <c r="Z311" s="54">
        <f>IF(NOTA[[#This Row],[JUMLAH]]="","",NOTA[[#This Row],[DISC 1-]]+NOTA[[#This Row],[DISC 2-]])</f>
        <v>614790</v>
      </c>
      <c r="AA311" s="54">
        <f>IF(NOTA[[#This Row],[JUMLAH]]="","",NOTA[[#This Row],[JUMLAH]]-NOTA[[#This Row],[DISC]])</f>
        <v>3028410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13665127.5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49367272.5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3643200</v>
      </c>
      <c r="AE311" s="54">
        <f>IF(OR(NOTA[[#This Row],[QTY]]="",NOTA[[#This Row],[HARGA SATUAN]]="",),"",NOTA[[#This Row],[QTY]]*NOTA[[#This Row],[HARGA SATUAN]])</f>
        <v>3643200</v>
      </c>
      <c r="AF311" s="51">
        <f ca="1">IF(NOTA[ID_H]="","",INDEX(NOTA[TANGGAL],MATCH(,INDIRECT(ADDRESS(ROW(NOTA[TANGGAL]),COLUMN(NOTA[TANGGAL]))&amp;":"&amp;ADDRESS(ROW(),COLUMN(NOTA[TANGGAL]))),-1)))</f>
        <v>45030</v>
      </c>
      <c r="AG311" s="65" t="str">
        <f ca="1">IF(NOTA[[#This Row],[NAMA BARANG]]="","",INDEX(NOTA[SUPPLIER],MATCH(,INDIRECT(ADDRESS(ROW(NOTA[ID]),COLUMN(NOTA[ID]))&amp;":"&amp;ADDRESS(ROW(),COLUMN(NOTA[ID]))),-1)))</f>
        <v>ATALI MAKMUR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4</v>
      </c>
      <c r="AK31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ballpenbp34912vokustransblackjkbonus36432000.1250.05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38" t="str">
        <f>IF(NOTA[[#This Row],[CONCAT4]]="","",_xlfn.IFNA(MATCH(NOTA[[#This Row],[CONCAT4]],[2]!RAW[CONCAT_H],0),FALSE))</f>
        <v/>
      </c>
      <c r="AP311" s="174">
        <f>IF(NOTA[[#This Row],[CONCAT1]]="","",MATCH(NOTA[[#This Row],[CONCAT1]],[3]!db[NB NOTA_C],0)+1)</f>
        <v>26</v>
      </c>
    </row>
    <row r="312" spans="1:42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38" t="str">
        <f>IF(NOTA[[#This Row],[CONCAT4]]="","",_xlfn.IFNA(MATCH(NOTA[[#This Row],[CONCAT4]],[2]!RAW[CONCAT_H],0),FALSE))</f>
        <v/>
      </c>
      <c r="AP312" s="174" t="str">
        <f>IF(NOTA[[#This Row],[CONCAT1]]="","",MATCH(NOTA[[#This Row],[CONCAT1]],[3]!db[NB NOTA_C],0)+1)</f>
        <v/>
      </c>
    </row>
    <row r="313" spans="1:42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PMJ_1404_828-1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63</v>
      </c>
      <c r="E313" s="23"/>
      <c r="F313" s="26" t="s">
        <v>284</v>
      </c>
      <c r="G313" s="26" t="s">
        <v>176</v>
      </c>
      <c r="H313" s="31" t="s">
        <v>487</v>
      </c>
      <c r="I313" s="26"/>
      <c r="J313" s="51">
        <v>45028</v>
      </c>
      <c r="K313" s="26"/>
      <c r="L313" s="26" t="s">
        <v>488</v>
      </c>
      <c r="M313" s="39">
        <v>10</v>
      </c>
      <c r="N313" s="26">
        <v>1440</v>
      </c>
      <c r="O313" s="26" t="s">
        <v>183</v>
      </c>
      <c r="P313" s="49">
        <v>25000</v>
      </c>
      <c r="Q313" s="52"/>
      <c r="R313" s="39"/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36000000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36000000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13" s="54">
        <f>IF(OR(NOTA[[#This Row],[QTY]]="",NOTA[[#This Row],[HARGA SATUAN]]="",),"",NOTA[[#This Row],[QTY]]*NOTA[[#This Row],[HARGA SATUAN]])</f>
        <v>36000000</v>
      </c>
      <c r="AF313" s="51">
        <f ca="1">IF(NOTA[ID_H]="","",INDEX(NOTA[TANGGAL],MATCH(,INDIRECT(ADDRESS(ROW(NOTA[TANGGAL]),COLUMN(NOTA[TANGGAL]))&amp;":"&amp;ADDRESS(ROW(),COLUMN(NOTA[TANGGAL]))),-1)))</f>
        <v>45030</v>
      </c>
      <c r="AG313" s="65" t="str">
        <f ca="1">IF(NOTA[[#This Row],[NAMA BARANG]]="","",INDEX(NOTA[SUPPLIER],MATCH(,INDIRECT(ADDRESS(ROW(NOTA[ID]),COLUMN(NOTA[ID]))&amp;":"&amp;ADDRESS(ROW(),COLUMN(NOTA[ID]))),-1)))</f>
        <v>PMJP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4</v>
      </c>
      <c r="AK313" s="38" t="str">
        <f>LOWER(SUBSTITUTE(SUBSTITUTE(SUBSTITUTE(SUBSTITUTE(SUBSTITUTE(SUBSTITUTE(SUBSTITUTE(SUBSTITUTE(SUBSTITUTE(NOTA[NAMA BARANG]," ",),".",""),"-",""),"(",""),")",""),",",""),"/",""),"""",""),"+",""))</f>
        <v>tz8401pen4warna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tz8401pen4warna3600000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tz8401pen4warna3600000</v>
      </c>
      <c r="AN313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PMJPUNTANA0182845028tz8401pen4warna</v>
      </c>
      <c r="AO313" s="38" t="e">
        <f>IF(NOTA[[#This Row],[CONCAT4]]="","",_xlfn.IFNA(MATCH(NOTA[[#This Row],[CONCAT4]],[2]!RAW[CONCAT_H],0),FALSE))</f>
        <v>#REF!</v>
      </c>
      <c r="AP313" s="174">
        <f>IF(NOTA[[#This Row],[CONCAT1]]="","",MATCH(NOTA[[#This Row],[CONCAT1]],[3]!db[NB NOTA_C],0)+1)</f>
        <v>2280</v>
      </c>
    </row>
    <row r="314" spans="1:42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89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38" t="str">
        <f>IF(NOTA[[#This Row],[CONCAT4]]="","",_xlfn.IFNA(MATCH(NOTA[[#This Row],[CONCAT4]],[2]!RAW[CONCAT_H],0),FALSE))</f>
        <v/>
      </c>
      <c r="AP314" s="174" t="str">
        <f>IF(NOTA[[#This Row],[CONCAT1]]="","",MATCH(NOTA[[#This Row],[CONCAT1]],[3]!db[NB NOTA_C],0)+1)</f>
        <v/>
      </c>
    </row>
    <row r="315" spans="1:42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PPW_1404_V23-1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64</v>
      </c>
      <c r="E315" s="23"/>
      <c r="F315" s="26" t="s">
        <v>264</v>
      </c>
      <c r="G315" s="26" t="s">
        <v>176</v>
      </c>
      <c r="H315" s="31" t="s">
        <v>489</v>
      </c>
      <c r="I315" s="51"/>
      <c r="J315" s="51">
        <v>45029</v>
      </c>
      <c r="K315" s="26"/>
      <c r="L315" s="26" t="s">
        <v>266</v>
      </c>
      <c r="M315" s="39">
        <v>5</v>
      </c>
      <c r="N315" s="26">
        <v>500</v>
      </c>
      <c r="O315" s="26" t="s">
        <v>261</v>
      </c>
      <c r="P315" s="49">
        <v>26780</v>
      </c>
      <c r="Q315" s="52"/>
      <c r="R315" s="39" t="s">
        <v>267</v>
      </c>
      <c r="S315" s="53">
        <v>0.2</v>
      </c>
      <c r="T315" s="53">
        <v>0.04</v>
      </c>
      <c r="U315" s="54"/>
      <c r="V315" s="37"/>
      <c r="W315" s="54">
        <f>IF(NOTA[[#This Row],[HARGA/ CTN]]="",NOTA[[#This Row],[JUMLAH_H]],NOTA[[#This Row],[HARGA/ CTN]]*IF(NOTA[[#This Row],[C]]="",0,NOTA[[#This Row],[C]]))</f>
        <v>13390000</v>
      </c>
      <c r="X315" s="54">
        <f>IF(NOTA[[#This Row],[JUMLAH]]="","",NOTA[[#This Row],[JUMLAH]]*NOTA[[#This Row],[DISC 1]])</f>
        <v>2678000</v>
      </c>
      <c r="Y315" s="54">
        <f>IF(NOTA[[#This Row],[JUMLAH]]="","",(NOTA[[#This Row],[JUMLAH]]-NOTA[[#This Row],[DISC 1-]])*NOTA[[#This Row],[DISC 2]])</f>
        <v>428480</v>
      </c>
      <c r="Z315" s="54">
        <f>IF(NOTA[[#This Row],[JUMLAH]]="","",NOTA[[#This Row],[DISC 1-]]+NOTA[[#This Row],[DISC 2-]])</f>
        <v>3106480</v>
      </c>
      <c r="AA315" s="54">
        <f>IF(NOTA[[#This Row],[JUMLAH]]="","",NOTA[[#This Row],[JUMLAH]]-NOTA[[#This Row],[DISC]])</f>
        <v>10283520</v>
      </c>
      <c r="AB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15" s="54">
        <f>IF(OR(NOTA[[#This Row],[QTY]]="",NOTA[[#This Row],[HARGA SATUAN]]="",),"",NOTA[[#This Row],[QTY]]*NOTA[[#This Row],[HARGA SATUAN]])</f>
        <v>13390000</v>
      </c>
      <c r="AF315" s="51">
        <f ca="1">IF(NOTA[ID_H]="","",INDEX(NOTA[TANGGAL],MATCH(,INDIRECT(ADDRESS(ROW(NOTA[TANGGAL]),COLUMN(NOTA[TANGGAL]))&amp;":"&amp;ADDRESS(ROW(),COLUMN(NOTA[TANGGAL]))),-1)))</f>
        <v>45030</v>
      </c>
      <c r="AG315" s="65" t="str">
        <f ca="1">IF(NOTA[[#This Row],[NAMA BARANG]]="","",INDEX(NOTA[SUPPLIER],MATCH(,INDIRECT(ADDRESS(ROW(NOTA[ID]),COLUMN(NOTA[ID]))&amp;":"&amp;ADDRESS(ROW(),COLUMN(NOTA[ID]))),-1)))</f>
        <v>PPW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1</v>
      </c>
      <c r="AJ315" s="38">
        <f>IF(NOTA[[#This Row],[TGL.NOTA]]="",IF(NOTA[[#This Row],[SUPPLIER_H]]="","",AJ314),MONTH(NOTA[[#This Row],[TGL.NOTA]]))</f>
        <v>4</v>
      </c>
      <c r="AK315" s="38" t="str">
        <f>LOWER(SUBSTITUTE(SUBSTITUTE(SUBSTITUTE(SUBSTITUTE(SUBSTITUTE(SUBSTITUTE(SUBSTITUTE(SUBSTITUTE(SUBSTITUTE(NOTA[NAMA BARANG]," ",),".",""),"-",""),"(",""),")",""),",",""),"/",""),"""",""),"+",""))</f>
        <v>bt30cm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15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PPWUNTANA0128/HW/IV/2345029bt30cm</v>
      </c>
      <c r="AO315" s="38" t="e">
        <f>IF(NOTA[[#This Row],[CONCAT4]]="","",_xlfn.IFNA(MATCH(NOTA[[#This Row],[CONCAT4]],[2]!RAW[CONCAT_H],0),FALSE))</f>
        <v>#REF!</v>
      </c>
      <c r="AP315" s="174">
        <f>IF(NOTA[[#This Row],[CONCAT1]]="","",MATCH(NOTA[[#This Row],[CONCAT1]],[3]!db[NB NOTA_C],0)+1)</f>
        <v>1061</v>
      </c>
    </row>
    <row r="316" spans="1:42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38" t="str">
        <f>IF(NOTA[[#This Row],[CONCAT4]]="","",_xlfn.IFNA(MATCH(NOTA[[#This Row],[CONCAT4]],[2]!RAW[CONCAT_H],0),FALSE))</f>
        <v/>
      </c>
      <c r="AP316" s="174" t="str">
        <f>IF(NOTA[[#This Row],[CONCAT1]]="","",MATCH(NOTA[[#This Row],[CONCAT1]],[3]!db[NB NOTA_C],0)+1)</f>
        <v/>
      </c>
    </row>
    <row r="317" spans="1:42" ht="20.100000000000001" customHeight="1" x14ac:dyDescent="0.25">
      <c r="A317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ETJ_1404_N21-1</v>
      </c>
      <c r="C317" s="50" t="e">
        <f ca="1">IF(NOTA[[#This Row],[ID_P]]="","",MATCH(NOTA[[#This Row],[ID_P]],[1]!B_MSK[N_ID],0))</f>
        <v>#REF!</v>
      </c>
      <c r="D317" s="50">
        <f ca="1">IF(NOTA[[#This Row],[NAMA BARANG]]="","",INDEX(NOTA[ID],MATCH(,INDIRECT(ADDRESS(ROW(NOTA[ID]),COLUMN(NOTA[ID]))&amp;":"&amp;ADDRESS(ROW(),COLUMN(NOTA[ID]))),-1)))</f>
        <v>65</v>
      </c>
      <c r="E317" s="23"/>
      <c r="F317" s="26" t="s">
        <v>304</v>
      </c>
      <c r="G317" s="26" t="s">
        <v>176</v>
      </c>
      <c r="H317" s="31" t="s">
        <v>490</v>
      </c>
      <c r="I317" s="26"/>
      <c r="J317" s="51">
        <v>45028</v>
      </c>
      <c r="K317" s="26"/>
      <c r="L317" s="26" t="s">
        <v>491</v>
      </c>
      <c r="M317" s="39">
        <v>20</v>
      </c>
      <c r="N317" s="26">
        <v>800</v>
      </c>
      <c r="O317" s="26" t="s">
        <v>198</v>
      </c>
      <c r="P317" s="49">
        <v>17500</v>
      </c>
      <c r="Q317" s="105"/>
      <c r="R317" s="39" t="s">
        <v>492</v>
      </c>
      <c r="S317" s="53">
        <v>0.27500000000000002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14000000</v>
      </c>
      <c r="X317" s="54">
        <f>IF(NOTA[[#This Row],[JUMLAH]]="","",NOTA[[#This Row],[JUMLAH]]*NOTA[[#This Row],[DISC 1]])</f>
        <v>3850000.0000000005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3850000.0000000005</v>
      </c>
      <c r="AA317" s="54">
        <f>IF(NOTA[[#This Row],[JUMLAH]]="","",NOTA[[#This Row],[JUMLAH]]-NOTA[[#This Row],[DISC]])</f>
        <v>10150000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3850000.0000000005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10150000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317" s="54">
        <f>IF(OR(NOTA[[#This Row],[QTY]]="",NOTA[[#This Row],[HARGA SATUAN]]="",),"",NOTA[[#This Row],[QTY]]*NOTA[[#This Row],[HARGA SATUAN]])</f>
        <v>14000000</v>
      </c>
      <c r="AF317" s="51">
        <f ca="1">IF(NOTA[ID_H]="","",INDEX(NOTA[TANGGAL],MATCH(,INDIRECT(ADDRESS(ROW(NOTA[TANGGAL]),COLUMN(NOTA[TANGGAL]))&amp;":"&amp;ADDRESS(ROW(),COLUMN(NOTA[TANGGAL]))),-1)))</f>
        <v>45030</v>
      </c>
      <c r="AG317" s="65" t="str">
        <f ca="1">IF(NOTA[[#This Row],[NAMA BARANG]]="","",INDEX(NOTA[SUPPLIER],MATCH(,INDIRECT(ADDRESS(ROW(NOTA[ID]),COLUMN(NOTA[ID]))&amp;":"&amp;ADDRESS(ROW(),COLUMN(NOTA[ID]))),-1)))</f>
        <v>ETJ</v>
      </c>
      <c r="AH317" s="65" t="str">
        <f ca="1">IF(NOTA[[#This Row],[ID_H]]="","",IF(NOTA[[#This Row],[FAKTUR]]="",INDIRECT(ADDRESS(ROW()-1,COLUMN())),NOTA[[#This Row],[FAKTUR]]))</f>
        <v>UNTANA</v>
      </c>
      <c r="AI317" s="38">
        <f ca="1">IF(NOTA[[#This Row],[ID]]="","",COUNTIF(NOTA[ID_H],NOTA[[#This Row],[ID_H]]))</f>
        <v>1</v>
      </c>
      <c r="AJ317" s="38">
        <f>IF(NOTA[[#This Row],[TGL.NOTA]]="",IF(NOTA[[#This Row],[SUPPLIER_H]]="","",AJ316),MONTH(NOTA[[#This Row],[TGL.NOTA]]))</f>
        <v>4</v>
      </c>
      <c r="AK317" s="38" t="str">
        <f>LOWER(SUBSTITUTE(SUBSTITUTE(SUBSTITUTE(SUBSTITUTE(SUBSTITUTE(SUBSTITUTE(SUBSTITUTE(SUBSTITUTE(SUBSTITUTE(NOTA[NAMA BARANG]," ",),".",""),"-",""),"(",""),")",""),",",""),"/",""),"""",""),"+",""))</f>
        <v>dispkjno50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N317" s="38" t="str">
        <f>IF(NOTA[[#This Row],[SUPPLIER]]="","",NOTA[[#This Row],[SUPPLIER]]&amp;NOTA[[#This Row],[FAKTUR]]&amp;NOTA[[#This Row],[NO.NOTA]]&amp;NOTA[[#This Row],[NO.SJ]]&amp;NOTA[[#This Row],[TGL.NOTA]]&amp;NOTA[[#This Row],[CONCAT1]])</f>
        <v>ETJUNTANAMARTIN2145028dispkjno50</v>
      </c>
      <c r="AO317" s="38" t="e">
        <f>IF(NOTA[[#This Row],[CONCAT4]]="","",_xlfn.IFNA(MATCH(NOTA[[#This Row],[CONCAT4]],[2]!RAW[CONCAT_H],0),FALSE))</f>
        <v>#REF!</v>
      </c>
      <c r="AP317" s="174">
        <f>IF(NOTA[[#This Row],[CONCAT1]]="","",MATCH(NOTA[[#This Row],[CONCAT1]],[3]!db[NB NOTA_C],0)+1)</f>
        <v>1206</v>
      </c>
    </row>
    <row r="318" spans="1:42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26"/>
      <c r="L318" s="26"/>
      <c r="M318" s="39"/>
      <c r="N318" s="26"/>
      <c r="O318" s="26"/>
      <c r="P318" s="49"/>
      <c r="Q318" s="105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38" t="str">
        <f>IF(NOTA[[#This Row],[CONCAT4]]="","",_xlfn.IFNA(MATCH(NOTA[[#This Row],[CONCAT4]],[2]!RAW[CONCAT_H],0),FALSE))</f>
        <v/>
      </c>
      <c r="AP318" s="174" t="str">
        <f>IF(NOTA[[#This Row],[CONCAT1]]="","",MATCH(NOTA[[#This Row],[CONCAT1]],[3]!db[NB NOTA_C],0)+1)</f>
        <v/>
      </c>
    </row>
    <row r="319" spans="1:42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KEN_2904_239-7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66</v>
      </c>
      <c r="E319" s="23">
        <v>45045</v>
      </c>
      <c r="F319" s="26" t="s">
        <v>23</v>
      </c>
      <c r="G319" s="26" t="s">
        <v>24</v>
      </c>
      <c r="H319" s="31" t="s">
        <v>496</v>
      </c>
      <c r="I319" s="26" t="s">
        <v>519</v>
      </c>
      <c r="J319" s="51">
        <v>45031</v>
      </c>
      <c r="K319" s="26"/>
      <c r="L319" s="26" t="s">
        <v>497</v>
      </c>
      <c r="M319" s="39">
        <v>2</v>
      </c>
      <c r="N319" s="26"/>
      <c r="O319" s="26"/>
      <c r="P319" s="49"/>
      <c r="Q319" s="105">
        <v>1548000</v>
      </c>
      <c r="R319" s="39" t="s">
        <v>477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3096000</v>
      </c>
      <c r="X319" s="54">
        <f>IF(NOTA[[#This Row],[JUMLAH]]="","",NOTA[[#This Row],[JUMLAH]]*NOTA[[#This Row],[DISC 1]])</f>
        <v>526320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526320</v>
      </c>
      <c r="AA319" s="54">
        <f>IF(NOTA[[#This Row],[JUMLAH]]="","",NOTA[[#This Row],[JUMLAH]]-NOTA[[#This Row],[DISC]])</f>
        <v>2569680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45045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7</v>
      </c>
      <c r="AJ319" s="38">
        <f>IF(NOTA[[#This Row],[TGL.NOTA]]="",IF(NOTA[[#This Row],[SUPPLIER_H]]="","",AJ318),MONTH(NOTA[[#This Row],[TGL.NOTA]]))</f>
        <v>4</v>
      </c>
      <c r="AK319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3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MORO23041239SA 4115745031kenkobinderclipno2806pcsbox</v>
      </c>
      <c r="AO319" s="38" t="e">
        <f>IF(NOTA[[#This Row],[CONCAT4]]="","",_xlfn.IFNA(MATCH(NOTA[[#This Row],[CONCAT4]],[2]!RAW[CONCAT_H],0),FALSE))</f>
        <v>#REF!</v>
      </c>
      <c r="AP319" s="174">
        <f>IF(NOTA[[#This Row],[CONCAT1]]="","",MATCH(NOTA[[#This Row],[CONCAT1]],[3]!db[NB NOTA_C],0)+1)</f>
        <v>50</v>
      </c>
    </row>
    <row r="320" spans="1:42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66</v>
      </c>
      <c r="E320" s="23"/>
      <c r="F320" s="26"/>
      <c r="G320" s="26"/>
      <c r="H320" s="31"/>
      <c r="I320" s="26"/>
      <c r="J320" s="51"/>
      <c r="K320" s="26"/>
      <c r="L320" s="26" t="s">
        <v>468</v>
      </c>
      <c r="M320" s="39">
        <v>5</v>
      </c>
      <c r="N320" s="26"/>
      <c r="O320" s="26"/>
      <c r="P320" s="49"/>
      <c r="Q320" s="52">
        <v>3888000</v>
      </c>
      <c r="R320" s="39" t="s">
        <v>469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19440000</v>
      </c>
      <c r="X320" s="54">
        <f>IF(NOTA[[#This Row],[JUMLAH]]="","",NOTA[[#This Row],[JUMLAH]]*NOTA[[#This Row],[DISC 1]])</f>
        <v>3304800.0000000005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3304800.0000000005</v>
      </c>
      <c r="AA320" s="54">
        <f>IF(NOTA[[#This Row],[JUMLAH]]="","",NOTA[[#This Row],[JUMLAH]]-NOTA[[#This Row],[DISC]])</f>
        <v>16135200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45045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4</v>
      </c>
      <c r="AK32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0" s="38" t="str">
        <f>IF(NOTA[[#This Row],[CONCAT4]]="","",_xlfn.IFNA(MATCH(NOTA[[#This Row],[CONCAT4]],[2]!RAW[CONCAT_H],0),FALSE))</f>
        <v/>
      </c>
      <c r="AP320" s="174">
        <f>IF(NOTA[[#This Row],[CONCAT1]]="","",MATCH(NOTA[[#This Row],[CONCAT1]],[3]!db[NB NOTA_C],0)+1)</f>
        <v>478</v>
      </c>
    </row>
    <row r="321" spans="1:42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66</v>
      </c>
      <c r="E321" s="23"/>
      <c r="F321" s="26"/>
      <c r="G321" s="26"/>
      <c r="H321" s="31"/>
      <c r="I321" s="26"/>
      <c r="J321" s="51"/>
      <c r="K321" s="26"/>
      <c r="L321" s="26" t="s">
        <v>498</v>
      </c>
      <c r="M321" s="39">
        <v>1</v>
      </c>
      <c r="N321" s="26"/>
      <c r="O321" s="26"/>
      <c r="P321" s="49"/>
      <c r="Q321" s="52">
        <v>5702400</v>
      </c>
      <c r="R321" s="39" t="s">
        <v>155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5702400</v>
      </c>
      <c r="X321" s="54">
        <f>IF(NOTA[[#This Row],[JUMLAH]]="","",NOTA[[#This Row],[JUMLAH]]*NOTA[[#This Row],[DISC 1]])</f>
        <v>969408.00000000012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969408.00000000012</v>
      </c>
      <c r="AA321" s="54">
        <f>IF(NOTA[[#This Row],[JUMLAH]]="","",NOTA[[#This Row],[JUMLAH]]-NOTA[[#This Row],[DISC]])</f>
        <v>4732992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45045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4</v>
      </c>
      <c r="AK321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38" t="str">
        <f>IF(NOTA[[#This Row],[CONCAT4]]="","",_xlfn.IFNA(MATCH(NOTA[[#This Row],[CONCAT4]],[2]!RAW[CONCAT_H],0),FALSE))</f>
        <v/>
      </c>
      <c r="AP321" s="174">
        <f>IF(NOTA[[#This Row],[CONCAT1]]="","",MATCH(NOTA[[#This Row],[CONCAT1]],[3]!db[NB NOTA_C],0)+1)</f>
        <v>358</v>
      </c>
    </row>
    <row r="322" spans="1:42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66</v>
      </c>
      <c r="E322" s="23"/>
      <c r="F322" s="26"/>
      <c r="G322" s="26"/>
      <c r="H322" s="31"/>
      <c r="I322" s="26"/>
      <c r="J322" s="51"/>
      <c r="K322" s="26"/>
      <c r="L322" s="26" t="s">
        <v>499</v>
      </c>
      <c r="M322" s="39">
        <v>4</v>
      </c>
      <c r="N322" s="26"/>
      <c r="O322" s="26"/>
      <c r="P322" s="49"/>
      <c r="Q322" s="52">
        <v>2952000</v>
      </c>
      <c r="R322" s="39" t="s">
        <v>169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11808000</v>
      </c>
      <c r="X322" s="54">
        <f>IF(NOTA[[#This Row],[JUMLAH]]="","",NOTA[[#This Row],[JUMLAH]]*NOTA[[#This Row],[DISC 1]])</f>
        <v>2007360.0000000002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2007360.0000000002</v>
      </c>
      <c r="AA322" s="54">
        <f>IF(NOTA[[#This Row],[JUMLAH]]="","",NOTA[[#This Row],[JUMLAH]]-NOTA[[#This Row],[DISC]])</f>
        <v>9800640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45045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4</v>
      </c>
      <c r="AK322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38" t="str">
        <f>IF(NOTA[[#This Row],[CONCAT4]]="","",_xlfn.IFNA(MATCH(NOTA[[#This Row],[CONCAT4]],[2]!RAW[CONCAT_H],0),FALSE))</f>
        <v/>
      </c>
      <c r="AP322" s="174">
        <f>IF(NOTA[[#This Row],[CONCAT1]]="","",MATCH(NOTA[[#This Row],[CONCAT1]],[3]!db[NB NOTA_C],0)+1)</f>
        <v>291</v>
      </c>
    </row>
    <row r="323" spans="1:42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66</v>
      </c>
      <c r="E323" s="23"/>
      <c r="F323" s="26"/>
      <c r="G323" s="26"/>
      <c r="H323" s="31"/>
      <c r="I323" s="26"/>
      <c r="J323" s="51"/>
      <c r="K323" s="26"/>
      <c r="L323" s="26" t="s">
        <v>502</v>
      </c>
      <c r="M323" s="39">
        <v>10</v>
      </c>
      <c r="N323" s="26"/>
      <c r="O323" s="26"/>
      <c r="P323" s="49"/>
      <c r="Q323" s="52">
        <v>2088000</v>
      </c>
      <c r="R323" s="39" t="s">
        <v>525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20880000</v>
      </c>
      <c r="X323" s="54">
        <f>IF(NOTA[[#This Row],[JUMLAH]]="","",NOTA[[#This Row],[JUMLAH]]*NOTA[[#This Row],[DISC 1]])</f>
        <v>3549600.0000000005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3549600.0000000005</v>
      </c>
      <c r="AA323" s="54">
        <f>IF(NOTA[[#This Row],[JUMLAH]]="","",NOTA[[#This Row],[JUMLAH]]-NOTA[[#This Row],[DISC]])</f>
        <v>17330400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45045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4</v>
      </c>
      <c r="AK32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3" s="38" t="str">
        <f>IF(NOTA[[#This Row],[CONCAT4]]="","",_xlfn.IFNA(MATCH(NOTA[[#This Row],[CONCAT4]],[2]!RAW[CONCAT_H],0),FALSE))</f>
        <v/>
      </c>
      <c r="AP323" s="174">
        <f>IF(NOTA[[#This Row],[CONCAT1]]="","",MATCH(NOTA[[#This Row],[CONCAT1]],[3]!db[NB NOTA_C],0)+1)</f>
        <v>282</v>
      </c>
    </row>
    <row r="324" spans="1:42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66</v>
      </c>
      <c r="E324" s="23"/>
      <c r="F324" s="26"/>
      <c r="G324" s="26"/>
      <c r="H324" s="31"/>
      <c r="I324" s="26"/>
      <c r="J324" s="51"/>
      <c r="K324" s="26"/>
      <c r="L324" s="26" t="s">
        <v>500</v>
      </c>
      <c r="M324" s="39">
        <v>2</v>
      </c>
      <c r="N324" s="26"/>
      <c r="O324" s="26"/>
      <c r="P324" s="49"/>
      <c r="Q324" s="52">
        <v>1944000</v>
      </c>
      <c r="R324" s="39" t="s">
        <v>220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3888000</v>
      </c>
      <c r="X324" s="54">
        <f>IF(NOTA[[#This Row],[JUMLAH]]="","",NOTA[[#This Row],[JUMLAH]]*NOTA[[#This Row],[DISC 1]])</f>
        <v>660960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660960</v>
      </c>
      <c r="AA324" s="54">
        <f>IF(NOTA[[#This Row],[JUMLAH]]="","",NOTA[[#This Row],[JUMLAH]]-NOTA[[#This Row],[DISC]])</f>
        <v>3227040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45045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4</v>
      </c>
      <c r="AK32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38" t="str">
        <f>IF(NOTA[[#This Row],[CONCAT4]]="","",_xlfn.IFNA(MATCH(NOTA[[#This Row],[CONCAT4]],[2]!RAW[CONCAT_H],0),FALSE))</f>
        <v/>
      </c>
      <c r="AP324" s="174">
        <f>IF(NOTA[[#This Row],[CONCAT1]]="","",MATCH(NOTA[[#This Row],[CONCAT1]],[3]!db[NB NOTA_C],0)+1)</f>
        <v>283</v>
      </c>
    </row>
    <row r="325" spans="1:42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66</v>
      </c>
      <c r="E325" s="23"/>
      <c r="F325" s="26"/>
      <c r="G325" s="26"/>
      <c r="H325" s="31"/>
      <c r="I325" s="26"/>
      <c r="J325" s="51"/>
      <c r="K325" s="26"/>
      <c r="L325" s="26" t="s">
        <v>501</v>
      </c>
      <c r="M325" s="39">
        <v>1</v>
      </c>
      <c r="N325" s="26"/>
      <c r="O325" s="26"/>
      <c r="P325" s="49"/>
      <c r="Q325" s="52">
        <v>1710000</v>
      </c>
      <c r="R325" s="39" t="s">
        <v>223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1710000</v>
      </c>
      <c r="X325" s="54">
        <f>IF(NOTA[[#This Row],[JUMLAH]]="","",NOTA[[#This Row],[JUMLAH]]*NOTA[[#This Row],[DISC 1]])</f>
        <v>290700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290700</v>
      </c>
      <c r="AA325" s="54">
        <f>IF(NOTA[[#This Row],[JUMLAH]]="","",NOTA[[#This Row],[JUMLAH]]-NOTA[[#This Row],[DISC]])</f>
        <v>1419300</v>
      </c>
      <c r="AB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11309148.000000002</v>
      </c>
      <c r="AC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55215252</v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45045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4</v>
      </c>
      <c r="AK32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38" t="str">
        <f>IF(NOTA[[#This Row],[CONCAT4]]="","",_xlfn.IFNA(MATCH(NOTA[[#This Row],[CONCAT4]],[2]!RAW[CONCAT_H],0),FALSE))</f>
        <v/>
      </c>
      <c r="AP325" s="174">
        <f>IF(NOTA[[#This Row],[CONCAT1]]="","",MATCH(NOTA[[#This Row],[CONCAT1]],[3]!db[NB NOTA_C],0)+1)</f>
        <v>285</v>
      </c>
    </row>
    <row r="326" spans="1:42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38" t="str">
        <f>IF(NOTA[[#This Row],[CONCAT4]]="","",_xlfn.IFNA(MATCH(NOTA[[#This Row],[CONCAT4]],[2]!RAW[CONCAT_H],0),FALSE))</f>
        <v/>
      </c>
      <c r="AP326" s="174" t="str">
        <f>IF(NOTA[[#This Row],[CONCAT1]]="","",MATCH(NOTA[[#This Row],[CONCAT1]],[3]!db[NB NOTA_C],0)+1)</f>
        <v/>
      </c>
    </row>
    <row r="327" spans="1:42" ht="20.100000000000001" customHeight="1" x14ac:dyDescent="0.25">
      <c r="A32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KEN_0305_064-11</v>
      </c>
      <c r="C327" s="50" t="e">
        <f ca="1">IF(NOTA[[#This Row],[ID_P]]="","",MATCH(NOTA[[#This Row],[ID_P]],[1]!B_MSK[N_ID],0))</f>
        <v>#REF!</v>
      </c>
      <c r="D327" s="50">
        <f ca="1">IF(NOTA[[#This Row],[NAMA BARANG]]="","",INDEX(NOTA[ID],MATCH(,INDIRECT(ADDRESS(ROW(NOTA[ID]),COLUMN(NOTA[ID]))&amp;":"&amp;ADDRESS(ROW(),COLUMN(NOTA[ID]))),-1)))</f>
        <v>67</v>
      </c>
      <c r="E327" s="23">
        <v>45049</v>
      </c>
      <c r="F327" s="26" t="s">
        <v>23</v>
      </c>
      <c r="G327" s="26" t="s">
        <v>24</v>
      </c>
      <c r="H327" s="31" t="s">
        <v>506</v>
      </c>
      <c r="I327" s="26" t="s">
        <v>520</v>
      </c>
      <c r="J327" s="51">
        <v>45030</v>
      </c>
      <c r="K327" s="26"/>
      <c r="L327" s="26" t="s">
        <v>118</v>
      </c>
      <c r="M327" s="39">
        <v>1</v>
      </c>
      <c r="N327" s="26"/>
      <c r="O327" s="26"/>
      <c r="P327" s="49"/>
      <c r="Q327" s="52">
        <v>844800</v>
      </c>
      <c r="R327" s="39" t="s">
        <v>374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844800</v>
      </c>
      <c r="X327" s="54">
        <f>IF(NOTA[[#This Row],[JUMLAH]]="","",NOTA[[#This Row],[JUMLAH]]*NOTA[[#This Row],[DISC 1]])</f>
        <v>143616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143616</v>
      </c>
      <c r="AA327" s="54">
        <f>IF(NOTA[[#This Row],[JUMLAH]]="","",NOTA[[#This Row],[JUMLAH]]-NOTA[[#This Row],[DISC]])</f>
        <v>701184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45049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>
        <f ca="1">IF(NOTA[[#This Row],[ID]]="","",COUNTIF(NOTA[ID_H],NOTA[[#This Row],[ID_H]]))</f>
        <v>11</v>
      </c>
      <c r="AJ327" s="38">
        <f>IF(NOTA[[#This Row],[TGL.NOTA]]="",IF(NOTA[[#This Row],[SUPPLIER_H]]="","",#REF!),MONTH(NOTA[[#This Row],[TGL.NOTA]]))</f>
        <v>4</v>
      </c>
      <c r="AK32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MORO23041064SA 4112545030kenkolooseleafa5ll502070</v>
      </c>
      <c r="AO327" s="38" t="e">
        <f>IF(NOTA[[#This Row],[CONCAT4]]="","",_xlfn.IFNA(MATCH(NOTA[[#This Row],[CONCAT4]],[2]!RAW[CONCAT_H],0),FALSE))</f>
        <v>#REF!</v>
      </c>
      <c r="AP327" s="174">
        <f>IF(NOTA[[#This Row],[CONCAT1]]="","",MATCH(NOTA[[#This Row],[CONCAT1]],[3]!db[NB NOTA_C],0)+1)</f>
        <v>564</v>
      </c>
    </row>
    <row r="328" spans="1:42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67</v>
      </c>
      <c r="E328" s="23"/>
      <c r="F328" s="26"/>
      <c r="G328" s="26"/>
      <c r="H328" s="31"/>
      <c r="I328" s="26"/>
      <c r="J328" s="51"/>
      <c r="K328" s="26"/>
      <c r="L328" s="26" t="s">
        <v>142</v>
      </c>
      <c r="M328" s="39">
        <v>1</v>
      </c>
      <c r="N328" s="26"/>
      <c r="O328" s="26"/>
      <c r="P328" s="49"/>
      <c r="Q328" s="52">
        <v>801600</v>
      </c>
      <c r="R328" s="39" t="s">
        <v>375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801600</v>
      </c>
      <c r="X328" s="54">
        <f>IF(NOTA[[#This Row],[JUMLAH]]="","",NOTA[[#This Row],[JUMLAH]]*NOTA[[#This Row],[DISC 1]])</f>
        <v>136272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136272</v>
      </c>
      <c r="AA328" s="54">
        <f>IF(NOTA[[#This Row],[JUMLAH]]="","",NOTA[[#This Row],[JUMLAH]]-NOTA[[#This Row],[DISC]])</f>
        <v>665328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45049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4</v>
      </c>
      <c r="AK32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38" t="str">
        <f>IF(NOTA[[#This Row],[CONCAT4]]="","",_xlfn.IFNA(MATCH(NOTA[[#This Row],[CONCAT4]],[2]!RAW[CONCAT_H],0),FALSE))</f>
        <v/>
      </c>
      <c r="AP328" s="174">
        <f>IF(NOTA[[#This Row],[CONCAT1]]="","",MATCH(NOTA[[#This Row],[CONCAT1]],[3]!db[NB NOTA_C],0)+1)</f>
        <v>563</v>
      </c>
    </row>
    <row r="329" spans="1:42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67</v>
      </c>
      <c r="E329" s="23"/>
      <c r="F329" s="26"/>
      <c r="G329" s="26"/>
      <c r="H329" s="31"/>
      <c r="I329" s="26"/>
      <c r="J329" s="51"/>
      <c r="K329" s="26"/>
      <c r="L329" s="26" t="s">
        <v>119</v>
      </c>
      <c r="M329" s="39">
        <v>1</v>
      </c>
      <c r="N329" s="26"/>
      <c r="O329" s="26"/>
      <c r="P329" s="49"/>
      <c r="Q329" s="52">
        <v>1040000</v>
      </c>
      <c r="R329" s="39" t="s">
        <v>377</v>
      </c>
      <c r="S329" s="53">
        <v>0.17</v>
      </c>
      <c r="T329" s="53"/>
      <c r="U329" s="54"/>
      <c r="V329" s="37"/>
      <c r="W329" s="54">
        <f>IF(NOTA[[#This Row],[HARGA/ CTN]]="",NOTA[[#This Row],[JUMLAH_H]],NOTA[[#This Row],[HARGA/ CTN]]*IF(NOTA[[#This Row],[C]]="",0,NOTA[[#This Row],[C]]))</f>
        <v>1040000</v>
      </c>
      <c r="X329" s="54">
        <f>IF(NOTA[[#This Row],[JUMLAH]]="","",NOTA[[#This Row],[JUMLAH]]*NOTA[[#This Row],[DISC 1]])</f>
        <v>176800</v>
      </c>
      <c r="Y329" s="54">
        <f>IF(NOTA[[#This Row],[JUMLAH]]="","",(NOTA[[#This Row],[JUMLAH]]-NOTA[[#This Row],[DISC 1-]])*NOTA[[#This Row],[DISC 2]])</f>
        <v>0</v>
      </c>
      <c r="Z329" s="54">
        <f>IF(NOTA[[#This Row],[JUMLAH]]="","",NOTA[[#This Row],[DISC 1-]]+NOTA[[#This Row],[DISC 2-]])</f>
        <v>176800</v>
      </c>
      <c r="AA329" s="54">
        <f>IF(NOTA[[#This Row],[JUMLAH]]="","",NOTA[[#This Row],[JUMLAH]]-NOTA[[#This Row],[DISC]])</f>
        <v>863200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29" s="54" t="str">
        <f>IF(OR(NOTA[[#This Row],[QTY]]="",NOTA[[#This Row],[HARGA SATUAN]]="",),"",NOTA[[#This Row],[QTY]]*NOTA[[#This Row],[HARGA SATUAN]])</f>
        <v/>
      </c>
      <c r="AF329" s="51">
        <f ca="1">IF(NOTA[ID_H]="","",INDEX(NOTA[TANGGAL],MATCH(,INDIRECT(ADDRESS(ROW(NOTA[TANGGAL]),COLUMN(NOTA[TANGGAL]))&amp;":"&amp;ADDRESS(ROW(),COLUMN(NOTA[TANGGAL]))),-1)))</f>
        <v>45049</v>
      </c>
      <c r="AG329" s="65" t="str">
        <f ca="1">IF(NOTA[[#This Row],[NAMA BARANG]]="","",INDEX(NOTA[SUPPLIER],MATCH(,INDIRECT(ADDRESS(ROW(NOTA[ID]),COLUMN(NOTA[ID]))&amp;":"&amp;ADDRESS(ROW(),COLUMN(NOTA[ID]))),-1)))</f>
        <v>KENKO SINAR INDONESIA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4</v>
      </c>
      <c r="AK32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38" t="str">
        <f>IF(NOTA[[#This Row],[CONCAT4]]="","",_xlfn.IFNA(MATCH(NOTA[[#This Row],[CONCAT4]],[2]!RAW[CONCAT_H],0),FALSE))</f>
        <v/>
      </c>
      <c r="AP329" s="174">
        <f>IF(NOTA[[#This Row],[CONCAT1]]="","",MATCH(NOTA[[#This Row],[CONCAT1]],[3]!db[NB NOTA_C],0)+1)</f>
        <v>565</v>
      </c>
    </row>
    <row r="330" spans="1:42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67</v>
      </c>
      <c r="E330" s="23"/>
      <c r="F330" s="26"/>
      <c r="G330" s="26"/>
      <c r="H330" s="31"/>
      <c r="I330" s="26"/>
      <c r="J330" s="51"/>
      <c r="K330" s="26"/>
      <c r="L330" s="26" t="s">
        <v>507</v>
      </c>
      <c r="M330" s="39">
        <v>3</v>
      </c>
      <c r="N330" s="26"/>
      <c r="O330" s="26"/>
      <c r="P330" s="49"/>
      <c r="Q330" s="52">
        <v>732000</v>
      </c>
      <c r="R330" s="39" t="s">
        <v>524</v>
      </c>
      <c r="S330" s="53">
        <v>0.17</v>
      </c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2196000</v>
      </c>
      <c r="X330" s="54">
        <f>IF(NOTA[[#This Row],[JUMLAH]]="","",NOTA[[#This Row],[JUMLAH]]*NOTA[[#This Row],[DISC 1]])</f>
        <v>373320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373320</v>
      </c>
      <c r="AA330" s="54">
        <f>IF(NOTA[[#This Row],[JUMLAH]]="","",NOTA[[#This Row],[JUMLAH]]-NOTA[[#This Row],[DISC]])</f>
        <v>1822680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30" s="54" t="str">
        <f>IF(OR(NOTA[[#This Row],[QTY]]="",NOTA[[#This Row],[HARGA SATUAN]]="",),"",NOTA[[#This Row],[QTY]]*NOTA[[#This Row],[HARGA SATUAN]])</f>
        <v/>
      </c>
      <c r="AF330" s="51">
        <f ca="1">IF(NOTA[ID_H]="","",INDEX(NOTA[TANGGAL],MATCH(,INDIRECT(ADDRESS(ROW(NOTA[TANGGAL]),COLUMN(NOTA[TANGGAL]))&amp;":"&amp;ADDRESS(ROW(),COLUMN(NOTA[TANGGAL]))),-1)))</f>
        <v>45049</v>
      </c>
      <c r="AG330" s="65" t="str">
        <f ca="1">IF(NOTA[[#This Row],[NAMA BARANG]]="","",INDEX(NOTA[SUPPLIER],MATCH(,INDIRECT(ADDRESS(ROW(NOTA[ID]),COLUMN(NOTA[ID]))&amp;":"&amp;ADDRESS(ROW(),COLUMN(NOTA[ID]))),-1)))</f>
        <v>KENKO SINAR INDONESIA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4</v>
      </c>
      <c r="AK330" s="38" t="str">
        <f>LOWER(SUBSTITUTE(SUBSTITUTE(SUBSTITUTE(SUBSTITUTE(SUBSTITUTE(SUBSTITUTE(SUBSTITUTE(SUBSTITUTE(SUBSTITUTE(NOTA[NAMA BARANG]," ",),".",""),"-",""),"(",""),")",""),",",""),"/",""),"""",""),"+",""))</f>
        <v>kenkoclothtape48mmbluecoreblack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kenkoclothtape48mmbluecoreblack7320000.17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kenkoclothtape48mmbluecoreblack7320000.17</v>
      </c>
      <c r="AN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38" t="str">
        <f>IF(NOTA[[#This Row],[CONCAT4]]="","",_xlfn.IFNA(MATCH(NOTA[[#This Row],[CONCAT4]],[2]!RAW[CONCAT_H],0),FALSE))</f>
        <v/>
      </c>
      <c r="AP330" s="174">
        <f>IF(NOTA[[#This Row],[CONCAT1]]="","",MATCH(NOTA[[#This Row],[CONCAT1]],[3]!db[NB NOTA_C],0)+1)</f>
        <v>701</v>
      </c>
    </row>
    <row r="331" spans="1:42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67</v>
      </c>
      <c r="E331" s="23"/>
      <c r="F331" s="26"/>
      <c r="G331" s="26"/>
      <c r="H331" s="31"/>
      <c r="I331" s="26"/>
      <c r="J331" s="51"/>
      <c r="K331" s="26"/>
      <c r="L331" s="26" t="s">
        <v>508</v>
      </c>
      <c r="M331" s="39">
        <v>1</v>
      </c>
      <c r="N331" s="26"/>
      <c r="O331" s="26"/>
      <c r="P331" s="49"/>
      <c r="Q331" s="52">
        <v>2592000</v>
      </c>
      <c r="R331" s="39" t="s">
        <v>156</v>
      </c>
      <c r="S331" s="53">
        <v>0.17</v>
      </c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2592000</v>
      </c>
      <c r="X331" s="54">
        <f>IF(NOTA[[#This Row],[JUMLAH]]="","",NOTA[[#This Row],[JUMLAH]]*NOTA[[#This Row],[DISC 1]])</f>
        <v>440640.00000000006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440640.00000000006</v>
      </c>
      <c r="AA331" s="54">
        <f>IF(NOTA[[#This Row],[JUMLAH]]="","",NOTA[[#This Row],[JUMLAH]]-NOTA[[#This Row],[DISC]])</f>
        <v>2151360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331" s="54" t="str">
        <f>IF(OR(NOTA[[#This Row],[QTY]]="",NOTA[[#This Row],[HARGA SATUAN]]="",),"",NOTA[[#This Row],[QTY]]*NOTA[[#This Row],[HARGA SATUAN]])</f>
        <v/>
      </c>
      <c r="AF331" s="51">
        <f ca="1">IF(NOTA[ID_H]="","",INDEX(NOTA[TANGGAL],MATCH(,INDIRECT(ADDRESS(ROW(NOTA[TANGGAL]),COLUMN(NOTA[TANGGAL]))&amp;":"&amp;ADDRESS(ROW(),COLUMN(NOTA[TANGGAL]))),-1)))</f>
        <v>45049</v>
      </c>
      <c r="AG331" s="65" t="str">
        <f ca="1">IF(NOTA[[#This Row],[NAMA BARANG]]="","",INDEX(NOTA[SUPPLIER],MATCH(,INDIRECT(ADDRESS(ROW(NOTA[ID]),COLUMN(NOTA[ID]))&amp;":"&amp;ADDRESS(ROW(),COLUMN(NOTA[ID]))),-1)))</f>
        <v>KENKO SINAR INDONESIA</v>
      </c>
      <c r="AH331" s="65" t="str">
        <f ca="1">IF(NOTA[[#This Row],[ID_H]]="","",IF(NOTA[[#This Row],[FAKTUR]]="",INDIRECT(ADDRESS(ROW()-1,COLUMN())),NOTA[[#This Row],[FAKTUR]]))</f>
        <v>ARTO MORO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4</v>
      </c>
      <c r="AK331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38" t="str">
        <f>IF(NOTA[[#This Row],[CONCAT4]]="","",_xlfn.IFNA(MATCH(NOTA[[#This Row],[CONCAT4]],[2]!RAW[CONCAT_H],0),FALSE))</f>
        <v/>
      </c>
      <c r="AP331" s="174">
        <f>IF(NOTA[[#This Row],[CONCAT1]]="","",MATCH(NOTA[[#This Row],[CONCAT1]],[3]!db[NB NOTA_C],0)+1)</f>
        <v>250</v>
      </c>
    </row>
    <row r="332" spans="1:42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67</v>
      </c>
      <c r="E332" s="23"/>
      <c r="F332" s="26"/>
      <c r="G332" s="26"/>
      <c r="H332" s="31"/>
      <c r="I332" s="26"/>
      <c r="J332" s="51"/>
      <c r="K332" s="26"/>
      <c r="L332" s="26" t="s">
        <v>511</v>
      </c>
      <c r="M332" s="39">
        <v>2</v>
      </c>
      <c r="N332" s="26"/>
      <c r="O332" s="26"/>
      <c r="P332" s="49"/>
      <c r="Q332" s="52">
        <v>2880000</v>
      </c>
      <c r="R332" s="39" t="s">
        <v>156</v>
      </c>
      <c r="S332" s="53">
        <v>0.17</v>
      </c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5760000</v>
      </c>
      <c r="X332" s="54">
        <f>IF(NOTA[[#This Row],[JUMLAH]]="","",NOTA[[#This Row],[JUMLAH]]*NOTA[[#This Row],[DISC 1]])</f>
        <v>979200.00000000012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979200.00000000012</v>
      </c>
      <c r="AA332" s="54">
        <f>IF(NOTA[[#This Row],[JUMLAH]]="","",NOTA[[#This Row],[JUMLAH]]-NOTA[[#This Row],[DISC]])</f>
        <v>4780800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2" s="54" t="str">
        <f>IF(OR(NOTA[[#This Row],[QTY]]="",NOTA[[#This Row],[HARGA SATUAN]]="",),"",NOTA[[#This Row],[QTY]]*NOTA[[#This Row],[HARGA SATUAN]])</f>
        <v/>
      </c>
      <c r="AF332" s="51">
        <f ca="1">IF(NOTA[ID_H]="","",INDEX(NOTA[TANGGAL],MATCH(,INDIRECT(ADDRESS(ROW(NOTA[TANGGAL]),COLUMN(NOTA[TANGGAL]))&amp;":"&amp;ADDRESS(ROW(),COLUMN(NOTA[TANGGAL]))),-1)))</f>
        <v>45049</v>
      </c>
      <c r="AG332" s="65" t="str">
        <f ca="1">IF(NOTA[[#This Row],[NAMA BARANG]]="","",INDEX(NOTA[SUPPLIER],MATCH(,INDIRECT(ADDRESS(ROW(NOTA[ID]),COLUMN(NOTA[ID]))&amp;":"&amp;ADDRESS(ROW(),COLUMN(NOTA[ID]))),-1)))</f>
        <v>KENKO SINAR INDONESIA</v>
      </c>
      <c r="AH332" s="65" t="str">
        <f ca="1">IF(NOTA[[#This Row],[ID_H]]="","",IF(NOTA[[#This Row],[FAKTUR]]="",INDIRECT(ADDRESS(ROW()-1,COLUMN())),NOTA[[#This Row],[FAKTUR]]))</f>
        <v>ARTO MORO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4</v>
      </c>
      <c r="AK33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38" t="str">
        <f>IF(NOTA[[#This Row],[CONCAT4]]="","",_xlfn.IFNA(MATCH(NOTA[[#This Row],[CONCAT4]],[2]!RAW[CONCAT_H],0),FALSE))</f>
        <v/>
      </c>
      <c r="AP332" s="174">
        <f>IF(NOTA[[#This Row],[CONCAT1]]="","",MATCH(NOTA[[#This Row],[CONCAT1]],[3]!db[NB NOTA_C],0)+1)</f>
        <v>256</v>
      </c>
    </row>
    <row r="333" spans="1:42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67</v>
      </c>
      <c r="E333" s="23"/>
      <c r="F333" s="26"/>
      <c r="G333" s="26"/>
      <c r="H333" s="31"/>
      <c r="I333" s="26"/>
      <c r="J333" s="51"/>
      <c r="K333" s="26"/>
      <c r="L333" s="26" t="s">
        <v>509</v>
      </c>
      <c r="M333" s="39">
        <v>1</v>
      </c>
      <c r="N333" s="26"/>
      <c r="O333" s="26"/>
      <c r="P333" s="49"/>
      <c r="Q333" s="52">
        <v>2880000</v>
      </c>
      <c r="R333" s="39" t="s">
        <v>156</v>
      </c>
      <c r="S333" s="53">
        <v>0.17</v>
      </c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2880000</v>
      </c>
      <c r="X333" s="54">
        <f>IF(NOTA[[#This Row],[JUMLAH]]="","",NOTA[[#This Row],[JUMLAH]]*NOTA[[#This Row],[DISC 1]])</f>
        <v>489600.00000000006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489600.00000000006</v>
      </c>
      <c r="AA333" s="54">
        <f>IF(NOTA[[#This Row],[JUMLAH]]="","",NOTA[[#This Row],[JUMLAH]]-NOTA[[#This Row],[DISC]])</f>
        <v>2390400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3" s="54" t="str">
        <f>IF(OR(NOTA[[#This Row],[QTY]]="",NOTA[[#This Row],[HARGA SATUAN]]="",),"",NOTA[[#This Row],[QTY]]*NOTA[[#This Row],[HARGA SATUAN]])</f>
        <v/>
      </c>
      <c r="AF333" s="51">
        <f ca="1">IF(NOTA[ID_H]="","",INDEX(NOTA[TANGGAL],MATCH(,INDIRECT(ADDRESS(ROW(NOTA[TANGGAL]),COLUMN(NOTA[TANGGAL]))&amp;":"&amp;ADDRESS(ROW(),COLUMN(NOTA[TANGGAL]))),-1)))</f>
        <v>45049</v>
      </c>
      <c r="AG333" s="65" t="str">
        <f ca="1">IF(NOTA[[#This Row],[NAMA BARANG]]="","",INDEX(NOTA[SUPPLIER],MATCH(,INDIRECT(ADDRESS(ROW(NOTA[ID]),COLUMN(NOTA[ID]))&amp;":"&amp;ADDRESS(ROW(),COLUMN(NOTA[ID]))),-1)))</f>
        <v>KENKO SINAR INDONESIA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4</v>
      </c>
      <c r="AK333" s="38" t="str">
        <f>LOWER(SUBSTITUTE(SUBSTITUTE(SUBSTITUTE(SUBSTITUTE(SUBSTITUTE(SUBSTITUTE(SUBSTITUTE(SUBSTITUTE(SUBSTITUTE(NOTA[NAMA BARANG]," ",),".",""),"-",""),"(",""),")",""),",",""),"/",""),"""",""),"+",""))</f>
        <v>kenkocorrectiontapect902p12mx5mm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N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3" s="38" t="str">
        <f>IF(NOTA[[#This Row],[CONCAT4]]="","",_xlfn.IFNA(MATCH(NOTA[[#This Row],[CONCAT4]],[2]!RAW[CONCAT_H],0),FALSE))</f>
        <v/>
      </c>
      <c r="AP333" s="174">
        <f>IF(NOTA[[#This Row],[CONCAT1]]="","",MATCH(NOTA[[#This Row],[CONCAT1]],[3]!db[NB NOTA_C],0)+1)</f>
        <v>258</v>
      </c>
    </row>
    <row r="334" spans="1:42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67</v>
      </c>
      <c r="E334" s="23"/>
      <c r="F334" s="26"/>
      <c r="G334" s="26"/>
      <c r="H334" s="31"/>
      <c r="I334" s="26"/>
      <c r="J334" s="51"/>
      <c r="K334" s="26"/>
      <c r="L334" s="26" t="s">
        <v>504</v>
      </c>
      <c r="M334" s="39">
        <v>2</v>
      </c>
      <c r="N334" s="26"/>
      <c r="O334" s="26"/>
      <c r="P334" s="49"/>
      <c r="Q334" s="52">
        <v>2995200</v>
      </c>
      <c r="R334" s="39" t="s">
        <v>156</v>
      </c>
      <c r="S334" s="53">
        <v>0.17</v>
      </c>
      <c r="T334" s="53"/>
      <c r="U334" s="54"/>
      <c r="V334" s="37"/>
      <c r="W334" s="54">
        <f>IF(NOTA[[#This Row],[HARGA/ CTN]]="",NOTA[[#This Row],[JUMLAH_H]],NOTA[[#This Row],[HARGA/ CTN]]*IF(NOTA[[#This Row],[C]]="",0,NOTA[[#This Row],[C]]))</f>
        <v>5990400</v>
      </c>
      <c r="X334" s="54">
        <f>IF(NOTA[[#This Row],[JUMLAH]]="","",NOTA[[#This Row],[JUMLAH]]*NOTA[[#This Row],[DISC 1]])</f>
        <v>1018368.0000000001</v>
      </c>
      <c r="Y334" s="54">
        <f>IF(NOTA[[#This Row],[JUMLAH]]="","",(NOTA[[#This Row],[JUMLAH]]-NOTA[[#This Row],[DISC 1-]])*NOTA[[#This Row],[DISC 2]])</f>
        <v>0</v>
      </c>
      <c r="Z334" s="54">
        <f>IF(NOTA[[#This Row],[JUMLAH]]="","",NOTA[[#This Row],[DISC 1-]]+NOTA[[#This Row],[DISC 2-]])</f>
        <v>1018368.0000000001</v>
      </c>
      <c r="AA334" s="54">
        <f>IF(NOTA[[#This Row],[JUMLAH]]="","",NOTA[[#This Row],[JUMLAH]]-NOTA[[#This Row],[DISC]])</f>
        <v>4972032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334" s="54" t="str">
        <f>IF(OR(NOTA[[#This Row],[QTY]]="",NOTA[[#This Row],[HARGA SATUAN]]="",),"",NOTA[[#This Row],[QTY]]*NOTA[[#This Row],[HARGA SATUAN]])</f>
        <v/>
      </c>
      <c r="AF334" s="51">
        <f ca="1">IF(NOTA[ID_H]="","",INDEX(NOTA[TANGGAL],MATCH(,INDIRECT(ADDRESS(ROW(NOTA[TANGGAL]),COLUMN(NOTA[TANGGAL]))&amp;":"&amp;ADDRESS(ROW(),COLUMN(NOTA[TANGGAL]))),-1)))</f>
        <v>45049</v>
      </c>
      <c r="AG334" s="65" t="str">
        <f ca="1">IF(NOTA[[#This Row],[NAMA BARANG]]="","",INDEX(NOTA[SUPPLIER],MATCH(,INDIRECT(ADDRESS(ROW(NOTA[ID]),COLUMN(NOTA[ID]))&amp;":"&amp;ADDRESS(ROW(),COLUMN(NOTA[ID]))),-1)))</f>
        <v>KENKO SINAR INDONESIA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4</v>
      </c>
      <c r="AK334" s="38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38" t="str">
        <f>IF(NOTA[[#This Row],[CONCAT4]]="","",_xlfn.IFNA(MATCH(NOTA[[#This Row],[CONCAT4]],[2]!RAW[CONCAT_H],0),FALSE))</f>
        <v/>
      </c>
      <c r="AP334" s="174">
        <f>IF(NOTA[[#This Row],[CONCAT1]]="","",MATCH(NOTA[[#This Row],[CONCAT1]],[3]!db[NB NOTA_C],0)+1)</f>
        <v>260</v>
      </c>
    </row>
    <row r="335" spans="1:42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67</v>
      </c>
      <c r="E335" s="23"/>
      <c r="F335" s="26"/>
      <c r="G335" s="26"/>
      <c r="H335" s="31"/>
      <c r="I335" s="26"/>
      <c r="J335" s="51"/>
      <c r="K335" s="26"/>
      <c r="L335" s="26" t="s">
        <v>135</v>
      </c>
      <c r="M335" s="39">
        <v>2</v>
      </c>
      <c r="N335" s="26"/>
      <c r="O335" s="26"/>
      <c r="P335" s="49"/>
      <c r="Q335" s="52">
        <v>5702400</v>
      </c>
      <c r="R335" s="39" t="s">
        <v>155</v>
      </c>
      <c r="S335" s="53">
        <v>0.17</v>
      </c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11404800</v>
      </c>
      <c r="X335" s="54">
        <f>IF(NOTA[[#This Row],[JUMLAH]]="","",NOTA[[#This Row],[JUMLAH]]*NOTA[[#This Row],[DISC 1]])</f>
        <v>1938816.0000000002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1938816.0000000002</v>
      </c>
      <c r="AA335" s="54">
        <f>IF(NOTA[[#This Row],[JUMLAH]]="","",NOTA[[#This Row],[JUMLAH]]-NOTA[[#This Row],[DISC]])</f>
        <v>9465984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35" s="54" t="str">
        <f>IF(OR(NOTA[[#This Row],[QTY]]="",NOTA[[#This Row],[HARGA SATUAN]]="",),"",NOTA[[#This Row],[QTY]]*NOTA[[#This Row],[HARGA SATUAN]])</f>
        <v/>
      </c>
      <c r="AF335" s="51">
        <f ca="1">IF(NOTA[ID_H]="","",INDEX(NOTA[TANGGAL],MATCH(,INDIRECT(ADDRESS(ROW(NOTA[TANGGAL]),COLUMN(NOTA[TANGGAL]))&amp;":"&amp;ADDRESS(ROW(),COLUMN(NOTA[TANGGAL]))),-1)))</f>
        <v>45049</v>
      </c>
      <c r="AG335" s="65" t="str">
        <f ca="1">IF(NOTA[[#This Row],[NAMA BARANG]]="","",INDEX(NOTA[SUPPLIER],MATCH(,INDIRECT(ADDRESS(ROW(NOTA[ID]),COLUMN(NOTA[ID]))&amp;":"&amp;ADDRESS(ROW(),COLUMN(NOTA[ID]))),-1)))</f>
        <v>KENKO SINAR INDONESIA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4</v>
      </c>
      <c r="AK33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38" t="str">
        <f>IF(NOTA[[#This Row],[CONCAT4]]="","",_xlfn.IFNA(MATCH(NOTA[[#This Row],[CONCAT4]],[2]!RAW[CONCAT_H],0),FALSE))</f>
        <v/>
      </c>
      <c r="AP335" s="174">
        <f>IF(NOTA[[#This Row],[CONCAT1]]="","",MATCH(NOTA[[#This Row],[CONCAT1]],[3]!db[NB NOTA_C],0)+1)</f>
        <v>358</v>
      </c>
    </row>
    <row r="336" spans="1:42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67</v>
      </c>
      <c r="E336" s="23"/>
      <c r="F336" s="26"/>
      <c r="G336" s="26"/>
      <c r="H336" s="31"/>
      <c r="I336" s="26"/>
      <c r="J336" s="51"/>
      <c r="K336" s="26"/>
      <c r="L336" s="26" t="s">
        <v>143</v>
      </c>
      <c r="M336" s="39">
        <v>2</v>
      </c>
      <c r="N336" s="26"/>
      <c r="O336" s="26"/>
      <c r="P336" s="49"/>
      <c r="Q336" s="52">
        <v>2764800</v>
      </c>
      <c r="R336" s="39" t="s">
        <v>155</v>
      </c>
      <c r="S336" s="53">
        <v>0.17</v>
      </c>
      <c r="T336" s="53"/>
      <c r="U336" s="54"/>
      <c r="V336" s="37"/>
      <c r="W336" s="54">
        <f>IF(NOTA[[#This Row],[HARGA/ CTN]]="",NOTA[[#This Row],[JUMLAH_H]],NOTA[[#This Row],[HARGA/ CTN]]*IF(NOTA[[#This Row],[C]]="",0,NOTA[[#This Row],[C]]))</f>
        <v>5529600</v>
      </c>
      <c r="X336" s="54">
        <f>IF(NOTA[[#This Row],[JUMLAH]]="","",NOTA[[#This Row],[JUMLAH]]*NOTA[[#This Row],[DISC 1]])</f>
        <v>940032.00000000012</v>
      </c>
      <c r="Y336" s="54">
        <f>IF(NOTA[[#This Row],[JUMLAH]]="","",(NOTA[[#This Row],[JUMLAH]]-NOTA[[#This Row],[DISC 1-]])*NOTA[[#This Row],[DISC 2]])</f>
        <v>0</v>
      </c>
      <c r="Z336" s="54">
        <f>IF(NOTA[[#This Row],[JUMLAH]]="","",NOTA[[#This Row],[DISC 1-]]+NOTA[[#This Row],[DISC 2-]])</f>
        <v>940032.00000000012</v>
      </c>
      <c r="AA336" s="54">
        <f>IF(NOTA[[#This Row],[JUMLAH]]="","",NOTA[[#This Row],[JUMLAH]]-NOTA[[#This Row],[DISC]])</f>
        <v>4589568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336" s="54" t="str">
        <f>IF(OR(NOTA[[#This Row],[QTY]]="",NOTA[[#This Row],[HARGA SATUAN]]="",),"",NOTA[[#This Row],[QTY]]*NOTA[[#This Row],[HARGA SATUAN]])</f>
        <v/>
      </c>
      <c r="AF336" s="51">
        <f ca="1">IF(NOTA[ID_H]="","",INDEX(NOTA[TANGGAL],MATCH(,INDIRECT(ADDRESS(ROW(NOTA[TANGGAL]),COLUMN(NOTA[TANGGAL]))&amp;":"&amp;ADDRESS(ROW(),COLUMN(NOTA[TANGGAL]))),-1)))</f>
        <v>45049</v>
      </c>
      <c r="AG336" s="65" t="str">
        <f ca="1">IF(NOTA[[#This Row],[NAMA BARANG]]="","",INDEX(NOTA[SUPPLIER],MATCH(,INDIRECT(ADDRESS(ROW(NOTA[ID]),COLUMN(NOTA[ID]))&amp;":"&amp;ADDRESS(ROW(),COLUMN(NOTA[ID]))),-1)))</f>
        <v>KENKO SINAR INDONESIA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4</v>
      </c>
      <c r="AK336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38" t="str">
        <f>IF(NOTA[[#This Row],[CONCAT4]]="","",_xlfn.IFNA(MATCH(NOTA[[#This Row],[CONCAT4]],[2]!RAW[CONCAT_H],0),FALSE))</f>
        <v/>
      </c>
      <c r="AP336" s="174">
        <f>IF(NOTA[[#This Row],[CONCAT1]]="","",MATCH(NOTA[[#This Row],[CONCAT1]],[3]!db[NB NOTA_C],0)+1)</f>
        <v>360</v>
      </c>
    </row>
    <row r="337" spans="1:42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67</v>
      </c>
      <c r="E337" s="23"/>
      <c r="F337" s="26"/>
      <c r="G337" s="26"/>
      <c r="H337" s="31"/>
      <c r="I337" s="26"/>
      <c r="J337" s="51"/>
      <c r="K337" s="26"/>
      <c r="L337" s="26" t="s">
        <v>510</v>
      </c>
      <c r="M337" s="39">
        <v>1</v>
      </c>
      <c r="N337" s="26"/>
      <c r="O337" s="26"/>
      <c r="P337" s="49"/>
      <c r="Q337" s="52">
        <v>1464000</v>
      </c>
      <c r="R337" s="39" t="s">
        <v>244</v>
      </c>
      <c r="S337" s="53">
        <v>0.17</v>
      </c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1464000</v>
      </c>
      <c r="X337" s="54">
        <f>IF(NOTA[[#This Row],[JUMLAH]]="","",NOTA[[#This Row],[JUMLAH]]*NOTA[[#This Row],[DISC 1]])</f>
        <v>248880.00000000003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248880.00000000003</v>
      </c>
      <c r="AA337" s="54">
        <f>IF(NOTA[[#This Row],[JUMLAH]]="","",NOTA[[#This Row],[JUMLAH]]-NOTA[[#This Row],[DISC]])</f>
        <v>1215120</v>
      </c>
      <c r="AB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6885544</v>
      </c>
      <c r="AC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33617656</v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337" s="54" t="str">
        <f>IF(OR(NOTA[[#This Row],[QTY]]="",NOTA[[#This Row],[HARGA SATUAN]]="",),"",NOTA[[#This Row],[QTY]]*NOTA[[#This Row],[HARGA SATUAN]])</f>
        <v/>
      </c>
      <c r="AF337" s="51">
        <f ca="1">IF(NOTA[ID_H]="","",INDEX(NOTA[TANGGAL],MATCH(,INDIRECT(ADDRESS(ROW(NOTA[TANGGAL]),COLUMN(NOTA[TANGGAL]))&amp;":"&amp;ADDRESS(ROW(),COLUMN(NOTA[TANGGAL]))),-1)))</f>
        <v>45049</v>
      </c>
      <c r="AG337" s="65" t="str">
        <f ca="1">IF(NOTA[[#This Row],[NAMA BARANG]]="","",INDEX(NOTA[SUPPLIER],MATCH(,INDIRECT(ADDRESS(ROW(NOTA[ID]),COLUMN(NOTA[ID]))&amp;":"&amp;ADDRESS(ROW(),COLUMN(NOTA[ID]))),-1)))</f>
        <v>KENKO SINAR INDONESIA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4</v>
      </c>
      <c r="AK337" s="38" t="str">
        <f>LOWER(SUBSTITUTE(SUBSTITUTE(SUBSTITUTE(SUBSTITUTE(SUBSTITUTE(SUBSTITUTE(SUBSTITUTE(SUBSTITUTE(SUBSTITUTE(NOTA[NAMA BARANG]," ",),".",""),"-",""),"(",""),")",""),",",""),"/",""),"""",""),"+",""))</f>
        <v>kenkohighlighterhl100yellow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kenkohighlighterhl100yellow14640000.17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kenkohighlighterhl100yellow14640000.17</v>
      </c>
      <c r="AN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38" t="str">
        <f>IF(NOTA[[#This Row],[CONCAT4]]="","",_xlfn.IFNA(MATCH(NOTA[[#This Row],[CONCAT4]],[2]!RAW[CONCAT_H],0),FALSE))</f>
        <v/>
      </c>
      <c r="AP337" s="174">
        <f>IF(NOTA[[#This Row],[CONCAT1]]="","",MATCH(NOTA[[#This Row],[CONCAT1]],[3]!db[NB NOTA_C],0)+1)</f>
        <v>462</v>
      </c>
    </row>
    <row r="338" spans="1:42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38" t="str">
        <f>IF(NOTA[[#This Row],[CONCAT4]]="","",_xlfn.IFNA(MATCH(NOTA[[#This Row],[CONCAT4]],[2]!RAW[CONCAT_H],0),FALSE))</f>
        <v/>
      </c>
      <c r="AP338" s="174" t="str">
        <f>IF(NOTA[[#This Row],[CONCAT1]]="","",MATCH(NOTA[[#This Row],[CONCAT1]],[3]!db[NB NOTA_C],0)+1)</f>
        <v/>
      </c>
    </row>
    <row r="339" spans="1:42" ht="20.100000000000001" customHeight="1" x14ac:dyDescent="0.25">
      <c r="A339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KEN_0305_047-7</v>
      </c>
      <c r="C339" s="50" t="e">
        <f ca="1">IF(NOTA[[#This Row],[ID_P]]="","",MATCH(NOTA[[#This Row],[ID_P]],[1]!B_MSK[N_ID],0))</f>
        <v>#REF!</v>
      </c>
      <c r="D339" s="50">
        <f ca="1">IF(NOTA[[#This Row],[NAMA BARANG]]="","",INDEX(NOTA[ID],MATCH(,INDIRECT(ADDRESS(ROW(NOTA[ID]),COLUMN(NOTA[ID]))&amp;":"&amp;ADDRESS(ROW(),COLUMN(NOTA[ID]))),-1)))</f>
        <v>68</v>
      </c>
      <c r="E339" s="23"/>
      <c r="F339" s="26" t="s">
        <v>23</v>
      </c>
      <c r="G339" s="26" t="s">
        <v>24</v>
      </c>
      <c r="H339" s="31" t="s">
        <v>512</v>
      </c>
      <c r="I339" s="26" t="s">
        <v>515</v>
      </c>
      <c r="J339" s="51">
        <v>45030</v>
      </c>
      <c r="K339" s="26"/>
      <c r="L339" s="26" t="s">
        <v>88</v>
      </c>
      <c r="M339" s="39">
        <v>2</v>
      </c>
      <c r="N339" s="26"/>
      <c r="O339" s="26"/>
      <c r="P339" s="90"/>
      <c r="Q339" s="52">
        <v>3801600</v>
      </c>
      <c r="R339" s="39" t="s">
        <v>523</v>
      </c>
      <c r="S339" s="53">
        <v>0.17</v>
      </c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7603200</v>
      </c>
      <c r="X339" s="54">
        <f>IF(NOTA[[#This Row],[JUMLAH]]="","",NOTA[[#This Row],[JUMLAH]]*NOTA[[#This Row],[DISC 1]])</f>
        <v>1292544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1292544</v>
      </c>
      <c r="AA339" s="54">
        <f>IF(NOTA[[#This Row],[JUMLAH]]="","",NOTA[[#This Row],[JUMLAH]]-NOTA[[#This Row],[DISC]])</f>
        <v>6310656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39" s="54" t="str">
        <f>IF(OR(NOTA[[#This Row],[QTY]]="",NOTA[[#This Row],[HARGA SATUAN]]="",),"",NOTA[[#This Row],[QTY]]*NOTA[[#This Row],[HARGA SATUAN]])</f>
        <v/>
      </c>
      <c r="AF339" s="51">
        <f ca="1">IF(NOTA[ID_H]="","",INDEX(NOTA[TANGGAL],MATCH(,INDIRECT(ADDRESS(ROW(NOTA[TANGGAL]),COLUMN(NOTA[TANGGAL]))&amp;":"&amp;ADDRESS(ROW(),COLUMN(NOTA[TANGGAL]))),-1)))</f>
        <v>45049</v>
      </c>
      <c r="AG339" s="49" t="str">
        <f ca="1">IF(NOTA[[#This Row],[NAMA BARANG]]="","",INDEX(NOTA[SUPPLIER],MATCH(,INDIRECT(ADDRESS(ROW(NOTA[ID]),COLUMN(NOTA[ID]))&amp;":"&amp;ADDRESS(ROW(),COLUMN(NOTA[ID]))),-1)))</f>
        <v>KENKO SINAR INDONESIA</v>
      </c>
      <c r="AH339" s="49" t="str">
        <f ca="1">IF(NOTA[[#This Row],[ID_H]]="","",IF(NOTA[[#This Row],[FAKTUR]]="",INDIRECT(ADDRESS(ROW()-1,COLUMN())),NOTA[[#This Row],[FAKTUR]]))</f>
        <v>ARTO MORO</v>
      </c>
      <c r="AI339" s="38">
        <f ca="1">IF(NOTA[[#This Row],[ID]]="","",COUNTIF(NOTA[ID_H],NOTA[[#This Row],[ID_H]]))</f>
        <v>7</v>
      </c>
      <c r="AJ339" s="38">
        <f>IF(NOTA[[#This Row],[TGL.NOTA]]="",IF(NOTA[[#This Row],[SUPPLIER_H]]="","",AJ338),MONTH(NOTA[[#This Row],[TGL.NOTA]]))</f>
        <v>4</v>
      </c>
      <c r="AK339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33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MORO23041047SA 4110545030kenkocolorpencilcp12halfclassic</v>
      </c>
      <c r="AO339" s="38" t="e">
        <f>IF(NOTA[[#This Row],[CONCAT4]]="","",_xlfn.IFNA(MATCH(NOTA[[#This Row],[CONCAT4]],[2]!RAW[CONCAT_H],0),FALSE))</f>
        <v>#REF!</v>
      </c>
      <c r="AP339" s="174">
        <f>IF(NOTA[[#This Row],[CONCAT1]]="","",MATCH(NOTA[[#This Row],[CONCAT1]],[3]!db[NB NOTA_C],0)+1)</f>
        <v>688</v>
      </c>
    </row>
    <row r="340" spans="1:42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68</v>
      </c>
      <c r="E340" s="23"/>
      <c r="F340" s="26"/>
      <c r="G340" s="26"/>
      <c r="H340" s="31"/>
      <c r="I340" s="26"/>
      <c r="J340" s="51"/>
      <c r="K340" s="26"/>
      <c r="L340" s="26" t="s">
        <v>135</v>
      </c>
      <c r="M340" s="39">
        <v>2</v>
      </c>
      <c r="N340" s="26"/>
      <c r="O340" s="26"/>
      <c r="P340" s="90"/>
      <c r="Q340" s="52">
        <v>5702400</v>
      </c>
      <c r="R340" s="39" t="s">
        <v>155</v>
      </c>
      <c r="S340" s="53">
        <v>0.17</v>
      </c>
      <c r="T340" s="53"/>
      <c r="U340" s="54"/>
      <c r="V340" s="37"/>
      <c r="W340" s="54">
        <f>IF(NOTA[[#This Row],[HARGA/ CTN]]="",NOTA[[#This Row],[JUMLAH_H]],NOTA[[#This Row],[HARGA/ CTN]]*IF(NOTA[[#This Row],[C]]="",0,NOTA[[#This Row],[C]]))</f>
        <v>11404800</v>
      </c>
      <c r="X340" s="54">
        <f>IF(NOTA[[#This Row],[JUMLAH]]="","",NOTA[[#This Row],[JUMLAH]]*NOTA[[#This Row],[DISC 1]])</f>
        <v>1938816.0000000002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1938816.0000000002</v>
      </c>
      <c r="AA340" s="54">
        <f>IF(NOTA[[#This Row],[JUMLAH]]="","",NOTA[[#This Row],[JUMLAH]]-NOTA[[#This Row],[DISC]])</f>
        <v>9465984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40" s="54" t="str">
        <f>IF(OR(NOTA[[#This Row],[QTY]]="",NOTA[[#This Row],[HARGA SATUAN]]="",),"",NOTA[[#This Row],[QTY]]*NOTA[[#This Row],[HARGA SATUAN]])</f>
        <v/>
      </c>
      <c r="AF340" s="51">
        <f ca="1">IF(NOTA[ID_H]="","",INDEX(NOTA[TANGGAL],MATCH(,INDIRECT(ADDRESS(ROW(NOTA[TANGGAL]),COLUMN(NOTA[TANGGAL]))&amp;":"&amp;ADDRESS(ROW(),COLUMN(NOTA[TANGGAL]))),-1)))</f>
        <v>45049</v>
      </c>
      <c r="AG340" s="49" t="str">
        <f ca="1">IF(NOTA[[#This Row],[NAMA BARANG]]="","",INDEX(NOTA[SUPPLIER],MATCH(,INDIRECT(ADDRESS(ROW(NOTA[ID]),COLUMN(NOTA[ID]))&amp;":"&amp;ADDRESS(ROW(),COLUMN(NOTA[ID]))),-1)))</f>
        <v>KENKO SINAR INDONESIA</v>
      </c>
      <c r="AH340" s="49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4</v>
      </c>
      <c r="AK34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38" t="str">
        <f>IF(NOTA[[#This Row],[CONCAT4]]="","",_xlfn.IFNA(MATCH(NOTA[[#This Row],[CONCAT4]],[2]!RAW[CONCAT_H],0),FALSE))</f>
        <v/>
      </c>
      <c r="AP340" s="174">
        <f>IF(NOTA[[#This Row],[CONCAT1]]="","",MATCH(NOTA[[#This Row],[CONCAT1]],[3]!db[NB NOTA_C],0)+1)</f>
        <v>358</v>
      </c>
    </row>
    <row r="341" spans="1:42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68</v>
      </c>
      <c r="E341" s="23"/>
      <c r="F341" s="26"/>
      <c r="G341" s="26"/>
      <c r="H341" s="31"/>
      <c r="I341" s="26"/>
      <c r="J341" s="51"/>
      <c r="K341" s="26"/>
      <c r="L341" s="26" t="s">
        <v>148</v>
      </c>
      <c r="M341" s="39">
        <v>5</v>
      </c>
      <c r="N341" s="26"/>
      <c r="O341" s="26"/>
      <c r="P341" s="90"/>
      <c r="Q341" s="52">
        <v>3110400</v>
      </c>
      <c r="R341" s="39" t="s">
        <v>155</v>
      </c>
      <c r="S341" s="53">
        <v>0.17</v>
      </c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15552000</v>
      </c>
      <c r="X341" s="54">
        <f>IF(NOTA[[#This Row],[JUMLAH]]="","",NOTA[[#This Row],[JUMLAH]]*NOTA[[#This Row],[DISC 1]])</f>
        <v>2643840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2643840</v>
      </c>
      <c r="AA341" s="54">
        <f>IF(NOTA[[#This Row],[JUMLAH]]="","",NOTA[[#This Row],[JUMLAH]]-NOTA[[#This Row],[DISC]])</f>
        <v>12908160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41" s="54" t="str">
        <f>IF(OR(NOTA[[#This Row],[QTY]]="",NOTA[[#This Row],[HARGA SATUAN]]="",),"",NOTA[[#This Row],[QTY]]*NOTA[[#This Row],[HARGA SATUAN]])</f>
        <v/>
      </c>
      <c r="AF341" s="51">
        <f ca="1">IF(NOTA[ID_H]="","",INDEX(NOTA[TANGGAL],MATCH(,INDIRECT(ADDRESS(ROW(NOTA[TANGGAL]),COLUMN(NOTA[TANGGAL]))&amp;":"&amp;ADDRESS(ROW(),COLUMN(NOTA[TANGGAL]))),-1)))</f>
        <v>45049</v>
      </c>
      <c r="AG341" s="49" t="str">
        <f ca="1">IF(NOTA[[#This Row],[NAMA BARANG]]="","",INDEX(NOTA[SUPPLIER],MATCH(,INDIRECT(ADDRESS(ROW(NOTA[ID]),COLUMN(NOTA[ID]))&amp;":"&amp;ADDRESS(ROW(),COLUMN(NOTA[ID]))),-1)))</f>
        <v>KENKO SINAR INDONESIA</v>
      </c>
      <c r="AH341" s="49" t="str">
        <f ca="1">IF(NOTA[[#This Row],[ID_H]]="","",IF(NOTA[[#This Row],[FAKTUR]]="",INDIRECT(ADDRESS(ROW()-1,COLUMN())),NOTA[[#This Row],[FAKTUR]]))</f>
        <v>ARTO MORO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4</v>
      </c>
      <c r="AK34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38" t="str">
        <f>IF(NOTA[[#This Row],[CONCAT4]]="","",_xlfn.IFNA(MATCH(NOTA[[#This Row],[CONCAT4]],[2]!RAW[CONCAT_H],0),FALSE))</f>
        <v/>
      </c>
      <c r="AP341" s="174">
        <f>IF(NOTA[[#This Row],[CONCAT1]]="","",MATCH(NOTA[[#This Row],[CONCAT1]],[3]!db[NB NOTA_C],0)+1)</f>
        <v>366</v>
      </c>
    </row>
    <row r="342" spans="1:42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68</v>
      </c>
      <c r="E342" s="23"/>
      <c r="F342" s="26"/>
      <c r="G342" s="26"/>
      <c r="H342" s="31"/>
      <c r="I342" s="26"/>
      <c r="J342" s="51"/>
      <c r="K342" s="26"/>
      <c r="L342" s="26" t="s">
        <v>505</v>
      </c>
      <c r="M342" s="39">
        <v>1</v>
      </c>
      <c r="N342" s="26"/>
      <c r="O342" s="26"/>
      <c r="P342" s="90"/>
      <c r="Q342" s="52">
        <v>3240000</v>
      </c>
      <c r="R342" s="39" t="s">
        <v>245</v>
      </c>
      <c r="S342" s="53">
        <v>0.17</v>
      </c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3240000</v>
      </c>
      <c r="X342" s="54">
        <f>IF(NOTA[[#This Row],[JUMLAH]]="","",NOTA[[#This Row],[JUMLAH]]*NOTA[[#This Row],[DISC 1]])</f>
        <v>550800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550800</v>
      </c>
      <c r="AA342" s="54">
        <f>IF(NOTA[[#This Row],[JUMLAH]]="","",NOTA[[#This Row],[JUMLAH]]-NOTA[[#This Row],[DISC]])</f>
        <v>2689200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42" s="54" t="str">
        <f>IF(OR(NOTA[[#This Row],[QTY]]="",NOTA[[#This Row],[HARGA SATUAN]]="",),"",NOTA[[#This Row],[QTY]]*NOTA[[#This Row],[HARGA SATUAN]])</f>
        <v/>
      </c>
      <c r="AF342" s="51">
        <f ca="1">IF(NOTA[ID_H]="","",INDEX(NOTA[TANGGAL],MATCH(,INDIRECT(ADDRESS(ROW(NOTA[TANGGAL]),COLUMN(NOTA[TANGGAL]))&amp;":"&amp;ADDRESS(ROW(),COLUMN(NOTA[TANGGAL]))),-1)))</f>
        <v>45049</v>
      </c>
      <c r="AG342" s="49" t="str">
        <f ca="1">IF(NOTA[[#This Row],[NAMA BARANG]]="","",INDEX(NOTA[SUPPLIER],MATCH(,INDIRECT(ADDRESS(ROW(NOTA[ID]),COLUMN(NOTA[ID]))&amp;":"&amp;ADDRESS(ROW(),COLUMN(NOTA[ID]))),-1)))</f>
        <v>KENKO SINAR INDONESIA</v>
      </c>
      <c r="AH342" s="49" t="str">
        <f ca="1">IF(NOTA[[#This Row],[ID_H]]="","",IF(NOTA[[#This Row],[FAKTUR]]="",INDIRECT(ADDRESS(ROW()-1,COLUMN())),NOTA[[#This Row],[FAKTUR]]))</f>
        <v>ARTO MORO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4</v>
      </c>
      <c r="AK342" s="38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38" t="str">
        <f>IF(NOTA[[#This Row],[CONCAT4]]="","",_xlfn.IFNA(MATCH(NOTA[[#This Row],[CONCAT4]],[2]!RAW[CONCAT_H],0),FALSE))</f>
        <v/>
      </c>
      <c r="AP342" s="174">
        <f>IF(NOTA[[#This Row],[CONCAT1]]="","",MATCH(NOTA[[#This Row],[CONCAT1]],[3]!db[NB NOTA_C],0)+1)</f>
        <v>240</v>
      </c>
    </row>
    <row r="343" spans="1:42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68</v>
      </c>
      <c r="E343" s="23"/>
      <c r="F343" s="26"/>
      <c r="G343" s="26"/>
      <c r="H343" s="31"/>
      <c r="I343" s="26"/>
      <c r="J343" s="51"/>
      <c r="K343" s="26"/>
      <c r="L343" s="26" t="s">
        <v>513</v>
      </c>
      <c r="M343" s="39">
        <v>2</v>
      </c>
      <c r="N343" s="26"/>
      <c r="O343" s="26"/>
      <c r="P343" s="90"/>
      <c r="Q343" s="52">
        <v>4406400</v>
      </c>
      <c r="R343" s="39" t="s">
        <v>245</v>
      </c>
      <c r="S343" s="53">
        <v>0.17</v>
      </c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8812800</v>
      </c>
      <c r="X343" s="54">
        <f>IF(NOTA[[#This Row],[JUMLAH]]="","",NOTA[[#This Row],[JUMLAH]]*NOTA[[#This Row],[DISC 1]])</f>
        <v>1498176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1498176</v>
      </c>
      <c r="AA343" s="54">
        <f>IF(NOTA[[#This Row],[JUMLAH]]="","",NOTA[[#This Row],[JUMLAH]]-NOTA[[#This Row],[DISC]])</f>
        <v>7314624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4406400</v>
      </c>
      <c r="AE343" s="54" t="str">
        <f>IF(OR(NOTA[[#This Row],[QTY]]="",NOTA[[#This Row],[HARGA SATUAN]]="",),"",NOTA[[#This Row],[QTY]]*NOTA[[#This Row],[HARGA SATUAN]])</f>
        <v/>
      </c>
      <c r="AF343" s="51">
        <f ca="1">IF(NOTA[ID_H]="","",INDEX(NOTA[TANGGAL],MATCH(,INDIRECT(ADDRESS(ROW(NOTA[TANGGAL]),COLUMN(NOTA[TANGGAL]))&amp;":"&amp;ADDRESS(ROW(),COLUMN(NOTA[TANGGAL]))),-1)))</f>
        <v>45049</v>
      </c>
      <c r="AG343" s="49" t="str">
        <f ca="1">IF(NOTA[[#This Row],[NAMA BARANG]]="","",INDEX(NOTA[SUPPLIER],MATCH(,INDIRECT(ADDRESS(ROW(NOTA[ID]),COLUMN(NOTA[ID]))&amp;":"&amp;ADDRESS(ROW(),COLUMN(NOTA[ID]))),-1)))</f>
        <v>KENKO SINAR INDONESIA</v>
      </c>
      <c r="AH343" s="49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4</v>
      </c>
      <c r="AK343" s="38" t="str">
        <f>LOWER(SUBSTITUTE(SUBSTITUTE(SUBSTITUTE(SUBSTITUTE(SUBSTITUTE(SUBSTITUTE(SUBSTITUTE(SUBSTITUTE(SUBSTITUTE(NOTA[NAMA BARANG]," ",),".",""),"-",""),"(",""),")",""),",",""),"/",""),"""",""),"+",""))</f>
        <v>kenkocorrectiontapect300130mx5mm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N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38" t="str">
        <f>IF(NOTA[[#This Row],[CONCAT4]]="","",_xlfn.IFNA(MATCH(NOTA[[#This Row],[CONCAT4]],[2]!RAW[CONCAT_H],0),FALSE))</f>
        <v/>
      </c>
      <c r="AP343" s="174">
        <f>IF(NOTA[[#This Row],[CONCAT1]]="","",MATCH(NOTA[[#This Row],[CONCAT1]],[3]!db[NB NOTA_C],0)+1)</f>
        <v>243</v>
      </c>
    </row>
    <row r="344" spans="1:42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68</v>
      </c>
      <c r="E344" s="23"/>
      <c r="F344" s="26"/>
      <c r="G344" s="26"/>
      <c r="H344" s="31"/>
      <c r="I344" s="26"/>
      <c r="J344" s="51"/>
      <c r="K344" s="26"/>
      <c r="L344" s="26" t="s">
        <v>514</v>
      </c>
      <c r="M344" s="39">
        <v>10</v>
      </c>
      <c r="N344" s="26"/>
      <c r="O344" s="26"/>
      <c r="P344" s="49"/>
      <c r="Q344" s="52">
        <v>5616000</v>
      </c>
      <c r="R344" s="39" t="s">
        <v>155</v>
      </c>
      <c r="S344" s="53">
        <v>0.17</v>
      </c>
      <c r="T344" s="53"/>
      <c r="U344" s="54"/>
      <c r="V344" s="37"/>
      <c r="W344" s="54">
        <f>IF(NOTA[[#This Row],[HARGA/ CTN]]="",NOTA[[#This Row],[JUMLAH_H]],NOTA[[#This Row],[HARGA/ CTN]]*IF(NOTA[[#This Row],[C]]="",0,NOTA[[#This Row],[C]]))</f>
        <v>56160000</v>
      </c>
      <c r="X344" s="54">
        <f>IF(NOTA[[#This Row],[JUMLAH]]="","",NOTA[[#This Row],[JUMLAH]]*NOTA[[#This Row],[DISC 1]])</f>
        <v>9547200</v>
      </c>
      <c r="Y344" s="54">
        <f>IF(NOTA[[#This Row],[JUMLAH]]="","",(NOTA[[#This Row],[JUMLAH]]-NOTA[[#This Row],[DISC 1-]])*NOTA[[#This Row],[DISC 2]])</f>
        <v>0</v>
      </c>
      <c r="Z344" s="54">
        <f>IF(NOTA[[#This Row],[JUMLAH]]="","",NOTA[[#This Row],[DISC 1-]]+NOTA[[#This Row],[DISC 2-]])</f>
        <v>9547200</v>
      </c>
      <c r="AA344" s="54">
        <f>IF(NOTA[[#This Row],[JUMLAH]]="","",NOTA[[#This Row],[JUMLAH]]-NOTA[[#This Row],[DISC]])</f>
        <v>46612800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4" s="54" t="str">
        <f>IF(OR(NOTA[[#This Row],[QTY]]="",NOTA[[#This Row],[HARGA SATUAN]]="",),"",NOTA[[#This Row],[QTY]]*NOTA[[#This Row],[HARGA SATUAN]])</f>
        <v/>
      </c>
      <c r="AF344" s="51">
        <f ca="1">IF(NOTA[ID_H]="","",INDEX(NOTA[TANGGAL],MATCH(,INDIRECT(ADDRESS(ROW(NOTA[TANGGAL]),COLUMN(NOTA[TANGGAL]))&amp;":"&amp;ADDRESS(ROW(),COLUMN(NOTA[TANGGAL]))),-1)))</f>
        <v>45049</v>
      </c>
      <c r="AG344" s="49" t="str">
        <f ca="1">IF(NOTA[[#This Row],[NAMA BARANG]]="","",INDEX(NOTA[SUPPLIER],MATCH(,INDIRECT(ADDRESS(ROW(NOTA[ID]),COLUMN(NOTA[ID]))&amp;":"&amp;ADDRESS(ROW(),COLUMN(NOTA[ID]))),-1)))</f>
        <v>KENKO SINAR INDONESIA</v>
      </c>
      <c r="AH344" s="49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4</v>
      </c>
      <c r="AK34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N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4" s="38" t="str">
        <f>IF(NOTA[[#This Row],[CONCAT4]]="","",_xlfn.IFNA(MATCH(NOTA[[#This Row],[CONCAT4]],[2]!RAW[CONCAT_H],0),FALSE))</f>
        <v/>
      </c>
      <c r="AP344" s="174">
        <f>IF(NOTA[[#This Row],[CONCAT1]]="","",MATCH(NOTA[[#This Row],[CONCAT1]],[3]!db[NB NOTA_C],0)+1)</f>
        <v>349</v>
      </c>
    </row>
    <row r="345" spans="1:42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68</v>
      </c>
      <c r="E345" s="23"/>
      <c r="F345" s="26"/>
      <c r="G345" s="26"/>
      <c r="H345" s="31"/>
      <c r="I345" s="26"/>
      <c r="J345" s="51"/>
      <c r="K345" s="26"/>
      <c r="L345" s="26" t="s">
        <v>503</v>
      </c>
      <c r="M345" s="39">
        <v>3</v>
      </c>
      <c r="N345" s="26"/>
      <c r="O345" s="26"/>
      <c r="P345" s="49"/>
      <c r="Q345" s="52">
        <v>5616000</v>
      </c>
      <c r="R345" s="39" t="s">
        <v>155</v>
      </c>
      <c r="S345" s="53">
        <v>0.17</v>
      </c>
      <c r="T345" s="53"/>
      <c r="U345" s="54"/>
      <c r="V345" s="37"/>
      <c r="W345" s="54">
        <f>IF(NOTA[[#This Row],[HARGA/ CTN]]="",NOTA[[#This Row],[JUMLAH_H]],NOTA[[#This Row],[HARGA/ CTN]]*IF(NOTA[[#This Row],[C]]="",0,NOTA[[#This Row],[C]]))</f>
        <v>16848000</v>
      </c>
      <c r="X345" s="54">
        <f>IF(NOTA[[#This Row],[JUMLAH]]="","",NOTA[[#This Row],[JUMLAH]]*NOTA[[#This Row],[DISC 1]])</f>
        <v>2864160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2864160</v>
      </c>
      <c r="AA345" s="54">
        <f>IF(NOTA[[#This Row],[JUMLAH]]="","",NOTA[[#This Row],[JUMLAH]]-NOTA[[#This Row],[DISC]])</f>
        <v>13983840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20335536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99285264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5" s="54" t="str">
        <f>IF(OR(NOTA[[#This Row],[QTY]]="",NOTA[[#This Row],[HARGA SATUAN]]="",),"",NOTA[[#This Row],[QTY]]*NOTA[[#This Row],[HARGA SATUAN]])</f>
        <v/>
      </c>
      <c r="AF345" s="51">
        <f ca="1">IF(NOTA[ID_H]="","",INDEX(NOTA[TANGGAL],MATCH(,INDIRECT(ADDRESS(ROW(NOTA[TANGGAL]),COLUMN(NOTA[TANGGAL]))&amp;":"&amp;ADDRESS(ROW(),COLUMN(NOTA[TANGGAL]))),-1)))</f>
        <v>45049</v>
      </c>
      <c r="AG345" s="49" t="str">
        <f ca="1">IF(NOTA[[#This Row],[NAMA BARANG]]="","",INDEX(NOTA[SUPPLIER],MATCH(,INDIRECT(ADDRESS(ROW(NOTA[ID]),COLUMN(NOTA[ID]))&amp;":"&amp;ADDRESS(ROW(),COLUMN(NOTA[ID]))),-1)))</f>
        <v>KENKO SINAR INDONESIA</v>
      </c>
      <c r="AH345" s="49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4</v>
      </c>
      <c r="AK345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38" t="str">
        <f>IF(NOTA[[#This Row],[CONCAT4]]="","",_xlfn.IFNA(MATCH(NOTA[[#This Row],[CONCAT4]],[2]!RAW[CONCAT_H],0),FALSE))</f>
        <v/>
      </c>
      <c r="AP345" s="174">
        <f>IF(NOTA[[#This Row],[CONCAT1]]="","",MATCH(NOTA[[#This Row],[CONCAT1]],[3]!db[NB NOTA_C],0)+1)</f>
        <v>345</v>
      </c>
    </row>
    <row r="346" spans="1:42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49" t="str">
        <f ca="1">IF(NOTA[[#This Row],[NAMA BARANG]]="","",INDEX(NOTA[SUPPLIER],MATCH(,INDIRECT(ADDRESS(ROW(NOTA[ID]),COLUMN(NOTA[ID]))&amp;":"&amp;ADDRESS(ROW(),COLUMN(NOTA[ID]))),-1)))</f>
        <v/>
      </c>
      <c r="AH346" s="49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38" t="str">
        <f>IF(NOTA[[#This Row],[CONCAT4]]="","",_xlfn.IFNA(MATCH(NOTA[[#This Row],[CONCAT4]],[2]!RAW[CONCAT_H],0),FALSE))</f>
        <v/>
      </c>
      <c r="AP346" s="174" t="str">
        <f>IF(NOTA[[#This Row],[CONCAT1]]="","",MATCH(NOTA[[#This Row],[CONCAT1]],[3]!db[NB NOTA_C],0)+1)</f>
        <v/>
      </c>
    </row>
    <row r="347" spans="1:42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ATA_0305_293-9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69</v>
      </c>
      <c r="E347" s="23"/>
      <c r="F347" s="26" t="s">
        <v>25</v>
      </c>
      <c r="G347" s="26" t="s">
        <v>24</v>
      </c>
      <c r="H347" s="39" t="s">
        <v>516</v>
      </c>
      <c r="I347" s="31"/>
      <c r="J347" s="51">
        <v>45030</v>
      </c>
      <c r="K347" s="26"/>
      <c r="L347" s="26" t="s">
        <v>346</v>
      </c>
      <c r="M347" s="39"/>
      <c r="N347" s="26">
        <v>180</v>
      </c>
      <c r="O347" s="26" t="s">
        <v>198</v>
      </c>
      <c r="P347" s="49">
        <v>3700</v>
      </c>
      <c r="Q347" s="52"/>
      <c r="R347" s="39" t="s">
        <v>345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666000</v>
      </c>
      <c r="X347" s="54">
        <f>IF(NOTA[[#This Row],[JUMLAH]]="","",NOTA[[#This Row],[JUMLAH]]*NOTA[[#This Row],[DISC 1]])</f>
        <v>83250</v>
      </c>
      <c r="Y347" s="54">
        <f>IF(NOTA[[#This Row],[JUMLAH]]="","",(NOTA[[#This Row],[JUMLAH]]-NOTA[[#This Row],[DISC 1-]])*NOTA[[#This Row],[DISC 2]])</f>
        <v>29137.5</v>
      </c>
      <c r="Z347" s="54">
        <f>IF(NOTA[[#This Row],[JUMLAH]]="","",NOTA[[#This Row],[DISC 1-]]+NOTA[[#This Row],[DISC 2-]])</f>
        <v>112387.5</v>
      </c>
      <c r="AA347" s="54">
        <f>IF(NOTA[[#This Row],[JUMLAH]]="","",NOTA[[#This Row],[JUMLAH]]-NOTA[[#This Row],[DISC]])</f>
        <v>553612.5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7" s="54">
        <f>IF(OR(NOTA[[#This Row],[QTY]]="",NOTA[[#This Row],[HARGA SATUAN]]="",),"",NOTA[[#This Row],[QTY]]*NOTA[[#This Row],[HARGA SATUAN]])</f>
        <v>666000</v>
      </c>
      <c r="AF347" s="51">
        <f ca="1">IF(NOTA[ID_H]="","",INDEX(NOTA[TANGGAL],MATCH(,INDIRECT(ADDRESS(ROW(NOTA[TANGGAL]),COLUMN(NOTA[TANGGAL]))&amp;":"&amp;ADDRESS(ROW(),COLUMN(NOTA[TANGGAL]))),-1)))</f>
        <v>45049</v>
      </c>
      <c r="AG347" s="49" t="str">
        <f ca="1">IF(NOTA[[#This Row],[NAMA BARANG]]="","",INDEX(NOTA[SUPPLIER],MATCH(,INDIRECT(ADDRESS(ROW(NOTA[ID]),COLUMN(NOTA[ID]))&amp;":"&amp;ADDRESS(ROW(),COLUMN(NOTA[ID]))),-1)))</f>
        <v>ATALI MAKMUR</v>
      </c>
      <c r="AH347" s="49" t="str">
        <f ca="1">IF(NOTA[[#This Row],[ID_H]]="","",IF(NOTA[[#This Row],[FAKTUR]]="",INDIRECT(ADDRESS(ROW()-1,COLUMN())),NOTA[[#This Row],[FAKTUR]]))</f>
        <v>ARTO MORO</v>
      </c>
      <c r="AI347" s="38">
        <f ca="1">IF(NOTA[[#This Row],[ID]]="","",COUNTIF(NOTA[ID_H],NOTA[[#This Row],[ID_H]]))</f>
        <v>9</v>
      </c>
      <c r="AJ347" s="38">
        <f>IF(NOTA[[#This Row],[TGL.NOTA]]="",IF(NOTA[[#This Row],[SUPPLIER_H]]="","",AJ346),MONTH(NOTA[[#This Row],[TGL.NOTA]]))</f>
        <v>4</v>
      </c>
      <c r="AK347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3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MOROSA23040629345030highlighterhl2greenjk</v>
      </c>
      <c r="AO347" s="38" t="e">
        <f>IF(NOTA[[#This Row],[CONCAT4]]="","",_xlfn.IFNA(MATCH(NOTA[[#This Row],[CONCAT4]],[2]!RAW[CONCAT_H],0),FALSE))</f>
        <v>#REF!</v>
      </c>
      <c r="AP347" s="174">
        <f>IF(NOTA[[#This Row],[CONCAT1]]="","",MATCH(NOTA[[#This Row],[CONCAT1]],[3]!db[NB NOTA_C],0)+1)</f>
        <v>450</v>
      </c>
    </row>
    <row r="348" spans="1:42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69</v>
      </c>
      <c r="E348" s="23"/>
      <c r="F348" s="26"/>
      <c r="G348" s="26"/>
      <c r="H348" s="31"/>
      <c r="I348" s="26"/>
      <c r="J348" s="51"/>
      <c r="K348" s="26"/>
      <c r="L348" s="26" t="s">
        <v>347</v>
      </c>
      <c r="M348" s="39"/>
      <c r="N348" s="26">
        <v>180</v>
      </c>
      <c r="O348" s="26" t="s">
        <v>198</v>
      </c>
      <c r="P348" s="49">
        <v>3700</v>
      </c>
      <c r="Q348" s="52"/>
      <c r="R348" s="39" t="s">
        <v>345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666000</v>
      </c>
      <c r="X348" s="54">
        <f>IF(NOTA[[#This Row],[JUMLAH]]="","",NOTA[[#This Row],[JUMLAH]]*NOTA[[#This Row],[DISC 1]])</f>
        <v>83250</v>
      </c>
      <c r="Y348" s="54">
        <f>IF(NOTA[[#This Row],[JUMLAH]]="","",(NOTA[[#This Row],[JUMLAH]]-NOTA[[#This Row],[DISC 1-]])*NOTA[[#This Row],[DISC 2]])</f>
        <v>29137.5</v>
      </c>
      <c r="Z348" s="54">
        <f>IF(NOTA[[#This Row],[JUMLAH]]="","",NOTA[[#This Row],[DISC 1-]]+NOTA[[#This Row],[DISC 2-]])</f>
        <v>112387.5</v>
      </c>
      <c r="AA348" s="54">
        <f>IF(NOTA[[#This Row],[JUMLAH]]="","",NOTA[[#This Row],[JUMLAH]]-NOTA[[#This Row],[DISC]])</f>
        <v>553612.5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8" s="54">
        <f>IF(OR(NOTA[[#This Row],[QTY]]="",NOTA[[#This Row],[HARGA SATUAN]]="",),"",NOTA[[#This Row],[QTY]]*NOTA[[#This Row],[HARGA SATUAN]])</f>
        <v>666000</v>
      </c>
      <c r="AF348" s="51">
        <f ca="1">IF(NOTA[ID_H]="","",INDEX(NOTA[TANGGAL],MATCH(,INDIRECT(ADDRESS(ROW(NOTA[TANGGAL]),COLUMN(NOTA[TANGGAL]))&amp;":"&amp;ADDRESS(ROW(),COLUMN(NOTA[TANGGAL]))),-1)))</f>
        <v>45049</v>
      </c>
      <c r="AG348" s="49" t="str">
        <f ca="1">IF(NOTA[[#This Row],[NAMA BARANG]]="","",INDEX(NOTA[SUPPLIER],MATCH(,INDIRECT(ADDRESS(ROW(NOTA[ID]),COLUMN(NOTA[ID]))&amp;":"&amp;ADDRESS(ROW(),COLUMN(NOTA[ID]))),-1)))</f>
        <v>ATALI MAKMUR</v>
      </c>
      <c r="AH348" s="49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4</v>
      </c>
      <c r="AK348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highlighterhl3bluejk6660000.1250.05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38" t="str">
        <f>IF(NOTA[[#This Row],[CONCAT4]]="","",_xlfn.IFNA(MATCH(NOTA[[#This Row],[CONCAT4]],[2]!RAW[CONCAT_H],0),FALSE))</f>
        <v/>
      </c>
      <c r="AP348" s="174">
        <f>IF(NOTA[[#This Row],[CONCAT1]]="","",MATCH(NOTA[[#This Row],[CONCAT1]],[3]!db[NB NOTA_C],0)+1)</f>
        <v>451</v>
      </c>
    </row>
    <row r="349" spans="1:42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69</v>
      </c>
      <c r="E349" s="23"/>
      <c r="F349" s="26"/>
      <c r="G349" s="26"/>
      <c r="H349" s="31"/>
      <c r="I349" s="26"/>
      <c r="J349" s="51"/>
      <c r="K349" s="26"/>
      <c r="L349" s="26" t="s">
        <v>348</v>
      </c>
      <c r="M349" s="39"/>
      <c r="N349" s="26">
        <v>180</v>
      </c>
      <c r="O349" s="26" t="s">
        <v>198</v>
      </c>
      <c r="P349" s="49">
        <v>3700</v>
      </c>
      <c r="Q349" s="52"/>
      <c r="R349" s="39" t="s">
        <v>345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666000</v>
      </c>
      <c r="X349" s="54">
        <f>IF(NOTA[[#This Row],[JUMLAH]]="","",NOTA[[#This Row],[JUMLAH]]*NOTA[[#This Row],[DISC 1]])</f>
        <v>83250</v>
      </c>
      <c r="Y349" s="54">
        <f>IF(NOTA[[#This Row],[JUMLAH]]="","",(NOTA[[#This Row],[JUMLAH]]-NOTA[[#This Row],[DISC 1-]])*NOTA[[#This Row],[DISC 2]])</f>
        <v>29137.5</v>
      </c>
      <c r="Z349" s="54">
        <f>IF(NOTA[[#This Row],[JUMLAH]]="","",NOTA[[#This Row],[DISC 1-]]+NOTA[[#This Row],[DISC 2-]])</f>
        <v>112387.5</v>
      </c>
      <c r="AA349" s="54">
        <f>IF(NOTA[[#This Row],[JUMLAH]]="","",NOTA[[#This Row],[JUMLAH]]-NOTA[[#This Row],[DISC]])</f>
        <v>553612.5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9" s="54">
        <f>IF(OR(NOTA[[#This Row],[QTY]]="",NOTA[[#This Row],[HARGA SATUAN]]="",),"",NOTA[[#This Row],[QTY]]*NOTA[[#This Row],[HARGA SATUAN]])</f>
        <v>666000</v>
      </c>
      <c r="AF349" s="51">
        <f ca="1">IF(NOTA[ID_H]="","",INDEX(NOTA[TANGGAL],MATCH(,INDIRECT(ADDRESS(ROW(NOTA[TANGGAL]),COLUMN(NOTA[TANGGAL]))&amp;":"&amp;ADDRESS(ROW(),COLUMN(NOTA[TANGGAL]))),-1)))</f>
        <v>45049</v>
      </c>
      <c r="AG349" s="49" t="str">
        <f ca="1">IF(NOTA[[#This Row],[NAMA BARANG]]="","",INDEX(NOTA[SUPPLIER],MATCH(,INDIRECT(ADDRESS(ROW(NOTA[ID]),COLUMN(NOTA[ID]))&amp;":"&amp;ADDRESS(ROW(),COLUMN(NOTA[ID]))),-1)))</f>
        <v>ATALI MAKMUR</v>
      </c>
      <c r="AH349" s="49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4</v>
      </c>
      <c r="AK349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9" s="38" t="str">
        <f>IF(NOTA[[#This Row],[CONCAT4]]="","",_xlfn.IFNA(MATCH(NOTA[[#This Row],[CONCAT4]],[2]!RAW[CONCAT_H],0),FALSE))</f>
        <v/>
      </c>
      <c r="AP349" s="174">
        <f>IF(NOTA[[#This Row],[CONCAT1]]="","",MATCH(NOTA[[#This Row],[CONCAT1]],[3]!db[NB NOTA_C],0)+1)</f>
        <v>452</v>
      </c>
    </row>
    <row r="350" spans="1:42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69</v>
      </c>
      <c r="E350" s="23"/>
      <c r="F350" s="26"/>
      <c r="G350" s="26"/>
      <c r="H350" s="31"/>
      <c r="I350" s="26"/>
      <c r="J350" s="51"/>
      <c r="K350" s="26"/>
      <c r="L350" s="26" t="s">
        <v>517</v>
      </c>
      <c r="M350" s="39"/>
      <c r="N350" s="26">
        <v>180</v>
      </c>
      <c r="O350" s="26" t="s">
        <v>198</v>
      </c>
      <c r="P350" s="49">
        <v>3700</v>
      </c>
      <c r="Q350" s="52"/>
      <c r="R350" s="39" t="s">
        <v>345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666000</v>
      </c>
      <c r="X350" s="54">
        <f>IF(NOTA[[#This Row],[JUMLAH]]="","",NOTA[[#This Row],[JUMLAH]]*NOTA[[#This Row],[DISC 1]])</f>
        <v>83250</v>
      </c>
      <c r="Y350" s="54">
        <f>IF(NOTA[[#This Row],[JUMLAH]]="","",(NOTA[[#This Row],[JUMLAH]]-NOTA[[#This Row],[DISC 1-]])*NOTA[[#This Row],[DISC 2]])</f>
        <v>29137.5</v>
      </c>
      <c r="Z350" s="54">
        <f>IF(NOTA[[#This Row],[JUMLAH]]="","",NOTA[[#This Row],[DISC 1-]]+NOTA[[#This Row],[DISC 2-]])</f>
        <v>112387.5</v>
      </c>
      <c r="AA350" s="54">
        <f>IF(NOTA[[#This Row],[JUMLAH]]="","",NOTA[[#This Row],[JUMLAH]]-NOTA[[#This Row],[DISC]])</f>
        <v>553612.5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50" s="54">
        <f>IF(OR(NOTA[[#This Row],[QTY]]="",NOTA[[#This Row],[HARGA SATUAN]]="",),"",NOTA[[#This Row],[QTY]]*NOTA[[#This Row],[HARGA SATUAN]])</f>
        <v>666000</v>
      </c>
      <c r="AF350" s="51">
        <f ca="1">IF(NOTA[ID_H]="","",INDEX(NOTA[TANGGAL],MATCH(,INDIRECT(ADDRESS(ROW(NOTA[TANGGAL]),COLUMN(NOTA[TANGGAL]))&amp;":"&amp;ADDRESS(ROW(),COLUMN(NOTA[TANGGAL]))),-1)))</f>
        <v>45049</v>
      </c>
      <c r="AG350" s="49" t="str">
        <f ca="1">IF(NOTA[[#This Row],[NAMA BARANG]]="","",INDEX(NOTA[SUPPLIER],MATCH(,INDIRECT(ADDRESS(ROW(NOTA[ID]),COLUMN(NOTA[ID]))&amp;":"&amp;ADDRESS(ROW(),COLUMN(NOTA[ID]))),-1)))</f>
        <v>ATALI MAKMUR</v>
      </c>
      <c r="AH350" s="49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4</v>
      </c>
      <c r="AK350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38" t="str">
        <f>IF(NOTA[[#This Row],[CONCAT4]]="","",_xlfn.IFNA(MATCH(NOTA[[#This Row],[CONCAT4]],[2]!RAW[CONCAT_H],0),FALSE))</f>
        <v/>
      </c>
      <c r="AP350" s="174">
        <f>IF(NOTA[[#This Row],[CONCAT1]]="","",MATCH(NOTA[[#This Row],[CONCAT1]],[3]!db[NB NOTA_C],0)+1)</f>
        <v>453</v>
      </c>
    </row>
    <row r="351" spans="1:42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69</v>
      </c>
      <c r="E351" s="23"/>
      <c r="F351" s="26"/>
      <c r="G351" s="26"/>
      <c r="H351" s="31"/>
      <c r="I351" s="26"/>
      <c r="J351" s="51"/>
      <c r="K351" s="26"/>
      <c r="L351" s="26" t="s">
        <v>430</v>
      </c>
      <c r="M351" s="39">
        <v>1</v>
      </c>
      <c r="N351" s="26">
        <v>120</v>
      </c>
      <c r="O351" s="26" t="s">
        <v>261</v>
      </c>
      <c r="P351" s="49">
        <v>24600</v>
      </c>
      <c r="Q351" s="52"/>
      <c r="R351" s="39" t="s">
        <v>431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2952000</v>
      </c>
      <c r="X351" s="54">
        <f>IF(NOTA[[#This Row],[JUMLAH]]="","",NOTA[[#This Row],[JUMLAH]]*NOTA[[#This Row],[DISC 1]])</f>
        <v>369000</v>
      </c>
      <c r="Y351" s="54">
        <f>IF(NOTA[[#This Row],[JUMLAH]]="","",(NOTA[[#This Row],[JUMLAH]]-NOTA[[#This Row],[DISC 1-]])*NOTA[[#This Row],[DISC 2]])</f>
        <v>129150</v>
      </c>
      <c r="Z351" s="54">
        <f>IF(NOTA[[#This Row],[JUMLAH]]="","",NOTA[[#This Row],[DISC 1-]]+NOTA[[#This Row],[DISC 2-]])</f>
        <v>498150</v>
      </c>
      <c r="AA351" s="54">
        <f>IF(NOTA[[#This Row],[JUMLAH]]="","",NOTA[[#This Row],[JUMLAH]]-NOTA[[#This Row],[DISC]])</f>
        <v>2453850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51" s="54">
        <f>IF(OR(NOTA[[#This Row],[QTY]]="",NOTA[[#This Row],[HARGA SATUAN]]="",),"",NOTA[[#This Row],[QTY]]*NOTA[[#This Row],[HARGA SATUAN]])</f>
        <v>2952000</v>
      </c>
      <c r="AF351" s="51">
        <f ca="1">IF(NOTA[ID_H]="","",INDEX(NOTA[TANGGAL],MATCH(,INDIRECT(ADDRESS(ROW(NOTA[TANGGAL]),COLUMN(NOTA[TANGGAL]))&amp;":"&amp;ADDRESS(ROW(),COLUMN(NOTA[TANGGAL]))),-1)))</f>
        <v>45049</v>
      </c>
      <c r="AG351" s="49" t="str">
        <f ca="1">IF(NOTA[[#This Row],[NAMA BARANG]]="","",INDEX(NOTA[SUPPLIER],MATCH(,INDIRECT(ADDRESS(ROW(NOTA[ID]),COLUMN(NOTA[ID]))&amp;":"&amp;ADDRESS(ROW(),COLUMN(NOTA[ID]))),-1)))</f>
        <v>ATALI MAKMUR</v>
      </c>
      <c r="AH351" s="49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4</v>
      </c>
      <c r="AK351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38" t="str">
        <f>IF(NOTA[[#This Row],[CONCAT4]]="","",_xlfn.IFNA(MATCH(NOTA[[#This Row],[CONCAT4]],[2]!RAW[CONCAT_H],0),FALSE))</f>
        <v/>
      </c>
      <c r="AP351" s="174">
        <f>IF(NOTA[[#This Row],[CONCAT1]]="","",MATCH(NOTA[[#This Row],[CONCAT1]],[3]!db[NB NOTA_C],0)+1)</f>
        <v>473</v>
      </c>
    </row>
    <row r="352" spans="1:42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69</v>
      </c>
      <c r="E352" s="23"/>
      <c r="F352" s="26"/>
      <c r="G352" s="26"/>
      <c r="H352" s="31"/>
      <c r="I352" s="26"/>
      <c r="J352" s="51"/>
      <c r="K352" s="26"/>
      <c r="L352" s="26" t="s">
        <v>128</v>
      </c>
      <c r="M352" s="39">
        <v>1</v>
      </c>
      <c r="N352" s="26">
        <v>40</v>
      </c>
      <c r="O352" s="26" t="s">
        <v>261</v>
      </c>
      <c r="P352" s="49">
        <v>49200</v>
      </c>
      <c r="Q352" s="52"/>
      <c r="R352" s="39" t="s">
        <v>399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1968000</v>
      </c>
      <c r="X352" s="54">
        <f>IF(NOTA[[#This Row],[JUMLAH]]="","",NOTA[[#This Row],[JUMLAH]]*NOTA[[#This Row],[DISC 1]])</f>
        <v>246000</v>
      </c>
      <c r="Y352" s="54">
        <f>IF(NOTA[[#This Row],[JUMLAH]]="","",(NOTA[[#This Row],[JUMLAH]]-NOTA[[#This Row],[DISC 1-]])*NOTA[[#This Row],[DISC 2]])</f>
        <v>86100</v>
      </c>
      <c r="Z352" s="54">
        <f>IF(NOTA[[#This Row],[JUMLAH]]="","",NOTA[[#This Row],[DISC 1-]]+NOTA[[#This Row],[DISC 2-]])</f>
        <v>332100</v>
      </c>
      <c r="AA352" s="54">
        <f>IF(NOTA[[#This Row],[JUMLAH]]="","",NOTA[[#This Row],[JUMLAH]]-NOTA[[#This Row],[DISC]])</f>
        <v>1635900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352" s="54">
        <f>IF(OR(NOTA[[#This Row],[QTY]]="",NOTA[[#This Row],[HARGA SATUAN]]="",),"",NOTA[[#This Row],[QTY]]*NOTA[[#This Row],[HARGA SATUAN]])</f>
        <v>1968000</v>
      </c>
      <c r="AF352" s="51">
        <f ca="1">IF(NOTA[ID_H]="","",INDEX(NOTA[TANGGAL],MATCH(,INDIRECT(ADDRESS(ROW(NOTA[TANGGAL]),COLUMN(NOTA[TANGGAL]))&amp;":"&amp;ADDRESS(ROW(),COLUMN(NOTA[TANGGAL]))),-1)))</f>
        <v>45049</v>
      </c>
      <c r="AG352" s="49" t="str">
        <f ca="1">IF(NOTA[[#This Row],[NAMA BARANG]]="","",INDEX(NOTA[SUPPLIER],MATCH(,INDIRECT(ADDRESS(ROW(NOTA[ID]),COLUMN(NOTA[ID]))&amp;":"&amp;ADDRESS(ROW(),COLUMN(NOTA[ID]))),-1)))</f>
        <v>ATALI MAKMUR</v>
      </c>
      <c r="AH352" s="49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4</v>
      </c>
      <c r="AK35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38" t="str">
        <f>IF(NOTA[[#This Row],[CONCAT4]]="","",_xlfn.IFNA(MATCH(NOTA[[#This Row],[CONCAT4]],[2]!RAW[CONCAT_H],0),FALSE))</f>
        <v/>
      </c>
      <c r="AP352" s="174">
        <f>IF(NOTA[[#This Row],[CONCAT1]]="","",MATCH(NOTA[[#This Row],[CONCAT1]],[3]!db[NB NOTA_C],0)+1)</f>
        <v>474</v>
      </c>
    </row>
    <row r="353" spans="1:42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69</v>
      </c>
      <c r="E353" s="23"/>
      <c r="F353" s="26"/>
      <c r="G353" s="26"/>
      <c r="H353" s="31"/>
      <c r="I353" s="26"/>
      <c r="J353" s="51"/>
      <c r="K353" s="26"/>
      <c r="L353" s="26" t="s">
        <v>518</v>
      </c>
      <c r="M353" s="39">
        <v>1</v>
      </c>
      <c r="N353" s="26">
        <v>48</v>
      </c>
      <c r="O353" s="26" t="s">
        <v>261</v>
      </c>
      <c r="P353" s="49">
        <v>55800</v>
      </c>
      <c r="Q353" s="52"/>
      <c r="R353" s="39" t="s">
        <v>358</v>
      </c>
      <c r="S353" s="53">
        <v>0.125</v>
      </c>
      <c r="T353" s="53">
        <v>0.05</v>
      </c>
      <c r="U353" s="54"/>
      <c r="V353" s="37"/>
      <c r="W353" s="54">
        <f>IF(NOTA[[#This Row],[HARGA/ CTN]]="",NOTA[[#This Row],[JUMLAH_H]],NOTA[[#This Row],[HARGA/ CTN]]*IF(NOTA[[#This Row],[C]]="",0,NOTA[[#This Row],[C]]))</f>
        <v>2678400</v>
      </c>
      <c r="X353" s="54">
        <f>IF(NOTA[[#This Row],[JUMLAH]]="","",NOTA[[#This Row],[JUMLAH]]*NOTA[[#This Row],[DISC 1]])</f>
        <v>334800</v>
      </c>
      <c r="Y353" s="54">
        <f>IF(NOTA[[#This Row],[JUMLAH]]="","",(NOTA[[#This Row],[JUMLAH]]-NOTA[[#This Row],[DISC 1-]])*NOTA[[#This Row],[DISC 2]])</f>
        <v>117180</v>
      </c>
      <c r="Z353" s="54">
        <f>IF(NOTA[[#This Row],[JUMLAH]]="","",NOTA[[#This Row],[DISC 1-]]+NOTA[[#This Row],[DISC 2-]])</f>
        <v>451980</v>
      </c>
      <c r="AA353" s="54">
        <f>IF(NOTA[[#This Row],[JUMLAH]]="","",NOTA[[#This Row],[JUMLAH]]-NOTA[[#This Row],[DISC]])</f>
        <v>2226420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53" s="54">
        <f>IF(OR(NOTA[[#This Row],[QTY]]="",NOTA[[#This Row],[HARGA SATUAN]]="",),"",NOTA[[#This Row],[QTY]]*NOTA[[#This Row],[HARGA SATUAN]])</f>
        <v>2678400</v>
      </c>
      <c r="AF353" s="51">
        <f ca="1">IF(NOTA[ID_H]="","",INDEX(NOTA[TANGGAL],MATCH(,INDIRECT(ADDRESS(ROW(NOTA[TANGGAL]),COLUMN(NOTA[TANGGAL]))&amp;":"&amp;ADDRESS(ROW(),COLUMN(NOTA[TANGGAL]))),-1)))</f>
        <v>45049</v>
      </c>
      <c r="AG353" s="49" t="str">
        <f ca="1">IF(NOTA[[#This Row],[NAMA BARANG]]="","",INDEX(NOTA[SUPPLIER],MATCH(,INDIRECT(ADDRESS(ROW(NOTA[ID]),COLUMN(NOTA[ID]))&amp;":"&amp;ADDRESS(ROW(),COLUMN(NOTA[ID]))),-1)))</f>
        <v>ATALI MAKMUR</v>
      </c>
      <c r="AH353" s="49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4</v>
      </c>
      <c r="AK353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3" s="38" t="str">
        <f>IF(NOTA[[#This Row],[CONCAT4]]="","",_xlfn.IFNA(MATCH(NOTA[[#This Row],[CONCAT4]],[2]!RAW[CONCAT_H],0),FALSE))</f>
        <v/>
      </c>
      <c r="AP353" s="174">
        <f>IF(NOTA[[#This Row],[CONCAT1]]="","",MATCH(NOTA[[#This Row],[CONCAT1]],[3]!db[NB NOTA_C],0)+1)</f>
        <v>292</v>
      </c>
    </row>
    <row r="354" spans="1:42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69</v>
      </c>
      <c r="E354" s="23"/>
      <c r="F354" s="26"/>
      <c r="G354" s="26"/>
      <c r="H354" s="31"/>
      <c r="I354" s="26"/>
      <c r="J354" s="51"/>
      <c r="K354" s="26"/>
      <c r="L354" s="26" t="s">
        <v>127</v>
      </c>
      <c r="M354" s="39">
        <v>1</v>
      </c>
      <c r="N354" s="26">
        <v>24</v>
      </c>
      <c r="O354" s="26" t="s">
        <v>261</v>
      </c>
      <c r="P354" s="49">
        <v>162000</v>
      </c>
      <c r="Q354" s="52"/>
      <c r="R354" s="39" t="s">
        <v>409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3888000</v>
      </c>
      <c r="X354" s="54">
        <f>IF(NOTA[[#This Row],[JUMLAH]]="","",NOTA[[#This Row],[JUMLAH]]*NOTA[[#This Row],[DISC 1]])</f>
        <v>486000</v>
      </c>
      <c r="Y354" s="54">
        <f>IF(NOTA[[#This Row],[JUMLAH]]="","",(NOTA[[#This Row],[JUMLAH]]-NOTA[[#This Row],[DISC 1-]])*NOTA[[#This Row],[DISC 2]])</f>
        <v>170100</v>
      </c>
      <c r="Z354" s="54">
        <f>IF(NOTA[[#This Row],[JUMLAH]]="","",NOTA[[#This Row],[DISC 1-]]+NOTA[[#This Row],[DISC 2-]])</f>
        <v>656100</v>
      </c>
      <c r="AA354" s="54">
        <f>IF(NOTA[[#This Row],[JUMLAH]]="","",NOTA[[#This Row],[JUMLAH]]-NOTA[[#This Row],[DISC]])</f>
        <v>3231900</v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54" s="54">
        <f>IF(OR(NOTA[[#This Row],[QTY]]="",NOTA[[#This Row],[HARGA SATUAN]]="",),"",NOTA[[#This Row],[QTY]]*NOTA[[#This Row],[HARGA SATUAN]])</f>
        <v>3888000</v>
      </c>
      <c r="AF354" s="51">
        <f ca="1">IF(NOTA[ID_H]="","",INDEX(NOTA[TANGGAL],MATCH(,INDIRECT(ADDRESS(ROW(NOTA[TANGGAL]),COLUMN(NOTA[TANGGAL]))&amp;":"&amp;ADDRESS(ROW(),COLUMN(NOTA[TANGGAL]))),-1)))</f>
        <v>45049</v>
      </c>
      <c r="AG354" s="49" t="str">
        <f ca="1">IF(NOTA[[#This Row],[NAMA BARANG]]="","",INDEX(NOTA[SUPPLIER],MATCH(,INDIRECT(ADDRESS(ROW(NOTA[ID]),COLUMN(NOTA[ID]))&amp;":"&amp;ADDRESS(ROW(),COLUMN(NOTA[ID]))),-1)))</f>
        <v>ATALI MAKMUR</v>
      </c>
      <c r="AH354" s="49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4</v>
      </c>
      <c r="AK3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38" t="str">
        <f>IF(NOTA[[#This Row],[CONCAT4]]="","",_xlfn.IFNA(MATCH(NOTA[[#This Row],[CONCAT4]],[2]!RAW[CONCAT_H],0),FALSE))</f>
        <v/>
      </c>
      <c r="AP354" s="174">
        <f>IF(NOTA[[#This Row],[CONCAT1]]="","",MATCH(NOTA[[#This Row],[CONCAT1]],[3]!db[NB NOTA_C],0)+1)</f>
        <v>289</v>
      </c>
    </row>
    <row r="355" spans="1:42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>
        <f ca="1">IF(NOTA[[#This Row],[NAMA BARANG]]="","",INDEX(NOTA[ID],MATCH(,INDIRECT(ADDRESS(ROW(NOTA[ID]),COLUMN(NOTA[ID]))&amp;":"&amp;ADDRESS(ROW(),COLUMN(NOTA[ID]))),-1)))</f>
        <v>69</v>
      </c>
      <c r="E355" s="23"/>
      <c r="F355" s="26"/>
      <c r="G355" s="26"/>
      <c r="H355" s="31"/>
      <c r="I355" s="26"/>
      <c r="J355" s="51"/>
      <c r="K355" s="26"/>
      <c r="L355" s="26" t="s">
        <v>521</v>
      </c>
      <c r="M355" s="39"/>
      <c r="N355" s="26">
        <v>24</v>
      </c>
      <c r="O355" s="26" t="s">
        <v>261</v>
      </c>
      <c r="P355" s="49"/>
      <c r="Q355" s="52"/>
      <c r="R355" s="39" t="s">
        <v>399</v>
      </c>
      <c r="S355" s="53">
        <v>0.125</v>
      </c>
      <c r="T355" s="53">
        <v>0.05</v>
      </c>
      <c r="U355" s="54"/>
      <c r="V355" s="37" t="s">
        <v>299</v>
      </c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2387880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11762520</v>
      </c>
      <c r="AD3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55" s="54" t="str">
        <f>IF(OR(NOTA[[#This Row],[QTY]]="",NOTA[[#This Row],[HARGA SATUAN]]="",),"",NOTA[[#This Row],[QTY]]*NOTA[[#This Row],[HARGA SATUAN]])</f>
        <v/>
      </c>
      <c r="AF355" s="51">
        <f ca="1">IF(NOTA[ID_H]="","",INDEX(NOTA[TANGGAL],MATCH(,INDIRECT(ADDRESS(ROW(NOTA[TANGGAL]),COLUMN(NOTA[TANGGAL]))&amp;":"&amp;ADDRESS(ROW(),COLUMN(NOTA[TANGGAL]))),-1)))</f>
        <v>45049</v>
      </c>
      <c r="AG355" s="49" t="str">
        <f ca="1">IF(NOTA[[#This Row],[NAMA BARANG]]="","",INDEX(NOTA[SUPPLIER],MATCH(,INDIRECT(ADDRESS(ROW(NOTA[ID]),COLUMN(NOTA[ID]))&amp;":"&amp;ADDRESS(ROW(),COLUMN(NOTA[ID]))),-1)))</f>
        <v>ATALI MAKMUR</v>
      </c>
      <c r="AH355" s="49" t="str">
        <f ca="1">IF(NOTA[[#This Row],[ID_H]]="","",IF(NOTA[[#This Row],[FAKTUR]]="",INDIRECT(ADDRESS(ROW()-1,COLUMN())),NOTA[[#This Row],[FAKTUR]]))</f>
        <v>ARTO MORO</v>
      </c>
      <c r="AI355" s="38" t="str">
        <f ca="1">IF(NOTA[[#This Row],[ID]]="","",COUNTIF(NOTA[ID_H],NOTA[[#This Row],[ID_H]]))</f>
        <v/>
      </c>
      <c r="AJ355" s="38">
        <f ca="1">IF(NOTA[[#This Row],[TGL.NOTA]]="",IF(NOTA[[#This Row],[SUPPLIER_H]]="","",AJ354),MONTH(NOTA[[#This Row],[TGL.NOTA]]))</f>
        <v>4</v>
      </c>
      <c r="AK3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cutterbladel150amljkbonus00.1250.05</v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cutterbladel150amljkbonus00.1250.05</v>
      </c>
      <c r="AN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5" s="38" t="str">
        <f>IF(NOTA[[#This Row],[CONCAT4]]="","",_xlfn.IFNA(MATCH(NOTA[[#This Row],[CONCAT4]],[2]!RAW[CONCAT_H],0),FALSE))</f>
        <v/>
      </c>
      <c r="AP355" s="174">
        <f>IF(NOTA[[#This Row],[CONCAT1]]="","",MATCH(NOTA[[#This Row],[CONCAT1]],[3]!db[NB NOTA_C],0)+1)</f>
        <v>475</v>
      </c>
    </row>
    <row r="356" spans="1:42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49" t="str">
        <f ca="1">IF(NOTA[[#This Row],[NAMA BARANG]]="","",INDEX(NOTA[SUPPLIER],MATCH(,INDIRECT(ADDRESS(ROW(NOTA[ID]),COLUMN(NOTA[ID]))&amp;":"&amp;ADDRESS(ROW(),COLUMN(NOTA[ID]))),-1)))</f>
        <v/>
      </c>
      <c r="AH356" s="49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38" t="str">
        <f>IF(NOTA[[#This Row],[CONCAT4]]="","",_xlfn.IFNA(MATCH(NOTA[[#This Row],[CONCAT4]],[2]!RAW[CONCAT_H],0),FALSE))</f>
        <v/>
      </c>
      <c r="AP356" s="174" t="str">
        <f>IF(NOTA[[#This Row],[CONCAT1]]="","",MATCH(NOTA[[#This Row],[CONCAT1]],[3]!db[NB NOTA_C],0)+1)</f>
        <v/>
      </c>
    </row>
    <row r="357" spans="1:42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ATA_0305_285-1</v>
      </c>
      <c r="C357" s="50" t="e">
        <f ca="1">IF(NOTA[[#This Row],[ID_P]]="","",MATCH(NOTA[[#This Row],[ID_P]],[1]!B_MSK[N_ID],0))</f>
        <v>#REF!</v>
      </c>
      <c r="D357" s="50">
        <f ca="1">IF(NOTA[[#This Row],[NAMA BARANG]]="","",INDEX(NOTA[ID],MATCH(,INDIRECT(ADDRESS(ROW(NOTA[ID]),COLUMN(NOTA[ID]))&amp;":"&amp;ADDRESS(ROW(),COLUMN(NOTA[ID]))),-1)))</f>
        <v>70</v>
      </c>
      <c r="E357" s="23"/>
      <c r="F357" s="26" t="s">
        <v>25</v>
      </c>
      <c r="G357" s="26" t="s">
        <v>24</v>
      </c>
      <c r="H357" s="31" t="s">
        <v>526</v>
      </c>
      <c r="I357" s="26"/>
      <c r="J357" s="51">
        <v>45029</v>
      </c>
      <c r="K357" s="26"/>
      <c r="L357" s="26" t="s">
        <v>92</v>
      </c>
      <c r="M357" s="39">
        <v>1</v>
      </c>
      <c r="N357" s="26">
        <v>24</v>
      </c>
      <c r="O357" s="26" t="s">
        <v>188</v>
      </c>
      <c r="P357" s="49">
        <v>58900</v>
      </c>
      <c r="Q357" s="52"/>
      <c r="R357" s="39" t="s">
        <v>527</v>
      </c>
      <c r="S357" s="53">
        <v>0.125</v>
      </c>
      <c r="T357" s="53">
        <v>0.05</v>
      </c>
      <c r="U357" s="54"/>
      <c r="V357" s="37"/>
      <c r="W357" s="54">
        <f>IF(NOTA[[#This Row],[HARGA/ CTN]]="",NOTA[[#This Row],[JUMLAH_H]],NOTA[[#This Row],[HARGA/ CTN]]*IF(NOTA[[#This Row],[C]]="",0,NOTA[[#This Row],[C]]))</f>
        <v>1413600</v>
      </c>
      <c r="X357" s="54">
        <f>IF(NOTA[[#This Row],[JUMLAH]]="","",NOTA[[#This Row],[JUMLAH]]*NOTA[[#This Row],[DISC 1]])</f>
        <v>176700</v>
      </c>
      <c r="Y357" s="54">
        <f>IF(NOTA[[#This Row],[JUMLAH]]="","",(NOTA[[#This Row],[JUMLAH]]-NOTA[[#This Row],[DISC 1-]])*NOTA[[#This Row],[DISC 2]])</f>
        <v>61845</v>
      </c>
      <c r="Z357" s="54">
        <f>IF(NOTA[[#This Row],[JUMLAH]]="","",NOTA[[#This Row],[DISC 1-]]+NOTA[[#This Row],[DISC 2-]])</f>
        <v>238545</v>
      </c>
      <c r="AA357" s="54">
        <f>IF(NOTA[[#This Row],[JUMLAH]]="","",NOTA[[#This Row],[JUMLAH]]-NOTA[[#This Row],[DISC]])</f>
        <v>1175055</v>
      </c>
      <c r="AB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238545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1175055</v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357" s="54">
        <f>IF(OR(NOTA[[#This Row],[QTY]]="",NOTA[[#This Row],[HARGA SATUAN]]="",),"",NOTA[[#This Row],[QTY]]*NOTA[[#This Row],[HARGA SATUAN]])</f>
        <v>1413600</v>
      </c>
      <c r="AF357" s="51">
        <f ca="1">IF(NOTA[ID_H]="","",INDEX(NOTA[TANGGAL],MATCH(,INDIRECT(ADDRESS(ROW(NOTA[TANGGAL]),COLUMN(NOTA[TANGGAL]))&amp;":"&amp;ADDRESS(ROW(),COLUMN(NOTA[TANGGAL]))),-1)))</f>
        <v>45049</v>
      </c>
      <c r="AG357" s="49" t="str">
        <f ca="1">IF(NOTA[[#This Row],[NAMA BARANG]]="","",INDEX(NOTA[SUPPLIER],MATCH(,INDIRECT(ADDRESS(ROW(NOTA[ID]),COLUMN(NOTA[ID]))&amp;":"&amp;ADDRESS(ROW(),COLUMN(NOTA[ID]))),-1)))</f>
        <v>ATALI MAKMUR</v>
      </c>
      <c r="AH357" s="49" t="str">
        <f ca="1">IF(NOTA[[#This Row],[ID_H]]="","",IF(NOTA[[#This Row],[FAKTUR]]="",INDIRECT(ADDRESS(ROW()-1,COLUMN())),NOTA[[#This Row],[FAKTUR]]))</f>
        <v>ARTO MORO</v>
      </c>
      <c r="AI357" s="38">
        <f ca="1">IF(NOTA[[#This Row],[ID]]="","",COUNTIF(NOTA[ID_H],NOTA[[#This Row],[ID_H]]))</f>
        <v>1</v>
      </c>
      <c r="AJ357" s="38">
        <f>IF(NOTA[[#This Row],[TGL.NOTA]]="",IF(NOTA[[#This Row],[SUPPLIER_H]]="","",AJ356),MONTH(NOTA[[#This Row],[TGL.NOTA]]))</f>
        <v>4</v>
      </c>
      <c r="AK35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3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MOROSA23040628545029oilpastelop48sppcaseseaworldjk</v>
      </c>
      <c r="AO357" s="38" t="e">
        <f>IF(NOTA[[#This Row],[CONCAT4]]="","",_xlfn.IFNA(MATCH(NOTA[[#This Row],[CONCAT4]],[2]!RAW[CONCAT_H],0),FALSE))</f>
        <v>#REF!</v>
      </c>
      <c r="AP357" s="174">
        <f>IF(NOTA[[#This Row],[CONCAT1]]="","",MATCH(NOTA[[#This Row],[CONCAT1]],[3]!db[NB NOTA_C],0)+1)</f>
        <v>271</v>
      </c>
    </row>
    <row r="358" spans="1:42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49" t="str">
        <f ca="1">IF(NOTA[[#This Row],[NAMA BARANG]]="","",INDEX(NOTA[SUPPLIER],MATCH(,INDIRECT(ADDRESS(ROW(NOTA[ID]),COLUMN(NOTA[ID]))&amp;":"&amp;ADDRESS(ROW(),COLUMN(NOTA[ID]))),-1)))</f>
        <v/>
      </c>
      <c r="AH358" s="49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38" t="str">
        <f>IF(NOTA[[#This Row],[CONCAT4]]="","",_xlfn.IFNA(MATCH(NOTA[[#This Row],[CONCAT4]],[2]!RAW[CONCAT_H],0),FALSE))</f>
        <v/>
      </c>
      <c r="AP358" s="174" t="str">
        <f>IF(NOTA[[#This Row],[CONCAT1]]="","",MATCH(NOTA[[#This Row],[CONCAT1]],[3]!db[NB NOTA_C],0)+1)</f>
        <v/>
      </c>
    </row>
    <row r="359" spans="1:42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ATA_0305_244-11</v>
      </c>
      <c r="C359" s="50" t="e">
        <f ca="1">IF(NOTA[[#This Row],[ID_P]]="","",MATCH(NOTA[[#This Row],[ID_P]],[1]!B_MSK[N_ID],0))</f>
        <v>#REF!</v>
      </c>
      <c r="D359" s="50">
        <f ca="1">IF(NOTA[[#This Row],[NAMA BARANG]]="","",INDEX(NOTA[ID],MATCH(,INDIRECT(ADDRESS(ROW(NOTA[ID]),COLUMN(NOTA[ID]))&amp;":"&amp;ADDRESS(ROW(),COLUMN(NOTA[ID]))),-1)))</f>
        <v>71</v>
      </c>
      <c r="E359" s="23"/>
      <c r="F359" s="26" t="s">
        <v>25</v>
      </c>
      <c r="G359" s="26" t="s">
        <v>24</v>
      </c>
      <c r="H359" s="31" t="s">
        <v>528</v>
      </c>
      <c r="I359" s="26"/>
      <c r="J359" s="51">
        <v>45029</v>
      </c>
      <c r="K359" s="26"/>
      <c r="L359" s="26" t="s">
        <v>102</v>
      </c>
      <c r="M359" s="39">
        <v>7</v>
      </c>
      <c r="N359" s="26">
        <v>350</v>
      </c>
      <c r="O359" s="26" t="s">
        <v>204</v>
      </c>
      <c r="P359" s="49">
        <v>28300</v>
      </c>
      <c r="Q359" s="52"/>
      <c r="R359" s="39" t="s">
        <v>352</v>
      </c>
      <c r="S359" s="53">
        <v>0.125</v>
      </c>
      <c r="T359" s="53">
        <v>0.05</v>
      </c>
      <c r="U359" s="54"/>
      <c r="V359" s="37"/>
      <c r="W359" s="54">
        <f>IF(NOTA[[#This Row],[HARGA/ CTN]]="",NOTA[[#This Row],[JUMLAH_H]],NOTA[[#This Row],[HARGA/ CTN]]*IF(NOTA[[#This Row],[C]]="",0,NOTA[[#This Row],[C]]))</f>
        <v>9905000</v>
      </c>
      <c r="X359" s="54">
        <f>IF(NOTA[[#This Row],[JUMLAH]]="","",NOTA[[#This Row],[JUMLAH]]*NOTA[[#This Row],[DISC 1]])</f>
        <v>1238125</v>
      </c>
      <c r="Y359" s="54">
        <f>IF(NOTA[[#This Row],[JUMLAH]]="","",(NOTA[[#This Row],[JUMLAH]]-NOTA[[#This Row],[DISC 1-]])*NOTA[[#This Row],[DISC 2]])</f>
        <v>433343.75</v>
      </c>
      <c r="Z359" s="54">
        <f>IF(NOTA[[#This Row],[JUMLAH]]="","",NOTA[[#This Row],[DISC 1-]]+NOTA[[#This Row],[DISC 2-]])</f>
        <v>1671468.75</v>
      </c>
      <c r="AA359" s="54">
        <f>IF(NOTA[[#This Row],[JUMLAH]]="","",NOTA[[#This Row],[JUMLAH]]-NOTA[[#This Row],[DISC]])</f>
        <v>8233531.25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59" s="54">
        <f>IF(OR(NOTA[[#This Row],[QTY]]="",NOTA[[#This Row],[HARGA SATUAN]]="",),"",NOTA[[#This Row],[QTY]]*NOTA[[#This Row],[HARGA SATUAN]])</f>
        <v>9905000</v>
      </c>
      <c r="AF359" s="51">
        <f ca="1">IF(NOTA[ID_H]="","",INDEX(NOTA[TANGGAL],MATCH(,INDIRECT(ADDRESS(ROW(NOTA[TANGGAL]),COLUMN(NOTA[TANGGAL]))&amp;":"&amp;ADDRESS(ROW(),COLUMN(NOTA[TANGGAL]))),-1)))</f>
        <v>45049</v>
      </c>
      <c r="AG359" s="49" t="str">
        <f ca="1">IF(NOTA[[#This Row],[NAMA BARANG]]="","",INDEX(NOTA[SUPPLIER],MATCH(,INDIRECT(ADDRESS(ROW(NOTA[ID]),COLUMN(NOTA[ID]))&amp;":"&amp;ADDRESS(ROW(),COLUMN(NOTA[ID]))),-1)))</f>
        <v>ATALI MAKMUR</v>
      </c>
      <c r="AH359" s="49" t="str">
        <f ca="1">IF(NOTA[[#This Row],[ID_H]]="","",IF(NOTA[[#This Row],[FAKTUR]]="",INDIRECT(ADDRESS(ROW()-1,COLUMN())),NOTA[[#This Row],[FAKTUR]]))</f>
        <v>ARTO MORO</v>
      </c>
      <c r="AI359" s="38">
        <f ca="1">IF(NOTA[[#This Row],[ID]]="","",COUNTIF(NOTA[ID_H],NOTA[[#This Row],[ID_H]]))</f>
        <v>11</v>
      </c>
      <c r="AJ359" s="38">
        <f>IF(NOTA[[#This Row],[TGL.NOTA]]="",IF(NOTA[[#This Row],[SUPPLIER_H]]="","",AJ358),MONTH(NOTA[[#This Row],[TGL.NOTA]]))</f>
        <v>4</v>
      </c>
      <c r="AK3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5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MOROSA23040624445029eraser526b40pjk</v>
      </c>
      <c r="AO359" s="38" t="e">
        <f>IF(NOTA[[#This Row],[CONCAT4]]="","",_xlfn.IFNA(MATCH(NOTA[[#This Row],[CONCAT4]],[2]!RAW[CONCAT_H],0),FALSE))</f>
        <v>#REF!</v>
      </c>
      <c r="AP359" s="174">
        <f>IF(NOTA[[#This Row],[CONCAT1]]="","",MATCH(NOTA[[#This Row],[CONCAT1]],[3]!db[NB NOTA_C],0)+1)</f>
        <v>778</v>
      </c>
    </row>
    <row r="360" spans="1:42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71</v>
      </c>
      <c r="E360" s="23"/>
      <c r="F360" s="26"/>
      <c r="G360" s="26"/>
      <c r="H360" s="31"/>
      <c r="I360" s="26"/>
      <c r="J360" s="51"/>
      <c r="K360" s="26"/>
      <c r="L360" s="26" t="s">
        <v>122</v>
      </c>
      <c r="M360" s="39">
        <v>5</v>
      </c>
      <c r="N360" s="26">
        <v>250</v>
      </c>
      <c r="O360" s="26" t="s">
        <v>204</v>
      </c>
      <c r="P360" s="49">
        <v>32000</v>
      </c>
      <c r="Q360" s="52"/>
      <c r="R360" s="39" t="s">
        <v>406</v>
      </c>
      <c r="S360" s="53">
        <v>0.125</v>
      </c>
      <c r="T360" s="53">
        <v>0.05</v>
      </c>
      <c r="U360" s="54"/>
      <c r="V360" s="37"/>
      <c r="W360" s="54">
        <f>IF(NOTA[[#This Row],[HARGA/ CTN]]="",NOTA[[#This Row],[JUMLAH_H]],NOTA[[#This Row],[HARGA/ CTN]]*IF(NOTA[[#This Row],[C]]="",0,NOTA[[#This Row],[C]]))</f>
        <v>8000000</v>
      </c>
      <c r="X360" s="54">
        <f>IF(NOTA[[#This Row],[JUMLAH]]="","",NOTA[[#This Row],[JUMLAH]]*NOTA[[#This Row],[DISC 1]])</f>
        <v>1000000</v>
      </c>
      <c r="Y360" s="54">
        <f>IF(NOTA[[#This Row],[JUMLAH]]="","",(NOTA[[#This Row],[JUMLAH]]-NOTA[[#This Row],[DISC 1-]])*NOTA[[#This Row],[DISC 2]])</f>
        <v>350000</v>
      </c>
      <c r="Z360" s="54">
        <f>IF(NOTA[[#This Row],[JUMLAH]]="","",NOTA[[#This Row],[DISC 1-]]+NOTA[[#This Row],[DISC 2-]])</f>
        <v>1350000</v>
      </c>
      <c r="AA360" s="54">
        <f>IF(NOTA[[#This Row],[JUMLAH]]="","",NOTA[[#This Row],[JUMLAH]]-NOTA[[#This Row],[DISC]])</f>
        <v>6650000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60" s="54">
        <f>IF(OR(NOTA[[#This Row],[QTY]]="",NOTA[[#This Row],[HARGA SATUAN]]="",),"",NOTA[[#This Row],[QTY]]*NOTA[[#This Row],[HARGA SATUAN]])</f>
        <v>8000000</v>
      </c>
      <c r="AF360" s="51">
        <f ca="1">IF(NOTA[ID_H]="","",INDEX(NOTA[TANGGAL],MATCH(,INDIRECT(ADDRESS(ROW(NOTA[TANGGAL]),COLUMN(NOTA[TANGGAL]))&amp;":"&amp;ADDRESS(ROW(),COLUMN(NOTA[TANGGAL]))),-1)))</f>
        <v>45049</v>
      </c>
      <c r="AG360" s="49" t="str">
        <f ca="1">IF(NOTA[[#This Row],[NAMA BARANG]]="","",INDEX(NOTA[SUPPLIER],MATCH(,INDIRECT(ADDRESS(ROW(NOTA[ID]),COLUMN(NOTA[ID]))&amp;":"&amp;ADDRESS(ROW(),COLUMN(NOTA[ID]))),-1)))</f>
        <v>ATALI MAKMUR</v>
      </c>
      <c r="AH360" s="49" t="str">
        <f ca="1">IF(NOTA[[#This Row],[ID_H]]="","",IF(NOTA[[#This Row],[FAKTUR]]="",INDIRECT(ADDRESS(ROW()-1,COLUMN())),NOTA[[#This Row],[FAKTUR]]))</f>
        <v>ARTO MORO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4</v>
      </c>
      <c r="AK360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38" t="str">
        <f>IF(NOTA[[#This Row],[CONCAT4]]="","",_xlfn.IFNA(MATCH(NOTA[[#This Row],[CONCAT4]],[2]!RAW[CONCAT_H],0),FALSE))</f>
        <v/>
      </c>
      <c r="AP360" s="174">
        <f>IF(NOTA[[#This Row],[CONCAT1]]="","",MATCH(NOTA[[#This Row],[CONCAT1]],[3]!db[NB NOTA_C],0)+1)</f>
        <v>784</v>
      </c>
    </row>
    <row r="361" spans="1:42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71</v>
      </c>
      <c r="E361" s="23"/>
      <c r="F361" s="26"/>
      <c r="G361" s="26"/>
      <c r="H361" s="31"/>
      <c r="I361" s="26"/>
      <c r="J361" s="51"/>
      <c r="K361" s="26"/>
      <c r="L361" s="26" t="s">
        <v>529</v>
      </c>
      <c r="M361" s="39">
        <v>1</v>
      </c>
      <c r="N361" s="26">
        <v>288</v>
      </c>
      <c r="O361" s="26" t="s">
        <v>188</v>
      </c>
      <c r="P361" s="49">
        <v>6700</v>
      </c>
      <c r="Q361" s="52"/>
      <c r="R361" s="39" t="s">
        <v>530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1929600</v>
      </c>
      <c r="X361" s="54">
        <f>IF(NOTA[[#This Row],[JUMLAH]]="","",NOTA[[#This Row],[JUMLAH]]*NOTA[[#This Row],[DISC 1]])</f>
        <v>241200</v>
      </c>
      <c r="Y361" s="54">
        <f>IF(NOTA[[#This Row],[JUMLAH]]="","",(NOTA[[#This Row],[JUMLAH]]-NOTA[[#This Row],[DISC 1-]])*NOTA[[#This Row],[DISC 2]])</f>
        <v>84420</v>
      </c>
      <c r="Z361" s="54">
        <f>IF(NOTA[[#This Row],[JUMLAH]]="","",NOTA[[#This Row],[DISC 1-]]+NOTA[[#This Row],[DISC 2-]])</f>
        <v>325620</v>
      </c>
      <c r="AA361" s="54">
        <f>IF(NOTA[[#This Row],[JUMLAH]]="","",NOTA[[#This Row],[JUMLAH]]-NOTA[[#This Row],[DISC]])</f>
        <v>1603980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361" s="54">
        <f>IF(OR(NOTA[[#This Row],[QTY]]="",NOTA[[#This Row],[HARGA SATUAN]]="",),"",NOTA[[#This Row],[QTY]]*NOTA[[#This Row],[HARGA SATUAN]])</f>
        <v>1929600</v>
      </c>
      <c r="AF361" s="51">
        <f ca="1">IF(NOTA[ID_H]="","",INDEX(NOTA[TANGGAL],MATCH(,INDIRECT(ADDRESS(ROW(NOTA[TANGGAL]),COLUMN(NOTA[TANGGAL]))&amp;":"&amp;ADDRESS(ROW(),COLUMN(NOTA[TANGGAL]))),-1)))</f>
        <v>45049</v>
      </c>
      <c r="AG361" s="49" t="str">
        <f ca="1">IF(NOTA[[#This Row],[NAMA BARANG]]="","",INDEX(NOTA[SUPPLIER],MATCH(,INDIRECT(ADDRESS(ROW(NOTA[ID]),COLUMN(NOTA[ID]))&amp;":"&amp;ADDRESS(ROW(),COLUMN(NOTA[ID]))),-1)))</f>
        <v>ATALI MAKMUR</v>
      </c>
      <c r="AH361" s="49" t="str">
        <f ca="1">IF(NOTA[[#This Row],[ID_H]]="","",IF(NOTA[[#This Row],[FAKTUR]]="",INDIRECT(ADDRESS(ROW()-1,COLUMN())),NOTA[[#This Row],[FAKTUR]]))</f>
        <v>ARTO MORO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4</v>
      </c>
      <c r="AK36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1" s="38" t="str">
        <f>IF(NOTA[[#This Row],[CONCAT4]]="","",_xlfn.IFNA(MATCH(NOTA[[#This Row],[CONCAT4]],[2]!RAW[CONCAT_H],0),FALSE))</f>
        <v/>
      </c>
      <c r="AP361" s="174">
        <f>IF(NOTA[[#This Row],[CONCAT1]]="","",MATCH(NOTA[[#This Row],[CONCAT1]],[3]!db[NB NOTA_C],0)+1)</f>
        <v>672</v>
      </c>
    </row>
    <row r="362" spans="1:42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71</v>
      </c>
      <c r="E362" s="23"/>
      <c r="F362" s="26"/>
      <c r="G362" s="26"/>
      <c r="H362" s="31"/>
      <c r="I362" s="26"/>
      <c r="J362" s="51"/>
      <c r="K362" s="26"/>
      <c r="L362" s="26" t="s">
        <v>123</v>
      </c>
      <c r="M362" s="39">
        <v>1</v>
      </c>
      <c r="N362" s="26">
        <v>72</v>
      </c>
      <c r="O362" s="26" t="s">
        <v>188</v>
      </c>
      <c r="P362" s="49">
        <v>21200</v>
      </c>
      <c r="Q362" s="52"/>
      <c r="R362" s="39" t="s">
        <v>331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1526400</v>
      </c>
      <c r="X362" s="54">
        <f>IF(NOTA[[#This Row],[JUMLAH]]="","",NOTA[[#This Row],[JUMLAH]]*NOTA[[#This Row],[DISC 1]])</f>
        <v>190800</v>
      </c>
      <c r="Y362" s="54">
        <f>IF(NOTA[[#This Row],[JUMLAH]]="","",(NOTA[[#This Row],[JUMLAH]]-NOTA[[#This Row],[DISC 1-]])*NOTA[[#This Row],[DISC 2]])</f>
        <v>66780</v>
      </c>
      <c r="Z362" s="54">
        <f>IF(NOTA[[#This Row],[JUMLAH]]="","",NOTA[[#This Row],[DISC 1-]]+NOTA[[#This Row],[DISC 2-]])</f>
        <v>257580</v>
      </c>
      <c r="AA362" s="54">
        <f>IF(NOTA[[#This Row],[JUMLAH]]="","",NOTA[[#This Row],[JUMLAH]]-NOTA[[#This Row],[DISC]])</f>
        <v>1268820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2" s="54">
        <f>IF(OR(NOTA[[#This Row],[QTY]]="",NOTA[[#This Row],[HARGA SATUAN]]="",),"",NOTA[[#This Row],[QTY]]*NOTA[[#This Row],[HARGA SATUAN]])</f>
        <v>1526400</v>
      </c>
      <c r="AF362" s="51">
        <f ca="1">IF(NOTA[ID_H]="","",INDEX(NOTA[TANGGAL],MATCH(,INDIRECT(ADDRESS(ROW(NOTA[TANGGAL]),COLUMN(NOTA[TANGGAL]))&amp;":"&amp;ADDRESS(ROW(),COLUMN(NOTA[TANGGAL]))),-1)))</f>
        <v>45049</v>
      </c>
      <c r="AG362" s="49" t="str">
        <f ca="1">IF(NOTA[[#This Row],[NAMA BARANG]]="","",INDEX(NOTA[SUPPLIER],MATCH(,INDIRECT(ADDRESS(ROW(NOTA[ID]),COLUMN(NOTA[ID]))&amp;":"&amp;ADDRESS(ROW(),COLUMN(NOTA[ID]))),-1)))</f>
        <v>ATALI MAKMUR</v>
      </c>
      <c r="AH362" s="49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4</v>
      </c>
      <c r="AK362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38" t="str">
        <f>IF(NOTA[[#This Row],[CONCAT4]]="","",_xlfn.IFNA(MATCH(NOTA[[#This Row],[CONCAT4]],[2]!RAW[CONCAT_H],0),FALSE))</f>
        <v/>
      </c>
      <c r="AP362" s="174">
        <f>IF(NOTA[[#This Row],[CONCAT1]]="","",MATCH(NOTA[[#This Row],[CONCAT1]],[3]!db[NB NOTA_C],0)+1)</f>
        <v>670</v>
      </c>
    </row>
    <row r="363" spans="1:42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71</v>
      </c>
      <c r="E363" s="23"/>
      <c r="F363" s="26"/>
      <c r="G363" s="26"/>
      <c r="H363" s="31"/>
      <c r="I363" s="26"/>
      <c r="J363" s="51"/>
      <c r="K363" s="26"/>
      <c r="L363" s="26" t="s">
        <v>99</v>
      </c>
      <c r="M363" s="39">
        <v>1</v>
      </c>
      <c r="N363" s="26">
        <v>144</v>
      </c>
      <c r="O363" s="26" t="s">
        <v>198</v>
      </c>
      <c r="P363" s="49">
        <v>4350</v>
      </c>
      <c r="Q363" s="52"/>
      <c r="R363" s="39" t="s">
        <v>333</v>
      </c>
      <c r="S363" s="53">
        <v>0.125</v>
      </c>
      <c r="T363" s="53">
        <v>0.05</v>
      </c>
      <c r="U363" s="54"/>
      <c r="V363" s="37"/>
      <c r="W363" s="54">
        <f>IF(NOTA[[#This Row],[HARGA/ CTN]]="",NOTA[[#This Row],[JUMLAH_H]],NOTA[[#This Row],[HARGA/ CTN]]*IF(NOTA[[#This Row],[C]]="",0,NOTA[[#This Row],[C]]))</f>
        <v>626400</v>
      </c>
      <c r="X363" s="54">
        <f>IF(NOTA[[#This Row],[JUMLAH]]="","",NOTA[[#This Row],[JUMLAH]]*NOTA[[#This Row],[DISC 1]])</f>
        <v>78300</v>
      </c>
      <c r="Y363" s="54">
        <f>IF(NOTA[[#This Row],[JUMLAH]]="","",(NOTA[[#This Row],[JUMLAH]]-NOTA[[#This Row],[DISC 1-]])*NOTA[[#This Row],[DISC 2]])</f>
        <v>27405</v>
      </c>
      <c r="Z363" s="54">
        <f>IF(NOTA[[#This Row],[JUMLAH]]="","",NOTA[[#This Row],[DISC 1-]]+NOTA[[#This Row],[DISC 2-]])</f>
        <v>105705</v>
      </c>
      <c r="AA363" s="54">
        <f>IF(NOTA[[#This Row],[JUMLAH]]="","",NOTA[[#This Row],[JUMLAH]]-NOTA[[#This Row],[DISC]])</f>
        <v>520695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363" s="54">
        <f>IF(OR(NOTA[[#This Row],[QTY]]="",NOTA[[#This Row],[HARGA SATUAN]]="",),"",NOTA[[#This Row],[QTY]]*NOTA[[#This Row],[HARGA SATUAN]])</f>
        <v>626400</v>
      </c>
      <c r="AF363" s="51">
        <f ca="1">IF(NOTA[ID_H]="","",INDEX(NOTA[TANGGAL],MATCH(,INDIRECT(ADDRESS(ROW(NOTA[TANGGAL]),COLUMN(NOTA[TANGGAL]))&amp;":"&amp;ADDRESS(ROW(),COLUMN(NOTA[TANGGAL]))),-1)))</f>
        <v>45049</v>
      </c>
      <c r="AG363" s="49" t="str">
        <f ca="1">IF(NOTA[[#This Row],[NAMA BARANG]]="","",INDEX(NOTA[SUPPLIER],MATCH(,INDIRECT(ADDRESS(ROW(NOTA[ID]),COLUMN(NOTA[ID]))&amp;":"&amp;ADDRESS(ROW(),COLUMN(NOTA[ID]))),-1)))</f>
        <v>ATALI MAKMUR</v>
      </c>
      <c r="AH363" s="49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Row],[SUPPLIER_H]]="","",AJ361),MONTH(NOTA[[#This Row],[TGL.NOTA]]))</f>
        <v>4</v>
      </c>
      <c r="AK363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38" t="str">
        <f>IF(NOTA[[#This Row],[CONCAT4]]="","",_xlfn.IFNA(MATCH(NOTA[[#This Row],[CONCAT4]],[2]!RAW[CONCAT_H],0),FALSE))</f>
        <v/>
      </c>
      <c r="AP363" s="174">
        <f>IF(NOTA[[#This Row],[CONCAT1]]="","",MATCH(NOTA[[#This Row],[CONCAT1]],[3]!db[NB NOTA_C],0)+1)</f>
        <v>429</v>
      </c>
    </row>
    <row r="364" spans="1:42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71</v>
      </c>
      <c r="E364" s="23"/>
      <c r="F364" s="26"/>
      <c r="G364" s="26"/>
      <c r="H364" s="31"/>
      <c r="I364" s="26"/>
      <c r="J364" s="51"/>
      <c r="K364" s="26"/>
      <c r="L364" s="26" t="s">
        <v>105</v>
      </c>
      <c r="M364" s="39">
        <v>1</v>
      </c>
      <c r="N364" s="26">
        <v>144</v>
      </c>
      <c r="O364" s="26" t="s">
        <v>198</v>
      </c>
      <c r="P364" s="49">
        <v>6500</v>
      </c>
      <c r="Q364" s="52"/>
      <c r="R364" s="39" t="s">
        <v>333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936000</v>
      </c>
      <c r="X364" s="54">
        <f>IF(NOTA[[#This Row],[JUMLAH]]="","",NOTA[[#This Row],[JUMLAH]]*NOTA[[#This Row],[DISC 1]])</f>
        <v>117000</v>
      </c>
      <c r="Y364" s="54">
        <f>IF(NOTA[[#This Row],[JUMLAH]]="","",(NOTA[[#This Row],[JUMLAH]]-NOTA[[#This Row],[DISC 1-]])*NOTA[[#This Row],[DISC 2]])</f>
        <v>40950</v>
      </c>
      <c r="Z364" s="54">
        <f>IF(NOTA[[#This Row],[JUMLAH]]="","",NOTA[[#This Row],[DISC 1-]]+NOTA[[#This Row],[DISC 2-]])</f>
        <v>157950</v>
      </c>
      <c r="AA364" s="54">
        <f>IF(NOTA[[#This Row],[JUMLAH]]="","",NOTA[[#This Row],[JUMLAH]]-NOTA[[#This Row],[DISC]])</f>
        <v>778050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64" s="54">
        <f>IF(OR(NOTA[[#This Row],[QTY]]="",NOTA[[#This Row],[HARGA SATUAN]]="",),"",NOTA[[#This Row],[QTY]]*NOTA[[#This Row],[HARGA SATUAN]])</f>
        <v>936000</v>
      </c>
      <c r="AF364" s="51">
        <f ca="1">IF(NOTA[ID_H]="","",INDEX(NOTA[TANGGAL],MATCH(,INDIRECT(ADDRESS(ROW(NOTA[TANGGAL]),COLUMN(NOTA[TANGGAL]))&amp;":"&amp;ADDRESS(ROW(),COLUMN(NOTA[TANGGAL]))),-1)))</f>
        <v>45049</v>
      </c>
      <c r="AG364" s="49" t="str">
        <f ca="1">IF(NOTA[[#This Row],[NAMA BARANG]]="","",INDEX(NOTA[SUPPLIER],MATCH(,INDIRECT(ADDRESS(ROW(NOTA[ID]),COLUMN(NOTA[ID]))&amp;":"&amp;ADDRESS(ROW(),COLUMN(NOTA[ID]))),-1)))</f>
        <v>ATALI MAKMUR</v>
      </c>
      <c r="AH364" s="49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4</v>
      </c>
      <c r="AK364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4" s="38" t="str">
        <f>IF(NOTA[[#This Row],[CONCAT4]]="","",_xlfn.IFNA(MATCH(NOTA[[#This Row],[CONCAT4]],[2]!RAW[CONCAT_H],0),FALSE))</f>
        <v/>
      </c>
      <c r="AP364" s="174">
        <f>IF(NOTA[[#This Row],[CONCAT1]]="","",MATCH(NOTA[[#This Row],[CONCAT1]],[3]!db[NB NOTA_C],0)+1)</f>
        <v>432</v>
      </c>
    </row>
    <row r="365" spans="1:42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71</v>
      </c>
      <c r="E365" s="23"/>
      <c r="F365" s="26"/>
      <c r="G365" s="26"/>
      <c r="H365" s="31"/>
      <c r="I365" s="26"/>
      <c r="J365" s="51"/>
      <c r="K365" s="26"/>
      <c r="L365" s="26" t="s">
        <v>531</v>
      </c>
      <c r="M365" s="39">
        <v>2</v>
      </c>
      <c r="N365" s="26">
        <v>2000</v>
      </c>
      <c r="O365" s="26" t="s">
        <v>447</v>
      </c>
      <c r="P365" s="49">
        <v>2050</v>
      </c>
      <c r="Q365" s="52"/>
      <c r="R365" s="39" t="s">
        <v>448</v>
      </c>
      <c r="S365" s="53">
        <v>0.125</v>
      </c>
      <c r="T365" s="53">
        <v>0.05</v>
      </c>
      <c r="U365" s="54"/>
      <c r="V365" s="37"/>
      <c r="W365" s="54">
        <f>IF(NOTA[[#This Row],[HARGA/ CTN]]="",NOTA[[#This Row],[JUMLAH_H]],NOTA[[#This Row],[HARGA/ CTN]]*IF(NOTA[[#This Row],[C]]="",0,NOTA[[#This Row],[C]]))</f>
        <v>4100000</v>
      </c>
      <c r="X365" s="54">
        <f>IF(NOTA[[#This Row],[JUMLAH]]="","",NOTA[[#This Row],[JUMLAH]]*NOTA[[#This Row],[DISC 1]])</f>
        <v>512500</v>
      </c>
      <c r="Y365" s="54">
        <f>IF(NOTA[[#This Row],[JUMLAH]]="","",(NOTA[[#This Row],[JUMLAH]]-NOTA[[#This Row],[DISC 1-]])*NOTA[[#This Row],[DISC 2]])</f>
        <v>179375</v>
      </c>
      <c r="Z365" s="54">
        <f>IF(NOTA[[#This Row],[JUMLAH]]="","",NOTA[[#This Row],[DISC 1-]]+NOTA[[#This Row],[DISC 2-]])</f>
        <v>691875</v>
      </c>
      <c r="AA365" s="54">
        <f>IF(NOTA[[#This Row],[JUMLAH]]="","",NOTA[[#This Row],[JUMLAH]]-NOTA[[#This Row],[DISC]])</f>
        <v>3408125</v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65" s="54">
        <f>IF(OR(NOTA[[#This Row],[QTY]]="",NOTA[[#This Row],[HARGA SATUAN]]="",),"",NOTA[[#This Row],[QTY]]*NOTA[[#This Row],[HARGA SATUAN]])</f>
        <v>4100000</v>
      </c>
      <c r="AF365" s="51">
        <f ca="1">IF(NOTA[ID_H]="","",INDEX(NOTA[TANGGAL],MATCH(,INDIRECT(ADDRESS(ROW(NOTA[TANGGAL]),COLUMN(NOTA[TANGGAL]))&amp;":"&amp;ADDRESS(ROW(),COLUMN(NOTA[TANGGAL]))),-1)))</f>
        <v>45049</v>
      </c>
      <c r="AG365" s="49" t="str">
        <f ca="1">IF(NOTA[[#This Row],[NAMA BARANG]]="","",INDEX(NOTA[SUPPLIER],MATCH(,INDIRECT(ADDRESS(ROW(NOTA[ID]),COLUMN(NOTA[ID]))&amp;":"&amp;ADDRESS(ROW(),COLUMN(NOTA[ID]))),-1)))</f>
        <v>ATALI MAKMUR</v>
      </c>
      <c r="AH365" s="49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Row],[SUPPLIER_H]]="","",AJ363),MONTH(NOTA[[#This Row],[TGL.NOTA]]))</f>
        <v>4</v>
      </c>
      <c r="AK36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38" t="str">
        <f>IF(NOTA[[#This Row],[CONCAT4]]="","",_xlfn.IFNA(MATCH(NOTA[[#This Row],[CONCAT4]],[2]!RAW[CONCAT_H],0),FALSE))</f>
        <v/>
      </c>
      <c r="AP365" s="174">
        <f>IF(NOTA[[#This Row],[CONCAT1]]="","",MATCH(NOTA[[#This Row],[CONCAT1]],[3]!db[NB NOTA_C],0)+1)</f>
        <v>528</v>
      </c>
    </row>
    <row r="366" spans="1:42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>
        <f ca="1">IF(NOTA[[#This Row],[NAMA BARANG]]="","",INDEX(NOTA[ID],MATCH(,INDIRECT(ADDRESS(ROW(NOTA[ID]),COLUMN(NOTA[ID]))&amp;":"&amp;ADDRESS(ROW(),COLUMN(NOTA[ID]))),-1)))</f>
        <v>71</v>
      </c>
      <c r="E366" s="23"/>
      <c r="F366" s="26"/>
      <c r="G366" s="26"/>
      <c r="H366" s="31"/>
      <c r="I366" s="26"/>
      <c r="J366" s="51"/>
      <c r="K366" s="26"/>
      <c r="L366" s="26" t="s">
        <v>532</v>
      </c>
      <c r="M366" s="39">
        <v>1</v>
      </c>
      <c r="N366" s="26">
        <v>500</v>
      </c>
      <c r="O366" s="26" t="s">
        <v>447</v>
      </c>
      <c r="P366" s="49">
        <v>3050</v>
      </c>
      <c r="Q366" s="52"/>
      <c r="R366" s="39" t="s">
        <v>450</v>
      </c>
      <c r="S366" s="53">
        <v>0.125</v>
      </c>
      <c r="T366" s="53">
        <v>0.05</v>
      </c>
      <c r="U366" s="54"/>
      <c r="V366" s="37"/>
      <c r="W366" s="54">
        <f>IF(NOTA[[#This Row],[HARGA/ CTN]]="",NOTA[[#This Row],[JUMLAH_H]],NOTA[[#This Row],[HARGA/ CTN]]*IF(NOTA[[#This Row],[C]]="",0,NOTA[[#This Row],[C]]))</f>
        <v>1525000</v>
      </c>
      <c r="X366" s="54">
        <f>IF(NOTA[[#This Row],[JUMLAH]]="","",NOTA[[#This Row],[JUMLAH]]*NOTA[[#This Row],[DISC 1]])</f>
        <v>190625</v>
      </c>
      <c r="Y366" s="54">
        <f>IF(NOTA[[#This Row],[JUMLAH]]="","",(NOTA[[#This Row],[JUMLAH]]-NOTA[[#This Row],[DISC 1-]])*NOTA[[#This Row],[DISC 2]])</f>
        <v>66718.75</v>
      </c>
      <c r="Z366" s="54">
        <f>IF(NOTA[[#This Row],[JUMLAH]]="","",NOTA[[#This Row],[DISC 1-]]+NOTA[[#This Row],[DISC 2-]])</f>
        <v>257343.75</v>
      </c>
      <c r="AA366" s="54">
        <f>IF(NOTA[[#This Row],[JUMLAH]]="","",NOTA[[#This Row],[JUMLAH]]-NOTA[[#This Row],[DISC]])</f>
        <v>1267656.25</v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366" s="54">
        <f>IF(OR(NOTA[[#This Row],[QTY]]="",NOTA[[#This Row],[HARGA SATUAN]]="",),"",NOTA[[#This Row],[QTY]]*NOTA[[#This Row],[HARGA SATUAN]])</f>
        <v>1525000</v>
      </c>
      <c r="AF366" s="51">
        <f ca="1">IF(NOTA[ID_H]="","",INDEX(NOTA[TANGGAL],MATCH(,INDIRECT(ADDRESS(ROW(NOTA[TANGGAL]),COLUMN(NOTA[TANGGAL]))&amp;":"&amp;ADDRESS(ROW(),COLUMN(NOTA[TANGGAL]))),-1)))</f>
        <v>45049</v>
      </c>
      <c r="AG366" s="49" t="str">
        <f ca="1">IF(NOTA[[#This Row],[NAMA BARANG]]="","",INDEX(NOTA[SUPPLIER],MATCH(,INDIRECT(ADDRESS(ROW(NOTA[ID]),COLUMN(NOTA[ID]))&amp;":"&amp;ADDRESS(ROW(),COLUMN(NOTA[ID]))),-1)))</f>
        <v>ATALI MAKMUR</v>
      </c>
      <c r="AH366" s="49" t="str">
        <f ca="1">IF(NOTA[[#This Row],[ID_H]]="","",IF(NOTA[[#This Row],[FAKTUR]]="",INDIRECT(ADDRESS(ROW()-1,COLUMN())),NOTA[[#This Row],[FAKTUR]]))</f>
        <v>ARTO MORO</v>
      </c>
      <c r="AI366" s="38" t="str">
        <f ca="1">IF(NOTA[[#This Row],[ID]]="","",COUNTIF(NOTA[ID_H],NOTA[[#This Row],[ID_H]]))</f>
        <v/>
      </c>
      <c r="AJ366" s="38">
        <f ca="1">IF(NOTA[[#This Row],[TGL.NOTA]]="",IF(NOTA[[#This Row],[SUPPLIER_H]]="","",AJ365),MONTH(NOTA[[#This Row],[TGL.NOTA]]))</f>
        <v>4</v>
      </c>
      <c r="AK366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38" t="str">
        <f>IF(NOTA[[#This Row],[CONCAT4]]="","",_xlfn.IFNA(MATCH(NOTA[[#This Row],[CONCAT4]],[2]!RAW[CONCAT_H],0),FALSE))</f>
        <v/>
      </c>
      <c r="AP366" s="174">
        <f>IF(NOTA[[#This Row],[CONCAT1]]="","",MATCH(NOTA[[#This Row],[CONCAT1]],[3]!db[NB NOTA_C],0)+1)</f>
        <v>532</v>
      </c>
    </row>
    <row r="367" spans="1:42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>
        <f ca="1">IF(NOTA[[#This Row],[NAMA BARANG]]="","",INDEX(NOTA[ID],MATCH(,INDIRECT(ADDRESS(ROW(NOTA[ID]),COLUMN(NOTA[ID]))&amp;":"&amp;ADDRESS(ROW(),COLUMN(NOTA[ID]))),-1)))</f>
        <v>71</v>
      </c>
      <c r="E367" s="23"/>
      <c r="F367" s="26"/>
      <c r="G367" s="26"/>
      <c r="H367" s="31"/>
      <c r="I367" s="26"/>
      <c r="J367" s="51"/>
      <c r="K367" s="26"/>
      <c r="L367" s="26" t="s">
        <v>430</v>
      </c>
      <c r="M367" s="39">
        <v>1</v>
      </c>
      <c r="N367" s="26">
        <v>120</v>
      </c>
      <c r="O367" s="26" t="s">
        <v>261</v>
      </c>
      <c r="P367" s="49">
        <v>24600</v>
      </c>
      <c r="Q367" s="52"/>
      <c r="R367" s="39" t="s">
        <v>431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2952000</v>
      </c>
      <c r="X367" s="54">
        <f>IF(NOTA[[#This Row],[JUMLAH]]="","",NOTA[[#This Row],[JUMLAH]]*NOTA[[#This Row],[DISC 1]])</f>
        <v>369000</v>
      </c>
      <c r="Y367" s="54">
        <f>IF(NOTA[[#This Row],[JUMLAH]]="","",(NOTA[[#This Row],[JUMLAH]]-NOTA[[#This Row],[DISC 1-]])*NOTA[[#This Row],[DISC 2]])</f>
        <v>129150</v>
      </c>
      <c r="Z367" s="54">
        <f>IF(NOTA[[#This Row],[JUMLAH]]="","",NOTA[[#This Row],[DISC 1-]]+NOTA[[#This Row],[DISC 2-]])</f>
        <v>498150</v>
      </c>
      <c r="AA367" s="54">
        <f>IF(NOTA[[#This Row],[JUMLAH]]="","",NOTA[[#This Row],[JUMLAH]]-NOTA[[#This Row],[DISC]])</f>
        <v>2453850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67" s="54">
        <f>IF(OR(NOTA[[#This Row],[QTY]]="",NOTA[[#This Row],[HARGA SATUAN]]="",),"",NOTA[[#This Row],[QTY]]*NOTA[[#This Row],[HARGA SATUAN]])</f>
        <v>2952000</v>
      </c>
      <c r="AF367" s="51">
        <f ca="1">IF(NOTA[ID_H]="","",INDEX(NOTA[TANGGAL],MATCH(,INDIRECT(ADDRESS(ROW(NOTA[TANGGAL]),COLUMN(NOTA[TANGGAL]))&amp;":"&amp;ADDRESS(ROW(),COLUMN(NOTA[TANGGAL]))),-1)))</f>
        <v>45049</v>
      </c>
      <c r="AG367" s="49" t="str">
        <f ca="1">IF(NOTA[[#This Row],[NAMA BARANG]]="","",INDEX(NOTA[SUPPLIER],MATCH(,INDIRECT(ADDRESS(ROW(NOTA[ID]),COLUMN(NOTA[ID]))&amp;":"&amp;ADDRESS(ROW(),COLUMN(NOTA[ID]))),-1)))</f>
        <v>ATALI MAKMUR</v>
      </c>
      <c r="AH367" s="49" t="str">
        <f ca="1">IF(NOTA[[#This Row],[ID_H]]="","",IF(NOTA[[#This Row],[FAKTUR]]="",INDIRECT(ADDRESS(ROW()-1,COLUMN())),NOTA[[#This Row],[FAKTUR]]))</f>
        <v>ARTO MORO</v>
      </c>
      <c r="AI367" s="38" t="str">
        <f ca="1">IF(NOTA[[#This Row],[ID]]="","",COUNTIF(NOTA[ID_H],NOTA[[#This Row],[ID_H]]))</f>
        <v/>
      </c>
      <c r="AJ367" s="38">
        <f ca="1">IF(NOTA[[#This Row],[TGL.NOTA]]="",IF(NOTA[[#This Row],[SUPPLIER_H]]="","",AJ366),MONTH(NOTA[[#This Row],[TGL.NOTA]]))</f>
        <v>4</v>
      </c>
      <c r="AK36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38" t="str">
        <f>IF(NOTA[[#This Row],[CONCAT4]]="","",_xlfn.IFNA(MATCH(NOTA[[#This Row],[CONCAT4]],[2]!RAW[CONCAT_H],0),FALSE))</f>
        <v/>
      </c>
      <c r="AP367" s="174">
        <f>IF(NOTA[[#This Row],[CONCAT1]]="","",MATCH(NOTA[[#This Row],[CONCAT1]],[3]!db[NB NOTA_C],0)+1)</f>
        <v>473</v>
      </c>
    </row>
    <row r="368" spans="1:42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71</v>
      </c>
      <c r="E368" s="23"/>
      <c r="F368" s="26"/>
      <c r="G368" s="26"/>
      <c r="H368" s="31"/>
      <c r="I368" s="26"/>
      <c r="J368" s="51"/>
      <c r="K368" s="26"/>
      <c r="L368" s="26" t="s">
        <v>534</v>
      </c>
      <c r="M368" s="39">
        <v>2</v>
      </c>
      <c r="N368" s="26">
        <v>48</v>
      </c>
      <c r="O368" s="26" t="s">
        <v>261</v>
      </c>
      <c r="P368" s="49">
        <v>89400</v>
      </c>
      <c r="Q368" s="52"/>
      <c r="R368" s="39" t="s">
        <v>409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4291200</v>
      </c>
      <c r="X368" s="54">
        <f>IF(NOTA[[#This Row],[JUMLAH]]="","",NOTA[[#This Row],[JUMLAH]]*NOTA[[#This Row],[DISC 1]])</f>
        <v>536400</v>
      </c>
      <c r="Y368" s="54">
        <f>IF(NOTA[[#This Row],[JUMLAH]]="","",(NOTA[[#This Row],[JUMLAH]]-NOTA[[#This Row],[DISC 1-]])*NOTA[[#This Row],[DISC 2]])</f>
        <v>187740</v>
      </c>
      <c r="Z368" s="54">
        <f>IF(NOTA[[#This Row],[JUMLAH]]="","",NOTA[[#This Row],[DISC 1-]]+NOTA[[#This Row],[DISC 2-]])</f>
        <v>724140</v>
      </c>
      <c r="AA368" s="54">
        <f>IF(NOTA[[#This Row],[JUMLAH]]="","",NOTA[[#This Row],[JUMLAH]]-NOTA[[#This Row],[DISC]])</f>
        <v>3567060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368" s="54">
        <f>IF(OR(NOTA[[#This Row],[QTY]]="",NOTA[[#This Row],[HARGA SATUAN]]="",),"",NOTA[[#This Row],[QTY]]*NOTA[[#This Row],[HARGA SATUAN]])</f>
        <v>4291200</v>
      </c>
      <c r="AF368" s="51">
        <f ca="1">IF(NOTA[ID_H]="","",INDEX(NOTA[TANGGAL],MATCH(,INDIRECT(ADDRESS(ROW(NOTA[TANGGAL]),COLUMN(NOTA[TANGGAL]))&amp;":"&amp;ADDRESS(ROW(),COLUMN(NOTA[TANGGAL]))),-1)))</f>
        <v>45049</v>
      </c>
      <c r="AG368" s="49" t="str">
        <f ca="1">IF(NOTA[[#This Row],[NAMA BARANG]]="","",INDEX(NOTA[SUPPLIER],MATCH(,INDIRECT(ADDRESS(ROW(NOTA[ID]),COLUMN(NOTA[ID]))&amp;":"&amp;ADDRESS(ROW(),COLUMN(NOTA[ID]))),-1)))</f>
        <v>ATALI MAKMUR</v>
      </c>
      <c r="AH368" s="49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4</v>
      </c>
      <c r="AK368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N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38" t="str">
        <f>IF(NOTA[[#This Row],[CONCAT4]]="","",_xlfn.IFNA(MATCH(NOTA[[#This Row],[CONCAT4]],[2]!RAW[CONCAT_H],0),FALSE))</f>
        <v/>
      </c>
      <c r="AP368" s="174">
        <f>IF(NOTA[[#This Row],[CONCAT1]]="","",MATCH(NOTA[[#This Row],[CONCAT1]],[3]!db[NB NOTA_C],0)+1)</f>
        <v>499</v>
      </c>
    </row>
    <row r="369" spans="1:42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71</v>
      </c>
      <c r="E369" s="23"/>
      <c r="F369" s="26"/>
      <c r="G369" s="26"/>
      <c r="H369" s="31"/>
      <c r="I369" s="26"/>
      <c r="J369" s="51"/>
      <c r="K369" s="26"/>
      <c r="L369" s="26" t="s">
        <v>533</v>
      </c>
      <c r="M369" s="39">
        <v>2</v>
      </c>
      <c r="N369" s="26">
        <v>48</v>
      </c>
      <c r="O369" s="26" t="s">
        <v>198</v>
      </c>
      <c r="P369" s="49">
        <v>19000</v>
      </c>
      <c r="Q369" s="52"/>
      <c r="R369" s="39" t="s">
        <v>257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912000</v>
      </c>
      <c r="X369" s="54">
        <f>IF(NOTA[[#This Row],[JUMLAH]]="","",NOTA[[#This Row],[JUMLAH]]*NOTA[[#This Row],[DISC 1]])</f>
        <v>114000</v>
      </c>
      <c r="Y369" s="54">
        <f>IF(NOTA[[#This Row],[JUMLAH]]="","",(NOTA[[#This Row],[JUMLAH]]-NOTA[[#This Row],[DISC 1-]])*NOTA[[#This Row],[DISC 2]])</f>
        <v>39900</v>
      </c>
      <c r="Z369" s="54">
        <f>IF(NOTA[[#This Row],[JUMLAH]]="","",NOTA[[#This Row],[DISC 1-]]+NOTA[[#This Row],[DISC 2-]])</f>
        <v>153900</v>
      </c>
      <c r="AA369" s="54">
        <f>IF(NOTA[[#This Row],[JUMLAH]]="","",NOTA[[#This Row],[JUMLAH]]-NOTA[[#This Row],[DISC]])</f>
        <v>758100</v>
      </c>
      <c r="AB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6193732.5</v>
      </c>
      <c r="AC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30509867.5</v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69" s="54">
        <f>IF(OR(NOTA[[#This Row],[QTY]]="",NOTA[[#This Row],[HARGA SATUAN]]="",),"",NOTA[[#This Row],[QTY]]*NOTA[[#This Row],[HARGA SATUAN]])</f>
        <v>912000</v>
      </c>
      <c r="AF369" s="51">
        <f ca="1">IF(NOTA[ID_H]="","",INDEX(NOTA[TANGGAL],MATCH(,INDIRECT(ADDRESS(ROW(NOTA[TANGGAL]),COLUMN(NOTA[TANGGAL]))&amp;":"&amp;ADDRESS(ROW(),COLUMN(NOTA[TANGGAL]))),-1)))</f>
        <v>45049</v>
      </c>
      <c r="AG369" s="49" t="str">
        <f ca="1">IF(NOTA[[#This Row],[NAMA BARANG]]="","",INDEX(NOTA[SUPPLIER],MATCH(,INDIRECT(ADDRESS(ROW(NOTA[ID]),COLUMN(NOTA[ID]))&amp;":"&amp;ADDRESS(ROW(),COLUMN(NOTA[ID]))),-1)))</f>
        <v>ATALI MAKMUR</v>
      </c>
      <c r="AH369" s="49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Row],[SUPPLIER_H]]="","",AJ367),MONTH(NOTA[[#This Row],[TGL.NOTA]]))</f>
        <v>4</v>
      </c>
      <c r="AK369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38" t="str">
        <f>IF(NOTA[[#This Row],[CONCAT4]]="","",_xlfn.IFNA(MATCH(NOTA[[#This Row],[CONCAT4]],[2]!RAW[CONCAT_H],0),FALSE))</f>
        <v/>
      </c>
      <c r="AP369" s="174">
        <f>IF(NOTA[[#This Row],[CONCAT1]]="","",MATCH(NOTA[[#This Row],[CONCAT1]],[3]!db[NB NOTA_C],0)+1)</f>
        <v>806</v>
      </c>
    </row>
    <row r="370" spans="1:42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49" t="str">
        <f ca="1">IF(NOTA[[#This Row],[NAMA BARANG]]="","",INDEX(NOTA[SUPPLIER],MATCH(,INDIRECT(ADDRESS(ROW(NOTA[ID]),COLUMN(NOTA[ID]))&amp;":"&amp;ADDRESS(ROW(),COLUMN(NOTA[ID]))),-1)))</f>
        <v/>
      </c>
      <c r="AH370" s="49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0" s="38" t="str">
        <f>IF(NOTA[[#This Row],[CONCAT4]]="","",_xlfn.IFNA(MATCH(NOTA[[#This Row],[CONCAT4]],[2]!RAW[CONCAT_H],0),FALSE))</f>
        <v/>
      </c>
      <c r="AP370" s="174" t="str">
        <f>IF(NOTA[[#This Row],[CONCAT1]]="","",MATCH(NOTA[[#This Row],[CONCAT1]],[3]!db[NB NOTA_C],0)+1)</f>
        <v/>
      </c>
    </row>
    <row r="371" spans="1:42" ht="20.100000000000001" customHeight="1" x14ac:dyDescent="0.25">
      <c r="A371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ATA_1204_930-1</v>
      </c>
      <c r="C371" s="50" t="e">
        <f ca="1">IF(NOTA[[#This Row],[ID_P]]="","",MATCH(NOTA[[#This Row],[ID_P]],[1]!B_MSK[N_ID],0))</f>
        <v>#REF!</v>
      </c>
      <c r="D371" s="50">
        <f ca="1">IF(NOTA[[#This Row],[NAMA BARANG]]="","",INDEX(NOTA[ID],MATCH(,INDIRECT(ADDRESS(ROW(NOTA[ID]),COLUMN(NOTA[ID]))&amp;":"&amp;ADDRESS(ROW(),COLUMN(NOTA[ID]))),-1)))</f>
        <v>72</v>
      </c>
      <c r="E371" s="23">
        <v>45028</v>
      </c>
      <c r="F371" s="26" t="s">
        <v>25</v>
      </c>
      <c r="G371" s="26" t="s">
        <v>24</v>
      </c>
      <c r="H371" s="31" t="s">
        <v>535</v>
      </c>
      <c r="I371" s="26"/>
      <c r="J371" s="51">
        <v>45022</v>
      </c>
      <c r="K371" s="26"/>
      <c r="L371" s="26" t="s">
        <v>459</v>
      </c>
      <c r="M371" s="39">
        <v>2</v>
      </c>
      <c r="N371" s="26">
        <v>288</v>
      </c>
      <c r="O371" s="26" t="s">
        <v>261</v>
      </c>
      <c r="P371" s="49">
        <v>12600</v>
      </c>
      <c r="Q371" s="52"/>
      <c r="R371" s="39" t="s">
        <v>354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3628800</v>
      </c>
      <c r="X371" s="54">
        <f>IF(NOTA[[#This Row],[JUMLAH]]="","",NOTA[[#This Row],[JUMLAH]]*NOTA[[#This Row],[DISC 1]])</f>
        <v>453600</v>
      </c>
      <c r="Y371" s="54">
        <f>IF(NOTA[[#This Row],[JUMLAH]]="","",(NOTA[[#This Row],[JUMLAH]]-NOTA[[#This Row],[DISC 1-]])*NOTA[[#This Row],[DISC 2]])</f>
        <v>158760</v>
      </c>
      <c r="Z371" s="54">
        <f>IF(NOTA[[#This Row],[JUMLAH]]="","",NOTA[[#This Row],[DISC 1-]]+NOTA[[#This Row],[DISC 2-]])</f>
        <v>612360</v>
      </c>
      <c r="AA371" s="54">
        <f>IF(NOTA[[#This Row],[JUMLAH]]="","",NOTA[[#This Row],[JUMLAH]]-NOTA[[#This Row],[DISC]])</f>
        <v>3016440</v>
      </c>
      <c r="AB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612360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3016440</v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71" s="54">
        <f>IF(OR(NOTA[[#This Row],[QTY]]="",NOTA[[#This Row],[HARGA SATUAN]]="",),"",NOTA[[#This Row],[QTY]]*NOTA[[#This Row],[HARGA SATUAN]])</f>
        <v>3628800</v>
      </c>
      <c r="AF371" s="51">
        <f ca="1">IF(NOTA[ID_H]="","",INDEX(NOTA[TANGGAL],MATCH(,INDIRECT(ADDRESS(ROW(NOTA[TANGGAL]),COLUMN(NOTA[TANGGAL]))&amp;":"&amp;ADDRESS(ROW(),COLUMN(NOTA[TANGGAL]))),-1)))</f>
        <v>45028</v>
      </c>
      <c r="AG371" s="49" t="str">
        <f ca="1">IF(NOTA[[#This Row],[NAMA BARANG]]="","",INDEX(NOTA[SUPPLIER],MATCH(,INDIRECT(ADDRESS(ROW(NOTA[ID]),COLUMN(NOTA[ID]))&amp;":"&amp;ADDRESS(ROW(),COLUMN(NOTA[ID]))),-1)))</f>
        <v>ATALI MAKMUR</v>
      </c>
      <c r="AH371" s="49" t="str">
        <f ca="1">IF(NOTA[[#This Row],[ID_H]]="","",IF(NOTA[[#This Row],[FAKTUR]]="",INDIRECT(ADDRESS(ROW()-1,COLUMN())),NOTA[[#This Row],[FAKTUR]]))</f>
        <v>ARTO MORO</v>
      </c>
      <c r="AI371" s="38">
        <f ca="1">IF(NOTA[[#This Row],[ID]]="","",COUNTIF(NOTA[ID_H],NOTA[[#This Row],[ID_H]]))</f>
        <v>1</v>
      </c>
      <c r="AJ371" s="38">
        <f>IF(NOTA[[#This Row],[TGL.NOTA]]="",IF(NOTA[[#This Row],[SUPPLIER_H]]="","",AJ370),MONTH(NOTA[[#This Row],[TGL.NOTA]]))</f>
        <v>4</v>
      </c>
      <c r="AK371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37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MOROSA23040593045022ballpenbp338vocusblackjknonbonus</v>
      </c>
      <c r="AO371" s="38" t="e">
        <f>IF(NOTA[[#This Row],[CONCAT4]]="","",_xlfn.IFNA(MATCH(NOTA[[#This Row],[CONCAT4]],[2]!RAW[CONCAT_H],0),FALSE))</f>
        <v>#REF!</v>
      </c>
      <c r="AP371" s="174">
        <f>IF(NOTA[[#This Row],[CONCAT1]]="","",MATCH(NOTA[[#This Row],[CONCAT1]],[3]!db[NB NOTA_C],0)+1)</f>
        <v>24</v>
      </c>
    </row>
    <row r="372" spans="1:42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49" t="str">
        <f ca="1">IF(NOTA[[#This Row],[NAMA BARANG]]="","",INDEX(NOTA[SUPPLIER],MATCH(,INDIRECT(ADDRESS(ROW(NOTA[ID]),COLUMN(NOTA[ID]))&amp;":"&amp;ADDRESS(ROW(),COLUMN(NOTA[ID]))),-1)))</f>
        <v/>
      </c>
      <c r="AH372" s="49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38" t="str">
        <f>IF(NOTA[[#This Row],[CONCAT4]]="","",_xlfn.IFNA(MATCH(NOTA[[#This Row],[CONCAT4]],[2]!RAW[CONCAT_H],0),FALSE))</f>
        <v/>
      </c>
      <c r="AP372" s="174" t="str">
        <f>IF(NOTA[[#This Row],[CONCAT1]]="","",MATCH(NOTA[[#This Row],[CONCAT1]],[3]!db[NB NOTA_C],0)+1)</f>
        <v/>
      </c>
    </row>
    <row r="373" spans="1:42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LAY_0304_010-1</v>
      </c>
      <c r="C373" s="50" t="e">
        <f ca="1">IF(NOTA[[#This Row],[ID_P]]="","",MATCH(NOTA[[#This Row],[ID_P]],[1]!B_MSK[N_ID],0))</f>
        <v>#REF!</v>
      </c>
      <c r="D373" s="50">
        <f ca="1">IF(NOTA[[#This Row],[NAMA BARANG]]="","",INDEX(NOTA[ID],MATCH(,INDIRECT(ADDRESS(ROW(NOTA[ID]),COLUMN(NOTA[ID]))&amp;":"&amp;ADDRESS(ROW(),COLUMN(NOTA[ID]))),-1)))</f>
        <v>73</v>
      </c>
      <c r="E373" s="23">
        <v>45019</v>
      </c>
      <c r="F373" s="26" t="s">
        <v>28</v>
      </c>
      <c r="G373" s="26" t="s">
        <v>24</v>
      </c>
      <c r="H373" s="31" t="s">
        <v>536</v>
      </c>
      <c r="I373" s="51"/>
      <c r="J373" s="51">
        <v>45019</v>
      </c>
      <c r="K373" s="26"/>
      <c r="L373" s="26" t="s">
        <v>538</v>
      </c>
      <c r="M373" s="39">
        <v>5</v>
      </c>
      <c r="N373" s="26">
        <v>250</v>
      </c>
      <c r="O373" s="26" t="s">
        <v>200</v>
      </c>
      <c r="P373" s="49">
        <v>24000</v>
      </c>
      <c r="Q373" s="52"/>
      <c r="R373" s="39" t="s">
        <v>537</v>
      </c>
      <c r="S373" s="53"/>
      <c r="T373" s="53"/>
      <c r="U373" s="54"/>
      <c r="V373" s="37"/>
      <c r="W373" s="54">
        <f>IF(NOTA[[#This Row],[HARGA/ CTN]]="",NOTA[[#This Row],[JUMLAH_H]],NOTA[[#This Row],[HARGA/ CTN]]*IF(NOTA[[#This Row],[C]]="",0,NOTA[[#This Row],[C]]))</f>
        <v>6000000</v>
      </c>
      <c r="X373" s="54">
        <f>IF(NOTA[[#This Row],[JUMLAH]]="","",NOTA[[#This Row],[JUMLAH]]*NOTA[[#This Row],[DISC 1]])</f>
        <v>0</v>
      </c>
      <c r="Y373" s="54">
        <f>IF(NOTA[[#This Row],[JUMLAH]]="","",(NOTA[[#This Row],[JUMLAH]]-NOTA[[#This Row],[DISC 1-]])*NOTA[[#This Row],[DISC 2]])</f>
        <v>0</v>
      </c>
      <c r="Z373" s="54">
        <f>IF(NOTA[[#This Row],[JUMLAH]]="","",NOTA[[#This Row],[DISC 1-]]+NOTA[[#This Row],[DISC 2-]])</f>
        <v>0</v>
      </c>
      <c r="AA373" s="54">
        <f>IF(NOTA[[#This Row],[JUMLAH]]="","",NOTA[[#This Row],[JUMLAH]]-NOTA[[#This Row],[DISC]])</f>
        <v>6000000</v>
      </c>
      <c r="AB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D373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373" s="54">
        <f>IF(OR(NOTA[[#This Row],[QTY]]="",NOTA[[#This Row],[HARGA SATUAN]]="",),"",NOTA[[#This Row],[QTY]]*NOTA[[#This Row],[HARGA SATUAN]])</f>
        <v>6000000</v>
      </c>
      <c r="AF373" s="51">
        <f ca="1">IF(NOTA[ID_H]="","",INDEX(NOTA[TANGGAL],MATCH(,INDIRECT(ADDRESS(ROW(NOTA[TANGGAL]),COLUMN(NOTA[TANGGAL]))&amp;":"&amp;ADDRESS(ROW(),COLUMN(NOTA[TANGGAL]))),-1)))</f>
        <v>45019</v>
      </c>
      <c r="AG373" s="49" t="str">
        <f ca="1">IF(NOTA[[#This Row],[NAMA BARANG]]="","",INDEX(NOTA[SUPPLIER],MATCH(,INDIRECT(ADDRESS(ROW(NOTA[ID]),COLUMN(NOTA[ID]))&amp;":"&amp;ADDRESS(ROW(),COLUMN(NOTA[ID]))),-1)))</f>
        <v>LAYS</v>
      </c>
      <c r="AH373" s="49" t="str">
        <f ca="1">IF(NOTA[[#This Row],[ID_H]]="","",IF(NOTA[[#This Row],[FAKTUR]]="",INDIRECT(ADDRESS(ROW()-1,COLUMN())),NOTA[[#This Row],[FAKTUR]]))</f>
        <v>ARTO MORO</v>
      </c>
      <c r="AI373" s="38">
        <f ca="1">IF(NOTA[[#This Row],[ID]]="","",COUNTIF(NOTA[ID_H],NOTA[[#This Row],[ID_H]]))</f>
        <v>1</v>
      </c>
      <c r="AJ373" s="38">
        <f>IF(NOTA[[#This Row],[TGL.NOTA]]="",IF(NOTA[[#This Row],[SUPPLIER_H]]="","",AJ372),MONTH(NOTA[[#This Row],[TGL.NOTA]]))</f>
        <v>4</v>
      </c>
      <c r="AK373" s="38" t="str">
        <f>LOWER(SUBSTITUTE(SUBSTITUTE(SUBSTITUTE(SUBSTITUTE(SUBSTITUTE(SUBSTITUTE(SUBSTITUTE(SUBSTITUTE(SUBSTITUTE(NOTA[NAMA BARANG]," ",),".",""),"-",""),"(",""),")",""),",",""),"/",""),"""",""),"+",""))</f>
        <v>isigwno369</v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N373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MOROL10401045019isigwno369</v>
      </c>
      <c r="AO373" s="38" t="e">
        <f>IF(NOTA[[#This Row],[CONCAT4]]="","",_xlfn.IFNA(MATCH(NOTA[[#This Row],[CONCAT4]],[2]!RAW[CONCAT_H],0),FALSE))</f>
        <v>#REF!</v>
      </c>
      <c r="AP373" s="174">
        <f>IF(NOTA[[#This Row],[CONCAT1]]="","",MATCH(NOTA[[#This Row],[CONCAT1]],[3]!db[NB NOTA_C],0)+1)</f>
        <v>488</v>
      </c>
    </row>
    <row r="374" spans="1:42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49" t="str">
        <f ca="1">IF(NOTA[[#This Row],[NAMA BARANG]]="","",INDEX(NOTA[SUPPLIER],MATCH(,INDIRECT(ADDRESS(ROW(NOTA[ID]),COLUMN(NOTA[ID]))&amp;":"&amp;ADDRESS(ROW(),COLUMN(NOTA[ID]))),-1)))</f>
        <v/>
      </c>
      <c r="AH374" s="49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38" t="str">
        <f>IF(NOTA[[#This Row],[CONCAT4]]="","",_xlfn.IFNA(MATCH(NOTA[[#This Row],[CONCAT4]],[2]!RAW[CONCAT_H],0),FALSE))</f>
        <v/>
      </c>
      <c r="AP374" s="174" t="str">
        <f>IF(NOTA[[#This Row],[CONCAT1]]="","",MATCH(NOTA[[#This Row],[CONCAT1]],[3]!db[NB NOTA_C],0)+1)</f>
        <v/>
      </c>
    </row>
    <row r="375" spans="1:42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49" t="str">
        <f ca="1">IF(NOTA[[#This Row],[NAMA BARANG]]="","",INDEX(NOTA[SUPPLIER],MATCH(,INDIRECT(ADDRESS(ROW(NOTA[ID]),COLUMN(NOTA[ID]))&amp;":"&amp;ADDRESS(ROW(),COLUMN(NOTA[ID]))),-1)))</f>
        <v/>
      </c>
      <c r="AH375" s="49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5" s="38" t="str">
        <f>IF(NOTA[[#This Row],[CONCAT4]]="","",_xlfn.IFNA(MATCH(NOTA[[#This Row],[CONCAT4]],[2]!RAW[CONCAT_H],0),FALSE))</f>
        <v/>
      </c>
      <c r="AP375" s="174" t="str">
        <f>IF(NOTA[[#This Row],[CONCAT1]]="","",MATCH(NOTA[[#This Row],[CONCAT1]],[3]!db[NB NOTA_C],0)+1)</f>
        <v/>
      </c>
    </row>
    <row r="376" spans="1:42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49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38" t="str">
        <f>IF(NOTA[[#This Row],[CONCAT4]]="","",_xlfn.IFNA(MATCH(NOTA[[#This Row],[CONCAT4]],[2]!RAW[CONCAT_H],0),FALSE))</f>
        <v/>
      </c>
      <c r="AP376" s="174" t="str">
        <f>IF(NOTA[[#This Row],[CONCAT1]]="","",MATCH(NOTA[[#This Row],[CONCAT1]],[3]!db[NB NOTA_C],0)+1)</f>
        <v/>
      </c>
    </row>
    <row r="377" spans="1:42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49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91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92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7" s="38" t="str">
        <f>IF(NOTA[[#This Row],[CONCAT4]]="","",_xlfn.IFNA(MATCH(NOTA[[#This Row],[CONCAT4]],[2]!RAW[CONCAT_H],0),FALSE))</f>
        <v/>
      </c>
      <c r="AP377" s="174" t="str">
        <f>IF(NOTA[[#This Row],[CONCAT1]]="","",MATCH(NOTA[[#This Row],[CONCAT1]],[3]!db[NB NOTA_C],0)+1)</f>
        <v/>
      </c>
    </row>
    <row r="378" spans="1:42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49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38" t="str">
        <f>IF(NOTA[[#This Row],[CONCAT4]]="","",_xlfn.IFNA(MATCH(NOTA[[#This Row],[CONCAT4]],[2]!RAW[CONCAT_H],0),FALSE))</f>
        <v/>
      </c>
      <c r="AP378" s="174" t="str">
        <f>IF(NOTA[[#This Row],[CONCAT1]]="","",MATCH(NOTA[[#This Row],[CONCAT1]],[3]!db[NB NOTA_C],0)+1)</f>
        <v/>
      </c>
    </row>
    <row r="379" spans="1:42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9" s="38" t="str">
        <f>IF(NOTA[[#This Row],[CONCAT4]]="","",_xlfn.IFNA(MATCH(NOTA[[#This Row],[CONCAT4]],[2]!RAW[CONCAT_H],0),FALSE))</f>
        <v/>
      </c>
      <c r="AP379" s="174" t="str">
        <f>IF(NOTA[[#This Row],[CONCAT1]]="","",MATCH(NOTA[[#This Row],[CONCAT1]],[3]!db[NB NOTA_C],0)+1)</f>
        <v/>
      </c>
    </row>
    <row r="380" spans="1:42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49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38" t="str">
        <f>IF(NOTA[[#This Row],[CONCAT4]]="","",_xlfn.IFNA(MATCH(NOTA[[#This Row],[CONCAT4]],[2]!RAW[CONCAT_H],0),FALSE))</f>
        <v/>
      </c>
      <c r="AP380" s="174" t="str">
        <f>IF(NOTA[[#This Row],[CONCAT1]]="","",MATCH(NOTA[[#This Row],[CONCAT1]],[3]!db[NB NOTA_C],0)+1)</f>
        <v/>
      </c>
    </row>
    <row r="381" spans="1:42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38" t="str">
        <f>IF(NOTA[[#This Row],[CONCAT4]]="","",_xlfn.IFNA(MATCH(NOTA[[#This Row],[CONCAT4]],[2]!RAW[CONCAT_H],0),FALSE))</f>
        <v/>
      </c>
      <c r="AP381" s="174" t="str">
        <f>IF(NOTA[[#This Row],[CONCAT1]]="","",MATCH(NOTA[[#This Row],[CONCAT1]],[3]!db[NB NOTA_C],0)+1)</f>
        <v/>
      </c>
    </row>
    <row r="382" spans="1:42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2" s="38" t="str">
        <f>IF(NOTA[[#This Row],[CONCAT4]]="","",_xlfn.IFNA(MATCH(NOTA[[#This Row],[CONCAT4]],[2]!RAW[CONCAT_H],0),FALSE))</f>
        <v/>
      </c>
      <c r="AP382" s="174" t="str">
        <f>IF(NOTA[[#This Row],[CONCAT1]]="","",MATCH(NOTA[[#This Row],[CONCAT1]],[3]!db[NB NOTA_C],0)+1)</f>
        <v/>
      </c>
    </row>
    <row r="383" spans="1:42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38" t="str">
        <f>IF(NOTA[[#This Row],[CONCAT4]]="","",_xlfn.IFNA(MATCH(NOTA[[#This Row],[CONCAT4]],[2]!RAW[CONCAT_H],0),FALSE))</f>
        <v/>
      </c>
      <c r="AP383" s="174" t="str">
        <f>IF(NOTA[[#This Row],[CONCAT1]]="","",MATCH(NOTA[[#This Row],[CONCAT1]],[3]!db[NB NOTA_C],0)+1)</f>
        <v/>
      </c>
    </row>
    <row r="384" spans="1:42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38" t="str">
        <f>IF(NOTA[[#This Row],[CONCAT4]]="","",_xlfn.IFNA(MATCH(NOTA[[#This Row],[CONCAT4]],[2]!RAW[CONCAT_H],0),FALSE))</f>
        <v/>
      </c>
      <c r="AP384" s="174" t="str">
        <f>IF(NOTA[[#This Row],[CONCAT1]]="","",MATCH(NOTA[[#This Row],[CONCAT1]],[3]!db[NB NOTA_C],0)+1)</f>
        <v/>
      </c>
    </row>
    <row r="385" spans="1:42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163"/>
      <c r="R385" s="177"/>
      <c r="S385" s="164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38" t="str">
        <f>IF(NOTA[[#This Row],[CONCAT4]]="","",_xlfn.IFNA(MATCH(NOTA[[#This Row],[CONCAT4]],[2]!RAW[CONCAT_H],0),FALSE))</f>
        <v/>
      </c>
      <c r="AP385" s="174" t="str">
        <f>IF(NOTA[[#This Row],[CONCAT1]]="","",MATCH(NOTA[[#This Row],[CONCAT1]],[3]!db[NB NOTA_C],0)+1)</f>
        <v/>
      </c>
    </row>
    <row r="386" spans="1:42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38" t="str">
        <f>IF(NOTA[[#This Row],[CONCAT4]]="","",_xlfn.IFNA(MATCH(NOTA[[#This Row],[CONCAT4]],[2]!RAW[CONCAT_H],0),FALSE))</f>
        <v/>
      </c>
      <c r="AP386" s="174" t="str">
        <f>IF(NOTA[[#This Row],[CONCAT1]]="","",MATCH(NOTA[[#This Row],[CONCAT1]],[3]!db[NB NOTA_C],0)+1)</f>
        <v/>
      </c>
    </row>
    <row r="387" spans="1:42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38" t="str">
        <f>IF(NOTA[[#This Row],[CONCAT4]]="","",_xlfn.IFNA(MATCH(NOTA[[#This Row],[CONCAT4]],[2]!RAW[CONCAT_H],0),FALSE))</f>
        <v/>
      </c>
      <c r="AP387" s="174" t="str">
        <f>IF(NOTA[[#This Row],[CONCAT1]]="","",MATCH(NOTA[[#This Row],[CONCAT1]],[3]!db[NB NOTA_C],0)+1)</f>
        <v/>
      </c>
    </row>
    <row r="388" spans="1:42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38" t="str">
        <f>IF(NOTA[[#This Row],[CONCAT4]]="","",_xlfn.IFNA(MATCH(NOTA[[#This Row],[CONCAT4]],[2]!RAW[CONCAT_H],0),FALSE))</f>
        <v/>
      </c>
      <c r="AP388" s="174" t="str">
        <f>IF(NOTA[[#This Row],[CONCAT1]]="","",MATCH(NOTA[[#This Row],[CONCAT1]],[3]!db[NB NOTA_C],0)+1)</f>
        <v/>
      </c>
    </row>
    <row r="389" spans="1:42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38" t="str">
        <f>IF(NOTA[[#This Row],[CONCAT4]]="","",_xlfn.IFNA(MATCH(NOTA[[#This Row],[CONCAT4]],[2]!RAW[CONCAT_H],0),FALSE))</f>
        <v/>
      </c>
      <c r="AP389" s="174" t="str">
        <f>IF(NOTA[[#This Row],[CONCAT1]]="","",MATCH(NOTA[[#This Row],[CONCAT1]],[3]!db[NB NOTA_C],0)+1)</f>
        <v/>
      </c>
    </row>
    <row r="390" spans="1:42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0" s="38" t="str">
        <f>IF(NOTA[[#This Row],[CONCAT4]]="","",_xlfn.IFNA(MATCH(NOTA[[#This Row],[CONCAT4]],[2]!RAW[CONCAT_H],0),FALSE))</f>
        <v/>
      </c>
      <c r="AP390" s="174" t="str">
        <f>IF(NOTA[[#This Row],[CONCAT1]]="","",MATCH(NOTA[[#This Row],[CONCAT1]],[3]!db[NB NOTA_C],0)+1)</f>
        <v/>
      </c>
    </row>
    <row r="391" spans="1:42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38" t="str">
        <f>IF(NOTA[[#This Row],[CONCAT4]]="","",_xlfn.IFNA(MATCH(NOTA[[#This Row],[CONCAT4]],[2]!RAW[CONCAT_H],0),FALSE))</f>
        <v/>
      </c>
      <c r="AP391" s="174" t="str">
        <f>IF(NOTA[[#This Row],[CONCAT1]]="","",MATCH(NOTA[[#This Row],[CONCAT1]],[3]!db[NB NOTA_C],0)+1)</f>
        <v/>
      </c>
    </row>
    <row r="392" spans="1:42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38" t="str">
        <f>IF(NOTA[[#This Row],[CONCAT4]]="","",_xlfn.IFNA(MATCH(NOTA[[#This Row],[CONCAT4]],[2]!RAW[CONCAT_H],0),FALSE))</f>
        <v/>
      </c>
      <c r="AP392" s="174" t="str">
        <f>IF(NOTA[[#This Row],[CONCAT1]]="","",MATCH(NOTA[[#This Row],[CONCAT1]],[3]!db[NB NOTA_C],0)+1)</f>
        <v/>
      </c>
    </row>
    <row r="393" spans="1:42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38" t="str">
        <f>IF(NOTA[[#This Row],[CONCAT4]]="","",_xlfn.IFNA(MATCH(NOTA[[#This Row],[CONCAT4]],[2]!RAW[CONCAT_H],0),FALSE))</f>
        <v/>
      </c>
      <c r="AP393" s="174" t="str">
        <f>IF(NOTA[[#This Row],[CONCAT1]]="","",MATCH(NOTA[[#This Row],[CONCAT1]],[3]!db[NB NOTA_C],0)+1)</f>
        <v/>
      </c>
    </row>
    <row r="394" spans="1:42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4" s="38" t="str">
        <f>IF(NOTA[[#This Row],[CONCAT4]]="","",_xlfn.IFNA(MATCH(NOTA[[#This Row],[CONCAT4]],[2]!RAW[CONCAT_H],0),FALSE))</f>
        <v/>
      </c>
      <c r="AP394" s="174" t="str">
        <f>IF(NOTA[[#This Row],[CONCAT1]]="","",MATCH(NOTA[[#This Row],[CONCAT1]],[3]!db[NB NOTA_C],0)+1)</f>
        <v/>
      </c>
    </row>
    <row r="395" spans="1:42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38" t="str">
        <f>IF(NOTA[[#This Row],[CONCAT4]]="","",_xlfn.IFNA(MATCH(NOTA[[#This Row],[CONCAT4]],[2]!RAW[CONCAT_H],0),FALSE))</f>
        <v/>
      </c>
      <c r="AP395" s="174" t="str">
        <f>IF(NOTA[[#This Row],[CONCAT1]]="","",MATCH(NOTA[[#This Row],[CONCAT1]],[3]!db[NB NOTA_C],0)+1)</f>
        <v/>
      </c>
    </row>
    <row r="396" spans="1:42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38" t="str">
        <f>IF(NOTA[[#This Row],[CONCAT4]]="","",_xlfn.IFNA(MATCH(NOTA[[#This Row],[CONCAT4]],[2]!RAW[CONCAT_H],0),FALSE))</f>
        <v/>
      </c>
      <c r="AP396" s="174" t="str">
        <f>IF(NOTA[[#This Row],[CONCAT1]]="","",MATCH(NOTA[[#This Row],[CONCAT1]],[3]!db[NB NOTA_C],0)+1)</f>
        <v/>
      </c>
    </row>
    <row r="397" spans="1:42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38" t="str">
        <f>IF(NOTA[[#This Row],[CONCAT4]]="","",_xlfn.IFNA(MATCH(NOTA[[#This Row],[CONCAT4]],[2]!RAW[CONCAT_H],0),FALSE))</f>
        <v/>
      </c>
      <c r="AP397" s="174" t="str">
        <f>IF(NOTA[[#This Row],[CONCAT1]]="","",MATCH(NOTA[[#This Row],[CONCAT1]],[3]!db[NB NOTA_C],0)+1)</f>
        <v/>
      </c>
    </row>
    <row r="398" spans="1:42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65" t="str">
        <f ca="1">IF(NOTA[[#This Row],[NAMA BARANG]]="","",INDEX(NOTA[SUPPLIER],MATCH(,INDIRECT(ADDRESS(ROW(NOTA[ID]),COLUMN(NOTA[ID]))&amp;":"&amp;ADDRESS(ROW(),COLUMN(NOTA[ID]))),-1)))</f>
        <v/>
      </c>
      <c r="AH398" s="65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38" t="str">
        <f>IF(NOTA[[#This Row],[CONCAT4]]="","",_xlfn.IFNA(MATCH(NOTA[[#This Row],[CONCAT4]],[2]!RAW[CONCAT_H],0),FALSE))</f>
        <v/>
      </c>
      <c r="AP398" s="174" t="str">
        <f>IF(NOTA[[#This Row],[CONCAT1]]="","",MATCH(NOTA[[#This Row],[CONCAT1]],[3]!db[NB NOTA_C],0)+1)</f>
        <v/>
      </c>
    </row>
    <row r="399" spans="1:42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65" t="str">
        <f ca="1">IF(NOTA[[#This Row],[NAMA BARANG]]="","",INDEX(NOTA[SUPPLIER],MATCH(,INDIRECT(ADDRESS(ROW(NOTA[ID]),COLUMN(NOTA[ID]))&amp;":"&amp;ADDRESS(ROW(),COLUMN(NOTA[ID]))),-1)))</f>
        <v/>
      </c>
      <c r="AH399" s="65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38" t="str">
        <f>IF(NOTA[[#This Row],[CONCAT4]]="","",_xlfn.IFNA(MATCH(NOTA[[#This Row],[CONCAT4]],[2]!RAW[CONCAT_H],0),FALSE))</f>
        <v/>
      </c>
      <c r="AP399" s="174" t="str">
        <f>IF(NOTA[[#This Row],[CONCAT1]]="","",MATCH(NOTA[[#This Row],[CONCAT1]],[3]!db[NB NOTA_C],0)+1)</f>
        <v/>
      </c>
    </row>
    <row r="400" spans="1:42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65" t="str">
        <f ca="1">IF(NOTA[[#This Row],[NAMA BARANG]]="","",INDEX(NOTA[SUPPLIER],MATCH(,INDIRECT(ADDRESS(ROW(NOTA[ID]),COLUMN(NOTA[ID]))&amp;":"&amp;ADDRESS(ROW(),COLUMN(NOTA[ID]))),-1)))</f>
        <v/>
      </c>
      <c r="AH400" s="65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38" t="str">
        <f>IF(NOTA[[#This Row],[CONCAT4]]="","",_xlfn.IFNA(MATCH(NOTA[[#This Row],[CONCAT4]],[2]!RAW[CONCAT_H],0),FALSE))</f>
        <v/>
      </c>
      <c r="AP400" s="174" t="str">
        <f>IF(NOTA[[#This Row],[CONCAT1]]="","",MATCH(NOTA[[#This Row],[CONCAT1]],[3]!db[NB NOTA_C],0)+1)</f>
        <v/>
      </c>
    </row>
    <row r="401" spans="1:42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65" t="str">
        <f ca="1">IF(NOTA[[#This Row],[NAMA BARANG]]="","",INDEX(NOTA[SUPPLIER],MATCH(,INDIRECT(ADDRESS(ROW(NOTA[ID]),COLUMN(NOTA[ID]))&amp;":"&amp;ADDRESS(ROW(),COLUMN(NOTA[ID]))),-1)))</f>
        <v/>
      </c>
      <c r="AH401" s="65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38" t="str">
        <f>IF(NOTA[[#This Row],[CONCAT4]]="","",_xlfn.IFNA(MATCH(NOTA[[#This Row],[CONCAT4]],[2]!RAW[CONCAT_H],0),FALSE))</f>
        <v/>
      </c>
      <c r="AP401" s="174" t="str">
        <f>IF(NOTA[[#This Row],[CONCAT1]]="","",MATCH(NOTA[[#This Row],[CONCAT1]],[3]!db[NB NOTA_C],0)+1)</f>
        <v/>
      </c>
    </row>
    <row r="402" spans="1:42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65" t="str">
        <f ca="1">IF(NOTA[[#This Row],[NAMA BARANG]]="","",INDEX(NOTA[SUPPLIER],MATCH(,INDIRECT(ADDRESS(ROW(NOTA[ID]),COLUMN(NOTA[ID]))&amp;":"&amp;ADDRESS(ROW(),COLUMN(NOTA[ID]))),-1)))</f>
        <v/>
      </c>
      <c r="AH402" s="65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38" t="str">
        <f>IF(NOTA[[#This Row],[CONCAT4]]="","",_xlfn.IFNA(MATCH(NOTA[[#This Row],[CONCAT4]],[2]!RAW[CONCAT_H],0),FALSE))</f>
        <v/>
      </c>
      <c r="AP402" s="174" t="str">
        <f>IF(NOTA[[#This Row],[CONCAT1]]="","",MATCH(NOTA[[#This Row],[CONCAT1]],[3]!db[NB NOTA_C],0)+1)</f>
        <v/>
      </c>
    </row>
    <row r="403" spans="1:42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65" t="str">
        <f ca="1">IF(NOTA[[#This Row],[NAMA BARANG]]="","",INDEX(NOTA[SUPPLIER],MATCH(,INDIRECT(ADDRESS(ROW(NOTA[ID]),COLUMN(NOTA[ID]))&amp;":"&amp;ADDRESS(ROW(),COLUMN(NOTA[ID]))),-1)))</f>
        <v/>
      </c>
      <c r="AH403" s="65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38" t="str">
        <f>IF(NOTA[[#This Row],[CONCAT4]]="","",_xlfn.IFNA(MATCH(NOTA[[#This Row],[CONCAT4]],[2]!RAW[CONCAT_H],0),FALSE))</f>
        <v/>
      </c>
      <c r="AP403" s="174" t="str">
        <f>IF(NOTA[[#This Row],[CONCAT1]]="","",MATCH(NOTA[[#This Row],[CONCAT1]],[3]!db[NB NOTA_C],0)+1)</f>
        <v/>
      </c>
    </row>
    <row r="404" spans="1:42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65" t="str">
        <f ca="1">IF(NOTA[[#This Row],[NAMA BARANG]]="","",INDEX(NOTA[SUPPLIER],MATCH(,INDIRECT(ADDRESS(ROW(NOTA[ID]),COLUMN(NOTA[ID]))&amp;":"&amp;ADDRESS(ROW(),COLUMN(NOTA[ID]))),-1)))</f>
        <v/>
      </c>
      <c r="AH404" s="65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38" t="str">
        <f>IF(NOTA[[#This Row],[CONCAT4]]="","",_xlfn.IFNA(MATCH(NOTA[[#This Row],[CONCAT4]],[2]!RAW[CONCAT_H],0),FALSE))</f>
        <v/>
      </c>
      <c r="AP404" s="174" t="str">
        <f>IF(NOTA[[#This Row],[CONCAT1]]="","",MATCH(NOTA[[#This Row],[CONCAT1]],[3]!db[NB NOTA_C],0)+1)</f>
        <v/>
      </c>
    </row>
    <row r="405" spans="1:42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65" t="str">
        <f ca="1">IF(NOTA[[#This Row],[NAMA BARANG]]="","",INDEX(NOTA[SUPPLIER],MATCH(,INDIRECT(ADDRESS(ROW(NOTA[ID]),COLUMN(NOTA[ID]))&amp;":"&amp;ADDRESS(ROW(),COLUMN(NOTA[ID]))),-1)))</f>
        <v/>
      </c>
      <c r="AH405" s="65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38" t="str">
        <f>IF(NOTA[[#This Row],[CONCAT4]]="","",_xlfn.IFNA(MATCH(NOTA[[#This Row],[CONCAT4]],[2]!RAW[CONCAT_H],0),FALSE))</f>
        <v/>
      </c>
      <c r="AP405" s="174" t="str">
        <f>IF(NOTA[[#This Row],[CONCAT1]]="","",MATCH(NOTA[[#This Row],[CONCAT1]],[3]!db[NB NOTA_C],0)+1)</f>
        <v/>
      </c>
    </row>
    <row r="406" spans="1:42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65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6" s="38" t="str">
        <f>IF(NOTA[[#This Row],[CONCAT4]]="","",_xlfn.IFNA(MATCH(NOTA[[#This Row],[CONCAT4]],[2]!RAW[CONCAT_H],0),FALSE))</f>
        <v/>
      </c>
      <c r="AP406" s="174" t="str">
        <f>IF(NOTA[[#This Row],[CONCAT1]]="","",MATCH(NOTA[[#This Row],[CONCAT1]],[3]!db[NB NOTA_C],0)+1)</f>
        <v/>
      </c>
    </row>
    <row r="407" spans="1:42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65" t="str">
        <f ca="1">IF(NOTA[[#This Row],[NAMA BARANG]]="","",INDEX(NOTA[SUPPLIER],MATCH(,INDIRECT(ADDRESS(ROW(NOTA[ID]),COLUMN(NOTA[ID]))&amp;":"&amp;ADDRESS(ROW(),COLUMN(NOTA[ID]))),-1)))</f>
        <v/>
      </c>
      <c r="AH407" s="65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38" t="str">
        <f>IF(NOTA[[#This Row],[CONCAT4]]="","",_xlfn.IFNA(MATCH(NOTA[[#This Row],[CONCAT4]],[2]!RAW[CONCAT_H],0),FALSE))</f>
        <v/>
      </c>
      <c r="AP407" s="174" t="str">
        <f>IF(NOTA[[#This Row],[CONCAT1]]="","",MATCH(NOTA[[#This Row],[CONCAT1]],[3]!db[NB NOTA_C],0)+1)</f>
        <v/>
      </c>
    </row>
    <row r="408" spans="1:42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65" t="str">
        <f ca="1">IF(NOTA[[#This Row],[NAMA BARANG]]="","",INDEX(NOTA[SUPPLIER],MATCH(,INDIRECT(ADDRESS(ROW(NOTA[ID]),COLUMN(NOTA[ID]))&amp;":"&amp;ADDRESS(ROW(),COLUMN(NOTA[ID]))),-1)))</f>
        <v/>
      </c>
      <c r="AH408" s="65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38" t="str">
        <f>IF(NOTA[[#This Row],[CONCAT4]]="","",_xlfn.IFNA(MATCH(NOTA[[#This Row],[CONCAT4]],[2]!RAW[CONCAT_H],0),FALSE))</f>
        <v/>
      </c>
      <c r="AP408" s="174" t="str">
        <f>IF(NOTA[[#This Row],[CONCAT1]]="","",MATCH(NOTA[[#This Row],[CONCAT1]],[3]!db[NB NOTA_C],0)+1)</f>
        <v/>
      </c>
    </row>
    <row r="409" spans="1:42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65" t="str">
        <f ca="1">IF(NOTA[[#This Row],[NAMA BARANG]]="","",INDEX(NOTA[SUPPLIER],MATCH(,INDIRECT(ADDRESS(ROW(NOTA[ID]),COLUMN(NOTA[ID]))&amp;":"&amp;ADDRESS(ROW(),COLUMN(NOTA[ID]))),-1)))</f>
        <v/>
      </c>
      <c r="AH409" s="65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38" t="str">
        <f>IF(NOTA[[#This Row],[CONCAT4]]="","",_xlfn.IFNA(MATCH(NOTA[[#This Row],[CONCAT4]],[2]!RAW[CONCAT_H],0),FALSE))</f>
        <v/>
      </c>
      <c r="AP409" s="174" t="str">
        <f>IF(NOTA[[#This Row],[CONCAT1]]="","",MATCH(NOTA[[#This Row],[CONCAT1]],[3]!db[NB NOTA_C],0)+1)</f>
        <v/>
      </c>
    </row>
    <row r="410" spans="1:42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65" t="str">
        <f ca="1">IF(NOTA[[#This Row],[NAMA BARANG]]="","",INDEX(NOTA[SUPPLIER],MATCH(,INDIRECT(ADDRESS(ROW(NOTA[ID]),COLUMN(NOTA[ID]))&amp;":"&amp;ADDRESS(ROW(),COLUMN(NOTA[ID]))),-1)))</f>
        <v/>
      </c>
      <c r="AH410" s="65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38" t="str">
        <f>IF(NOTA[[#This Row],[CONCAT4]]="","",_xlfn.IFNA(MATCH(NOTA[[#This Row],[CONCAT4]],[2]!RAW[CONCAT_H],0),FALSE))</f>
        <v/>
      </c>
      <c r="AP410" s="174" t="str">
        <f>IF(NOTA[[#This Row],[CONCAT1]]="","",MATCH(NOTA[[#This Row],[CONCAT1]],[3]!db[NB NOTA_C],0)+1)</f>
        <v/>
      </c>
    </row>
    <row r="411" spans="1:42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65" t="str">
        <f ca="1">IF(NOTA[[#This Row],[NAMA BARANG]]="","",INDEX(NOTA[SUPPLIER],MATCH(,INDIRECT(ADDRESS(ROW(NOTA[ID]),COLUMN(NOTA[ID]))&amp;":"&amp;ADDRESS(ROW(),COLUMN(NOTA[ID]))),-1)))</f>
        <v/>
      </c>
      <c r="AH411" s="65" t="str">
        <f ca="1">IF(NOTA[[#This Row],[ID_H]]="","",IF(NOTA[[#This Row],[FAKTUR]]="",INDIRECT(ADDRESS(ROW()-1,COLUMN())),NOTA[[#This Row],[FAKTUR]]))</f>
        <v/>
      </c>
      <c r="AI411" s="38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38" t="str">
        <f>IF(NOTA[[#This Row],[CONCAT4]]="","",_xlfn.IFNA(MATCH(NOTA[[#This Row],[CONCAT4]],[2]!RAW[CONCAT_H],0),FALSE))</f>
        <v/>
      </c>
      <c r="AP411" s="174" t="str">
        <f>IF(NOTA[[#This Row],[CONCAT1]]="","",MATCH(NOTA[[#This Row],[CONCAT1]],[3]!db[NB NOTA_C],0)+1)</f>
        <v/>
      </c>
    </row>
    <row r="412" spans="1:42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65" t="str">
        <f ca="1">IF(NOTA[[#This Row],[NAMA BARANG]]="","",INDEX(NOTA[SUPPLIER],MATCH(,INDIRECT(ADDRESS(ROW(NOTA[ID]),COLUMN(NOTA[ID]))&amp;":"&amp;ADDRESS(ROW(),COLUMN(NOTA[ID]))),-1)))</f>
        <v/>
      </c>
      <c r="AH412" s="65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38" t="str">
        <f>IF(NOTA[[#This Row],[CONCAT4]]="","",_xlfn.IFNA(MATCH(NOTA[[#This Row],[CONCAT4]],[2]!RAW[CONCAT_H],0),FALSE))</f>
        <v/>
      </c>
      <c r="AP412" s="174" t="str">
        <f>IF(NOTA[[#This Row],[CONCAT1]]="","",MATCH(NOTA[[#This Row],[CONCAT1]],[3]!db[NB NOTA_C],0)+1)</f>
        <v/>
      </c>
    </row>
    <row r="413" spans="1:42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65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38" t="str">
        <f>IF(NOTA[[#This Row],[CONCAT4]]="","",_xlfn.IFNA(MATCH(NOTA[[#This Row],[CONCAT4]],[2]!RAW[CONCAT_H],0),FALSE))</f>
        <v/>
      </c>
      <c r="AP413" s="174" t="str">
        <f>IF(NOTA[[#This Row],[CONCAT1]]="","",MATCH(NOTA[[#This Row],[CONCAT1]],[3]!db[NB NOTA_C],0)+1)</f>
        <v/>
      </c>
    </row>
    <row r="414" spans="1:42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65" t="str">
        <f ca="1">IF(NOTA[[#This Row],[NAMA BARANG]]="","",INDEX(NOTA[SUPPLIER],MATCH(,INDIRECT(ADDRESS(ROW(NOTA[ID]),COLUMN(NOTA[ID]))&amp;":"&amp;ADDRESS(ROW(),COLUMN(NOTA[ID]))),-1)))</f>
        <v/>
      </c>
      <c r="AH414" s="65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38" t="str">
        <f>IF(NOTA[[#This Row],[CONCAT4]]="","",_xlfn.IFNA(MATCH(NOTA[[#This Row],[CONCAT4]],[2]!RAW[CONCAT_H],0),FALSE))</f>
        <v/>
      </c>
      <c r="AP414" s="174" t="str">
        <f>IF(NOTA[[#This Row],[CONCAT1]]="","",MATCH(NOTA[[#This Row],[CONCAT1]],[3]!db[NB NOTA_C],0)+1)</f>
        <v/>
      </c>
    </row>
    <row r="415" spans="1:42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65" t="str">
        <f ca="1">IF(NOTA[[#This Row],[NAMA BARANG]]="","",INDEX(NOTA[SUPPLIER],MATCH(,INDIRECT(ADDRESS(ROW(NOTA[ID]),COLUMN(NOTA[ID]))&amp;":"&amp;ADDRESS(ROW(),COLUMN(NOTA[ID]))),-1)))</f>
        <v/>
      </c>
      <c r="AH415" s="65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5" s="38" t="str">
        <f>IF(NOTA[[#This Row],[CONCAT4]]="","",_xlfn.IFNA(MATCH(NOTA[[#This Row],[CONCAT4]],[2]!RAW[CONCAT_H],0),FALSE))</f>
        <v/>
      </c>
      <c r="AP415" s="174" t="str">
        <f>IF(NOTA[[#This Row],[CONCAT1]]="","",MATCH(NOTA[[#This Row],[CONCAT1]],[3]!db[NB NOTA_C],0)+1)</f>
        <v/>
      </c>
    </row>
    <row r="416" spans="1:42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65" t="str">
        <f ca="1">IF(NOTA[[#This Row],[NAMA BARANG]]="","",INDEX(NOTA[SUPPLIER],MATCH(,INDIRECT(ADDRESS(ROW(NOTA[ID]),COLUMN(NOTA[ID]))&amp;":"&amp;ADDRESS(ROW(),COLUMN(NOTA[ID]))),-1)))</f>
        <v/>
      </c>
      <c r="AH416" s="65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38" t="str">
        <f>IF(NOTA[[#This Row],[CONCAT4]]="","",_xlfn.IFNA(MATCH(NOTA[[#This Row],[CONCAT4]],[2]!RAW[CONCAT_H],0),FALSE))</f>
        <v/>
      </c>
      <c r="AP416" s="174" t="str">
        <f>IF(NOTA[[#This Row],[CONCAT1]]="","",MATCH(NOTA[[#This Row],[CONCAT1]],[3]!db[NB NOTA_C],0)+1)</f>
        <v/>
      </c>
    </row>
    <row r="417" spans="1:42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65" t="str">
        <f ca="1">IF(NOTA[[#This Row],[NAMA BARANG]]="","",INDEX(NOTA[SUPPLIER],MATCH(,INDIRECT(ADDRESS(ROW(NOTA[ID]),COLUMN(NOTA[ID]))&amp;":"&amp;ADDRESS(ROW(),COLUMN(NOTA[ID]))),-1)))</f>
        <v/>
      </c>
      <c r="AH417" s="65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7" s="38" t="str">
        <f>IF(NOTA[[#This Row],[CONCAT4]]="","",_xlfn.IFNA(MATCH(NOTA[[#This Row],[CONCAT4]],[2]!RAW[CONCAT_H],0),FALSE))</f>
        <v/>
      </c>
      <c r="AP417" s="174" t="str">
        <f>IF(NOTA[[#This Row],[CONCAT1]]="","",MATCH(NOTA[[#This Row],[CONCAT1]],[3]!db[NB NOTA_C],0)+1)</f>
        <v/>
      </c>
    </row>
    <row r="418" spans="1:42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139"/>
      <c r="F418" s="26"/>
      <c r="G418" s="26"/>
      <c r="H418" s="23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65" t="str">
        <f ca="1">IF(NOTA[[#This Row],[NAMA BARANG]]="","",INDEX(NOTA[SUPPLIER],MATCH(,INDIRECT(ADDRESS(ROW(NOTA[ID]),COLUMN(NOTA[ID]))&amp;":"&amp;ADDRESS(ROW(),COLUMN(NOTA[ID]))),-1)))</f>
        <v/>
      </c>
      <c r="AH418" s="65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Row],[SUPPLIER_H]]="","",AJ416),MONTH(NOTA[[#This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38" t="str">
        <f>IF(NOTA[[#This Row],[CONCAT4]]="","",_xlfn.IFNA(MATCH(NOTA[[#This Row],[CONCAT4]],[2]!RAW[CONCAT_H],0),FALSE))</f>
        <v/>
      </c>
      <c r="AP418" s="174" t="str">
        <f>IF(NOTA[[#This Row],[CONCAT1]]="","",MATCH(NOTA[[#This Row],[CONCAT1]],[3]!db[NB NOTA_C],0)+1)</f>
        <v/>
      </c>
    </row>
    <row r="419" spans="1:42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52"/>
      <c r="R419" s="39"/>
      <c r="S419" s="53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65" t="str">
        <f ca="1">IF(NOTA[[#This Row],[NAMA BARANG]]="","",INDEX(NOTA[SUPPLIER],MATCH(,INDIRECT(ADDRESS(ROW(NOTA[ID]),COLUMN(NOTA[ID]))&amp;":"&amp;ADDRESS(ROW(),COLUMN(NOTA[ID]))),-1)))</f>
        <v/>
      </c>
      <c r="AH419" s="65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38" t="str">
        <f>IF(NOTA[[#This Row],[CONCAT4]]="","",_xlfn.IFNA(MATCH(NOTA[[#This Row],[CONCAT4]],[2]!RAW[CONCAT_H],0),FALSE))</f>
        <v/>
      </c>
      <c r="AP419" s="174" t="str">
        <f>IF(NOTA[[#This Row],[CONCAT1]]="","",MATCH(NOTA[[#This Row],[CONCAT1]],[3]!db[NB NOTA_C],0)+1)</f>
        <v/>
      </c>
    </row>
    <row r="420" spans="1:42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80"/>
      <c r="F420" s="26"/>
      <c r="G420" s="26"/>
      <c r="H420" s="31"/>
      <c r="I420" s="26"/>
      <c r="J420" s="81"/>
      <c r="K420" s="26"/>
      <c r="L420" s="26"/>
      <c r="M420" s="39"/>
      <c r="N420" s="26"/>
      <c r="O420" s="26"/>
      <c r="P420" s="49"/>
      <c r="Q420" s="85"/>
      <c r="R420" s="39"/>
      <c r="S420" s="86"/>
      <c r="T420" s="86"/>
      <c r="U420" s="87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65" t="str">
        <f ca="1">IF(NOTA[[#This Row],[NAMA BARANG]]="","",INDEX(NOTA[SUPPLIER],MATCH(,INDIRECT(ADDRESS(ROW(NOTA[ID]),COLUMN(NOTA[ID]))&amp;":"&amp;ADDRESS(ROW(),COLUMN(NOTA[ID]))),-1)))</f>
        <v/>
      </c>
      <c r="AH420" s="65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38" t="str">
        <f>IF(NOTA[[#This Row],[CONCAT4]]="","",_xlfn.IFNA(MATCH(NOTA[[#This Row],[CONCAT4]],[2]!RAW[CONCAT_H],0),FALSE))</f>
        <v/>
      </c>
      <c r="AP420" s="174" t="str">
        <f>IF(NOTA[[#This Row],[CONCAT1]]="","",MATCH(NOTA[[#This Row],[CONCAT1]],[3]!db[NB NOTA_C],0)+1)</f>
        <v/>
      </c>
    </row>
    <row r="421" spans="1:42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80"/>
      <c r="F421" s="26"/>
      <c r="G421" s="26"/>
      <c r="H421" s="31"/>
      <c r="I421" s="82"/>
      <c r="J421" s="81"/>
      <c r="K421" s="26"/>
      <c r="L421" s="26"/>
      <c r="M421" s="39"/>
      <c r="N421" s="26"/>
      <c r="O421" s="26"/>
      <c r="P421" s="49"/>
      <c r="Q421" s="85"/>
      <c r="R421" s="39"/>
      <c r="S421" s="86"/>
      <c r="T421" s="86"/>
      <c r="U421" s="87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65" t="str">
        <f ca="1">IF(NOTA[[#This Row],[NAMA BARANG]]="","",INDEX(NOTA[SUPPLIER],MATCH(,INDIRECT(ADDRESS(ROW(NOTA[ID]),COLUMN(NOTA[ID]))&amp;":"&amp;ADDRESS(ROW(),COLUMN(NOTA[ID]))),-1)))</f>
        <v/>
      </c>
      <c r="AH421" s="65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38" t="str">
        <f>IF(NOTA[[#This Row],[CONCAT4]]="","",_xlfn.IFNA(MATCH(NOTA[[#This Row],[CONCAT4]],[2]!RAW[CONCAT_H],0),FALSE))</f>
        <v/>
      </c>
      <c r="AP421" s="174" t="str">
        <f>IF(NOTA[[#This Row],[CONCAT1]]="","",MATCH(NOTA[[#This Row],[CONCAT1]],[3]!db[NB NOTA_C],0)+1)</f>
        <v/>
      </c>
    </row>
    <row r="422" spans="1:42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80"/>
      <c r="F422" s="26"/>
      <c r="G422" s="26"/>
      <c r="H422" s="31"/>
      <c r="I422" s="82"/>
      <c r="J422" s="81"/>
      <c r="K422" s="26"/>
      <c r="L422" s="26"/>
      <c r="M422" s="39"/>
      <c r="N422" s="26"/>
      <c r="O422" s="26"/>
      <c r="P422" s="49"/>
      <c r="Q422" s="85"/>
      <c r="R422" s="39"/>
      <c r="S422" s="86"/>
      <c r="T422" s="86"/>
      <c r="U422" s="87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65" t="str">
        <f ca="1">IF(NOTA[[#This Row],[NAMA BARANG]]="","",INDEX(NOTA[SUPPLIER],MATCH(,INDIRECT(ADDRESS(ROW(NOTA[ID]),COLUMN(NOTA[ID]))&amp;":"&amp;ADDRESS(ROW(),COLUMN(NOTA[ID]))),-1)))</f>
        <v/>
      </c>
      <c r="AH422" s="65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38" t="str">
        <f>IF(NOTA[[#This Row],[CONCAT4]]="","",_xlfn.IFNA(MATCH(NOTA[[#This Row],[CONCAT4]],[2]!RAW[CONCAT_H],0),FALSE))</f>
        <v/>
      </c>
      <c r="AP422" s="174" t="str">
        <f>IF(NOTA[[#This Row],[CONCAT1]]="","",MATCH(NOTA[[#This Row],[CONCAT1]],[3]!db[NB NOTA_C],0)+1)</f>
        <v/>
      </c>
    </row>
    <row r="423" spans="1:42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80"/>
      <c r="F423" s="26"/>
      <c r="G423" s="26"/>
      <c r="H423" s="31"/>
      <c r="I423" s="26"/>
      <c r="J423" s="81"/>
      <c r="K423" s="26"/>
      <c r="L423" s="26"/>
      <c r="M423" s="39"/>
      <c r="N423" s="26"/>
      <c r="O423" s="26"/>
      <c r="P423" s="49"/>
      <c r="Q423" s="85"/>
      <c r="R423" s="39"/>
      <c r="S423" s="86"/>
      <c r="T423" s="86"/>
      <c r="U423" s="87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65" t="str">
        <f ca="1">IF(NOTA[[#This Row],[NAMA BARANG]]="","",INDEX(NOTA[SUPPLIER],MATCH(,INDIRECT(ADDRESS(ROW(NOTA[ID]),COLUMN(NOTA[ID]))&amp;":"&amp;ADDRESS(ROW(),COLUMN(NOTA[ID]))),-1)))</f>
        <v/>
      </c>
      <c r="AH423" s="65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38" t="str">
        <f>IF(NOTA[[#This Row],[CONCAT4]]="","",_xlfn.IFNA(MATCH(NOTA[[#This Row],[CONCAT4]],[2]!RAW[CONCAT_H],0),FALSE))</f>
        <v/>
      </c>
      <c r="AP423" s="174" t="str">
        <f>IF(NOTA[[#This Row],[CONCAT1]]="","",MATCH(NOTA[[#This Row],[CONCAT1]],[3]!db[NB NOTA_C],0)+1)</f>
        <v/>
      </c>
    </row>
    <row r="424" spans="1:42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80"/>
      <c r="F424" s="26"/>
      <c r="G424" s="26"/>
      <c r="H424" s="31"/>
      <c r="I424" s="26"/>
      <c r="J424" s="81"/>
      <c r="K424" s="26"/>
      <c r="L424" s="26"/>
      <c r="M424" s="39"/>
      <c r="N424" s="26"/>
      <c r="O424" s="26"/>
      <c r="P424" s="49"/>
      <c r="Q424" s="85"/>
      <c r="R424" s="39"/>
      <c r="S424" s="86"/>
      <c r="T424" s="86"/>
      <c r="U424" s="87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65" t="str">
        <f ca="1">IF(NOTA[[#This Row],[NAMA BARANG]]="","",INDEX(NOTA[SUPPLIER],MATCH(,INDIRECT(ADDRESS(ROW(NOTA[ID]),COLUMN(NOTA[ID]))&amp;":"&amp;ADDRESS(ROW(),COLUMN(NOTA[ID]))),-1)))</f>
        <v/>
      </c>
      <c r="AH424" s="65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38" t="str">
        <f>IF(NOTA[[#This Row],[CONCAT4]]="","",_xlfn.IFNA(MATCH(NOTA[[#This Row],[CONCAT4]],[2]!RAW[CONCAT_H],0),FALSE))</f>
        <v/>
      </c>
      <c r="AP424" s="174" t="str">
        <f>IF(NOTA[[#This Row],[CONCAT1]]="","",MATCH(NOTA[[#This Row],[CONCAT1]],[3]!db[NB NOTA_C],0)+1)</f>
        <v/>
      </c>
    </row>
    <row r="425" spans="1:42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80"/>
      <c r="F425" s="26"/>
      <c r="G425" s="26"/>
      <c r="H425" s="31"/>
      <c r="I425" s="26"/>
      <c r="J425" s="81"/>
      <c r="K425" s="26"/>
      <c r="L425" s="26"/>
      <c r="M425" s="39"/>
      <c r="N425" s="26"/>
      <c r="O425" s="26"/>
      <c r="P425" s="49"/>
      <c r="Q425" s="85"/>
      <c r="R425" s="39"/>
      <c r="S425" s="86"/>
      <c r="T425" s="86"/>
      <c r="U425" s="87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65" t="str">
        <f ca="1">IF(NOTA[[#This Row],[NAMA BARANG]]="","",INDEX(NOTA[SUPPLIER],MATCH(,INDIRECT(ADDRESS(ROW(NOTA[ID]),COLUMN(NOTA[ID]))&amp;":"&amp;ADDRESS(ROW(),COLUMN(NOTA[ID]))),-1)))</f>
        <v/>
      </c>
      <c r="AH425" s="65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38" t="str">
        <f>IF(NOTA[[#This Row],[CONCAT4]]="","",_xlfn.IFNA(MATCH(NOTA[[#This Row],[CONCAT4]],[2]!RAW[CONCAT_H],0),FALSE))</f>
        <v/>
      </c>
      <c r="AP425" s="174" t="str">
        <f>IF(NOTA[[#This Row],[CONCAT1]]="","",MATCH(NOTA[[#This Row],[CONCAT1]],[3]!db[NB NOTA_C],0)+1)</f>
        <v/>
      </c>
    </row>
    <row r="426" spans="1:42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80"/>
      <c r="F426" s="82"/>
      <c r="G426" s="82"/>
      <c r="H426" s="88"/>
      <c r="I426" s="82"/>
      <c r="J426" s="81"/>
      <c r="K426" s="26"/>
      <c r="L426" s="26"/>
      <c r="M426" s="39"/>
      <c r="N426" s="26"/>
      <c r="O426" s="26"/>
      <c r="P426" s="49"/>
      <c r="Q426" s="85"/>
      <c r="R426" s="39"/>
      <c r="S426" s="86"/>
      <c r="T426" s="86"/>
      <c r="U426" s="87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65" t="str">
        <f ca="1">IF(NOTA[[#This Row],[NAMA BARANG]]="","",INDEX(NOTA[SUPPLIER],MATCH(,INDIRECT(ADDRESS(ROW(NOTA[ID]),COLUMN(NOTA[ID]))&amp;":"&amp;ADDRESS(ROW(),COLUMN(NOTA[ID]))),-1)))</f>
        <v/>
      </c>
      <c r="AH426" s="65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38" t="str">
        <f>IF(NOTA[[#This Row],[CONCAT4]]="","",_xlfn.IFNA(MATCH(NOTA[[#This Row],[CONCAT4]],[2]!RAW[CONCAT_H],0),FALSE))</f>
        <v/>
      </c>
      <c r="AP426" s="174" t="str">
        <f>IF(NOTA[[#This Row],[CONCAT1]]="","",MATCH(NOTA[[#This Row],[CONCAT1]],[3]!db[NB NOTA_C],0)+1)</f>
        <v/>
      </c>
    </row>
    <row r="427" spans="1:42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80"/>
      <c r="F427" s="26"/>
      <c r="G427" s="26"/>
      <c r="H427" s="31"/>
      <c r="I427" s="26"/>
      <c r="J427" s="81"/>
      <c r="K427" s="38"/>
      <c r="L427" s="26"/>
      <c r="M427" s="39"/>
      <c r="N427" s="26"/>
      <c r="O427" s="26"/>
      <c r="P427" s="49"/>
      <c r="Q427" s="85"/>
      <c r="R427" s="39"/>
      <c r="S427" s="86"/>
      <c r="T427" s="86"/>
      <c r="U427" s="87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65" t="str">
        <f ca="1">IF(NOTA[[#This Row],[NAMA BARANG]]="","",INDEX(NOTA[SUPPLIER],MATCH(,INDIRECT(ADDRESS(ROW(NOTA[ID]),COLUMN(NOTA[ID]))&amp;":"&amp;ADDRESS(ROW(),COLUMN(NOTA[ID]))),-1)))</f>
        <v/>
      </c>
      <c r="AH427" s="65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38" t="str">
        <f>IF(NOTA[[#This Row],[CONCAT4]]="","",_xlfn.IFNA(MATCH(NOTA[[#This Row],[CONCAT4]],[2]!RAW[CONCAT_H],0),FALSE))</f>
        <v/>
      </c>
      <c r="AP427" s="174" t="str">
        <f>IF(NOTA[[#This Row],[CONCAT1]]="","",MATCH(NOTA[[#This Row],[CONCAT1]],[3]!db[NB NOTA_C],0)+1)</f>
        <v/>
      </c>
    </row>
    <row r="428" spans="1:42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80"/>
      <c r="F428" s="26"/>
      <c r="G428" s="26"/>
      <c r="H428" s="31"/>
      <c r="I428" s="26"/>
      <c r="J428" s="81"/>
      <c r="K428" s="26"/>
      <c r="L428" s="26"/>
      <c r="M428" s="39"/>
      <c r="N428" s="26"/>
      <c r="O428" s="26"/>
      <c r="P428" s="49"/>
      <c r="Q428" s="85"/>
      <c r="R428" s="39"/>
      <c r="S428" s="86"/>
      <c r="T428" s="86"/>
      <c r="U428" s="87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65" t="str">
        <f ca="1">IF(NOTA[[#This Row],[NAMA BARANG]]="","",INDEX(NOTA[SUPPLIER],MATCH(,INDIRECT(ADDRESS(ROW(NOTA[ID]),COLUMN(NOTA[ID]))&amp;":"&amp;ADDRESS(ROW(),COLUMN(NOTA[ID]))),-1)))</f>
        <v/>
      </c>
      <c r="AH428" s="65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38" t="str">
        <f>IF(NOTA[[#This Row],[CONCAT4]]="","",_xlfn.IFNA(MATCH(NOTA[[#This Row],[CONCAT4]],[2]!RAW[CONCAT_H],0),FALSE))</f>
        <v/>
      </c>
      <c r="AP428" s="174" t="str">
        <f>IF(NOTA[[#This Row],[CONCAT1]]="","",MATCH(NOTA[[#This Row],[CONCAT1]],[3]!db[NB NOTA_C],0)+1)</f>
        <v/>
      </c>
    </row>
    <row r="429" spans="1:42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80"/>
      <c r="F429" s="26"/>
      <c r="G429" s="26"/>
      <c r="H429" s="31"/>
      <c r="I429" s="26"/>
      <c r="J429" s="81"/>
      <c r="K429" s="82"/>
      <c r="L429" s="26"/>
      <c r="M429" s="83"/>
      <c r="N429" s="82"/>
      <c r="O429" s="26"/>
      <c r="P429" s="84"/>
      <c r="Q429" s="85"/>
      <c r="R429" s="39"/>
      <c r="S429" s="86"/>
      <c r="T429" s="86"/>
      <c r="U429" s="87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65" t="str">
        <f ca="1">IF(NOTA[[#This Row],[NAMA BARANG]]="","",INDEX(NOTA[SUPPLIER],MATCH(,INDIRECT(ADDRESS(ROW(NOTA[ID]),COLUMN(NOTA[ID]))&amp;":"&amp;ADDRESS(ROW(),COLUMN(NOTA[ID]))),-1)))</f>
        <v/>
      </c>
      <c r="AH429" s="65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38" t="str">
        <f>IF(NOTA[[#This Row],[CONCAT4]]="","",_xlfn.IFNA(MATCH(NOTA[[#This Row],[CONCAT4]],[2]!RAW[CONCAT_H],0),FALSE))</f>
        <v/>
      </c>
      <c r="AP429" s="174" t="str">
        <f>IF(NOTA[[#This Row],[CONCAT1]]="","",MATCH(NOTA[[#This Row],[CONCAT1]],[3]!db[NB NOTA_C],0)+1)</f>
        <v/>
      </c>
    </row>
    <row r="430" spans="1:42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80"/>
      <c r="F430" s="26"/>
      <c r="G430" s="26"/>
      <c r="H430" s="31"/>
      <c r="I430" s="82"/>
      <c r="J430" s="81"/>
      <c r="K430" s="26"/>
      <c r="L430" s="26"/>
      <c r="M430" s="83"/>
      <c r="N430" s="82"/>
      <c r="O430" s="26"/>
      <c r="P430" s="84"/>
      <c r="Q430" s="85"/>
      <c r="R430" s="39"/>
      <c r="S430" s="86"/>
      <c r="T430" s="86"/>
      <c r="U430" s="87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65" t="str">
        <f ca="1">IF(NOTA[[#This Row],[NAMA BARANG]]="","",INDEX(NOTA[SUPPLIER],MATCH(,INDIRECT(ADDRESS(ROW(NOTA[ID]),COLUMN(NOTA[ID]))&amp;":"&amp;ADDRESS(ROW(),COLUMN(NOTA[ID]))),-1)))</f>
        <v/>
      </c>
      <c r="AH430" s="65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38" t="str">
        <f>IF(NOTA[[#This Row],[CONCAT4]]="","",_xlfn.IFNA(MATCH(NOTA[[#This Row],[CONCAT4]],[2]!RAW[CONCAT_H],0),FALSE))</f>
        <v/>
      </c>
      <c r="AP430" s="174" t="str">
        <f>IF(NOTA[[#This Row],[CONCAT1]]="","",MATCH(NOTA[[#This Row],[CONCAT1]],[3]!db[NB NOTA_C],0)+1)</f>
        <v/>
      </c>
    </row>
    <row r="431" spans="1:42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80"/>
      <c r="F431" s="26"/>
      <c r="G431" s="26"/>
      <c r="H431" s="31"/>
      <c r="I431" s="26"/>
      <c r="J431" s="81"/>
      <c r="K431" s="26"/>
      <c r="L431" s="26"/>
      <c r="M431" s="83"/>
      <c r="N431" s="82"/>
      <c r="O431" s="26"/>
      <c r="P431" s="84"/>
      <c r="Q431" s="85"/>
      <c r="R431" s="39"/>
      <c r="S431" s="86"/>
      <c r="T431" s="86"/>
      <c r="U431" s="87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65" t="str">
        <f ca="1">IF(NOTA[[#This Row],[NAMA BARANG]]="","",INDEX(NOTA[SUPPLIER],MATCH(,INDIRECT(ADDRESS(ROW(NOTA[ID]),COLUMN(NOTA[ID]))&amp;":"&amp;ADDRESS(ROW(),COLUMN(NOTA[ID]))),-1)))</f>
        <v/>
      </c>
      <c r="AH431" s="65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38" t="str">
        <f>IF(NOTA[[#This Row],[CONCAT4]]="","",_xlfn.IFNA(MATCH(NOTA[[#This Row],[CONCAT4]],[2]!RAW[CONCAT_H],0),FALSE))</f>
        <v/>
      </c>
      <c r="AP431" s="174" t="str">
        <f>IF(NOTA[[#This Row],[CONCAT1]]="","",MATCH(NOTA[[#This Row],[CONCAT1]],[3]!db[NB NOTA_C],0)+1)</f>
        <v/>
      </c>
    </row>
    <row r="432" spans="1:42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80"/>
      <c r="F432" s="26"/>
      <c r="G432" s="26"/>
      <c r="H432" s="31"/>
      <c r="I432" s="82"/>
      <c r="J432" s="81"/>
      <c r="K432" s="26"/>
      <c r="L432" s="26"/>
      <c r="M432" s="83"/>
      <c r="N432" s="82"/>
      <c r="O432" s="26"/>
      <c r="P432" s="84"/>
      <c r="Q432" s="85"/>
      <c r="R432" s="39"/>
      <c r="S432" s="86"/>
      <c r="T432" s="86"/>
      <c r="U432" s="87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38" t="str">
        <f>IF(NOTA[[#This Row],[CONCAT4]]="","",_xlfn.IFNA(MATCH(NOTA[[#This Row],[CONCAT4]],[2]!RAW[CONCAT_H],0),FALSE))</f>
        <v/>
      </c>
      <c r="AP432" s="174" t="str">
        <f>IF(NOTA[[#This Row],[CONCAT1]]="","",MATCH(NOTA[[#This Row],[CONCAT1]],[3]!db[NB NOTA_C],0)+1)</f>
        <v/>
      </c>
    </row>
    <row r="433" spans="1:42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80"/>
      <c r="F433" s="26"/>
      <c r="G433" s="26"/>
      <c r="H433" s="31"/>
      <c r="I433" s="82"/>
      <c r="J433" s="81"/>
      <c r="K433" s="26"/>
      <c r="L433" s="26"/>
      <c r="M433" s="83"/>
      <c r="N433" s="82"/>
      <c r="O433" s="26"/>
      <c r="P433" s="84"/>
      <c r="Q433" s="85"/>
      <c r="R433" s="39"/>
      <c r="S433" s="86"/>
      <c r="T433" s="86"/>
      <c r="U433" s="87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38" t="str">
        <f>IF(NOTA[[#This Row],[CONCAT4]]="","",_xlfn.IFNA(MATCH(NOTA[[#This Row],[CONCAT4]],[2]!RAW[CONCAT_H],0),FALSE))</f>
        <v/>
      </c>
      <c r="AP433" s="174" t="str">
        <f>IF(NOTA[[#This Row],[CONCAT1]]="","",MATCH(NOTA[[#This Row],[CONCAT1]],[3]!db[NB NOTA_C],0)+1)</f>
        <v/>
      </c>
    </row>
    <row r="434" spans="1:42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80"/>
      <c r="F434" s="26"/>
      <c r="G434" s="26"/>
      <c r="H434" s="31"/>
      <c r="I434" s="82"/>
      <c r="J434" s="81"/>
      <c r="K434" s="26"/>
      <c r="L434" s="26"/>
      <c r="M434" s="83"/>
      <c r="N434" s="82"/>
      <c r="O434" s="26"/>
      <c r="P434" s="84"/>
      <c r="Q434" s="85"/>
      <c r="R434" s="39"/>
      <c r="S434" s="86"/>
      <c r="T434" s="86"/>
      <c r="U434" s="87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38" t="str">
        <f>IF(NOTA[[#This Row],[CONCAT4]]="","",_xlfn.IFNA(MATCH(NOTA[[#This Row],[CONCAT4]],[2]!RAW[CONCAT_H],0),FALSE))</f>
        <v/>
      </c>
      <c r="AP434" s="174" t="str">
        <f>IF(NOTA[[#This Row],[CONCAT1]]="","",MATCH(NOTA[[#This Row],[CONCAT1]],[3]!db[NB NOTA_C],0)+1)</f>
        <v/>
      </c>
    </row>
    <row r="435" spans="1:42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80"/>
      <c r="F435" s="26"/>
      <c r="G435" s="26"/>
      <c r="H435" s="31"/>
      <c r="I435" s="26"/>
      <c r="J435" s="81"/>
      <c r="K435" s="26"/>
      <c r="L435" s="26"/>
      <c r="M435" s="83"/>
      <c r="N435" s="82"/>
      <c r="O435" s="26"/>
      <c r="P435" s="84"/>
      <c r="Q435" s="85"/>
      <c r="R435" s="39"/>
      <c r="S435" s="86"/>
      <c r="T435" s="86"/>
      <c r="U435" s="87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38" t="str">
        <f>IF(NOTA[[#This Row],[CONCAT4]]="","",_xlfn.IFNA(MATCH(NOTA[[#This Row],[CONCAT4]],[2]!RAW[CONCAT_H],0),FALSE))</f>
        <v/>
      </c>
      <c r="AP435" s="174" t="str">
        <f>IF(NOTA[[#This Row],[CONCAT1]]="","",MATCH(NOTA[[#This Row],[CONCAT1]],[3]!db[NB NOTA_C],0)+1)</f>
        <v/>
      </c>
    </row>
    <row r="436" spans="1:42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80"/>
      <c r="F436" s="26"/>
      <c r="G436" s="26"/>
      <c r="H436" s="31"/>
      <c r="I436" s="26"/>
      <c r="J436" s="51"/>
      <c r="K436" s="26"/>
      <c r="L436" s="26"/>
      <c r="M436" s="83"/>
      <c r="N436" s="82"/>
      <c r="O436" s="26"/>
      <c r="P436" s="84"/>
      <c r="Q436" s="85"/>
      <c r="R436" s="39"/>
      <c r="S436" s="86"/>
      <c r="T436" s="86"/>
      <c r="U436" s="87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38" t="str">
        <f>IF(NOTA[[#This Row],[CONCAT4]]="","",_xlfn.IFNA(MATCH(NOTA[[#This Row],[CONCAT4]],[2]!RAW[CONCAT_H],0),FALSE))</f>
        <v/>
      </c>
      <c r="AP436" s="174" t="str">
        <f>IF(NOTA[[#This Row],[CONCAT1]]="","",MATCH(NOTA[[#This Row],[CONCAT1]],[3]!db[NB NOTA_C],0)+1)</f>
        <v/>
      </c>
    </row>
    <row r="437" spans="1:42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80"/>
      <c r="F437" s="38"/>
      <c r="G437" s="38"/>
      <c r="H437" s="79"/>
      <c r="I437" s="82"/>
      <c r="J437" s="81"/>
      <c r="K437" s="26"/>
      <c r="L437" s="26"/>
      <c r="M437" s="83"/>
      <c r="N437" s="82"/>
      <c r="O437" s="26"/>
      <c r="P437" s="84"/>
      <c r="Q437" s="85"/>
      <c r="R437" s="39"/>
      <c r="S437" s="53"/>
      <c r="T437" s="86"/>
      <c r="U437" s="87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38" t="str">
        <f>IF(NOTA[[#This Row],[CONCAT4]]="","",_xlfn.IFNA(MATCH(NOTA[[#This Row],[CONCAT4]],[2]!RAW[CONCAT_H],0),FALSE))</f>
        <v/>
      </c>
      <c r="AP437" s="174" t="str">
        <f>IF(NOTA[[#This Row],[CONCAT1]]="","",MATCH(NOTA[[#This Row],[CONCAT1]],[3]!db[NB NOTA_C],0)+1)</f>
        <v/>
      </c>
    </row>
    <row r="438" spans="1:42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80"/>
      <c r="F438" s="26"/>
      <c r="G438" s="26"/>
      <c r="H438" s="31"/>
      <c r="I438" s="82"/>
      <c r="J438" s="81"/>
      <c r="K438" s="26"/>
      <c r="L438" s="26"/>
      <c r="M438" s="83"/>
      <c r="N438" s="82"/>
      <c r="O438" s="26"/>
      <c r="P438" s="84"/>
      <c r="Q438" s="85"/>
      <c r="R438" s="39"/>
      <c r="S438" s="86"/>
      <c r="T438" s="86"/>
      <c r="U438" s="87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38" t="str">
        <f>IF(NOTA[[#This Row],[CONCAT4]]="","",_xlfn.IFNA(MATCH(NOTA[[#This Row],[CONCAT4]],[2]!RAW[CONCAT_H],0),FALSE))</f>
        <v/>
      </c>
      <c r="AP438" s="174" t="str">
        <f>IF(NOTA[[#This Row],[CONCAT1]]="","",MATCH(NOTA[[#This Row],[CONCAT1]],[3]!db[NB NOTA_C],0)+1)</f>
        <v/>
      </c>
    </row>
    <row r="439" spans="1:42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80"/>
      <c r="F439" s="26"/>
      <c r="G439" s="26"/>
      <c r="H439" s="31"/>
      <c r="I439" s="26"/>
      <c r="J439" s="81"/>
      <c r="K439" s="26"/>
      <c r="L439" s="26"/>
      <c r="M439" s="83"/>
      <c r="N439" s="82"/>
      <c r="O439" s="26"/>
      <c r="P439" s="84"/>
      <c r="Q439" s="85"/>
      <c r="R439" s="39"/>
      <c r="S439" s="53"/>
      <c r="T439" s="86"/>
      <c r="U439" s="87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38" t="str">
        <f>IF(NOTA[[#This Row],[CONCAT4]]="","",_xlfn.IFNA(MATCH(NOTA[[#This Row],[CONCAT4]],[2]!RAW[CONCAT_H],0),FALSE))</f>
        <v/>
      </c>
      <c r="AP439" s="174" t="str">
        <f>IF(NOTA[[#This Row],[CONCAT1]]="","",MATCH(NOTA[[#This Row],[CONCAT1]],[3]!db[NB NOTA_C],0)+1)</f>
        <v/>
      </c>
    </row>
    <row r="440" spans="1:42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80"/>
      <c r="F440" s="26"/>
      <c r="G440" s="26"/>
      <c r="H440" s="31"/>
      <c r="I440" s="82"/>
      <c r="J440" s="81"/>
      <c r="K440" s="26"/>
      <c r="L440" s="26"/>
      <c r="M440" s="83"/>
      <c r="N440" s="82"/>
      <c r="O440" s="26"/>
      <c r="P440" s="84"/>
      <c r="Q440" s="85"/>
      <c r="R440" s="39"/>
      <c r="S440" s="86"/>
      <c r="T440" s="86"/>
      <c r="U440" s="87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38" t="str">
        <f>IF(NOTA[[#This Row],[CONCAT4]]="","",_xlfn.IFNA(MATCH(NOTA[[#This Row],[CONCAT4]],[2]!RAW[CONCAT_H],0),FALSE))</f>
        <v/>
      </c>
      <c r="AP440" s="174" t="str">
        <f>IF(NOTA[[#This Row],[CONCAT1]]="","",MATCH(NOTA[[#This Row],[CONCAT1]],[3]!db[NB NOTA_C],0)+1)</f>
        <v/>
      </c>
    </row>
    <row r="441" spans="1:42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83"/>
      <c r="N441" s="82"/>
      <c r="O441" s="26"/>
      <c r="P441" s="84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38" t="str">
        <f>IF(NOTA[[#This Row],[CONCAT4]]="","",_xlfn.IFNA(MATCH(NOTA[[#This Row],[CONCAT4]],[2]!RAW[CONCAT_H],0),FALSE))</f>
        <v/>
      </c>
      <c r="AP441" s="174" t="str">
        <f>IF(NOTA[[#This Row],[CONCAT1]]="","",MATCH(NOTA[[#This Row],[CONCAT1]],[3]!db[NB NOTA_C],0)+1)</f>
        <v/>
      </c>
    </row>
    <row r="442" spans="1:42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83"/>
      <c r="N442" s="82"/>
      <c r="O442" s="26"/>
      <c r="P442" s="84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49" t="str">
        <f ca="1">IF(NOTA[[#This Row],[NAMA BARANG]]="","",INDEX(NOTA[SUPPLIER],MATCH(,INDIRECT(ADDRESS(ROW(NOTA[ID]),COLUMN(NOTA[ID]))&amp;":"&amp;ADDRESS(ROW(),COLUMN(NOTA[ID]))),-1)))</f>
        <v/>
      </c>
      <c r="AH442" s="49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38" t="str">
        <f>IF(NOTA[[#This Row],[CONCAT4]]="","",_xlfn.IFNA(MATCH(NOTA[[#This Row],[CONCAT4]],[2]!RAW[CONCAT_H],0),FALSE))</f>
        <v/>
      </c>
      <c r="AP442" s="174" t="str">
        <f>IF(NOTA[[#This Row],[CONCAT1]]="","",MATCH(NOTA[[#This Row],[CONCAT1]],[3]!db[NB NOTA_C],0)+1)</f>
        <v/>
      </c>
    </row>
    <row r="443" spans="1:42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83"/>
      <c r="N443" s="82"/>
      <c r="O443" s="26"/>
      <c r="P443" s="84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49" t="str">
        <f ca="1">IF(NOTA[[#This Row],[NAMA BARANG]]="","",INDEX(NOTA[SUPPLIER],MATCH(,INDIRECT(ADDRESS(ROW(NOTA[ID]),COLUMN(NOTA[ID]))&amp;":"&amp;ADDRESS(ROW(),COLUMN(NOTA[ID]))),-1)))</f>
        <v/>
      </c>
      <c r="AH443" s="49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38" t="str">
        <f>IF(NOTA[[#This Row],[CONCAT4]]="","",_xlfn.IFNA(MATCH(NOTA[[#This Row],[CONCAT4]],[2]!RAW[CONCAT_H],0),FALSE))</f>
        <v/>
      </c>
      <c r="AP443" s="174" t="str">
        <f>IF(NOTA[[#This Row],[CONCAT1]]="","",MATCH(NOTA[[#This Row],[CONCAT1]],[3]!db[NB NOTA_C],0)+1)</f>
        <v/>
      </c>
    </row>
    <row r="444" spans="1:42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51"/>
      <c r="L444" s="26"/>
      <c r="M444" s="83"/>
      <c r="N444" s="82"/>
      <c r="O444" s="26"/>
      <c r="P444" s="84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49" t="str">
        <f ca="1">IF(NOTA[[#This Row],[NAMA BARANG]]="","",INDEX(NOTA[SUPPLIER],MATCH(,INDIRECT(ADDRESS(ROW(NOTA[ID]),COLUMN(NOTA[ID]))&amp;":"&amp;ADDRESS(ROW(),COLUMN(NOTA[ID]))),-1)))</f>
        <v/>
      </c>
      <c r="AH444" s="49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38" t="str">
        <f>IF(NOTA[[#This Row],[CONCAT4]]="","",_xlfn.IFNA(MATCH(NOTA[[#This Row],[CONCAT4]],[2]!RAW[CONCAT_H],0),FALSE))</f>
        <v/>
      </c>
      <c r="AP444" s="174" t="str">
        <f>IF(NOTA[[#This Row],[CONCAT1]]="","",MATCH(NOTA[[#This Row],[CONCAT1]],[3]!db[NB NOTA_C],0)+1)</f>
        <v/>
      </c>
    </row>
    <row r="445" spans="1:42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49" t="str">
        <f ca="1">IF(NOTA[[#This Row],[NAMA BARANG]]="","",INDEX(NOTA[SUPPLIER],MATCH(,INDIRECT(ADDRESS(ROW(NOTA[ID]),COLUMN(NOTA[ID]))&amp;":"&amp;ADDRESS(ROW(),COLUMN(NOTA[ID]))),-1)))</f>
        <v/>
      </c>
      <c r="AH445" s="49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38" t="str">
        <f>IF(NOTA[[#This Row],[CONCAT4]]="","",_xlfn.IFNA(MATCH(NOTA[[#This Row],[CONCAT4]],[2]!RAW[CONCAT_H],0),FALSE))</f>
        <v/>
      </c>
      <c r="AP445" s="174" t="str">
        <f>IF(NOTA[[#This Row],[CONCAT1]]="","",MATCH(NOTA[[#This Row],[CONCAT1]],[3]!db[NB NOTA_C],0)+1)</f>
        <v/>
      </c>
    </row>
    <row r="446" spans="1:42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49" t="str">
        <f ca="1">IF(NOTA[[#This Row],[NAMA BARANG]]="","",INDEX(NOTA[SUPPLIER],MATCH(,INDIRECT(ADDRESS(ROW(NOTA[ID]),COLUMN(NOTA[ID]))&amp;":"&amp;ADDRESS(ROW(),COLUMN(NOTA[ID]))),-1)))</f>
        <v/>
      </c>
      <c r="AH446" s="49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38" t="str">
        <f>IF(NOTA[[#This Row],[CONCAT4]]="","",_xlfn.IFNA(MATCH(NOTA[[#This Row],[CONCAT4]],[2]!RAW[CONCAT_H],0),FALSE))</f>
        <v/>
      </c>
      <c r="AP446" s="174" t="str">
        <f>IF(NOTA[[#This Row],[CONCAT1]]="","",MATCH(NOTA[[#This Row],[CONCAT1]],[3]!db[NB NOTA_C],0)+1)</f>
        <v/>
      </c>
    </row>
    <row r="447" spans="1:42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49" t="str">
        <f ca="1">IF(NOTA[[#This Row],[NAMA BARANG]]="","",INDEX(NOTA[SUPPLIER],MATCH(,INDIRECT(ADDRESS(ROW(NOTA[ID]),COLUMN(NOTA[ID]))&amp;":"&amp;ADDRESS(ROW(),COLUMN(NOTA[ID]))),-1)))</f>
        <v/>
      </c>
      <c r="AH447" s="49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38" t="str">
        <f>IF(NOTA[[#This Row],[CONCAT4]]="","",_xlfn.IFNA(MATCH(NOTA[[#This Row],[CONCAT4]],[2]!RAW[CONCAT_H],0),FALSE))</f>
        <v/>
      </c>
      <c r="AP447" s="174" t="str">
        <f>IF(NOTA[[#This Row],[CONCAT1]]="","",MATCH(NOTA[[#This Row],[CONCAT1]],[3]!db[NB NOTA_C],0)+1)</f>
        <v/>
      </c>
    </row>
    <row r="448" spans="1:42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49" t="str">
        <f ca="1">IF(NOTA[[#This Row],[NAMA BARANG]]="","",INDEX(NOTA[SUPPLIER],MATCH(,INDIRECT(ADDRESS(ROW(NOTA[ID]),COLUMN(NOTA[ID]))&amp;":"&amp;ADDRESS(ROW(),COLUMN(NOTA[ID]))),-1)))</f>
        <v/>
      </c>
      <c r="AH448" s="49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38" t="str">
        <f>IF(NOTA[[#This Row],[CONCAT4]]="","",_xlfn.IFNA(MATCH(NOTA[[#This Row],[CONCAT4]],[2]!RAW[CONCAT_H],0),FALSE))</f>
        <v/>
      </c>
      <c r="AP448" s="174" t="str">
        <f>IF(NOTA[[#This Row],[CONCAT1]]="","",MATCH(NOTA[[#This Row],[CONCAT1]],[3]!db[NB NOTA_C],0)+1)</f>
        <v/>
      </c>
    </row>
    <row r="449" spans="1:42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49" t="str">
        <f ca="1">IF(NOTA[[#This Row],[NAMA BARANG]]="","",INDEX(NOTA[SUPPLIER],MATCH(,INDIRECT(ADDRESS(ROW(NOTA[ID]),COLUMN(NOTA[ID]))&amp;":"&amp;ADDRESS(ROW(),COLUMN(NOTA[ID]))),-1)))</f>
        <v/>
      </c>
      <c r="AH449" s="49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38" t="str">
        <f>IF(NOTA[[#This Row],[CONCAT4]]="","",_xlfn.IFNA(MATCH(NOTA[[#This Row],[CONCAT4]],[2]!RAW[CONCAT_H],0),FALSE))</f>
        <v/>
      </c>
      <c r="AP449" s="174" t="str">
        <f>IF(NOTA[[#This Row],[CONCAT1]]="","",MATCH(NOTA[[#This Row],[CONCAT1]],[3]!db[NB NOTA_C],0)+1)</f>
        <v/>
      </c>
    </row>
    <row r="450" spans="1:42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49" t="str">
        <f ca="1">IF(NOTA[[#This Row],[NAMA BARANG]]="","",INDEX(NOTA[SUPPLIER],MATCH(,INDIRECT(ADDRESS(ROW(NOTA[ID]),COLUMN(NOTA[ID]))&amp;":"&amp;ADDRESS(ROW(),COLUMN(NOTA[ID]))),-1)))</f>
        <v/>
      </c>
      <c r="AH450" s="49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38" t="str">
        <f>IF(NOTA[[#This Row],[CONCAT4]]="","",_xlfn.IFNA(MATCH(NOTA[[#This Row],[CONCAT4]],[2]!RAW[CONCAT_H],0),FALSE))</f>
        <v/>
      </c>
      <c r="AP450" s="174" t="str">
        <f>IF(NOTA[[#This Row],[CONCAT1]]="","",MATCH(NOTA[[#This Row],[CONCAT1]],[3]!db[NB NOTA_C],0)+1)</f>
        <v/>
      </c>
    </row>
    <row r="451" spans="1:42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49" t="str">
        <f ca="1">IF(NOTA[[#This Row],[NAMA BARANG]]="","",INDEX(NOTA[SUPPLIER],MATCH(,INDIRECT(ADDRESS(ROW(NOTA[ID]),COLUMN(NOTA[ID]))&amp;":"&amp;ADDRESS(ROW(),COLUMN(NOTA[ID]))),-1)))</f>
        <v/>
      </c>
      <c r="AH451" s="49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38" t="str">
        <f>IF(NOTA[[#This Row],[CONCAT4]]="","",_xlfn.IFNA(MATCH(NOTA[[#This Row],[CONCAT4]],[2]!RAW[CONCAT_H],0),FALSE))</f>
        <v/>
      </c>
      <c r="AP451" s="174" t="str">
        <f>IF(NOTA[[#This Row],[CONCAT1]]="","",MATCH(NOTA[[#This Row],[CONCAT1]],[3]!db[NB NOTA_C],0)+1)</f>
        <v/>
      </c>
    </row>
    <row r="452" spans="1:42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49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38" t="str">
        <f>IF(NOTA[[#This Row],[CONCAT4]]="","",_xlfn.IFNA(MATCH(NOTA[[#This Row],[CONCAT4]],[2]!RAW[CONCAT_H],0),FALSE))</f>
        <v/>
      </c>
      <c r="AP452" s="174" t="str">
        <f>IF(NOTA[[#This Row],[CONCAT1]]="","",MATCH(NOTA[[#This Row],[CONCAT1]],[3]!db[NB NOTA_C],0)+1)</f>
        <v/>
      </c>
    </row>
    <row r="453" spans="1:42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49" t="str">
        <f ca="1">IF(NOTA[[#This Row],[NAMA BARANG]]="","",INDEX(NOTA[SUPPLIER],MATCH(,INDIRECT(ADDRESS(ROW(NOTA[ID]),COLUMN(NOTA[ID]))&amp;":"&amp;ADDRESS(ROW(),COLUMN(NOTA[ID]))),-1)))</f>
        <v/>
      </c>
      <c r="AH453" s="49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38" t="str">
        <f>IF(NOTA[[#This Row],[CONCAT4]]="","",_xlfn.IFNA(MATCH(NOTA[[#This Row],[CONCAT4]],[2]!RAW[CONCAT_H],0),FALSE))</f>
        <v/>
      </c>
      <c r="AP453" s="174" t="str">
        <f>IF(NOTA[[#This Row],[CONCAT1]]="","",MATCH(NOTA[[#This Row],[CONCAT1]],[3]!db[NB NOTA_C],0)+1)</f>
        <v/>
      </c>
    </row>
    <row r="454" spans="1:42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172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49" t="str">
        <f ca="1">IF(NOTA[[#This Row],[NAMA BARANG]]="","",INDEX(NOTA[SUPPLIER],MATCH(,INDIRECT(ADDRESS(ROW(NOTA[ID]),COLUMN(NOTA[ID]))&amp;":"&amp;ADDRESS(ROW(),COLUMN(NOTA[ID]))),-1)))</f>
        <v/>
      </c>
      <c r="AH454" s="49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38" t="str">
        <f>IF(NOTA[[#This Row],[CONCAT4]]="","",_xlfn.IFNA(MATCH(NOTA[[#This Row],[CONCAT4]],[2]!RAW[CONCAT_H],0),FALSE))</f>
        <v/>
      </c>
      <c r="AP454" s="174" t="str">
        <f>IF(NOTA[[#This Row],[CONCAT1]]="","",MATCH(NOTA[[#This Row],[CONCAT1]],[3]!db[NB NOTA_C],0)+1)</f>
        <v/>
      </c>
    </row>
    <row r="455" spans="1:42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23"/>
      <c r="F455" s="26"/>
      <c r="G455" s="26"/>
      <c r="H455" s="31"/>
      <c r="I455" s="26"/>
      <c r="J455" s="51"/>
      <c r="K455" s="26"/>
      <c r="L455" s="26"/>
      <c r="M455" s="39"/>
      <c r="N455" s="26"/>
      <c r="O455" s="26"/>
      <c r="P455" s="49"/>
      <c r="Q455" s="52"/>
      <c r="R455" s="39"/>
      <c r="S455" s="53"/>
      <c r="T455" s="53"/>
      <c r="U455" s="54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49" t="str">
        <f ca="1">IF(NOTA[[#This Row],[NAMA BARANG]]="","",INDEX(NOTA[SUPPLIER],MATCH(,INDIRECT(ADDRESS(ROW(NOTA[ID]),COLUMN(NOTA[ID]))&amp;":"&amp;ADDRESS(ROW(),COLUMN(NOTA[ID]))),-1)))</f>
        <v/>
      </c>
      <c r="AH455" s="49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38" t="str">
        <f>IF(NOTA[[#This Row],[CONCAT4]]="","",_xlfn.IFNA(MATCH(NOTA[[#This Row],[CONCAT4]],[2]!RAW[CONCAT_H],0),FALSE))</f>
        <v/>
      </c>
      <c r="AP455" s="174" t="str">
        <f>IF(NOTA[[#This Row],[CONCAT1]]="","",MATCH(NOTA[[#This Row],[CONCAT1]],[3]!db[NB NOTA_C],0)+1)</f>
        <v/>
      </c>
    </row>
    <row r="456" spans="1:42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23"/>
      <c r="F456" s="26"/>
      <c r="G456" s="26"/>
      <c r="H456" s="31"/>
      <c r="I456" s="26"/>
      <c r="J456" s="51"/>
      <c r="K456" s="26"/>
      <c r="L456" s="26"/>
      <c r="M456" s="39"/>
      <c r="N456" s="26"/>
      <c r="O456" s="26"/>
      <c r="P456" s="49"/>
      <c r="Q456" s="52"/>
      <c r="R456" s="39"/>
      <c r="S456" s="53"/>
      <c r="T456" s="53"/>
      <c r="U456" s="54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49" t="str">
        <f ca="1">IF(NOTA[[#This Row],[NAMA BARANG]]="","",INDEX(NOTA[SUPPLIER],MATCH(,INDIRECT(ADDRESS(ROW(NOTA[ID]),COLUMN(NOTA[ID]))&amp;":"&amp;ADDRESS(ROW(),COLUMN(NOTA[ID]))),-1)))</f>
        <v/>
      </c>
      <c r="AH456" s="49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38" t="str">
        <f>IF(NOTA[[#This Row],[CONCAT4]]="","",_xlfn.IFNA(MATCH(NOTA[[#This Row],[CONCAT4]],[2]!RAW[CONCAT_H],0),FALSE))</f>
        <v/>
      </c>
      <c r="AP456" s="174" t="str">
        <f>IF(NOTA[[#This Row],[CONCAT1]]="","",MATCH(NOTA[[#This Row],[CONCAT1]],[3]!db[NB NOTA_C],0)+1)</f>
        <v/>
      </c>
    </row>
    <row r="457" spans="1:42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172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38" t="str">
        <f>IF(NOTA[[#This Row],[CONCAT4]]="","",_xlfn.IFNA(MATCH(NOTA[[#This Row],[CONCAT4]],[2]!RAW[CONCAT_H],0),FALSE))</f>
        <v/>
      </c>
      <c r="AP457" s="174" t="str">
        <f>IF(NOTA[[#This Row],[CONCAT1]]="","",MATCH(NOTA[[#This Row],[CONCAT1]],[3]!db[NB NOTA_C],0)+1)</f>
        <v/>
      </c>
    </row>
    <row r="458" spans="1:42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23"/>
      <c r="F458" s="26"/>
      <c r="G458" s="26"/>
      <c r="H458" s="31"/>
      <c r="I458" s="26"/>
      <c r="J458" s="51"/>
      <c r="K458" s="26"/>
      <c r="L458" s="172"/>
      <c r="M458" s="39"/>
      <c r="N458" s="26"/>
      <c r="O458" s="26"/>
      <c r="P458" s="49"/>
      <c r="Q458" s="52"/>
      <c r="R458" s="39"/>
      <c r="S458" s="53"/>
      <c r="T458" s="53"/>
      <c r="U458" s="54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49" t="str">
        <f ca="1">IF(NOTA[[#This Row],[NAMA BARANG]]="","",INDEX(NOTA[SUPPLIER],MATCH(,INDIRECT(ADDRESS(ROW(NOTA[ID]),COLUMN(NOTA[ID]))&amp;":"&amp;ADDRESS(ROW(),COLUMN(NOTA[ID]))),-1)))</f>
        <v/>
      </c>
      <c r="AH458" s="49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38" t="str">
        <f>IF(NOTA[[#This Row],[CONCAT4]]="","",_xlfn.IFNA(MATCH(NOTA[[#This Row],[CONCAT4]],[2]!RAW[CONCAT_H],0),FALSE))</f>
        <v/>
      </c>
      <c r="AP458" s="174" t="str">
        <f>IF(NOTA[[#This Row],[CONCAT1]]="","",MATCH(NOTA[[#This Row],[CONCAT1]],[3]!db[NB NOTA_C],0)+1)</f>
        <v/>
      </c>
    </row>
    <row r="459" spans="1:42" ht="20.100000000000001" customHeight="1" x14ac:dyDescent="0.25">
      <c r="A45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93" t="str">
        <f>IF(NOTA[[#This Row],[ID_P]]="","",MATCH(NOTA[[#This Row],[ID_P]],[1]!B_MSK[N_ID],0))</f>
        <v/>
      </c>
      <c r="D459" s="93" t="str">
        <f ca="1">IF(NOTA[[#This Row],[NAMA BARANG]]="","",INDEX(NOTA[ID],MATCH(,INDIRECT(ADDRESS(ROW(NOTA[ID]),COLUMN(NOTA[ID]))&amp;":"&amp;ADDRESS(ROW(),COLUMN(NOTA[ID]))),-1)))</f>
        <v/>
      </c>
      <c r="E459" s="80"/>
      <c r="F459" s="26"/>
      <c r="G459" s="26"/>
      <c r="H459" s="31"/>
      <c r="I459" s="26"/>
      <c r="J459" s="81"/>
      <c r="K459" s="82"/>
      <c r="L459" s="26"/>
      <c r="M459" s="83"/>
      <c r="N459" s="82"/>
      <c r="O459" s="26"/>
      <c r="P459" s="84"/>
      <c r="Q459" s="85"/>
      <c r="R459" s="39"/>
      <c r="S459" s="53"/>
      <c r="T459" s="53"/>
      <c r="U459" s="87"/>
      <c r="V459" s="37"/>
      <c r="W459" s="87" t="str">
        <f>IF(NOTA[[#This Row],[HARGA/ CTN]]="",NOTA[[#This Row],[JUMLAH_H]],NOTA[[#This Row],[HARGA/ CTN]]*IF(NOTA[[#This Row],[C]]="",0,NOTA[[#This Row],[C]]))</f>
        <v/>
      </c>
      <c r="X459" s="87" t="str">
        <f>IF(NOTA[[#This Row],[JUMLAH]]="","",NOTA[[#This Row],[JUMLAH]]*NOTA[[#This Row],[DISC 1]])</f>
        <v/>
      </c>
      <c r="Y459" s="87" t="str">
        <f>IF(NOTA[[#This Row],[JUMLAH]]="","",(NOTA[[#This Row],[JUMLAH]]-NOTA[[#This Row],[DISC 1-]])*NOTA[[#This Row],[DISC 2]])</f>
        <v/>
      </c>
      <c r="Z459" s="87" t="str">
        <f>IF(NOTA[[#This Row],[JUMLAH]]="","",NOTA[[#This Row],[DISC 1-]]+NOTA[[#This Row],[DISC 2-]])</f>
        <v/>
      </c>
      <c r="AA459" s="87" t="str">
        <f>IF(NOTA[[#This Row],[JUMLAH]]="","",NOTA[[#This Row],[JUMLAH]]-NOTA[[#This Row],[DISC]])</f>
        <v/>
      </c>
      <c r="AB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87" t="str">
        <f>IF(OR(NOTA[[#This Row],[QTY]]="",NOTA[[#This Row],[HARGA SATUAN]]="",),"",NOTA[[#This Row],[QTY]]*NOTA[[#This Row],[HARGA SATUAN]])</f>
        <v/>
      </c>
      <c r="AF459" s="81" t="str">
        <f ca="1">IF(NOTA[ID_H]="","",INDEX(NOTA[TANGGAL],MATCH(,INDIRECT(ADDRESS(ROW(NOTA[TANGGAL]),COLUMN(NOTA[TANGGAL]))&amp;":"&amp;ADDRESS(ROW(),COLUMN(NOTA[TANGGAL]))),-1)))</f>
        <v/>
      </c>
      <c r="AG459" s="84" t="str">
        <f ca="1">IF(NOTA[[#This Row],[NAMA BARANG]]="","",INDEX(NOTA[SUPPLIER],MATCH(,INDIRECT(ADDRESS(ROW(NOTA[ID]),COLUMN(NOTA[ID]))&amp;":"&amp;ADDRESS(ROW(),COLUMN(NOTA[ID]))),-1)))</f>
        <v/>
      </c>
      <c r="AH459" s="84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38" t="str">
        <f>IF(NOTA[[#This Row],[CONCAT4]]="","",_xlfn.IFNA(MATCH(NOTA[[#This Row],[CONCAT4]],[2]!RAW[CONCAT_H],0),FALSE))</f>
        <v/>
      </c>
      <c r="AP459" s="174" t="str">
        <f>IF(NOTA[[#This Row],[CONCAT1]]="","",MATCH(NOTA[[#This Row],[CONCAT1]],[3]!db[NB NOTA_C],0)+1)</f>
        <v/>
      </c>
    </row>
    <row r="460" spans="1:42" ht="20.100000000000001" customHeight="1" x14ac:dyDescent="0.25">
      <c r="A46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93" t="str">
        <f>IF(NOTA[[#This Row],[ID_P]]="","",MATCH(NOTA[[#This Row],[ID_P]],[1]!B_MSK[N_ID],0))</f>
        <v/>
      </c>
      <c r="D460" s="93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82"/>
      <c r="J460" s="81"/>
      <c r="K460" s="82"/>
      <c r="L460" s="26"/>
      <c r="M460" s="83"/>
      <c r="N460" s="82"/>
      <c r="O460" s="26"/>
      <c r="P460" s="84"/>
      <c r="Q460" s="85"/>
      <c r="R460" s="39"/>
      <c r="S460" s="53"/>
      <c r="T460" s="53"/>
      <c r="U460" s="87"/>
      <c r="V460" s="37"/>
      <c r="W460" s="87" t="str">
        <f>IF(NOTA[[#This Row],[HARGA/ CTN]]="",NOTA[[#This Row],[JUMLAH_H]],NOTA[[#This Row],[HARGA/ CTN]]*IF(NOTA[[#This Row],[C]]="",0,NOTA[[#This Row],[C]]))</f>
        <v/>
      </c>
      <c r="X460" s="87" t="str">
        <f>IF(NOTA[[#This Row],[JUMLAH]]="","",NOTA[[#This Row],[JUMLAH]]*NOTA[[#This Row],[DISC 1]])</f>
        <v/>
      </c>
      <c r="Y460" s="87" t="str">
        <f>IF(NOTA[[#This Row],[JUMLAH]]="","",(NOTA[[#This Row],[JUMLAH]]-NOTA[[#This Row],[DISC 1-]])*NOTA[[#This Row],[DISC 2]])</f>
        <v/>
      </c>
      <c r="Z460" s="87" t="str">
        <f>IF(NOTA[[#This Row],[JUMLAH]]="","",NOTA[[#This Row],[DISC 1-]]+NOTA[[#This Row],[DISC 2-]])</f>
        <v/>
      </c>
      <c r="AA460" s="87" t="str">
        <f>IF(NOTA[[#This Row],[JUMLAH]]="","",NOTA[[#This Row],[JUMLAH]]-NOTA[[#This Row],[DISC]])</f>
        <v/>
      </c>
      <c r="AB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87" t="str">
        <f>IF(OR(NOTA[[#This Row],[QTY]]="",NOTA[[#This Row],[HARGA SATUAN]]="",),"",NOTA[[#This Row],[QTY]]*NOTA[[#This Row],[HARGA SATUAN]])</f>
        <v/>
      </c>
      <c r="AF460" s="81" t="str">
        <f ca="1">IF(NOTA[ID_H]="","",INDEX(NOTA[TANGGAL],MATCH(,INDIRECT(ADDRESS(ROW(NOTA[TANGGAL]),COLUMN(NOTA[TANGGAL]))&amp;":"&amp;ADDRESS(ROW(),COLUMN(NOTA[TANGGAL]))),-1)))</f>
        <v/>
      </c>
      <c r="AG460" s="84" t="str">
        <f ca="1">IF(NOTA[[#This Row],[NAMA BARANG]]="","",INDEX(NOTA[SUPPLIER],MATCH(,INDIRECT(ADDRESS(ROW(NOTA[ID]),COLUMN(NOTA[ID]))&amp;":"&amp;ADDRESS(ROW(),COLUMN(NOTA[ID]))),-1)))</f>
        <v/>
      </c>
      <c r="AH460" s="84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38" t="str">
        <f>IF(NOTA[[#This Row],[CONCAT4]]="","",_xlfn.IFNA(MATCH(NOTA[[#This Row],[CONCAT4]],[2]!RAW[CONCAT_H],0),FALSE))</f>
        <v/>
      </c>
      <c r="AP460" s="174" t="str">
        <f>IF(NOTA[[#This Row],[CONCAT1]]="","",MATCH(NOTA[[#This Row],[CONCAT1]],[3]!db[NB NOTA_C],0)+1)</f>
        <v/>
      </c>
    </row>
    <row r="461" spans="1:42" ht="20.100000000000001" customHeight="1" x14ac:dyDescent="0.25">
      <c r="A46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93" t="str">
        <f>IF(NOTA[[#This Row],[ID_P]]="","",MATCH(NOTA[[#This Row],[ID_P]],[1]!B_MSK[N_ID],0))</f>
        <v/>
      </c>
      <c r="D461" s="93" t="str">
        <f ca="1">IF(NOTA[[#This Row],[NAMA BARANG]]="","",INDEX(NOTA[ID],MATCH(,INDIRECT(ADDRESS(ROW(NOTA[ID]),COLUMN(NOTA[ID]))&amp;":"&amp;ADDRESS(ROW(),COLUMN(NOTA[ID]))),-1)))</f>
        <v/>
      </c>
      <c r="E461" s="80"/>
      <c r="F461" s="82"/>
      <c r="G461" s="82"/>
      <c r="H461" s="88"/>
      <c r="I461" s="82"/>
      <c r="J461" s="81"/>
      <c r="K461" s="82"/>
      <c r="L461" s="172"/>
      <c r="M461" s="83"/>
      <c r="N461" s="82"/>
      <c r="O461" s="26"/>
      <c r="P461" s="84"/>
      <c r="Q461" s="85"/>
      <c r="R461" s="39"/>
      <c r="S461" s="53"/>
      <c r="T461" s="53"/>
      <c r="U461" s="87"/>
      <c r="V461" s="37"/>
      <c r="W461" s="87" t="str">
        <f>IF(NOTA[[#This Row],[HARGA/ CTN]]="",NOTA[[#This Row],[JUMLAH_H]],NOTA[[#This Row],[HARGA/ CTN]]*IF(NOTA[[#This Row],[C]]="",0,NOTA[[#This Row],[C]]))</f>
        <v/>
      </c>
      <c r="X461" s="87" t="str">
        <f>IF(NOTA[[#This Row],[JUMLAH]]="","",NOTA[[#This Row],[JUMLAH]]*NOTA[[#This Row],[DISC 1]])</f>
        <v/>
      </c>
      <c r="Y461" s="87" t="str">
        <f>IF(NOTA[[#This Row],[JUMLAH]]="","",(NOTA[[#This Row],[JUMLAH]]-NOTA[[#This Row],[DISC 1-]])*NOTA[[#This Row],[DISC 2]])</f>
        <v/>
      </c>
      <c r="Z461" s="87" t="str">
        <f>IF(NOTA[[#This Row],[JUMLAH]]="","",NOTA[[#This Row],[DISC 1-]]+NOTA[[#This Row],[DISC 2-]])</f>
        <v/>
      </c>
      <c r="AA461" s="87" t="str">
        <f>IF(NOTA[[#This Row],[JUMLAH]]="","",NOTA[[#This Row],[JUMLAH]]-NOTA[[#This Row],[DISC]])</f>
        <v/>
      </c>
      <c r="AB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87" t="str">
        <f>IF(OR(NOTA[[#This Row],[QTY]]="",NOTA[[#This Row],[HARGA SATUAN]]="",),"",NOTA[[#This Row],[QTY]]*NOTA[[#This Row],[HARGA SATUAN]])</f>
        <v/>
      </c>
      <c r="AF461" s="81" t="str">
        <f ca="1">IF(NOTA[ID_H]="","",INDEX(NOTA[TANGGAL],MATCH(,INDIRECT(ADDRESS(ROW(NOTA[TANGGAL]),COLUMN(NOTA[TANGGAL]))&amp;":"&amp;ADDRESS(ROW(),COLUMN(NOTA[TANGGAL]))),-1)))</f>
        <v/>
      </c>
      <c r="AG461" s="84" t="str">
        <f ca="1">IF(NOTA[[#This Row],[NAMA BARANG]]="","",INDEX(NOTA[SUPPLIER],MATCH(,INDIRECT(ADDRESS(ROW(NOTA[ID]),COLUMN(NOTA[ID]))&amp;":"&amp;ADDRESS(ROW(),COLUMN(NOTA[ID]))),-1)))</f>
        <v/>
      </c>
      <c r="AH461" s="84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38" t="str">
        <f>IF(NOTA[[#This Row],[CONCAT4]]="","",_xlfn.IFNA(MATCH(NOTA[[#This Row],[CONCAT4]],[2]!RAW[CONCAT_H],0),FALSE))</f>
        <v/>
      </c>
      <c r="AP461" s="174" t="str">
        <f>IF(NOTA[[#This Row],[CONCAT1]]="","",MATCH(NOTA[[#This Row],[CONCAT1]],[3]!db[NB NOTA_C],0)+1)</f>
        <v/>
      </c>
    </row>
    <row r="462" spans="1:42" ht="20.100000000000001" customHeight="1" x14ac:dyDescent="0.25">
      <c r="A46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93" t="str">
        <f>IF(NOTA[[#This Row],[ID_P]]="","",MATCH(NOTA[[#This Row],[ID_P]],[1]!B_MSK[N_ID],0))</f>
        <v/>
      </c>
      <c r="D462" s="93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82"/>
      <c r="J462" s="81"/>
      <c r="K462" s="82"/>
      <c r="L462" s="26"/>
      <c r="M462" s="83"/>
      <c r="N462" s="82"/>
      <c r="O462" s="26"/>
      <c r="P462" s="84"/>
      <c r="Q462" s="85"/>
      <c r="R462" s="39"/>
      <c r="S462" s="53"/>
      <c r="T462" s="53"/>
      <c r="U462" s="87"/>
      <c r="V462" s="37"/>
      <c r="W462" s="87" t="str">
        <f>IF(NOTA[[#This Row],[HARGA/ CTN]]="",NOTA[[#This Row],[JUMLAH_H]],NOTA[[#This Row],[HARGA/ CTN]]*IF(NOTA[[#This Row],[C]]="",0,NOTA[[#This Row],[C]]))</f>
        <v/>
      </c>
      <c r="X462" s="87" t="str">
        <f>IF(NOTA[[#This Row],[JUMLAH]]="","",NOTA[[#This Row],[JUMLAH]]*NOTA[[#This Row],[DISC 1]])</f>
        <v/>
      </c>
      <c r="Y462" s="87" t="str">
        <f>IF(NOTA[[#This Row],[JUMLAH]]="","",(NOTA[[#This Row],[JUMLAH]]-NOTA[[#This Row],[DISC 1-]])*NOTA[[#This Row],[DISC 2]])</f>
        <v/>
      </c>
      <c r="Z462" s="87" t="str">
        <f>IF(NOTA[[#This Row],[JUMLAH]]="","",NOTA[[#This Row],[DISC 1-]]+NOTA[[#This Row],[DISC 2-]])</f>
        <v/>
      </c>
      <c r="AA462" s="87" t="str">
        <f>IF(NOTA[[#This Row],[JUMLAH]]="","",NOTA[[#This Row],[JUMLAH]]-NOTA[[#This Row],[DISC]])</f>
        <v/>
      </c>
      <c r="AB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87" t="str">
        <f>IF(OR(NOTA[[#This Row],[QTY]]="",NOTA[[#This Row],[HARGA SATUAN]]="",),"",NOTA[[#This Row],[QTY]]*NOTA[[#This Row],[HARGA SATUAN]])</f>
        <v/>
      </c>
      <c r="AF462" s="81" t="str">
        <f ca="1">IF(NOTA[ID_H]="","",INDEX(NOTA[TANGGAL],MATCH(,INDIRECT(ADDRESS(ROW(NOTA[TANGGAL]),COLUMN(NOTA[TANGGAL]))&amp;":"&amp;ADDRESS(ROW(),COLUMN(NOTA[TANGGAL]))),-1)))</f>
        <v/>
      </c>
      <c r="AG462" s="84" t="str">
        <f ca="1">IF(NOTA[[#This Row],[NAMA BARANG]]="","",INDEX(NOTA[SUPPLIER],MATCH(,INDIRECT(ADDRESS(ROW(NOTA[ID]),COLUMN(NOTA[ID]))&amp;":"&amp;ADDRESS(ROW(),COLUMN(NOTA[ID]))),-1)))</f>
        <v/>
      </c>
      <c r="AH462" s="84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38" t="str">
        <f>IF(NOTA[[#This Row],[CONCAT4]]="","",_xlfn.IFNA(MATCH(NOTA[[#This Row],[CONCAT4]],[2]!RAW[CONCAT_H],0),FALSE))</f>
        <v/>
      </c>
      <c r="AP462" s="174" t="str">
        <f>IF(NOTA[[#This Row],[CONCAT1]]="","",MATCH(NOTA[[#This Row],[CONCAT1]],[3]!db[NB NOTA_C],0)+1)</f>
        <v/>
      </c>
    </row>
    <row r="463" spans="1:42" ht="20.100000000000001" customHeight="1" x14ac:dyDescent="0.25">
      <c r="A46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93" t="str">
        <f>IF(NOTA[[#This Row],[ID_P]]="","",MATCH(NOTA[[#This Row],[ID_P]],[1]!B_MSK[N_ID],0))</f>
        <v/>
      </c>
      <c r="D463" s="93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82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87" t="str">
        <f>IF(NOTA[[#This Row],[HARGA/ CTN]]="",NOTA[[#This Row],[JUMLAH_H]],NOTA[[#This Row],[HARGA/ CTN]]*IF(NOTA[[#This Row],[C]]="",0,NOTA[[#This Row],[C]]))</f>
        <v/>
      </c>
      <c r="X463" s="87" t="str">
        <f>IF(NOTA[[#This Row],[JUMLAH]]="","",NOTA[[#This Row],[JUMLAH]]*NOTA[[#This Row],[DISC 1]])</f>
        <v/>
      </c>
      <c r="Y463" s="87" t="str">
        <f>IF(NOTA[[#This Row],[JUMLAH]]="","",(NOTA[[#This Row],[JUMLAH]]-NOTA[[#This Row],[DISC 1-]])*NOTA[[#This Row],[DISC 2]])</f>
        <v/>
      </c>
      <c r="Z463" s="87" t="str">
        <f>IF(NOTA[[#This Row],[JUMLAH]]="","",NOTA[[#This Row],[DISC 1-]]+NOTA[[#This Row],[DISC 2-]])</f>
        <v/>
      </c>
      <c r="AA463" s="87" t="str">
        <f>IF(NOTA[[#This Row],[JUMLAH]]="","",NOTA[[#This Row],[JUMLAH]]-NOTA[[#This Row],[DISC]])</f>
        <v/>
      </c>
      <c r="AB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87" t="str">
        <f>IF(OR(NOTA[[#This Row],[QTY]]="",NOTA[[#This Row],[HARGA SATUAN]]="",),"",NOTA[[#This Row],[QTY]]*NOTA[[#This Row],[HARGA SATUAN]])</f>
        <v/>
      </c>
      <c r="AF463" s="81" t="str">
        <f ca="1">IF(NOTA[ID_H]="","",INDEX(NOTA[TANGGAL],MATCH(,INDIRECT(ADDRESS(ROW(NOTA[TANGGAL]),COLUMN(NOTA[TANGGAL]))&amp;":"&amp;ADDRESS(ROW(),COLUMN(NOTA[TANGGAL]))),-1)))</f>
        <v/>
      </c>
      <c r="AG463" s="84" t="str">
        <f ca="1">IF(NOTA[[#This Row],[NAMA BARANG]]="","",INDEX(NOTA[SUPPLIER],MATCH(,INDIRECT(ADDRESS(ROW(NOTA[ID]),COLUMN(NOTA[ID]))&amp;":"&amp;ADDRESS(ROW(),COLUMN(NOTA[ID]))),-1)))</f>
        <v/>
      </c>
      <c r="AH463" s="84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38" t="str">
        <f>IF(NOTA[[#This Row],[CONCAT4]]="","",_xlfn.IFNA(MATCH(NOTA[[#This Row],[CONCAT4]],[2]!RAW[CONCAT_H],0),FALSE))</f>
        <v/>
      </c>
      <c r="AP463" s="174" t="str">
        <f>IF(NOTA[[#This Row],[CONCAT1]]="","",MATCH(NOTA[[#This Row],[CONCAT1]],[3]!db[NB NOTA_C],0)+1)</f>
        <v/>
      </c>
    </row>
    <row r="464" spans="1:42" ht="20.100000000000001" customHeight="1" x14ac:dyDescent="0.25">
      <c r="A46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93" t="str">
        <f>IF(NOTA[[#This Row],[ID_P]]="","",MATCH(NOTA[[#This Row],[ID_P]],[1]!B_MSK[N_ID],0))</f>
        <v/>
      </c>
      <c r="D464" s="93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82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87" t="str">
        <f>IF(NOTA[[#This Row],[HARGA/ CTN]]="",NOTA[[#This Row],[JUMLAH_H]],NOTA[[#This Row],[HARGA/ CTN]]*IF(NOTA[[#This Row],[C]]="",0,NOTA[[#This Row],[C]]))</f>
        <v/>
      </c>
      <c r="X464" s="87" t="str">
        <f>IF(NOTA[[#This Row],[JUMLAH]]="","",NOTA[[#This Row],[JUMLAH]]*NOTA[[#This Row],[DISC 1]])</f>
        <v/>
      </c>
      <c r="Y464" s="87" t="str">
        <f>IF(NOTA[[#This Row],[JUMLAH]]="","",(NOTA[[#This Row],[JUMLAH]]-NOTA[[#This Row],[DISC 1-]])*NOTA[[#This Row],[DISC 2]])</f>
        <v/>
      </c>
      <c r="Z464" s="87" t="str">
        <f>IF(NOTA[[#This Row],[JUMLAH]]="","",NOTA[[#This Row],[DISC 1-]]+NOTA[[#This Row],[DISC 2-]])</f>
        <v/>
      </c>
      <c r="AA464" s="87" t="str">
        <f>IF(NOTA[[#This Row],[JUMLAH]]="","",NOTA[[#This Row],[JUMLAH]]-NOTA[[#This Row],[DISC]])</f>
        <v/>
      </c>
      <c r="AB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87" t="str">
        <f>IF(OR(NOTA[[#This Row],[QTY]]="",NOTA[[#This Row],[HARGA SATUAN]]="",),"",NOTA[[#This Row],[QTY]]*NOTA[[#This Row],[HARGA SATUAN]])</f>
        <v/>
      </c>
      <c r="AF464" s="81" t="str">
        <f ca="1">IF(NOTA[ID_H]="","",INDEX(NOTA[TANGGAL],MATCH(,INDIRECT(ADDRESS(ROW(NOTA[TANGGAL]),COLUMN(NOTA[TANGGAL]))&amp;":"&amp;ADDRESS(ROW(),COLUMN(NOTA[TANGGAL]))),-1)))</f>
        <v/>
      </c>
      <c r="AG464" s="84" t="str">
        <f ca="1">IF(NOTA[[#This Row],[NAMA BARANG]]="","",INDEX(NOTA[SUPPLIER],MATCH(,INDIRECT(ADDRESS(ROW(NOTA[ID]),COLUMN(NOTA[ID]))&amp;":"&amp;ADDRESS(ROW(),COLUMN(NOTA[ID]))),-1)))</f>
        <v/>
      </c>
      <c r="AH464" s="84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38" t="str">
        <f>IF(NOTA[[#This Row],[CONCAT4]]="","",_xlfn.IFNA(MATCH(NOTA[[#This Row],[CONCAT4]],[2]!RAW[CONCAT_H],0),FALSE))</f>
        <v/>
      </c>
      <c r="AP464" s="174" t="str">
        <f>IF(NOTA[[#This Row],[CONCAT1]]="","",MATCH(NOTA[[#This Row],[CONCAT1]],[3]!db[NB NOTA_C],0)+1)</f>
        <v/>
      </c>
    </row>
    <row r="465" spans="1:42" ht="20.100000000000001" customHeight="1" x14ac:dyDescent="0.25">
      <c r="A46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93" t="str">
        <f>IF(NOTA[[#This Row],[ID_P]]="","",MATCH(NOTA[[#This Row],[ID_P]],[1]!B_MSK[N_ID],0))</f>
        <v/>
      </c>
      <c r="D465" s="93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38"/>
      <c r="J465" s="81"/>
      <c r="K465" s="82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87" t="str">
        <f>IF(NOTA[[#This Row],[HARGA/ CTN]]="",NOTA[[#This Row],[JUMLAH_H]],NOTA[[#This Row],[HARGA/ CTN]]*IF(NOTA[[#This Row],[C]]="",0,NOTA[[#This Row],[C]]))</f>
        <v/>
      </c>
      <c r="X465" s="87" t="str">
        <f>IF(NOTA[[#This Row],[JUMLAH]]="","",NOTA[[#This Row],[JUMLAH]]*NOTA[[#This Row],[DISC 1]])</f>
        <v/>
      </c>
      <c r="Y465" s="87" t="str">
        <f>IF(NOTA[[#This Row],[JUMLAH]]="","",(NOTA[[#This Row],[JUMLAH]]-NOTA[[#This Row],[DISC 1-]])*NOTA[[#This Row],[DISC 2]])</f>
        <v/>
      </c>
      <c r="Z465" s="87" t="str">
        <f>IF(NOTA[[#This Row],[JUMLAH]]="","",NOTA[[#This Row],[DISC 1-]]+NOTA[[#This Row],[DISC 2-]])</f>
        <v/>
      </c>
      <c r="AA465" s="87" t="str">
        <f>IF(NOTA[[#This Row],[JUMLAH]]="","",NOTA[[#This Row],[JUMLAH]]-NOTA[[#This Row],[DISC]])</f>
        <v/>
      </c>
      <c r="AB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87" t="str">
        <f>IF(OR(NOTA[[#This Row],[QTY]]="",NOTA[[#This Row],[HARGA SATUAN]]="",),"",NOTA[[#This Row],[QTY]]*NOTA[[#This Row],[HARGA SATUAN]])</f>
        <v/>
      </c>
      <c r="AF465" s="81" t="str">
        <f ca="1">IF(NOTA[ID_H]="","",INDEX(NOTA[TANGGAL],MATCH(,INDIRECT(ADDRESS(ROW(NOTA[TANGGAL]),COLUMN(NOTA[TANGGAL]))&amp;":"&amp;ADDRESS(ROW(),COLUMN(NOTA[TANGGAL]))),-1)))</f>
        <v/>
      </c>
      <c r="AG465" s="84" t="str">
        <f ca="1">IF(NOTA[[#This Row],[NAMA BARANG]]="","",INDEX(NOTA[SUPPLIER],MATCH(,INDIRECT(ADDRESS(ROW(NOTA[ID]),COLUMN(NOTA[ID]))&amp;":"&amp;ADDRESS(ROW(),COLUMN(NOTA[ID]))),-1)))</f>
        <v/>
      </c>
      <c r="AH465" s="84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38" t="str">
        <f>IF(NOTA[[#This Row],[CONCAT4]]="","",_xlfn.IFNA(MATCH(NOTA[[#This Row],[CONCAT4]],[2]!RAW[CONCAT_H],0),FALSE))</f>
        <v/>
      </c>
      <c r="AP465" s="174" t="str">
        <f>IF(NOTA[[#This Row],[CONCAT1]]="","",MATCH(NOTA[[#This Row],[CONCAT1]],[3]!db[NB NOTA_C],0)+1)</f>
        <v/>
      </c>
    </row>
    <row r="466" spans="1:42" ht="20.100000000000001" customHeight="1" x14ac:dyDescent="0.25">
      <c r="A4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93" t="str">
        <f>IF(NOTA[[#This Row],[ID_P]]="","",MATCH(NOTA[[#This Row],[ID_P]],[1]!B_MSK[N_ID],0))</f>
        <v/>
      </c>
      <c r="D466" s="93" t="str">
        <f ca="1">IF(NOTA[[#This Row],[NAMA BARANG]]="","",INDEX(NOTA[ID],MATCH(,INDIRECT(ADDRESS(ROW(NOTA[ID]),COLUMN(NOTA[ID]))&amp;":"&amp;ADDRESS(ROW(),COLUMN(NOTA[ID]))),-1)))</f>
        <v/>
      </c>
      <c r="E466" s="94"/>
      <c r="F466" s="38"/>
      <c r="G466" s="38"/>
      <c r="H466" s="79"/>
      <c r="I466" s="38"/>
      <c r="J466" s="95"/>
      <c r="K466" s="96"/>
      <c r="L466" s="38"/>
      <c r="M466" s="97"/>
      <c r="N466" s="96"/>
      <c r="O466" s="38"/>
      <c r="P466" s="98"/>
      <c r="Q466" s="99"/>
      <c r="R466" s="56"/>
      <c r="S466" s="100"/>
      <c r="T466" s="101"/>
      <c r="U466" s="102"/>
      <c r="V466" s="103"/>
      <c r="W466" s="87" t="str">
        <f>IF(NOTA[[#This Row],[HARGA/ CTN]]="",NOTA[[#This Row],[JUMLAH_H]],NOTA[[#This Row],[HARGA/ CTN]]*IF(NOTA[[#This Row],[C]]="",0,NOTA[[#This Row],[C]]))</f>
        <v/>
      </c>
      <c r="X466" s="87" t="str">
        <f>IF(NOTA[[#This Row],[JUMLAH]]="","",NOTA[[#This Row],[JUMLAH]]*NOTA[[#This Row],[DISC 1]])</f>
        <v/>
      </c>
      <c r="Y466" s="87" t="str">
        <f>IF(NOTA[[#This Row],[JUMLAH]]="","",(NOTA[[#This Row],[JUMLAH]]-NOTA[[#This Row],[DISC 1-]])*NOTA[[#This Row],[DISC 2]])</f>
        <v/>
      </c>
      <c r="Z466" s="87" t="str">
        <f>IF(NOTA[[#This Row],[JUMLAH]]="","",NOTA[[#This Row],[DISC 1-]]+NOTA[[#This Row],[DISC 2-]])</f>
        <v/>
      </c>
      <c r="AA466" s="87" t="str">
        <f>IF(NOTA[[#This Row],[JUMLAH]]="","",NOTA[[#This Row],[JUMLAH]]-NOTA[[#This Row],[DISC]])</f>
        <v/>
      </c>
      <c r="AB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87" t="str">
        <f>IF(OR(NOTA[[#This Row],[QTY]]="",NOTA[[#This Row],[HARGA SATUAN]]="",),"",NOTA[[#This Row],[QTY]]*NOTA[[#This Row],[HARGA SATUAN]])</f>
        <v/>
      </c>
      <c r="AF466" s="81" t="str">
        <f ca="1">IF(NOTA[ID_H]="","",INDEX(NOTA[TANGGAL],MATCH(,INDIRECT(ADDRESS(ROW(NOTA[TANGGAL]),COLUMN(NOTA[TANGGAL]))&amp;":"&amp;ADDRESS(ROW(),COLUMN(NOTA[TANGGAL]))),-1)))</f>
        <v/>
      </c>
      <c r="AG466" s="84" t="str">
        <f ca="1">IF(NOTA[[#This Row],[NAMA BARANG]]="","",INDEX(NOTA[SUPPLIER],MATCH(,INDIRECT(ADDRESS(ROW(NOTA[ID]),COLUMN(NOTA[ID]))&amp;":"&amp;ADDRESS(ROW(),COLUMN(NOTA[ID]))),-1)))</f>
        <v/>
      </c>
      <c r="AH466" s="84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38" t="str">
        <f>IF(NOTA[[#This Row],[CONCAT4]]="","",_xlfn.IFNA(MATCH(NOTA[[#This Row],[CONCAT4]],[2]!RAW[CONCAT_H],0),FALSE))</f>
        <v/>
      </c>
      <c r="AP466" s="174" t="str">
        <f>IF(NOTA[[#This Row],[CONCAT1]]="","",MATCH(NOTA[[#This Row],[CONCAT1]],[3]!db[NB NOTA_C],0)+1)</f>
        <v/>
      </c>
    </row>
    <row r="467" spans="1:42" ht="20.100000000000001" customHeight="1" x14ac:dyDescent="0.25">
      <c r="A467" s="18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18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183" t="str">
        <f>IF(NOTA[[#This Row],[ID_P]]="","",MATCH(NOTA[[#This Row],[ID_P]],[1]!B_MSK[N_ID],0))</f>
        <v/>
      </c>
      <c r="D467" s="183" t="str">
        <f ca="1">IF(NOTA[[#This Row],[NAMA BARANG]]="","",INDEX(NOTA[ID],MATCH(,INDIRECT(ADDRESS(ROW(NOTA[ID]),COLUMN(NOTA[ID]))&amp;":"&amp;ADDRESS(ROW(),COLUMN(NOTA[ID]))),-1)))</f>
        <v/>
      </c>
      <c r="E467" s="184"/>
      <c r="F467" s="185"/>
      <c r="G467" s="185"/>
      <c r="H467" s="186"/>
      <c r="I467" s="185"/>
      <c r="J467" s="187"/>
      <c r="K467" s="185"/>
      <c r="L467" s="185"/>
      <c r="M467" s="188"/>
      <c r="N467" s="189"/>
      <c r="O467" s="185"/>
      <c r="P467" s="190"/>
      <c r="Q467" s="191"/>
      <c r="R467" s="192"/>
      <c r="S467" s="193"/>
      <c r="T467" s="194"/>
      <c r="U467" s="195"/>
      <c r="V467" s="196"/>
      <c r="W467" s="197" t="str">
        <f>IF(NOTA[[#This Row],[HARGA/ CTN]]="",NOTA[[#This Row],[JUMLAH_H]],NOTA[[#This Row],[HARGA/ CTN]]*IF(NOTA[[#This Row],[C]]="",0,NOTA[[#This Row],[C]]))</f>
        <v/>
      </c>
      <c r="X467" s="197" t="str">
        <f>IF(NOTA[[#This Row],[JUMLAH]]="","",NOTA[[#This Row],[JUMLAH]]*NOTA[[#This Row],[DISC 1]])</f>
        <v/>
      </c>
      <c r="Y467" s="197" t="str">
        <f>IF(NOTA[[#This Row],[JUMLAH]]="","",(NOTA[[#This Row],[JUMLAH]]-NOTA[[#This Row],[DISC 1-]])*NOTA[[#This Row],[DISC 2]])</f>
        <v/>
      </c>
      <c r="Z467" s="197" t="str">
        <f>IF(NOTA[[#This Row],[JUMLAH]]="","",NOTA[[#This Row],[DISC 1-]]+NOTA[[#This Row],[DISC 2-]])</f>
        <v/>
      </c>
      <c r="AA467" s="197" t="str">
        <f>IF(NOTA[[#This Row],[JUMLAH]]="","",NOTA[[#This Row],[JUMLAH]]-NOTA[[#This Row],[DISC]])</f>
        <v/>
      </c>
      <c r="AB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18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198" t="str">
        <f>IF(OR(NOTA[[#This Row],[QTY]]="",NOTA[[#This Row],[HARGA SATUAN]]="",),"",NOTA[[#This Row],[QTY]]*NOTA[[#This Row],[HARGA SATUAN]])</f>
        <v/>
      </c>
      <c r="AF467" s="199" t="str">
        <f ca="1">IF(NOTA[ID_H]="","",INDEX(NOTA[TANGGAL],MATCH(,INDIRECT(ADDRESS(ROW(NOTA[TANGGAL]),COLUMN(NOTA[TANGGAL]))&amp;":"&amp;ADDRESS(ROW(),COLUMN(NOTA[TANGGAL]))),-1)))</f>
        <v/>
      </c>
      <c r="AG467" s="182" t="str">
        <f ca="1">IF(NOTA[[#This Row],[NAMA BARANG]]="","",INDEX(NOTA[SUPPLIER],MATCH(,INDIRECT(ADDRESS(ROW(NOTA[ID]),COLUMN(NOTA[ID]))&amp;":"&amp;ADDRESS(ROW(),COLUMN(NOTA[ID]))),-1)))</f>
        <v/>
      </c>
      <c r="AH467" s="182" t="str">
        <f ca="1">IF(NOTA[[#This Row],[ID_H]]="","",IF(NOTA[[#This Row],[FAKTUR]]="",INDIRECT(ADDRESS(ROW()-1,COLUMN())),NOTA[[#This Row],[FAKTUR]]))</f>
        <v/>
      </c>
      <c r="AI467" s="189" t="str">
        <f ca="1">IF(NOTA[[#This Row],[ID]]="","",COUNTIF(NOTA[ID_H],NOTA[[#This Row],[ID_H]]))</f>
        <v/>
      </c>
      <c r="AJ467" s="189" t="str">
        <f ca="1">IF(NOTA[[#This Row],[TGL.NOTA]]="",IF(NOTA[[#This Row],[SUPPLIER_H]]="","",AJ466),MONTH(NOTA[[#This Row],[TGL.NOTA]]))</f>
        <v/>
      </c>
      <c r="AK467" s="189" t="str">
        <f>LOWER(SUBSTITUTE(SUBSTITUTE(SUBSTITUTE(SUBSTITUTE(SUBSTITUTE(SUBSTITUTE(SUBSTITUTE(SUBSTITUTE(SUBSTITUTE(NOTA[NAMA BARANG]," ",),".",""),"-",""),"(",""),")",""),",",""),"/",""),"""",""),"+",""))</f>
        <v/>
      </c>
      <c r="AL467" s="18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18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18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189" t="str">
        <f>IF(NOTA[[#This Row],[CONCAT4]]="","",_xlfn.IFNA(MATCH(NOTA[[#This Row],[CONCAT4]],[2]!RAW[CONCAT_H],0),FALSE))</f>
        <v/>
      </c>
      <c r="AP467" s="189" t="str">
        <f>IF(NOTA[[#This Row],[CONCAT1]]="","",MATCH(NOTA[[#This Row],[CONCAT1]],[3]!db[NB NOTA_C],0)+1)</f>
        <v/>
      </c>
    </row>
    <row r="468" spans="1:42" ht="20.100000000000001" customHeight="1" x14ac:dyDescent="0.25">
      <c r="A4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93" t="str">
        <f>IF(NOTA[[#This Row],[ID_P]]="","",MATCH(NOTA[[#This Row],[ID_P]],[1]!B_MSK[N_ID],0))</f>
        <v/>
      </c>
      <c r="D468" s="93" t="str">
        <f ca="1">IF(NOTA[[#This Row],[NAMA BARANG]]="","",INDEX(NOTA[ID],MATCH(,INDIRECT(ADDRESS(ROW(NOTA[ID]),COLUMN(NOTA[ID]))&amp;":"&amp;ADDRESS(ROW(),COLUMN(NOTA[ID]))),-1)))</f>
        <v/>
      </c>
      <c r="E468" s="94"/>
      <c r="F468" s="38"/>
      <c r="G468" s="38"/>
      <c r="H468" s="79"/>
      <c r="I468" s="38"/>
      <c r="J468" s="95"/>
      <c r="K468" s="96"/>
      <c r="L468" s="38"/>
      <c r="M468" s="97"/>
      <c r="N468" s="96"/>
      <c r="O468" s="38"/>
      <c r="P468" s="98"/>
      <c r="Q468" s="99"/>
      <c r="R468" s="56"/>
      <c r="S468" s="100"/>
      <c r="T468" s="101"/>
      <c r="U468" s="102"/>
      <c r="V468" s="103"/>
      <c r="W468" s="87" t="str">
        <f>IF(NOTA[[#This Row],[HARGA/ CTN]]="",NOTA[[#This Row],[JUMLAH_H]],NOTA[[#This Row],[HARGA/ CTN]]*IF(NOTA[[#This Row],[C]]="",0,NOTA[[#This Row],[C]]))</f>
        <v/>
      </c>
      <c r="X468" s="87" t="str">
        <f>IF(NOTA[[#This Row],[JUMLAH]]="","",NOTA[[#This Row],[JUMLAH]]*NOTA[[#This Row],[DISC 1]])</f>
        <v/>
      </c>
      <c r="Y468" s="87" t="str">
        <f>IF(NOTA[[#This Row],[JUMLAH]]="","",(NOTA[[#This Row],[JUMLAH]]-NOTA[[#This Row],[DISC 1-]])*NOTA[[#This Row],[DISC 2]])</f>
        <v/>
      </c>
      <c r="Z468" s="87" t="str">
        <f>IF(NOTA[[#This Row],[JUMLAH]]="","",NOTA[[#This Row],[DISC 1-]]+NOTA[[#This Row],[DISC 2-]])</f>
        <v/>
      </c>
      <c r="AA468" s="87" t="str">
        <f>IF(NOTA[[#This Row],[JUMLAH]]="","",NOTA[[#This Row],[JUMLAH]]-NOTA[[#This Row],[DISC]])</f>
        <v/>
      </c>
      <c r="AB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87" t="str">
        <f>IF(OR(NOTA[[#This Row],[QTY]]="",NOTA[[#This Row],[HARGA SATUAN]]="",),"",NOTA[[#This Row],[QTY]]*NOTA[[#This Row],[HARGA SATUAN]])</f>
        <v/>
      </c>
      <c r="AF468" s="81" t="str">
        <f ca="1">IF(NOTA[ID_H]="","",INDEX(NOTA[TANGGAL],MATCH(,INDIRECT(ADDRESS(ROW(NOTA[TANGGAL]),COLUMN(NOTA[TANGGAL]))&amp;":"&amp;ADDRESS(ROW(),COLUMN(NOTA[TANGGAL]))),-1)))</f>
        <v/>
      </c>
      <c r="AG468" s="84" t="str">
        <f ca="1">IF(NOTA[[#This Row],[NAMA BARANG]]="","",INDEX(NOTA[SUPPLIER],MATCH(,INDIRECT(ADDRESS(ROW(NOTA[ID]),COLUMN(NOTA[ID]))&amp;":"&amp;ADDRESS(ROW(),COLUMN(NOTA[ID]))),-1)))</f>
        <v/>
      </c>
      <c r="AH468" s="84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Row],[SUPPLIER_H]]="","",AJ466),MONTH(NOTA[[#This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8" s="38" t="str">
        <f>IF(NOTA[[#This Row],[CONCAT4]]="","",_xlfn.IFNA(MATCH(NOTA[[#This Row],[CONCAT4]],[2]!RAW[CONCAT_H],0),FALSE))</f>
        <v/>
      </c>
      <c r="AP468" s="174" t="str">
        <f>IF(NOTA[[#This Row],[CONCAT1]]="","",MATCH(NOTA[[#This Row],[CONCAT1]],[3]!db[NB NOTA_C],0)+1)</f>
        <v/>
      </c>
    </row>
    <row r="469" spans="1:42" ht="20.100000000000001" customHeight="1" x14ac:dyDescent="0.25">
      <c r="A4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93" t="str">
        <f>IF(NOTA[[#This Row],[ID_P]]="","",MATCH(NOTA[[#This Row],[ID_P]],[1]!B_MSK[N_ID],0))</f>
        <v/>
      </c>
      <c r="D469" s="93" t="str">
        <f ca="1">IF(NOTA[[#This Row],[NAMA BARANG]]="","",INDEX(NOTA[ID],MATCH(,INDIRECT(ADDRESS(ROW(NOTA[ID]),COLUMN(NOTA[ID]))&amp;":"&amp;ADDRESS(ROW(),COLUMN(NOTA[ID]))),-1)))</f>
        <v/>
      </c>
      <c r="E469" s="94"/>
      <c r="F469" s="38"/>
      <c r="G469" s="38"/>
      <c r="H469" s="79"/>
      <c r="I469" s="38"/>
      <c r="J469" s="95"/>
      <c r="K469" s="96"/>
      <c r="L469" s="38"/>
      <c r="M469" s="97"/>
      <c r="N469" s="96"/>
      <c r="O469" s="38"/>
      <c r="P469" s="98"/>
      <c r="Q469" s="99"/>
      <c r="R469" s="56"/>
      <c r="S469" s="100"/>
      <c r="T469" s="101"/>
      <c r="U469" s="102"/>
      <c r="V469" s="103"/>
      <c r="W469" s="87" t="str">
        <f>IF(NOTA[[#This Row],[HARGA/ CTN]]="",NOTA[[#This Row],[JUMLAH_H]],NOTA[[#This Row],[HARGA/ CTN]]*IF(NOTA[[#This Row],[C]]="",0,NOTA[[#This Row],[C]]))</f>
        <v/>
      </c>
      <c r="X469" s="87" t="str">
        <f>IF(NOTA[[#This Row],[JUMLAH]]="","",NOTA[[#This Row],[JUMLAH]]*NOTA[[#This Row],[DISC 1]])</f>
        <v/>
      </c>
      <c r="Y469" s="87" t="str">
        <f>IF(NOTA[[#This Row],[JUMLAH]]="","",(NOTA[[#This Row],[JUMLAH]]-NOTA[[#This Row],[DISC 1-]])*NOTA[[#This Row],[DISC 2]])</f>
        <v/>
      </c>
      <c r="Z469" s="87" t="str">
        <f>IF(NOTA[[#This Row],[JUMLAH]]="","",NOTA[[#This Row],[DISC 1-]]+NOTA[[#This Row],[DISC 2-]])</f>
        <v/>
      </c>
      <c r="AA469" s="87" t="str">
        <f>IF(NOTA[[#This Row],[JUMLAH]]="","",NOTA[[#This Row],[JUMLAH]]-NOTA[[#This Row],[DISC]])</f>
        <v/>
      </c>
      <c r="AB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87" t="str">
        <f>IF(OR(NOTA[[#This Row],[QTY]]="",NOTA[[#This Row],[HARGA SATUAN]]="",),"",NOTA[[#This Row],[QTY]]*NOTA[[#This Row],[HARGA SATUAN]])</f>
        <v/>
      </c>
      <c r="AF469" s="81" t="str">
        <f ca="1">IF(NOTA[ID_H]="","",INDEX(NOTA[TANGGAL],MATCH(,INDIRECT(ADDRESS(ROW(NOTA[TANGGAL]),COLUMN(NOTA[TANGGAL]))&amp;":"&amp;ADDRESS(ROW(),COLUMN(NOTA[TANGGAL]))),-1)))</f>
        <v/>
      </c>
      <c r="AG469" s="84" t="str">
        <f ca="1">IF(NOTA[[#This Row],[NAMA BARANG]]="","",INDEX(NOTA[SUPPLIER],MATCH(,INDIRECT(ADDRESS(ROW(NOTA[ID]),COLUMN(NOTA[ID]))&amp;":"&amp;ADDRESS(ROW(),COLUMN(NOTA[ID]))),-1)))</f>
        <v/>
      </c>
      <c r="AH469" s="84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38" t="str">
        <f>IF(NOTA[[#This Row],[CONCAT4]]="","",_xlfn.IFNA(MATCH(NOTA[[#This Row],[CONCAT4]],[2]!RAW[CONCAT_H],0),FALSE))</f>
        <v/>
      </c>
      <c r="AP469" s="174" t="str">
        <f>IF(NOTA[[#This Row],[CONCAT1]]="","",MATCH(NOTA[[#This Row],[CONCAT1]],[3]!db[NB NOTA_C],0)+1)</f>
        <v/>
      </c>
    </row>
    <row r="470" spans="1:42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93" t="str">
        <f>IF(NOTA[[#This Row],[ID_P]]="","",MATCH(NOTA[[#This Row],[ID_P]],[1]!B_MSK[N_ID],0))</f>
        <v/>
      </c>
      <c r="D470" s="93" t="str">
        <f ca="1">IF(NOTA[[#This Row],[NAMA BARANG]]="","",INDEX(NOTA[ID],MATCH(,INDIRECT(ADDRESS(ROW(NOTA[ID]),COLUMN(NOTA[ID]))&amp;":"&amp;ADDRESS(ROW(),COLUMN(NOTA[ID]))),-1)))</f>
        <v/>
      </c>
      <c r="E470" s="94"/>
      <c r="F470" s="96"/>
      <c r="G470" s="96"/>
      <c r="H470" s="104"/>
      <c r="I470" s="96"/>
      <c r="J470" s="95"/>
      <c r="K470" s="96"/>
      <c r="L470" s="38"/>
      <c r="M470" s="97"/>
      <c r="N470" s="96"/>
      <c r="O470" s="38"/>
      <c r="P470" s="98"/>
      <c r="Q470" s="99"/>
      <c r="R470" s="56"/>
      <c r="S470" s="100"/>
      <c r="T470" s="101"/>
      <c r="U470" s="102"/>
      <c r="V470" s="103"/>
      <c r="W470" s="87" t="str">
        <f>IF(NOTA[[#This Row],[HARGA/ CTN]]="",NOTA[[#This Row],[JUMLAH_H]],NOTA[[#This Row],[HARGA/ CTN]]*IF(NOTA[[#This Row],[C]]="",0,NOTA[[#This Row],[C]]))</f>
        <v/>
      </c>
      <c r="X470" s="87" t="str">
        <f>IF(NOTA[[#This Row],[JUMLAH]]="","",NOTA[[#This Row],[JUMLAH]]*NOTA[[#This Row],[DISC 1]])</f>
        <v/>
      </c>
      <c r="Y470" s="87" t="str">
        <f>IF(NOTA[[#This Row],[JUMLAH]]="","",(NOTA[[#This Row],[JUMLAH]]-NOTA[[#This Row],[DISC 1-]])*NOTA[[#This Row],[DISC 2]])</f>
        <v/>
      </c>
      <c r="Z470" s="87" t="str">
        <f>IF(NOTA[[#This Row],[JUMLAH]]="","",NOTA[[#This Row],[DISC 1-]]+NOTA[[#This Row],[DISC 2-]])</f>
        <v/>
      </c>
      <c r="AA470" s="87" t="str">
        <f>IF(NOTA[[#This Row],[JUMLAH]]="","",NOTA[[#This Row],[JUMLAH]]-NOTA[[#This Row],[DISC]])</f>
        <v/>
      </c>
      <c r="AB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87" t="str">
        <f>IF(OR(NOTA[[#This Row],[QTY]]="",NOTA[[#This Row],[HARGA SATUAN]]="",),"",NOTA[[#This Row],[QTY]]*NOTA[[#This Row],[HARGA SATUAN]])</f>
        <v/>
      </c>
      <c r="AF470" s="81" t="str">
        <f ca="1">IF(NOTA[ID_H]="","",INDEX(NOTA[TANGGAL],MATCH(,INDIRECT(ADDRESS(ROW(NOTA[TANGGAL]),COLUMN(NOTA[TANGGAL]))&amp;":"&amp;ADDRESS(ROW(),COLUMN(NOTA[TANGGAL]))),-1)))</f>
        <v/>
      </c>
      <c r="AG470" s="84" t="str">
        <f ca="1">IF(NOTA[[#This Row],[NAMA BARANG]]="","",INDEX(NOTA[SUPPLIER],MATCH(,INDIRECT(ADDRESS(ROW(NOTA[ID]),COLUMN(NOTA[ID]))&amp;":"&amp;ADDRESS(ROW(),COLUMN(NOTA[ID]))),-1)))</f>
        <v/>
      </c>
      <c r="AH470" s="84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38" t="str">
        <f>IF(NOTA[[#This Row],[CONCAT4]]="","",_xlfn.IFNA(MATCH(NOTA[[#This Row],[CONCAT4]],[2]!RAW[CONCAT_H],0),FALSE))</f>
        <v/>
      </c>
      <c r="AP470" s="174" t="str">
        <f>IF(NOTA[[#This Row],[CONCAT1]]="","",MATCH(NOTA[[#This Row],[CONCAT1]],[3]!db[NB NOTA_C],0)+1)</f>
        <v/>
      </c>
    </row>
    <row r="471" spans="1:42" ht="20.100000000000001" customHeight="1" x14ac:dyDescent="0.25">
      <c r="A47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93" t="str">
        <f>IF(NOTA[[#This Row],[ID_P]]="","",MATCH(NOTA[[#This Row],[ID_P]],[1]!B_MSK[N_ID],0))</f>
        <v/>
      </c>
      <c r="D471" s="93" t="str">
        <f ca="1">IF(NOTA[[#This Row],[NAMA BARANG]]="","",INDEX(NOTA[ID],MATCH(,INDIRECT(ADDRESS(ROW(NOTA[ID]),COLUMN(NOTA[ID]))&amp;":"&amp;ADDRESS(ROW(),COLUMN(NOTA[ID]))),-1)))</f>
        <v/>
      </c>
      <c r="E471" s="94"/>
      <c r="F471" s="38"/>
      <c r="G471" s="38"/>
      <c r="H471" s="79"/>
      <c r="I471" s="96"/>
      <c r="J471" s="95"/>
      <c r="K471" s="96"/>
      <c r="L471" s="38"/>
      <c r="M471" s="97"/>
      <c r="N471" s="96"/>
      <c r="O471" s="38"/>
      <c r="P471" s="90"/>
      <c r="Q471" s="105"/>
      <c r="R471" s="165"/>
      <c r="S471" s="100"/>
      <c r="T471" s="101"/>
      <c r="U471" s="102"/>
      <c r="V471" s="103"/>
      <c r="W471" s="87" t="str">
        <f>IF(NOTA[[#This Row],[HARGA/ CTN]]="",NOTA[[#This Row],[JUMLAH_H]],NOTA[[#This Row],[HARGA/ CTN]]*IF(NOTA[[#This Row],[C]]="",0,NOTA[[#This Row],[C]]))</f>
        <v/>
      </c>
      <c r="X471" s="87" t="str">
        <f>IF(NOTA[[#This Row],[JUMLAH]]="","",NOTA[[#This Row],[JUMLAH]]*NOTA[[#This Row],[DISC 1]])</f>
        <v/>
      </c>
      <c r="Y471" s="87" t="str">
        <f>IF(NOTA[[#This Row],[JUMLAH]]="","",(NOTA[[#This Row],[JUMLAH]]-NOTA[[#This Row],[DISC 1-]])*NOTA[[#This Row],[DISC 2]])</f>
        <v/>
      </c>
      <c r="Z471" s="87" t="str">
        <f>IF(NOTA[[#This Row],[JUMLAH]]="","",NOTA[[#This Row],[DISC 1-]]+NOTA[[#This Row],[DISC 2-]])</f>
        <v/>
      </c>
      <c r="AA471" s="87" t="str">
        <f>IF(NOTA[[#This Row],[JUMLAH]]="","",NOTA[[#This Row],[JUMLAH]]-NOTA[[#This Row],[DISC]])</f>
        <v/>
      </c>
      <c r="AB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87" t="str">
        <f>IF(OR(NOTA[[#This Row],[QTY]]="",NOTA[[#This Row],[HARGA SATUAN]]="",),"",NOTA[[#This Row],[QTY]]*NOTA[[#This Row],[HARGA SATUAN]])</f>
        <v/>
      </c>
      <c r="AF471" s="81" t="str">
        <f ca="1">IF(NOTA[ID_H]="","",INDEX(NOTA[TANGGAL],MATCH(,INDIRECT(ADDRESS(ROW(NOTA[TANGGAL]),COLUMN(NOTA[TANGGAL]))&amp;":"&amp;ADDRESS(ROW(),COLUMN(NOTA[TANGGAL]))),-1)))</f>
        <v/>
      </c>
      <c r="AG471" s="84" t="str">
        <f ca="1">IF(NOTA[[#This Row],[NAMA BARANG]]="","",INDEX(NOTA[SUPPLIER],MATCH(,INDIRECT(ADDRESS(ROW(NOTA[ID]),COLUMN(NOTA[ID]))&amp;":"&amp;ADDRESS(ROW(),COLUMN(NOTA[ID]))),-1)))</f>
        <v/>
      </c>
      <c r="AH471" s="84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38" t="str">
        <f>IF(NOTA[[#This Row],[CONCAT4]]="","",_xlfn.IFNA(MATCH(NOTA[[#This Row],[CONCAT4]],[2]!RAW[CONCAT_H],0),FALSE))</f>
        <v/>
      </c>
      <c r="AP471" s="174" t="str">
        <f>IF(NOTA[[#This Row],[CONCAT1]]="","",MATCH(NOTA[[#This Row],[CONCAT1]],[3]!db[NB NOTA_C],0)+1)</f>
        <v/>
      </c>
    </row>
    <row r="472" spans="1:42" ht="20.100000000000001" customHeight="1" x14ac:dyDescent="0.25">
      <c r="A47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93" t="str">
        <f>IF(NOTA[[#This Row],[ID_P]]="","",MATCH(NOTA[[#This Row],[ID_P]],[1]!B_MSK[N_ID],0))</f>
        <v/>
      </c>
      <c r="D472" s="93" t="str">
        <f ca="1">IF(NOTA[[#This Row],[NAMA BARANG]]="","",INDEX(NOTA[ID],MATCH(,INDIRECT(ADDRESS(ROW(NOTA[ID]),COLUMN(NOTA[ID]))&amp;":"&amp;ADDRESS(ROW(),COLUMN(NOTA[ID]))),-1)))</f>
        <v/>
      </c>
      <c r="E472" s="94"/>
      <c r="F472" s="38"/>
      <c r="G472" s="38"/>
      <c r="H472" s="79"/>
      <c r="I472" s="96"/>
      <c r="J472" s="95"/>
      <c r="K472" s="96"/>
      <c r="L472" s="38"/>
      <c r="M472" s="97"/>
      <c r="N472" s="96"/>
      <c r="O472" s="38"/>
      <c r="P472" s="98"/>
      <c r="Q472" s="99"/>
      <c r="R472" s="56"/>
      <c r="S472" s="100"/>
      <c r="T472" s="101"/>
      <c r="U472" s="102"/>
      <c r="V472" s="103"/>
      <c r="W472" s="87" t="str">
        <f>IF(NOTA[[#This Row],[HARGA/ CTN]]="",NOTA[[#This Row],[JUMLAH_H]],NOTA[[#This Row],[HARGA/ CTN]]*IF(NOTA[[#This Row],[C]]="",0,NOTA[[#This Row],[C]]))</f>
        <v/>
      </c>
      <c r="X472" s="87" t="str">
        <f>IF(NOTA[[#This Row],[JUMLAH]]="","",NOTA[[#This Row],[JUMLAH]]*NOTA[[#This Row],[DISC 1]])</f>
        <v/>
      </c>
      <c r="Y472" s="87" t="str">
        <f>IF(NOTA[[#This Row],[JUMLAH]]="","",(NOTA[[#This Row],[JUMLAH]]-NOTA[[#This Row],[DISC 1-]])*NOTA[[#This Row],[DISC 2]])</f>
        <v/>
      </c>
      <c r="Z472" s="87" t="str">
        <f>IF(NOTA[[#This Row],[JUMLAH]]="","",NOTA[[#This Row],[DISC 1-]]+NOTA[[#This Row],[DISC 2-]])</f>
        <v/>
      </c>
      <c r="AA472" s="87" t="str">
        <f>IF(NOTA[[#This Row],[JUMLAH]]="","",NOTA[[#This Row],[JUMLAH]]-NOTA[[#This Row],[DISC]])</f>
        <v/>
      </c>
      <c r="AB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87" t="str">
        <f>IF(OR(NOTA[[#This Row],[QTY]]="",NOTA[[#This Row],[HARGA SATUAN]]="",),"",NOTA[[#This Row],[QTY]]*NOTA[[#This Row],[HARGA SATUAN]])</f>
        <v/>
      </c>
      <c r="AF472" s="81" t="str">
        <f ca="1">IF(NOTA[ID_H]="","",INDEX(NOTA[TANGGAL],MATCH(,INDIRECT(ADDRESS(ROW(NOTA[TANGGAL]),COLUMN(NOTA[TANGGAL]))&amp;":"&amp;ADDRESS(ROW(),COLUMN(NOTA[TANGGAL]))),-1)))</f>
        <v/>
      </c>
      <c r="AG472" s="84" t="str">
        <f ca="1">IF(NOTA[[#This Row],[NAMA BARANG]]="","",INDEX(NOTA[SUPPLIER],MATCH(,INDIRECT(ADDRESS(ROW(NOTA[ID]),COLUMN(NOTA[ID]))&amp;":"&amp;ADDRESS(ROW(),COLUMN(NOTA[ID]))),-1)))</f>
        <v/>
      </c>
      <c r="AH472" s="84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38" t="str">
        <f>IF(NOTA[[#This Row],[CONCAT4]]="","",_xlfn.IFNA(MATCH(NOTA[[#This Row],[CONCAT4]],[2]!RAW[CONCAT_H],0),FALSE))</f>
        <v/>
      </c>
      <c r="AP472" s="174" t="str">
        <f>IF(NOTA[[#This Row],[CONCAT1]]="","",MATCH(NOTA[[#This Row],[CONCAT1]],[3]!db[NB NOTA_C],0)+1)</f>
        <v/>
      </c>
    </row>
    <row r="473" spans="1:42" ht="20.100000000000001" customHeight="1" x14ac:dyDescent="0.25">
      <c r="A47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93" t="str">
        <f>IF(NOTA[[#This Row],[ID_P]]="","",MATCH(NOTA[[#This Row],[ID_P]],[1]!B_MSK[N_ID],0))</f>
        <v/>
      </c>
      <c r="D473" s="93" t="str">
        <f ca="1">IF(NOTA[[#This Row],[NAMA BARANG]]="","",INDEX(NOTA[ID],MATCH(,INDIRECT(ADDRESS(ROW(NOTA[ID]),COLUMN(NOTA[ID]))&amp;":"&amp;ADDRESS(ROW(),COLUMN(NOTA[ID]))),-1)))</f>
        <v/>
      </c>
      <c r="E473" s="94"/>
      <c r="F473" s="38"/>
      <c r="G473" s="38"/>
      <c r="H473" s="79"/>
      <c r="I473" s="96"/>
      <c r="J473" s="95"/>
      <c r="K473" s="96"/>
      <c r="L473" s="38"/>
      <c r="M473" s="97"/>
      <c r="N473" s="96"/>
      <c r="O473" s="38"/>
      <c r="P473" s="98"/>
      <c r="Q473" s="99"/>
      <c r="R473" s="56"/>
      <c r="S473" s="100"/>
      <c r="T473" s="101"/>
      <c r="U473" s="102"/>
      <c r="V473" s="103"/>
      <c r="W473" s="87" t="str">
        <f>IF(NOTA[[#This Row],[HARGA/ CTN]]="",NOTA[[#This Row],[JUMLAH_H]],NOTA[[#This Row],[HARGA/ CTN]]*IF(NOTA[[#This Row],[C]]="",0,NOTA[[#This Row],[C]]))</f>
        <v/>
      </c>
      <c r="X473" s="87" t="str">
        <f>IF(NOTA[[#This Row],[JUMLAH]]="","",NOTA[[#This Row],[JUMLAH]]*NOTA[[#This Row],[DISC 1]])</f>
        <v/>
      </c>
      <c r="Y473" s="87" t="str">
        <f>IF(NOTA[[#This Row],[JUMLAH]]="","",(NOTA[[#This Row],[JUMLAH]]-NOTA[[#This Row],[DISC 1-]])*NOTA[[#This Row],[DISC 2]])</f>
        <v/>
      </c>
      <c r="Z473" s="87" t="str">
        <f>IF(NOTA[[#This Row],[JUMLAH]]="","",NOTA[[#This Row],[DISC 1-]]+NOTA[[#This Row],[DISC 2-]])</f>
        <v/>
      </c>
      <c r="AA473" s="87" t="str">
        <f>IF(NOTA[[#This Row],[JUMLAH]]="","",NOTA[[#This Row],[JUMLAH]]-NOTA[[#This Row],[DISC]])</f>
        <v/>
      </c>
      <c r="AB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87" t="str">
        <f>IF(OR(NOTA[[#This Row],[QTY]]="",NOTA[[#This Row],[HARGA SATUAN]]="",),"",NOTA[[#This Row],[QTY]]*NOTA[[#This Row],[HARGA SATUAN]])</f>
        <v/>
      </c>
      <c r="AF473" s="81" t="str">
        <f ca="1">IF(NOTA[ID_H]="","",INDEX(NOTA[TANGGAL],MATCH(,INDIRECT(ADDRESS(ROW(NOTA[TANGGAL]),COLUMN(NOTA[TANGGAL]))&amp;":"&amp;ADDRESS(ROW(),COLUMN(NOTA[TANGGAL]))),-1)))</f>
        <v/>
      </c>
      <c r="AG473" s="84" t="str">
        <f ca="1">IF(NOTA[[#This Row],[NAMA BARANG]]="","",INDEX(NOTA[SUPPLIER],MATCH(,INDIRECT(ADDRESS(ROW(NOTA[ID]),COLUMN(NOTA[ID]))&amp;":"&amp;ADDRESS(ROW(),COLUMN(NOTA[ID]))),-1)))</f>
        <v/>
      </c>
      <c r="AH473" s="84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38" t="str">
        <f>IF(NOTA[[#This Row],[CONCAT4]]="","",_xlfn.IFNA(MATCH(NOTA[[#This Row],[CONCAT4]],[2]!RAW[CONCAT_H],0),FALSE))</f>
        <v/>
      </c>
      <c r="AP473" s="174" t="str">
        <f>IF(NOTA[[#This Row],[CONCAT1]]="","",MATCH(NOTA[[#This Row],[CONCAT1]],[3]!db[NB NOTA_C],0)+1)</f>
        <v/>
      </c>
    </row>
    <row r="474" spans="1:42" ht="20.100000000000001" customHeight="1" x14ac:dyDescent="0.25">
      <c r="A4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93" t="str">
        <f>IF(NOTA[[#This Row],[ID_P]]="","",MATCH(NOTA[[#This Row],[ID_P]],[1]!B_MSK[N_ID],0))</f>
        <v/>
      </c>
      <c r="D474" s="93" t="str">
        <f ca="1">IF(NOTA[[#This Row],[NAMA BARANG]]="","",INDEX(NOTA[ID],MATCH(,INDIRECT(ADDRESS(ROW(NOTA[ID]),COLUMN(NOTA[ID]))&amp;":"&amp;ADDRESS(ROW(),COLUMN(NOTA[ID]))),-1)))</f>
        <v/>
      </c>
      <c r="E474" s="94"/>
      <c r="F474" s="38"/>
      <c r="G474" s="38"/>
      <c r="H474" s="79"/>
      <c r="I474" s="96"/>
      <c r="J474" s="95"/>
      <c r="K474" s="38"/>
      <c r="L474" s="38"/>
      <c r="M474" s="97"/>
      <c r="N474" s="96"/>
      <c r="O474" s="38"/>
      <c r="P474" s="98"/>
      <c r="Q474" s="99"/>
      <c r="R474" s="56"/>
      <c r="S474" s="100"/>
      <c r="T474" s="101"/>
      <c r="U474" s="102"/>
      <c r="V474" s="103"/>
      <c r="W474" s="87" t="str">
        <f>IF(NOTA[[#This Row],[HARGA/ CTN]]="",NOTA[[#This Row],[JUMLAH_H]],NOTA[[#This Row],[HARGA/ CTN]]*IF(NOTA[[#This Row],[C]]="",0,NOTA[[#This Row],[C]]))</f>
        <v/>
      </c>
      <c r="X474" s="87" t="str">
        <f>IF(NOTA[[#This Row],[JUMLAH]]="","",NOTA[[#This Row],[JUMLAH]]*NOTA[[#This Row],[DISC 1]])</f>
        <v/>
      </c>
      <c r="Y474" s="87" t="str">
        <f>IF(NOTA[[#This Row],[JUMLAH]]="","",(NOTA[[#This Row],[JUMLAH]]-NOTA[[#This Row],[DISC 1-]])*NOTA[[#This Row],[DISC 2]])</f>
        <v/>
      </c>
      <c r="Z474" s="87" t="str">
        <f>IF(NOTA[[#This Row],[JUMLAH]]="","",NOTA[[#This Row],[DISC 1-]]+NOTA[[#This Row],[DISC 2-]])</f>
        <v/>
      </c>
      <c r="AA474" s="87" t="str">
        <f>IF(NOTA[[#This Row],[JUMLAH]]="","",NOTA[[#This Row],[JUMLAH]]-NOTA[[#This Row],[DISC]])</f>
        <v/>
      </c>
      <c r="AB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87" t="str">
        <f>IF(OR(NOTA[[#This Row],[QTY]]="",NOTA[[#This Row],[HARGA SATUAN]]="",),"",NOTA[[#This Row],[QTY]]*NOTA[[#This Row],[HARGA SATUAN]])</f>
        <v/>
      </c>
      <c r="AF474" s="81" t="str">
        <f ca="1">IF(NOTA[ID_H]="","",INDEX(NOTA[TANGGAL],MATCH(,INDIRECT(ADDRESS(ROW(NOTA[TANGGAL]),COLUMN(NOTA[TANGGAL]))&amp;":"&amp;ADDRESS(ROW(),COLUMN(NOTA[TANGGAL]))),-1)))</f>
        <v/>
      </c>
      <c r="AG474" s="84" t="str">
        <f ca="1">IF(NOTA[[#This Row],[NAMA BARANG]]="","",INDEX(NOTA[SUPPLIER],MATCH(,INDIRECT(ADDRESS(ROW(NOTA[ID]),COLUMN(NOTA[ID]))&amp;":"&amp;ADDRESS(ROW(),COLUMN(NOTA[ID]))),-1)))</f>
        <v/>
      </c>
      <c r="AH474" s="84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38" t="str">
        <f>IF(NOTA[[#This Row],[CONCAT4]]="","",_xlfn.IFNA(MATCH(NOTA[[#This Row],[CONCAT4]],[2]!RAW[CONCAT_H],0),FALSE))</f>
        <v/>
      </c>
      <c r="AP474" s="174" t="str">
        <f>IF(NOTA[[#This Row],[CONCAT1]]="","",MATCH(NOTA[[#This Row],[CONCAT1]],[3]!db[NB NOTA_C],0)+1)</f>
        <v/>
      </c>
    </row>
    <row r="475" spans="1:42" ht="20.100000000000001" customHeight="1" x14ac:dyDescent="0.25">
      <c r="A4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93" t="str">
        <f>IF(NOTA[[#This Row],[ID_P]]="","",MATCH(NOTA[[#This Row],[ID_P]],[1]!B_MSK[N_ID],0))</f>
        <v/>
      </c>
      <c r="D475" s="93" t="str">
        <f ca="1">IF(NOTA[[#This Row],[NAMA BARANG]]="","",INDEX(NOTA[ID],MATCH(,INDIRECT(ADDRESS(ROW(NOTA[ID]),COLUMN(NOTA[ID]))&amp;":"&amp;ADDRESS(ROW(),COLUMN(NOTA[ID]))),-1)))</f>
        <v/>
      </c>
      <c r="E475" s="94"/>
      <c r="F475" s="38"/>
      <c r="G475" s="38"/>
      <c r="H475" s="79"/>
      <c r="I475" s="96"/>
      <c r="J475" s="95"/>
      <c r="K475" s="96"/>
      <c r="L475" s="38"/>
      <c r="M475" s="97"/>
      <c r="N475" s="96"/>
      <c r="O475" s="38"/>
      <c r="P475" s="98"/>
      <c r="Q475" s="105"/>
      <c r="R475" s="56"/>
      <c r="S475" s="100"/>
      <c r="T475" s="101"/>
      <c r="U475" s="102"/>
      <c r="V475" s="103"/>
      <c r="W475" s="87" t="str">
        <f>IF(NOTA[[#This Row],[HARGA/ CTN]]="",NOTA[[#This Row],[JUMLAH_H]],NOTA[[#This Row],[HARGA/ CTN]]*IF(NOTA[[#This Row],[C]]="",0,NOTA[[#This Row],[C]]))</f>
        <v/>
      </c>
      <c r="X475" s="87" t="str">
        <f>IF(NOTA[[#This Row],[JUMLAH]]="","",NOTA[[#This Row],[JUMLAH]]*NOTA[[#This Row],[DISC 1]])</f>
        <v/>
      </c>
      <c r="Y475" s="87" t="str">
        <f>IF(NOTA[[#This Row],[JUMLAH]]="","",(NOTA[[#This Row],[JUMLAH]]-NOTA[[#This Row],[DISC 1-]])*NOTA[[#This Row],[DISC 2]])</f>
        <v/>
      </c>
      <c r="Z475" s="87" t="str">
        <f>IF(NOTA[[#This Row],[JUMLAH]]="","",NOTA[[#This Row],[DISC 1-]]+NOTA[[#This Row],[DISC 2-]])</f>
        <v/>
      </c>
      <c r="AA475" s="87" t="str">
        <f>IF(NOTA[[#This Row],[JUMLAH]]="","",NOTA[[#This Row],[JUMLAH]]-NOTA[[#This Row],[DISC]])</f>
        <v/>
      </c>
      <c r="AB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87" t="str">
        <f>IF(OR(NOTA[[#This Row],[QTY]]="",NOTA[[#This Row],[HARGA SATUAN]]="",),"",NOTA[[#This Row],[QTY]]*NOTA[[#This Row],[HARGA SATUAN]])</f>
        <v/>
      </c>
      <c r="AF475" s="81" t="str">
        <f ca="1">IF(NOTA[ID_H]="","",INDEX(NOTA[TANGGAL],MATCH(,INDIRECT(ADDRESS(ROW(NOTA[TANGGAL]),COLUMN(NOTA[TANGGAL]))&amp;":"&amp;ADDRESS(ROW(),COLUMN(NOTA[TANGGAL]))),-1)))</f>
        <v/>
      </c>
      <c r="AG475" s="84" t="str">
        <f ca="1">IF(NOTA[[#This Row],[NAMA BARANG]]="","",INDEX(NOTA[SUPPLIER],MATCH(,INDIRECT(ADDRESS(ROW(NOTA[ID]),COLUMN(NOTA[ID]))&amp;":"&amp;ADDRESS(ROW(),COLUMN(NOTA[ID]))),-1)))</f>
        <v/>
      </c>
      <c r="AH475" s="84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38" t="str">
        <f>IF(NOTA[[#This Row],[CONCAT4]]="","",_xlfn.IFNA(MATCH(NOTA[[#This Row],[CONCAT4]],[2]!RAW[CONCAT_H],0),FALSE))</f>
        <v/>
      </c>
      <c r="AP475" s="174" t="str">
        <f>IF(NOTA[[#This Row],[CONCAT1]]="","",MATCH(NOTA[[#This Row],[CONCAT1]],[3]!db[NB NOTA_C],0)+1)</f>
        <v/>
      </c>
    </row>
    <row r="476" spans="1:42" ht="20.100000000000001" customHeight="1" x14ac:dyDescent="0.25">
      <c r="A47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93" t="str">
        <f>IF(NOTA[[#This Row],[ID_P]]="","",MATCH(NOTA[[#This Row],[ID_P]],[1]!B_MSK[N_ID],0))</f>
        <v/>
      </c>
      <c r="D476" s="93" t="str">
        <f ca="1">IF(NOTA[[#This Row],[NAMA BARANG]]="","",INDEX(NOTA[ID],MATCH(,INDIRECT(ADDRESS(ROW(NOTA[ID]),COLUMN(NOTA[ID]))&amp;":"&amp;ADDRESS(ROW(),COLUMN(NOTA[ID]))),-1)))</f>
        <v/>
      </c>
      <c r="E476" s="94"/>
      <c r="F476" s="38"/>
      <c r="G476" s="38"/>
      <c r="H476" s="79"/>
      <c r="I476" s="96"/>
      <c r="J476" s="95"/>
      <c r="K476" s="96"/>
      <c r="L476" s="38"/>
      <c r="M476" s="97"/>
      <c r="N476" s="96"/>
      <c r="O476" s="38"/>
      <c r="P476" s="98"/>
      <c r="Q476" s="99"/>
      <c r="R476" s="56"/>
      <c r="S476" s="100"/>
      <c r="T476" s="101"/>
      <c r="U476" s="102"/>
      <c r="V476" s="103"/>
      <c r="W476" s="87" t="str">
        <f>IF(NOTA[[#This Row],[HARGA/ CTN]]="",NOTA[[#This Row],[JUMLAH_H]],NOTA[[#This Row],[HARGA/ CTN]]*IF(NOTA[[#This Row],[C]]="",0,NOTA[[#This Row],[C]]))</f>
        <v/>
      </c>
      <c r="X476" s="87" t="str">
        <f>IF(NOTA[[#This Row],[JUMLAH]]="","",NOTA[[#This Row],[JUMLAH]]*NOTA[[#This Row],[DISC 1]])</f>
        <v/>
      </c>
      <c r="Y476" s="87" t="str">
        <f>IF(NOTA[[#This Row],[JUMLAH]]="","",(NOTA[[#This Row],[JUMLAH]]-NOTA[[#This Row],[DISC 1-]])*NOTA[[#This Row],[DISC 2]])</f>
        <v/>
      </c>
      <c r="Z476" s="87" t="str">
        <f>IF(NOTA[[#This Row],[JUMLAH]]="","",NOTA[[#This Row],[DISC 1-]]+NOTA[[#This Row],[DISC 2-]])</f>
        <v/>
      </c>
      <c r="AA476" s="87" t="str">
        <f>IF(NOTA[[#This Row],[JUMLAH]]="","",NOTA[[#This Row],[JUMLAH]]-NOTA[[#This Row],[DISC]])</f>
        <v/>
      </c>
      <c r="AB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87" t="str">
        <f>IF(OR(NOTA[[#This Row],[QTY]]="",NOTA[[#This Row],[HARGA SATUAN]]="",),"",NOTA[[#This Row],[QTY]]*NOTA[[#This Row],[HARGA SATUAN]])</f>
        <v/>
      </c>
      <c r="AF476" s="81" t="str">
        <f ca="1">IF(NOTA[ID_H]="","",INDEX(NOTA[TANGGAL],MATCH(,INDIRECT(ADDRESS(ROW(NOTA[TANGGAL]),COLUMN(NOTA[TANGGAL]))&amp;":"&amp;ADDRESS(ROW(),COLUMN(NOTA[TANGGAL]))),-1)))</f>
        <v/>
      </c>
      <c r="AG476" s="84" t="str">
        <f ca="1">IF(NOTA[[#This Row],[NAMA BARANG]]="","",INDEX(NOTA[SUPPLIER],MATCH(,INDIRECT(ADDRESS(ROW(NOTA[ID]),COLUMN(NOTA[ID]))&amp;":"&amp;ADDRESS(ROW(),COLUMN(NOTA[ID]))),-1)))</f>
        <v/>
      </c>
      <c r="AH476" s="84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38" t="str">
        <f>IF(NOTA[[#This Row],[CONCAT4]]="","",_xlfn.IFNA(MATCH(NOTA[[#This Row],[CONCAT4]],[2]!RAW[CONCAT_H],0),FALSE))</f>
        <v/>
      </c>
      <c r="AP476" s="174" t="str">
        <f>IF(NOTA[[#This Row],[CONCAT1]]="","",MATCH(NOTA[[#This Row],[CONCAT1]],[3]!db[NB NOTA_C],0)+1)</f>
        <v/>
      </c>
    </row>
    <row r="477" spans="1:42" ht="20.100000000000001" customHeight="1" x14ac:dyDescent="0.25">
      <c r="A4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93" t="str">
        <f>IF(NOTA[[#This Row],[ID_P]]="","",MATCH(NOTA[[#This Row],[ID_P]],[1]!B_MSK[N_ID],0))</f>
        <v/>
      </c>
      <c r="D477" s="93" t="str">
        <f ca="1">IF(NOTA[[#This Row],[NAMA BARANG]]="","",INDEX(NOTA[ID],MATCH(,INDIRECT(ADDRESS(ROW(NOTA[ID]),COLUMN(NOTA[ID]))&amp;":"&amp;ADDRESS(ROW(),COLUMN(NOTA[ID]))),-1)))</f>
        <v/>
      </c>
      <c r="E477" s="94"/>
      <c r="F477" s="38"/>
      <c r="G477" s="38"/>
      <c r="H477" s="79"/>
      <c r="I477" s="96"/>
      <c r="J477" s="95"/>
      <c r="K477" s="96"/>
      <c r="L477" s="38"/>
      <c r="M477" s="97"/>
      <c r="N477" s="96"/>
      <c r="O477" s="38"/>
      <c r="P477" s="98"/>
      <c r="Q477" s="99"/>
      <c r="R477" s="56"/>
      <c r="S477" s="100"/>
      <c r="T477" s="101"/>
      <c r="U477" s="102"/>
      <c r="V477" s="103"/>
      <c r="W477" s="87" t="str">
        <f>IF(NOTA[[#This Row],[HARGA/ CTN]]="",NOTA[[#This Row],[JUMLAH_H]],NOTA[[#This Row],[HARGA/ CTN]]*IF(NOTA[[#This Row],[C]]="",0,NOTA[[#This Row],[C]]))</f>
        <v/>
      </c>
      <c r="X477" s="87" t="str">
        <f>IF(NOTA[[#This Row],[JUMLAH]]="","",NOTA[[#This Row],[JUMLAH]]*NOTA[[#This Row],[DISC 1]])</f>
        <v/>
      </c>
      <c r="Y477" s="87" t="str">
        <f>IF(NOTA[[#This Row],[JUMLAH]]="","",(NOTA[[#This Row],[JUMLAH]]-NOTA[[#This Row],[DISC 1-]])*NOTA[[#This Row],[DISC 2]])</f>
        <v/>
      </c>
      <c r="Z477" s="87" t="str">
        <f>IF(NOTA[[#This Row],[JUMLAH]]="","",NOTA[[#This Row],[DISC 1-]]+NOTA[[#This Row],[DISC 2-]])</f>
        <v/>
      </c>
      <c r="AA477" s="87" t="str">
        <f>IF(NOTA[[#This Row],[JUMLAH]]="","",NOTA[[#This Row],[JUMLAH]]-NOTA[[#This Row],[DISC]])</f>
        <v/>
      </c>
      <c r="AB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87" t="str">
        <f>IF(OR(NOTA[[#This Row],[QTY]]="",NOTA[[#This Row],[HARGA SATUAN]]="",),"",NOTA[[#This Row],[QTY]]*NOTA[[#This Row],[HARGA SATUAN]])</f>
        <v/>
      </c>
      <c r="AF477" s="81" t="str">
        <f ca="1">IF(NOTA[ID_H]="","",INDEX(NOTA[TANGGAL],MATCH(,INDIRECT(ADDRESS(ROW(NOTA[TANGGAL]),COLUMN(NOTA[TANGGAL]))&amp;":"&amp;ADDRESS(ROW(),COLUMN(NOTA[TANGGAL]))),-1)))</f>
        <v/>
      </c>
      <c r="AG477" s="84" t="str">
        <f ca="1">IF(NOTA[[#This Row],[NAMA BARANG]]="","",INDEX(NOTA[SUPPLIER],MATCH(,INDIRECT(ADDRESS(ROW(NOTA[ID]),COLUMN(NOTA[ID]))&amp;":"&amp;ADDRESS(ROW(),COLUMN(NOTA[ID]))),-1)))</f>
        <v/>
      </c>
      <c r="AH477" s="84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38" t="str">
        <f>IF(NOTA[[#This Row],[CONCAT4]]="","",_xlfn.IFNA(MATCH(NOTA[[#This Row],[CONCAT4]],[2]!RAW[CONCAT_H],0),FALSE))</f>
        <v/>
      </c>
      <c r="AP477" s="174" t="str">
        <f>IF(NOTA[[#This Row],[CONCAT1]]="","",MATCH(NOTA[[#This Row],[CONCAT1]],[3]!db[NB NOTA_C],0)+1)</f>
        <v/>
      </c>
    </row>
    <row r="478" spans="1:42" ht="20.100000000000001" customHeight="1" x14ac:dyDescent="0.25">
      <c r="A4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93" t="str">
        <f>IF(NOTA[[#This Row],[ID_P]]="","",MATCH(NOTA[[#This Row],[ID_P]],[1]!B_MSK[N_ID],0))</f>
        <v/>
      </c>
      <c r="D478" s="93" t="str">
        <f ca="1">IF(NOTA[[#This Row],[NAMA BARANG]]="","",INDEX(NOTA[ID],MATCH(,INDIRECT(ADDRESS(ROW(NOTA[ID]),COLUMN(NOTA[ID]))&amp;":"&amp;ADDRESS(ROW(),COLUMN(NOTA[ID]))),-1)))</f>
        <v/>
      </c>
      <c r="E478" s="94"/>
      <c r="F478" s="38"/>
      <c r="G478" s="38"/>
      <c r="H478" s="79"/>
      <c r="I478" s="96"/>
      <c r="J478" s="95"/>
      <c r="K478" s="96"/>
      <c r="L478" s="38"/>
      <c r="M478" s="97"/>
      <c r="N478" s="96"/>
      <c r="O478" s="38"/>
      <c r="P478" s="98"/>
      <c r="Q478" s="99"/>
      <c r="R478" s="56"/>
      <c r="S478" s="100"/>
      <c r="T478" s="101"/>
      <c r="U478" s="102"/>
      <c r="V478" s="103"/>
      <c r="W478" s="87" t="str">
        <f>IF(NOTA[[#This Row],[HARGA/ CTN]]="",NOTA[[#This Row],[JUMLAH_H]],NOTA[[#This Row],[HARGA/ CTN]]*IF(NOTA[[#This Row],[C]]="",0,NOTA[[#This Row],[C]]))</f>
        <v/>
      </c>
      <c r="X478" s="87" t="str">
        <f>IF(NOTA[[#This Row],[JUMLAH]]="","",NOTA[[#This Row],[JUMLAH]]*NOTA[[#This Row],[DISC 1]])</f>
        <v/>
      </c>
      <c r="Y478" s="87" t="str">
        <f>IF(NOTA[[#This Row],[JUMLAH]]="","",(NOTA[[#This Row],[JUMLAH]]-NOTA[[#This Row],[DISC 1-]])*NOTA[[#This Row],[DISC 2]])</f>
        <v/>
      </c>
      <c r="Z478" s="87" t="str">
        <f>IF(NOTA[[#This Row],[JUMLAH]]="","",NOTA[[#This Row],[DISC 1-]]+NOTA[[#This Row],[DISC 2-]])</f>
        <v/>
      </c>
      <c r="AA478" s="87" t="str">
        <f>IF(NOTA[[#This Row],[JUMLAH]]="","",NOTA[[#This Row],[JUMLAH]]-NOTA[[#This Row],[DISC]])</f>
        <v/>
      </c>
      <c r="AB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87" t="str">
        <f>IF(OR(NOTA[[#This Row],[QTY]]="",NOTA[[#This Row],[HARGA SATUAN]]="",),"",NOTA[[#This Row],[QTY]]*NOTA[[#This Row],[HARGA SATUAN]])</f>
        <v/>
      </c>
      <c r="AF478" s="81" t="str">
        <f ca="1">IF(NOTA[ID_H]="","",INDEX(NOTA[TANGGAL],MATCH(,INDIRECT(ADDRESS(ROW(NOTA[TANGGAL]),COLUMN(NOTA[TANGGAL]))&amp;":"&amp;ADDRESS(ROW(),COLUMN(NOTA[TANGGAL]))),-1)))</f>
        <v/>
      </c>
      <c r="AG478" s="84" t="str">
        <f ca="1">IF(NOTA[[#This Row],[NAMA BARANG]]="","",INDEX(NOTA[SUPPLIER],MATCH(,INDIRECT(ADDRESS(ROW(NOTA[ID]),COLUMN(NOTA[ID]))&amp;":"&amp;ADDRESS(ROW(),COLUMN(NOTA[ID]))),-1)))</f>
        <v/>
      </c>
      <c r="AH478" s="84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38" t="str">
        <f>IF(NOTA[[#This Row],[CONCAT4]]="","",_xlfn.IFNA(MATCH(NOTA[[#This Row],[CONCAT4]],[2]!RAW[CONCAT_H],0),FALSE))</f>
        <v/>
      </c>
      <c r="AP478" s="174" t="str">
        <f>IF(NOTA[[#This Row],[CONCAT1]]="","",MATCH(NOTA[[#This Row],[CONCAT1]],[3]!db[NB NOTA_C],0)+1)</f>
        <v/>
      </c>
    </row>
    <row r="479" spans="1:42" ht="20.100000000000001" customHeight="1" x14ac:dyDescent="0.25">
      <c r="A4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93" t="str">
        <f>IF(NOTA[[#This Row],[ID_P]]="","",MATCH(NOTA[[#This Row],[ID_P]],[1]!B_MSK[N_ID],0))</f>
        <v/>
      </c>
      <c r="D479" s="93" t="str">
        <f ca="1">IF(NOTA[[#This Row],[NAMA BARANG]]="","",INDEX(NOTA[ID],MATCH(,INDIRECT(ADDRESS(ROW(NOTA[ID]),COLUMN(NOTA[ID]))&amp;":"&amp;ADDRESS(ROW(),COLUMN(NOTA[ID]))),-1)))</f>
        <v/>
      </c>
      <c r="E479" s="94"/>
      <c r="F479" s="96"/>
      <c r="G479" s="96"/>
      <c r="H479" s="104"/>
      <c r="I479" s="96"/>
      <c r="J479" s="95"/>
      <c r="K479" s="96"/>
      <c r="L479" s="38"/>
      <c r="M479" s="97"/>
      <c r="N479" s="96"/>
      <c r="O479" s="38"/>
      <c r="P479" s="98"/>
      <c r="Q479" s="99"/>
      <c r="R479" s="56"/>
      <c r="S479" s="100"/>
      <c r="T479" s="101"/>
      <c r="U479" s="102"/>
      <c r="V479" s="103"/>
      <c r="W479" s="87" t="str">
        <f>IF(NOTA[[#This Row],[HARGA/ CTN]]="",NOTA[[#This Row],[JUMLAH_H]],NOTA[[#This Row],[HARGA/ CTN]]*IF(NOTA[[#This Row],[C]]="",0,NOTA[[#This Row],[C]]))</f>
        <v/>
      </c>
      <c r="X479" s="87" t="str">
        <f>IF(NOTA[[#This Row],[JUMLAH]]="","",NOTA[[#This Row],[JUMLAH]]*NOTA[[#This Row],[DISC 1]])</f>
        <v/>
      </c>
      <c r="Y479" s="87" t="str">
        <f>IF(NOTA[[#This Row],[JUMLAH]]="","",(NOTA[[#This Row],[JUMLAH]]-NOTA[[#This Row],[DISC 1-]])*NOTA[[#This Row],[DISC 2]])</f>
        <v/>
      </c>
      <c r="Z479" s="87" t="str">
        <f>IF(NOTA[[#This Row],[JUMLAH]]="","",NOTA[[#This Row],[DISC 1-]]+NOTA[[#This Row],[DISC 2-]])</f>
        <v/>
      </c>
      <c r="AA479" s="87" t="str">
        <f>IF(NOTA[[#This Row],[JUMLAH]]="","",NOTA[[#This Row],[JUMLAH]]-NOTA[[#This Row],[DISC]])</f>
        <v/>
      </c>
      <c r="AB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87" t="str">
        <f>IF(OR(NOTA[[#This Row],[QTY]]="",NOTA[[#This Row],[HARGA SATUAN]]="",),"",NOTA[[#This Row],[QTY]]*NOTA[[#This Row],[HARGA SATUAN]])</f>
        <v/>
      </c>
      <c r="AF479" s="81" t="str">
        <f ca="1">IF(NOTA[ID_H]="","",INDEX(NOTA[TANGGAL],MATCH(,INDIRECT(ADDRESS(ROW(NOTA[TANGGAL]),COLUMN(NOTA[TANGGAL]))&amp;":"&amp;ADDRESS(ROW(),COLUMN(NOTA[TANGGAL]))),-1)))</f>
        <v/>
      </c>
      <c r="AG479" s="84" t="str">
        <f ca="1">IF(NOTA[[#This Row],[NAMA BARANG]]="","",INDEX(NOTA[SUPPLIER],MATCH(,INDIRECT(ADDRESS(ROW(NOTA[ID]),COLUMN(NOTA[ID]))&amp;":"&amp;ADDRESS(ROW(),COLUMN(NOTA[ID]))),-1)))</f>
        <v/>
      </c>
      <c r="AH479" s="84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38" t="str">
        <f>IF(NOTA[[#This Row],[CONCAT4]]="","",_xlfn.IFNA(MATCH(NOTA[[#This Row],[CONCAT4]],[2]!RAW[CONCAT_H],0),FALSE))</f>
        <v/>
      </c>
      <c r="AP479" s="174" t="str">
        <f>IF(NOTA[[#This Row],[CONCAT1]]="","",MATCH(NOTA[[#This Row],[CONCAT1]],[3]!db[NB NOTA_C],0)+1)</f>
        <v/>
      </c>
    </row>
    <row r="480" spans="1:42" ht="20.100000000000001" customHeight="1" x14ac:dyDescent="0.25">
      <c r="A4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93" t="str">
        <f>IF(NOTA[[#This Row],[ID_P]]="","",MATCH(NOTA[[#This Row],[ID_P]],[1]!B_MSK[N_ID],0))</f>
        <v/>
      </c>
      <c r="D480" s="93" t="str">
        <f ca="1">IF(NOTA[[#This Row],[NAMA BARANG]]="","",INDEX(NOTA[ID],MATCH(,INDIRECT(ADDRESS(ROW(NOTA[ID]),COLUMN(NOTA[ID]))&amp;":"&amp;ADDRESS(ROW(),COLUMN(NOTA[ID]))),-1)))</f>
        <v/>
      </c>
      <c r="E480" s="94"/>
      <c r="F480" s="38"/>
      <c r="G480" s="38"/>
      <c r="H480" s="79"/>
      <c r="I480" s="38"/>
      <c r="J480" s="95"/>
      <c r="K480" s="96"/>
      <c r="L480" s="38"/>
      <c r="M480" s="97"/>
      <c r="N480" s="96"/>
      <c r="O480" s="38"/>
      <c r="P480" s="98"/>
      <c r="Q480" s="99"/>
      <c r="R480" s="56"/>
      <c r="S480" s="100"/>
      <c r="T480" s="101"/>
      <c r="U480" s="102"/>
      <c r="V480" s="103"/>
      <c r="W480" s="87" t="str">
        <f>IF(NOTA[[#This Row],[HARGA/ CTN]]="",NOTA[[#This Row],[JUMLAH_H]],NOTA[[#This Row],[HARGA/ CTN]]*IF(NOTA[[#This Row],[C]]="",0,NOTA[[#This Row],[C]]))</f>
        <v/>
      </c>
      <c r="X480" s="87" t="str">
        <f>IF(NOTA[[#This Row],[JUMLAH]]="","",NOTA[[#This Row],[JUMLAH]]*NOTA[[#This Row],[DISC 1]])</f>
        <v/>
      </c>
      <c r="Y480" s="87" t="str">
        <f>IF(NOTA[[#This Row],[JUMLAH]]="","",(NOTA[[#This Row],[JUMLAH]]-NOTA[[#This Row],[DISC 1-]])*NOTA[[#This Row],[DISC 2]])</f>
        <v/>
      </c>
      <c r="Z480" s="87" t="str">
        <f>IF(NOTA[[#This Row],[JUMLAH]]="","",NOTA[[#This Row],[DISC 1-]]+NOTA[[#This Row],[DISC 2-]])</f>
        <v/>
      </c>
      <c r="AA480" s="87" t="str">
        <f>IF(NOTA[[#This Row],[JUMLAH]]="","",NOTA[[#This Row],[JUMLAH]]-NOTA[[#This Row],[DISC]])</f>
        <v/>
      </c>
      <c r="AB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87" t="str">
        <f>IF(OR(NOTA[[#This Row],[QTY]]="",NOTA[[#This Row],[HARGA SATUAN]]="",),"",NOTA[[#This Row],[QTY]]*NOTA[[#This Row],[HARGA SATUAN]])</f>
        <v/>
      </c>
      <c r="AF480" s="81" t="str">
        <f ca="1">IF(NOTA[ID_H]="","",INDEX(NOTA[TANGGAL],MATCH(,INDIRECT(ADDRESS(ROW(NOTA[TANGGAL]),COLUMN(NOTA[TANGGAL]))&amp;":"&amp;ADDRESS(ROW(),COLUMN(NOTA[TANGGAL]))),-1)))</f>
        <v/>
      </c>
      <c r="AG480" s="84" t="str">
        <f ca="1">IF(NOTA[[#This Row],[NAMA BARANG]]="","",INDEX(NOTA[SUPPLIER],MATCH(,INDIRECT(ADDRESS(ROW(NOTA[ID]),COLUMN(NOTA[ID]))&amp;":"&amp;ADDRESS(ROW(),COLUMN(NOTA[ID]))),-1)))</f>
        <v/>
      </c>
      <c r="AH480" s="84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38" t="str">
        <f>IF(NOTA[[#This Row],[CONCAT4]]="","",_xlfn.IFNA(MATCH(NOTA[[#This Row],[CONCAT4]],[2]!RAW[CONCAT_H],0),FALSE))</f>
        <v/>
      </c>
      <c r="AP480" s="174" t="str">
        <f>IF(NOTA[[#This Row],[CONCAT1]]="","",MATCH(NOTA[[#This Row],[CONCAT1]],[3]!db[NB NOTA_C],0)+1)</f>
        <v/>
      </c>
    </row>
    <row r="481" spans="1:42" ht="20.100000000000001" customHeight="1" x14ac:dyDescent="0.25">
      <c r="A4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93" t="str">
        <f>IF(NOTA[[#This Row],[ID_P]]="","",MATCH(NOTA[[#This Row],[ID_P]],[1]!B_MSK[N_ID],0))</f>
        <v/>
      </c>
      <c r="D481" s="93" t="str">
        <f ca="1">IF(NOTA[[#This Row],[NAMA BARANG]]="","",INDEX(NOTA[ID],MATCH(,INDIRECT(ADDRESS(ROW(NOTA[ID]),COLUMN(NOTA[ID]))&amp;":"&amp;ADDRESS(ROW(),COLUMN(NOTA[ID]))),-1)))</f>
        <v/>
      </c>
      <c r="E481" s="94"/>
      <c r="F481" s="38"/>
      <c r="G481" s="38"/>
      <c r="H481" s="79"/>
      <c r="I481" s="96"/>
      <c r="J481" s="95"/>
      <c r="K481" s="96"/>
      <c r="L481" s="38"/>
      <c r="M481" s="97"/>
      <c r="N481" s="96"/>
      <c r="O481" s="38"/>
      <c r="P481" s="98"/>
      <c r="Q481" s="99"/>
      <c r="R481" s="56"/>
      <c r="S481" s="100"/>
      <c r="T481" s="101"/>
      <c r="U481" s="102"/>
      <c r="V481" s="103"/>
      <c r="W481" s="87" t="str">
        <f>IF(NOTA[[#This Row],[HARGA/ CTN]]="",NOTA[[#This Row],[JUMLAH_H]],NOTA[[#This Row],[HARGA/ CTN]]*IF(NOTA[[#This Row],[C]]="",0,NOTA[[#This Row],[C]]))</f>
        <v/>
      </c>
      <c r="X481" s="87" t="str">
        <f>IF(NOTA[[#This Row],[JUMLAH]]="","",NOTA[[#This Row],[JUMLAH]]*NOTA[[#This Row],[DISC 1]])</f>
        <v/>
      </c>
      <c r="Y481" s="87" t="str">
        <f>IF(NOTA[[#This Row],[JUMLAH]]="","",(NOTA[[#This Row],[JUMLAH]]-NOTA[[#This Row],[DISC 1-]])*NOTA[[#This Row],[DISC 2]])</f>
        <v/>
      </c>
      <c r="Z481" s="87" t="str">
        <f>IF(NOTA[[#This Row],[JUMLAH]]="","",NOTA[[#This Row],[DISC 1-]]+NOTA[[#This Row],[DISC 2-]])</f>
        <v/>
      </c>
      <c r="AA481" s="87" t="str">
        <f>IF(NOTA[[#This Row],[JUMLAH]]="","",NOTA[[#This Row],[JUMLAH]]-NOTA[[#This Row],[DISC]])</f>
        <v/>
      </c>
      <c r="AB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87" t="str">
        <f>IF(OR(NOTA[[#This Row],[QTY]]="",NOTA[[#This Row],[HARGA SATUAN]]="",),"",NOTA[[#This Row],[QTY]]*NOTA[[#This Row],[HARGA SATUAN]])</f>
        <v/>
      </c>
      <c r="AF481" s="81" t="str">
        <f ca="1">IF(NOTA[ID_H]="","",INDEX(NOTA[TANGGAL],MATCH(,INDIRECT(ADDRESS(ROW(NOTA[TANGGAL]),COLUMN(NOTA[TANGGAL]))&amp;":"&amp;ADDRESS(ROW(),COLUMN(NOTA[TANGGAL]))),-1)))</f>
        <v/>
      </c>
      <c r="AG481" s="84" t="str">
        <f ca="1">IF(NOTA[[#This Row],[NAMA BARANG]]="","",INDEX(NOTA[SUPPLIER],MATCH(,INDIRECT(ADDRESS(ROW(NOTA[ID]),COLUMN(NOTA[ID]))&amp;":"&amp;ADDRESS(ROW(),COLUMN(NOTA[ID]))),-1)))</f>
        <v/>
      </c>
      <c r="AH481" s="84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38" t="str">
        <f>IF(NOTA[[#This Row],[CONCAT4]]="","",_xlfn.IFNA(MATCH(NOTA[[#This Row],[CONCAT4]],[2]!RAW[CONCAT_H],0),FALSE))</f>
        <v/>
      </c>
      <c r="AP481" s="174" t="str">
        <f>IF(NOTA[[#This Row],[CONCAT1]]="","",MATCH(NOTA[[#This Row],[CONCAT1]],[3]!db[NB NOTA_C],0)+1)</f>
        <v/>
      </c>
    </row>
    <row r="482" spans="1:42" ht="20.100000000000001" customHeight="1" x14ac:dyDescent="0.25">
      <c r="A4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93" t="str">
        <f>IF(NOTA[[#This Row],[ID_P]]="","",MATCH(NOTA[[#This Row],[ID_P]],[1]!B_MSK[N_ID],0))</f>
        <v/>
      </c>
      <c r="D482" s="93" t="str">
        <f ca="1">IF(NOTA[[#This Row],[NAMA BARANG]]="","",INDEX(NOTA[ID],MATCH(,INDIRECT(ADDRESS(ROW(NOTA[ID]),COLUMN(NOTA[ID]))&amp;":"&amp;ADDRESS(ROW(),COLUMN(NOTA[ID]))),-1)))</f>
        <v/>
      </c>
      <c r="E482" s="94"/>
      <c r="F482" s="38"/>
      <c r="G482" s="38"/>
      <c r="H482" s="79"/>
      <c r="I482" s="96"/>
      <c r="J482" s="95"/>
      <c r="K482" s="96"/>
      <c r="L482" s="38"/>
      <c r="M482" s="97"/>
      <c r="N482" s="96"/>
      <c r="O482" s="38"/>
      <c r="P482" s="98"/>
      <c r="Q482" s="99"/>
      <c r="R482" s="56"/>
      <c r="S482" s="100"/>
      <c r="T482" s="101"/>
      <c r="U482" s="102"/>
      <c r="V482" s="103"/>
      <c r="W482" s="87" t="str">
        <f>IF(NOTA[[#This Row],[HARGA/ CTN]]="",NOTA[[#This Row],[JUMLAH_H]],NOTA[[#This Row],[HARGA/ CTN]]*IF(NOTA[[#This Row],[C]]="",0,NOTA[[#This Row],[C]]))</f>
        <v/>
      </c>
      <c r="X482" s="87" t="str">
        <f>IF(NOTA[[#This Row],[JUMLAH]]="","",NOTA[[#This Row],[JUMLAH]]*NOTA[[#This Row],[DISC 1]])</f>
        <v/>
      </c>
      <c r="Y482" s="87" t="str">
        <f>IF(NOTA[[#This Row],[JUMLAH]]="","",(NOTA[[#This Row],[JUMLAH]]-NOTA[[#This Row],[DISC 1-]])*NOTA[[#This Row],[DISC 2]])</f>
        <v/>
      </c>
      <c r="Z482" s="87" t="str">
        <f>IF(NOTA[[#This Row],[JUMLAH]]="","",NOTA[[#This Row],[DISC 1-]]+NOTA[[#This Row],[DISC 2-]])</f>
        <v/>
      </c>
      <c r="AA482" s="87" t="str">
        <f>IF(NOTA[[#This Row],[JUMLAH]]="","",NOTA[[#This Row],[JUMLAH]]-NOTA[[#This Row],[DISC]])</f>
        <v/>
      </c>
      <c r="AB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87" t="str">
        <f>IF(OR(NOTA[[#This Row],[QTY]]="",NOTA[[#This Row],[HARGA SATUAN]]="",),"",NOTA[[#This Row],[QTY]]*NOTA[[#This Row],[HARGA SATUAN]])</f>
        <v/>
      </c>
      <c r="AF482" s="81" t="str">
        <f ca="1">IF(NOTA[ID_H]="","",INDEX(NOTA[TANGGAL],MATCH(,INDIRECT(ADDRESS(ROW(NOTA[TANGGAL]),COLUMN(NOTA[TANGGAL]))&amp;":"&amp;ADDRESS(ROW(),COLUMN(NOTA[TANGGAL]))),-1)))</f>
        <v/>
      </c>
      <c r="AG482" s="84" t="str">
        <f ca="1">IF(NOTA[[#This Row],[NAMA BARANG]]="","",INDEX(NOTA[SUPPLIER],MATCH(,INDIRECT(ADDRESS(ROW(NOTA[ID]),COLUMN(NOTA[ID]))&amp;":"&amp;ADDRESS(ROW(),COLUMN(NOTA[ID]))),-1)))</f>
        <v/>
      </c>
      <c r="AH482" s="84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38" t="str">
        <f>IF(NOTA[[#This Row],[CONCAT4]]="","",_xlfn.IFNA(MATCH(NOTA[[#This Row],[CONCAT4]],[2]!RAW[CONCAT_H],0),FALSE))</f>
        <v/>
      </c>
      <c r="AP482" s="174" t="str">
        <f>IF(NOTA[[#This Row],[CONCAT1]]="","",MATCH(NOTA[[#This Row],[CONCAT1]],[3]!db[NB NOTA_C],0)+1)</f>
        <v/>
      </c>
    </row>
    <row r="483" spans="1:42" ht="20.100000000000001" customHeight="1" x14ac:dyDescent="0.25">
      <c r="A4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93" t="str">
        <f>IF(NOTA[[#This Row],[ID_P]]="","",MATCH(NOTA[[#This Row],[ID_P]],[1]!B_MSK[N_ID],0))</f>
        <v/>
      </c>
      <c r="D483" s="93" t="str">
        <f ca="1">IF(NOTA[[#This Row],[NAMA BARANG]]="","",INDEX(NOTA[ID],MATCH(,INDIRECT(ADDRESS(ROW(NOTA[ID]),COLUMN(NOTA[ID]))&amp;":"&amp;ADDRESS(ROW(),COLUMN(NOTA[ID]))),-1)))</f>
        <v/>
      </c>
      <c r="E483" s="94"/>
      <c r="F483" s="38"/>
      <c r="G483" s="38"/>
      <c r="H483" s="79"/>
      <c r="I483" s="96"/>
      <c r="J483" s="95"/>
      <c r="K483" s="96"/>
      <c r="L483" s="38"/>
      <c r="M483" s="97"/>
      <c r="N483" s="96"/>
      <c r="O483" s="38"/>
      <c r="P483" s="98"/>
      <c r="Q483" s="99"/>
      <c r="R483" s="56"/>
      <c r="S483" s="100"/>
      <c r="T483" s="101"/>
      <c r="U483" s="102"/>
      <c r="V483" s="103"/>
      <c r="W483" s="87" t="str">
        <f>IF(NOTA[[#This Row],[HARGA/ CTN]]="",NOTA[[#This Row],[JUMLAH_H]],NOTA[[#This Row],[HARGA/ CTN]]*IF(NOTA[[#This Row],[C]]="",0,NOTA[[#This Row],[C]]))</f>
        <v/>
      </c>
      <c r="X483" s="87" t="str">
        <f>IF(NOTA[[#This Row],[JUMLAH]]="","",NOTA[[#This Row],[JUMLAH]]*NOTA[[#This Row],[DISC 1]])</f>
        <v/>
      </c>
      <c r="Y483" s="87" t="str">
        <f>IF(NOTA[[#This Row],[JUMLAH]]="","",(NOTA[[#This Row],[JUMLAH]]-NOTA[[#This Row],[DISC 1-]])*NOTA[[#This Row],[DISC 2]])</f>
        <v/>
      </c>
      <c r="Z483" s="87" t="str">
        <f>IF(NOTA[[#This Row],[JUMLAH]]="","",NOTA[[#This Row],[DISC 1-]]+NOTA[[#This Row],[DISC 2-]])</f>
        <v/>
      </c>
      <c r="AA483" s="87" t="str">
        <f>IF(NOTA[[#This Row],[JUMLAH]]="","",NOTA[[#This Row],[JUMLAH]]-NOTA[[#This Row],[DISC]])</f>
        <v/>
      </c>
      <c r="AB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87" t="str">
        <f>IF(OR(NOTA[[#This Row],[QTY]]="",NOTA[[#This Row],[HARGA SATUAN]]="",),"",NOTA[[#This Row],[QTY]]*NOTA[[#This Row],[HARGA SATUAN]])</f>
        <v/>
      </c>
      <c r="AF483" s="81" t="str">
        <f ca="1">IF(NOTA[ID_H]="","",INDEX(NOTA[TANGGAL],MATCH(,INDIRECT(ADDRESS(ROW(NOTA[TANGGAL]),COLUMN(NOTA[TANGGAL]))&amp;":"&amp;ADDRESS(ROW(),COLUMN(NOTA[TANGGAL]))),-1)))</f>
        <v/>
      </c>
      <c r="AG483" s="84" t="str">
        <f ca="1">IF(NOTA[[#This Row],[NAMA BARANG]]="","",INDEX(NOTA[SUPPLIER],MATCH(,INDIRECT(ADDRESS(ROW(NOTA[ID]),COLUMN(NOTA[ID]))&amp;":"&amp;ADDRESS(ROW(),COLUMN(NOTA[ID]))),-1)))</f>
        <v/>
      </c>
      <c r="AH483" s="84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38" t="str">
        <f>IF(NOTA[[#This Row],[CONCAT4]]="","",_xlfn.IFNA(MATCH(NOTA[[#This Row],[CONCAT4]],[2]!RAW[CONCAT_H],0),FALSE))</f>
        <v/>
      </c>
      <c r="AP483" s="174" t="str">
        <f>IF(NOTA[[#This Row],[CONCAT1]]="","",MATCH(NOTA[[#This Row],[CONCAT1]],[3]!db[NB NOTA_C],0)+1)</f>
        <v/>
      </c>
    </row>
    <row r="484" spans="1:42" ht="20.100000000000001" customHeight="1" x14ac:dyDescent="0.25">
      <c r="A48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93" t="str">
        <f>IF(NOTA[[#This Row],[ID_P]]="","",MATCH(NOTA[[#This Row],[ID_P]],[1]!B_MSK[N_ID],0))</f>
        <v/>
      </c>
      <c r="D484" s="93" t="str">
        <f ca="1">IF(NOTA[[#This Row],[NAMA BARANG]]="","",INDEX(NOTA[ID],MATCH(,INDIRECT(ADDRESS(ROW(NOTA[ID]),COLUMN(NOTA[ID]))&amp;":"&amp;ADDRESS(ROW(),COLUMN(NOTA[ID]))),-1)))</f>
        <v/>
      </c>
      <c r="E484" s="94"/>
      <c r="F484" s="38"/>
      <c r="G484" s="38"/>
      <c r="H484" s="79"/>
      <c r="I484" s="96"/>
      <c r="J484" s="95"/>
      <c r="K484" s="96"/>
      <c r="L484" s="38"/>
      <c r="M484" s="97"/>
      <c r="N484" s="96"/>
      <c r="O484" s="38"/>
      <c r="P484" s="98"/>
      <c r="Q484" s="99"/>
      <c r="R484" s="56"/>
      <c r="S484" s="100"/>
      <c r="T484" s="101"/>
      <c r="U484" s="102"/>
      <c r="V484" s="103"/>
      <c r="W484" s="87" t="str">
        <f>IF(NOTA[[#This Row],[HARGA/ CTN]]="",NOTA[[#This Row],[JUMLAH_H]],NOTA[[#This Row],[HARGA/ CTN]]*IF(NOTA[[#This Row],[C]]="",0,NOTA[[#This Row],[C]]))</f>
        <v/>
      </c>
      <c r="X484" s="87" t="str">
        <f>IF(NOTA[[#This Row],[JUMLAH]]="","",NOTA[[#This Row],[JUMLAH]]*NOTA[[#This Row],[DISC 1]])</f>
        <v/>
      </c>
      <c r="Y484" s="87" t="str">
        <f>IF(NOTA[[#This Row],[JUMLAH]]="","",(NOTA[[#This Row],[JUMLAH]]-NOTA[[#This Row],[DISC 1-]])*NOTA[[#This Row],[DISC 2]])</f>
        <v/>
      </c>
      <c r="Z484" s="87" t="str">
        <f>IF(NOTA[[#This Row],[JUMLAH]]="","",NOTA[[#This Row],[DISC 1-]]+NOTA[[#This Row],[DISC 2-]])</f>
        <v/>
      </c>
      <c r="AA484" s="87" t="str">
        <f>IF(NOTA[[#This Row],[JUMLAH]]="","",NOTA[[#This Row],[JUMLAH]]-NOTA[[#This Row],[DISC]])</f>
        <v/>
      </c>
      <c r="AB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87" t="str">
        <f>IF(OR(NOTA[[#This Row],[QTY]]="",NOTA[[#This Row],[HARGA SATUAN]]="",),"",NOTA[[#This Row],[QTY]]*NOTA[[#This Row],[HARGA SATUAN]])</f>
        <v/>
      </c>
      <c r="AF484" s="81" t="str">
        <f ca="1">IF(NOTA[ID_H]="","",INDEX(NOTA[TANGGAL],MATCH(,INDIRECT(ADDRESS(ROW(NOTA[TANGGAL]),COLUMN(NOTA[TANGGAL]))&amp;":"&amp;ADDRESS(ROW(),COLUMN(NOTA[TANGGAL]))),-1)))</f>
        <v/>
      </c>
      <c r="AG484" s="84" t="str">
        <f ca="1">IF(NOTA[[#This Row],[NAMA BARANG]]="","",INDEX(NOTA[SUPPLIER],MATCH(,INDIRECT(ADDRESS(ROW(NOTA[ID]),COLUMN(NOTA[ID]))&amp;":"&amp;ADDRESS(ROW(),COLUMN(NOTA[ID]))),-1)))</f>
        <v/>
      </c>
      <c r="AH484" s="84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4" s="38" t="str">
        <f>IF(NOTA[[#This Row],[CONCAT4]]="","",_xlfn.IFNA(MATCH(NOTA[[#This Row],[CONCAT4]],[2]!RAW[CONCAT_H],0),FALSE))</f>
        <v/>
      </c>
      <c r="AP484" s="174" t="str">
        <f>IF(NOTA[[#This Row],[CONCAT1]]="","",MATCH(NOTA[[#This Row],[CONCAT1]],[3]!db[NB NOTA_C],0)+1)</f>
        <v/>
      </c>
    </row>
    <row r="485" spans="1:42" ht="20.100000000000001" customHeight="1" x14ac:dyDescent="0.25">
      <c r="A48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93" t="str">
        <f>IF(NOTA[[#This Row],[ID_P]]="","",MATCH(NOTA[[#This Row],[ID_P]],[1]!B_MSK[N_ID],0))</f>
        <v/>
      </c>
      <c r="D485" s="93" t="str">
        <f ca="1">IF(NOTA[[#This Row],[NAMA BARANG]]="","",INDEX(NOTA[ID],MATCH(,INDIRECT(ADDRESS(ROW(NOTA[ID]),COLUMN(NOTA[ID]))&amp;":"&amp;ADDRESS(ROW(),COLUMN(NOTA[ID]))),-1)))</f>
        <v/>
      </c>
      <c r="E485" s="94"/>
      <c r="F485" s="38"/>
      <c r="G485" s="38"/>
      <c r="H485" s="79"/>
      <c r="I485" s="38"/>
      <c r="J485" s="78"/>
      <c r="K485" s="78"/>
      <c r="L485" s="38"/>
      <c r="M485" s="97"/>
      <c r="N485" s="96"/>
      <c r="O485" s="38"/>
      <c r="P485" s="98"/>
      <c r="Q485" s="99"/>
      <c r="R485" s="56"/>
      <c r="S485" s="106"/>
      <c r="T485" s="101"/>
      <c r="U485" s="102"/>
      <c r="V485" s="103"/>
      <c r="W485" s="87" t="str">
        <f>IF(NOTA[[#This Row],[HARGA/ CTN]]="",NOTA[[#This Row],[JUMLAH_H]],NOTA[[#This Row],[HARGA/ CTN]]*IF(NOTA[[#This Row],[C]]="",0,NOTA[[#This Row],[C]]))</f>
        <v/>
      </c>
      <c r="X485" s="87" t="str">
        <f>IF(NOTA[[#This Row],[JUMLAH]]="","",NOTA[[#This Row],[JUMLAH]]*NOTA[[#This Row],[DISC 1]])</f>
        <v/>
      </c>
      <c r="Y485" s="87" t="str">
        <f>IF(NOTA[[#This Row],[JUMLAH]]="","",(NOTA[[#This Row],[JUMLAH]]-NOTA[[#This Row],[DISC 1-]])*NOTA[[#This Row],[DISC 2]])</f>
        <v/>
      </c>
      <c r="Z485" s="87" t="str">
        <f>IF(NOTA[[#This Row],[JUMLAH]]="","",NOTA[[#This Row],[DISC 1-]]+NOTA[[#This Row],[DISC 2-]])</f>
        <v/>
      </c>
      <c r="AA485" s="87" t="str">
        <f>IF(NOTA[[#This Row],[JUMLAH]]="","",NOTA[[#This Row],[JUMLAH]]-NOTA[[#This Row],[DISC]])</f>
        <v/>
      </c>
      <c r="AB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87" t="str">
        <f>IF(OR(NOTA[[#This Row],[QTY]]="",NOTA[[#This Row],[HARGA SATUAN]]="",),"",NOTA[[#This Row],[QTY]]*NOTA[[#This Row],[HARGA SATUAN]])</f>
        <v/>
      </c>
      <c r="AF485" s="81" t="str">
        <f ca="1">IF(NOTA[ID_H]="","",INDEX(NOTA[TANGGAL],MATCH(,INDIRECT(ADDRESS(ROW(NOTA[TANGGAL]),COLUMN(NOTA[TANGGAL]))&amp;":"&amp;ADDRESS(ROW(),COLUMN(NOTA[TANGGAL]))),-1)))</f>
        <v/>
      </c>
      <c r="AG485" s="84" t="str">
        <f ca="1">IF(NOTA[[#This Row],[NAMA BARANG]]="","",INDEX(NOTA[SUPPLIER],MATCH(,INDIRECT(ADDRESS(ROW(NOTA[ID]),COLUMN(NOTA[ID]))&amp;":"&amp;ADDRESS(ROW(),COLUMN(NOTA[ID]))),-1)))</f>
        <v/>
      </c>
      <c r="AH485" s="84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38" t="str">
        <f>IF(NOTA[[#This Row],[CONCAT4]]="","",_xlfn.IFNA(MATCH(NOTA[[#This Row],[CONCAT4]],[2]!RAW[CONCAT_H],0),FALSE))</f>
        <v/>
      </c>
      <c r="AP485" s="174" t="str">
        <f>IF(NOTA[[#This Row],[CONCAT1]]="","",MATCH(NOTA[[#This Row],[CONCAT1]],[3]!db[NB NOTA_C],0)+1)</f>
        <v/>
      </c>
    </row>
    <row r="486" spans="1:42" ht="20.100000000000001" customHeight="1" x14ac:dyDescent="0.25">
      <c r="A48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93" t="str">
        <f>IF(NOTA[[#This Row],[ID_P]]="","",MATCH(NOTA[[#This Row],[ID_P]],[1]!B_MSK[N_ID],0))</f>
        <v/>
      </c>
      <c r="D486" s="93" t="str">
        <f ca="1">IF(NOTA[[#This Row],[NAMA BARANG]]="","",INDEX(NOTA[ID],MATCH(,INDIRECT(ADDRESS(ROW(NOTA[ID]),COLUMN(NOTA[ID]))&amp;":"&amp;ADDRESS(ROW(),COLUMN(NOTA[ID]))),-1)))</f>
        <v/>
      </c>
      <c r="E486" s="94"/>
      <c r="F486" s="38"/>
      <c r="G486" s="38"/>
      <c r="H486" s="79"/>
      <c r="I486" s="96"/>
      <c r="J486" s="95"/>
      <c r="K486" s="96"/>
      <c r="L486" s="38"/>
      <c r="M486" s="97"/>
      <c r="N486" s="96"/>
      <c r="O486" s="38"/>
      <c r="P486" s="98"/>
      <c r="Q486" s="99"/>
      <c r="R486" s="56"/>
      <c r="S486" s="100"/>
      <c r="T486" s="101"/>
      <c r="U486" s="102"/>
      <c r="V486" s="103"/>
      <c r="W486" s="87" t="str">
        <f>IF(NOTA[[#This Row],[HARGA/ CTN]]="",NOTA[[#This Row],[JUMLAH_H]],NOTA[[#This Row],[HARGA/ CTN]]*IF(NOTA[[#This Row],[C]]="",0,NOTA[[#This Row],[C]]))</f>
        <v/>
      </c>
      <c r="X486" s="87" t="str">
        <f>IF(NOTA[[#This Row],[JUMLAH]]="","",NOTA[[#This Row],[JUMLAH]]*NOTA[[#This Row],[DISC 1]])</f>
        <v/>
      </c>
      <c r="Y486" s="87" t="str">
        <f>IF(NOTA[[#This Row],[JUMLAH]]="","",(NOTA[[#This Row],[JUMLAH]]-NOTA[[#This Row],[DISC 1-]])*NOTA[[#This Row],[DISC 2]])</f>
        <v/>
      </c>
      <c r="Z486" s="87" t="str">
        <f>IF(NOTA[[#This Row],[JUMLAH]]="","",NOTA[[#This Row],[DISC 1-]]+NOTA[[#This Row],[DISC 2-]])</f>
        <v/>
      </c>
      <c r="AA486" s="87" t="str">
        <f>IF(NOTA[[#This Row],[JUMLAH]]="","",NOTA[[#This Row],[JUMLAH]]-NOTA[[#This Row],[DISC]])</f>
        <v/>
      </c>
      <c r="AB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87" t="str">
        <f>IF(OR(NOTA[[#This Row],[QTY]]="",NOTA[[#This Row],[HARGA SATUAN]]="",),"",NOTA[[#This Row],[QTY]]*NOTA[[#This Row],[HARGA SATUAN]])</f>
        <v/>
      </c>
      <c r="AF486" s="81" t="str">
        <f ca="1">IF(NOTA[ID_H]="","",INDEX(NOTA[TANGGAL],MATCH(,INDIRECT(ADDRESS(ROW(NOTA[TANGGAL]),COLUMN(NOTA[TANGGAL]))&amp;":"&amp;ADDRESS(ROW(),COLUMN(NOTA[TANGGAL]))),-1)))</f>
        <v/>
      </c>
      <c r="AG486" s="84" t="str">
        <f ca="1">IF(NOTA[[#This Row],[NAMA BARANG]]="","",INDEX(NOTA[SUPPLIER],MATCH(,INDIRECT(ADDRESS(ROW(NOTA[ID]),COLUMN(NOTA[ID]))&amp;":"&amp;ADDRESS(ROW(),COLUMN(NOTA[ID]))),-1)))</f>
        <v/>
      </c>
      <c r="AH486" s="84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38" t="str">
        <f>IF(NOTA[[#This Row],[CONCAT4]]="","",_xlfn.IFNA(MATCH(NOTA[[#This Row],[CONCAT4]],[2]!RAW[CONCAT_H],0),FALSE))</f>
        <v/>
      </c>
      <c r="AP486" s="174" t="str">
        <f>IF(NOTA[[#This Row],[CONCAT1]]="","",MATCH(NOTA[[#This Row],[CONCAT1]],[3]!db[NB NOTA_C],0)+1)</f>
        <v/>
      </c>
    </row>
    <row r="487" spans="1:42" ht="20.100000000000001" customHeight="1" x14ac:dyDescent="0.25">
      <c r="A48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93" t="str">
        <f>IF(NOTA[[#This Row],[ID_P]]="","",MATCH(NOTA[[#This Row],[ID_P]],[1]!B_MSK[N_ID],0))</f>
        <v/>
      </c>
      <c r="D487" s="93" t="str">
        <f ca="1">IF(NOTA[[#This Row],[NAMA BARANG]]="","",INDEX(NOTA[ID],MATCH(,INDIRECT(ADDRESS(ROW(NOTA[ID]),COLUMN(NOTA[ID]))&amp;":"&amp;ADDRESS(ROW(),COLUMN(NOTA[ID]))),-1)))</f>
        <v/>
      </c>
      <c r="E487" s="94"/>
      <c r="F487" s="38"/>
      <c r="G487" s="38"/>
      <c r="H487" s="79"/>
      <c r="I487" s="38"/>
      <c r="J487" s="95"/>
      <c r="K487" s="96"/>
      <c r="L487" s="38"/>
      <c r="M487" s="97"/>
      <c r="N487" s="96"/>
      <c r="O487" s="38"/>
      <c r="P487" s="98"/>
      <c r="Q487" s="99"/>
      <c r="R487" s="56"/>
      <c r="S487" s="100"/>
      <c r="T487" s="101"/>
      <c r="U487" s="102"/>
      <c r="V487" s="103"/>
      <c r="W487" s="87" t="str">
        <f>IF(NOTA[[#This Row],[HARGA/ CTN]]="",NOTA[[#This Row],[JUMLAH_H]],NOTA[[#This Row],[HARGA/ CTN]]*IF(NOTA[[#This Row],[C]]="",0,NOTA[[#This Row],[C]]))</f>
        <v/>
      </c>
      <c r="X487" s="87" t="str">
        <f>IF(NOTA[[#This Row],[JUMLAH]]="","",NOTA[[#This Row],[JUMLAH]]*NOTA[[#This Row],[DISC 1]])</f>
        <v/>
      </c>
      <c r="Y487" s="87" t="str">
        <f>IF(NOTA[[#This Row],[JUMLAH]]="","",(NOTA[[#This Row],[JUMLAH]]-NOTA[[#This Row],[DISC 1-]])*NOTA[[#This Row],[DISC 2]])</f>
        <v/>
      </c>
      <c r="Z487" s="87" t="str">
        <f>IF(NOTA[[#This Row],[JUMLAH]]="","",NOTA[[#This Row],[DISC 1-]]+NOTA[[#This Row],[DISC 2-]])</f>
        <v/>
      </c>
      <c r="AA487" s="87" t="str">
        <f>IF(NOTA[[#This Row],[JUMLAH]]="","",NOTA[[#This Row],[JUMLAH]]-NOTA[[#This Row],[DISC]])</f>
        <v/>
      </c>
      <c r="AB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87" t="str">
        <f>IF(OR(NOTA[[#This Row],[QTY]]="",NOTA[[#This Row],[HARGA SATUAN]]="",),"",NOTA[[#This Row],[QTY]]*NOTA[[#This Row],[HARGA SATUAN]])</f>
        <v/>
      </c>
      <c r="AF487" s="81" t="str">
        <f ca="1">IF(NOTA[ID_H]="","",INDEX(NOTA[TANGGAL],MATCH(,INDIRECT(ADDRESS(ROW(NOTA[TANGGAL]),COLUMN(NOTA[TANGGAL]))&amp;":"&amp;ADDRESS(ROW(),COLUMN(NOTA[TANGGAL]))),-1)))</f>
        <v/>
      </c>
      <c r="AG487" s="84" t="str">
        <f ca="1">IF(NOTA[[#This Row],[NAMA BARANG]]="","",INDEX(NOTA[SUPPLIER],MATCH(,INDIRECT(ADDRESS(ROW(NOTA[ID]),COLUMN(NOTA[ID]))&amp;":"&amp;ADDRESS(ROW(),COLUMN(NOTA[ID]))),-1)))</f>
        <v/>
      </c>
      <c r="AH487" s="84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38" t="str">
        <f>IF(NOTA[[#This Row],[CONCAT4]]="","",_xlfn.IFNA(MATCH(NOTA[[#This Row],[CONCAT4]],[2]!RAW[CONCAT_H],0),FALSE))</f>
        <v/>
      </c>
      <c r="AP487" s="174" t="str">
        <f>IF(NOTA[[#This Row],[CONCAT1]]="","",MATCH(NOTA[[#This Row],[CONCAT1]],[3]!db[NB NOTA_C],0)+1)</f>
        <v/>
      </c>
    </row>
    <row r="488" spans="1:42" ht="20.100000000000001" customHeight="1" x14ac:dyDescent="0.25">
      <c r="A48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93" t="str">
        <f>IF(NOTA[[#This Row],[ID_P]]="","",MATCH(NOTA[[#This Row],[ID_P]],[1]!B_MSK[N_ID],0))</f>
        <v/>
      </c>
      <c r="D488" s="93" t="str">
        <f ca="1">IF(NOTA[[#This Row],[NAMA BARANG]]="","",INDEX(NOTA[ID],MATCH(,INDIRECT(ADDRESS(ROW(NOTA[ID]),COLUMN(NOTA[ID]))&amp;":"&amp;ADDRESS(ROW(),COLUMN(NOTA[ID]))),-1)))</f>
        <v/>
      </c>
      <c r="E488" s="94"/>
      <c r="F488" s="38"/>
      <c r="G488" s="38"/>
      <c r="H488" s="79"/>
      <c r="I488" s="38"/>
      <c r="J488" s="78"/>
      <c r="K488" s="95"/>
      <c r="L488" s="38"/>
      <c r="M488" s="97"/>
      <c r="N488" s="96"/>
      <c r="O488" s="38"/>
      <c r="P488" s="98"/>
      <c r="Q488" s="99"/>
      <c r="R488" s="56"/>
      <c r="S488" s="100"/>
      <c r="T488" s="101"/>
      <c r="U488" s="102"/>
      <c r="V488" s="103"/>
      <c r="W488" s="87" t="str">
        <f>IF(NOTA[[#This Row],[HARGA/ CTN]]="",NOTA[[#This Row],[JUMLAH_H]],NOTA[[#This Row],[HARGA/ CTN]]*IF(NOTA[[#This Row],[C]]="",0,NOTA[[#This Row],[C]]))</f>
        <v/>
      </c>
      <c r="X488" s="87" t="str">
        <f>IF(NOTA[[#This Row],[JUMLAH]]="","",NOTA[[#This Row],[JUMLAH]]*NOTA[[#This Row],[DISC 1]])</f>
        <v/>
      </c>
      <c r="Y488" s="87" t="str">
        <f>IF(NOTA[[#This Row],[JUMLAH]]="","",(NOTA[[#This Row],[JUMLAH]]-NOTA[[#This Row],[DISC 1-]])*NOTA[[#This Row],[DISC 2]])</f>
        <v/>
      </c>
      <c r="Z488" s="87" t="str">
        <f>IF(NOTA[[#This Row],[JUMLAH]]="","",NOTA[[#This Row],[DISC 1-]]+NOTA[[#This Row],[DISC 2-]])</f>
        <v/>
      </c>
      <c r="AA488" s="87" t="str">
        <f>IF(NOTA[[#This Row],[JUMLAH]]="","",NOTA[[#This Row],[JUMLAH]]-NOTA[[#This Row],[DISC]])</f>
        <v/>
      </c>
      <c r="AB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87" t="str">
        <f>IF(OR(NOTA[[#This Row],[QTY]]="",NOTA[[#This Row],[HARGA SATUAN]]="",),"",NOTA[[#This Row],[QTY]]*NOTA[[#This Row],[HARGA SATUAN]])</f>
        <v/>
      </c>
      <c r="AF488" s="81" t="str">
        <f ca="1">IF(NOTA[ID_H]="","",INDEX(NOTA[TANGGAL],MATCH(,INDIRECT(ADDRESS(ROW(NOTA[TANGGAL]),COLUMN(NOTA[TANGGAL]))&amp;":"&amp;ADDRESS(ROW(),COLUMN(NOTA[TANGGAL]))),-1)))</f>
        <v/>
      </c>
      <c r="AG488" s="84" t="str">
        <f ca="1">IF(NOTA[[#This Row],[NAMA BARANG]]="","",INDEX(NOTA[SUPPLIER],MATCH(,INDIRECT(ADDRESS(ROW(NOTA[ID]),COLUMN(NOTA[ID]))&amp;":"&amp;ADDRESS(ROW(),COLUMN(NOTA[ID]))),-1)))</f>
        <v/>
      </c>
      <c r="AH488" s="84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38" t="str">
        <f>IF(NOTA[[#This Row],[CONCAT4]]="","",_xlfn.IFNA(MATCH(NOTA[[#This Row],[CONCAT4]],[2]!RAW[CONCAT_H],0),FALSE))</f>
        <v/>
      </c>
      <c r="AP488" s="174" t="str">
        <f>IF(NOTA[[#This Row],[CONCAT1]]="","",MATCH(NOTA[[#This Row],[CONCAT1]],[3]!db[NB NOTA_C],0)+1)</f>
        <v/>
      </c>
    </row>
    <row r="489" spans="1:42" ht="20.100000000000001" customHeight="1" x14ac:dyDescent="0.25">
      <c r="A48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93" t="str">
        <f>IF(NOTA[[#This Row],[ID_P]]="","",MATCH(NOTA[[#This Row],[ID_P]],[1]!B_MSK[N_ID],0))</f>
        <v/>
      </c>
      <c r="D489" s="93" t="str">
        <f ca="1">IF(NOTA[[#This Row],[NAMA BARANG]]="","",INDEX(NOTA[ID],MATCH(,INDIRECT(ADDRESS(ROW(NOTA[ID]),COLUMN(NOTA[ID]))&amp;":"&amp;ADDRESS(ROW(),COLUMN(NOTA[ID]))),-1)))</f>
        <v/>
      </c>
      <c r="E489" s="94"/>
      <c r="F489" s="38"/>
      <c r="G489" s="38"/>
      <c r="H489" s="79"/>
      <c r="I489" s="38"/>
      <c r="J489" s="95"/>
      <c r="K489" s="96"/>
      <c r="L489" s="38"/>
      <c r="M489" s="97"/>
      <c r="N489" s="96"/>
      <c r="O489" s="38"/>
      <c r="P489" s="98"/>
      <c r="Q489" s="99"/>
      <c r="R489" s="56"/>
      <c r="S489" s="100"/>
      <c r="T489" s="101"/>
      <c r="U489" s="102"/>
      <c r="V489" s="103"/>
      <c r="W489" s="87" t="str">
        <f>IF(NOTA[[#This Row],[HARGA/ CTN]]="",NOTA[[#This Row],[JUMLAH_H]],NOTA[[#This Row],[HARGA/ CTN]]*IF(NOTA[[#This Row],[C]]="",0,NOTA[[#This Row],[C]]))</f>
        <v/>
      </c>
      <c r="X489" s="87" t="str">
        <f>IF(NOTA[[#This Row],[JUMLAH]]="","",NOTA[[#This Row],[JUMLAH]]*NOTA[[#This Row],[DISC 1]])</f>
        <v/>
      </c>
      <c r="Y489" s="87" t="str">
        <f>IF(NOTA[[#This Row],[JUMLAH]]="","",(NOTA[[#This Row],[JUMLAH]]-NOTA[[#This Row],[DISC 1-]])*NOTA[[#This Row],[DISC 2]])</f>
        <v/>
      </c>
      <c r="Z489" s="87" t="str">
        <f>IF(NOTA[[#This Row],[JUMLAH]]="","",NOTA[[#This Row],[DISC 1-]]+NOTA[[#This Row],[DISC 2-]])</f>
        <v/>
      </c>
      <c r="AA489" s="87" t="str">
        <f>IF(NOTA[[#This Row],[JUMLAH]]="","",NOTA[[#This Row],[JUMLAH]]-NOTA[[#This Row],[DISC]])</f>
        <v/>
      </c>
      <c r="AB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87" t="str">
        <f>IF(OR(NOTA[[#This Row],[QTY]]="",NOTA[[#This Row],[HARGA SATUAN]]="",),"",NOTA[[#This Row],[QTY]]*NOTA[[#This Row],[HARGA SATUAN]])</f>
        <v/>
      </c>
      <c r="AF489" s="81" t="str">
        <f ca="1">IF(NOTA[ID_H]="","",INDEX(NOTA[TANGGAL],MATCH(,INDIRECT(ADDRESS(ROW(NOTA[TANGGAL]),COLUMN(NOTA[TANGGAL]))&amp;":"&amp;ADDRESS(ROW(),COLUMN(NOTA[TANGGAL]))),-1)))</f>
        <v/>
      </c>
      <c r="AG489" s="84" t="str">
        <f ca="1">IF(NOTA[[#This Row],[NAMA BARANG]]="","",INDEX(NOTA[SUPPLIER],MATCH(,INDIRECT(ADDRESS(ROW(NOTA[ID]),COLUMN(NOTA[ID]))&amp;":"&amp;ADDRESS(ROW(),COLUMN(NOTA[ID]))),-1)))</f>
        <v/>
      </c>
      <c r="AH489" s="84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38" t="str">
        <f>IF(NOTA[[#This Row],[CONCAT4]]="","",_xlfn.IFNA(MATCH(NOTA[[#This Row],[CONCAT4]],[2]!RAW[CONCAT_H],0),FALSE))</f>
        <v/>
      </c>
      <c r="AP489" s="174" t="str">
        <f>IF(NOTA[[#This Row],[CONCAT1]]="","",MATCH(NOTA[[#This Row],[CONCAT1]],[3]!db[NB NOTA_C],0)+1)</f>
        <v/>
      </c>
    </row>
    <row r="490" spans="1:42" ht="20.100000000000001" customHeight="1" x14ac:dyDescent="0.25">
      <c r="A49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93" t="str">
        <f>IF(NOTA[[#This Row],[ID_P]]="","",MATCH(NOTA[[#This Row],[ID_P]],[1]!B_MSK[N_ID],0))</f>
        <v/>
      </c>
      <c r="D490" s="93" t="str">
        <f ca="1">IF(NOTA[[#This Row],[NAMA BARANG]]="","",INDEX(NOTA[ID],MATCH(,INDIRECT(ADDRESS(ROW(NOTA[ID]),COLUMN(NOTA[ID]))&amp;":"&amp;ADDRESS(ROW(),COLUMN(NOTA[ID]))),-1)))</f>
        <v/>
      </c>
      <c r="E490" s="94"/>
      <c r="F490" s="38"/>
      <c r="G490" s="38"/>
      <c r="H490" s="79"/>
      <c r="I490" s="38"/>
      <c r="J490" s="95"/>
      <c r="K490" s="96"/>
      <c r="L490" s="38"/>
      <c r="M490" s="97"/>
      <c r="N490" s="96"/>
      <c r="O490" s="38"/>
      <c r="P490" s="98"/>
      <c r="Q490" s="99"/>
      <c r="R490" s="56"/>
      <c r="S490" s="100"/>
      <c r="T490" s="101"/>
      <c r="U490" s="66"/>
      <c r="V490" s="103"/>
      <c r="W490" s="87" t="str">
        <f>IF(NOTA[[#This Row],[HARGA/ CTN]]="",NOTA[[#This Row],[JUMLAH_H]],NOTA[[#This Row],[HARGA/ CTN]]*IF(NOTA[[#This Row],[C]]="",0,NOTA[[#This Row],[C]]))</f>
        <v/>
      </c>
      <c r="X490" s="87" t="str">
        <f>IF(NOTA[[#This Row],[JUMLAH]]="","",NOTA[[#This Row],[JUMLAH]]*NOTA[[#This Row],[DISC 1]])</f>
        <v/>
      </c>
      <c r="Y490" s="87" t="str">
        <f>IF(NOTA[[#This Row],[JUMLAH]]="","",(NOTA[[#This Row],[JUMLAH]]-NOTA[[#This Row],[DISC 1-]])*NOTA[[#This Row],[DISC 2]])</f>
        <v/>
      </c>
      <c r="Z490" s="87" t="str">
        <f>IF(NOTA[[#This Row],[JUMLAH]]="","",NOTA[[#This Row],[DISC 1-]]+NOTA[[#This Row],[DISC 2-]])</f>
        <v/>
      </c>
      <c r="AA490" s="87" t="str">
        <f>IF(NOTA[[#This Row],[JUMLAH]]="","",NOTA[[#This Row],[JUMLAH]]-NOTA[[#This Row],[DISC]])</f>
        <v/>
      </c>
      <c r="AB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87" t="str">
        <f>IF(OR(NOTA[[#This Row],[QTY]]="",NOTA[[#This Row],[HARGA SATUAN]]="",),"",NOTA[[#This Row],[QTY]]*NOTA[[#This Row],[HARGA SATUAN]])</f>
        <v/>
      </c>
      <c r="AF490" s="81" t="str">
        <f ca="1">IF(NOTA[ID_H]="","",INDEX(NOTA[TANGGAL],MATCH(,INDIRECT(ADDRESS(ROW(NOTA[TANGGAL]),COLUMN(NOTA[TANGGAL]))&amp;":"&amp;ADDRESS(ROW(),COLUMN(NOTA[TANGGAL]))),-1)))</f>
        <v/>
      </c>
      <c r="AG490" s="84" t="str">
        <f ca="1">IF(NOTA[[#This Row],[NAMA BARANG]]="","",INDEX(NOTA[SUPPLIER],MATCH(,INDIRECT(ADDRESS(ROW(NOTA[ID]),COLUMN(NOTA[ID]))&amp;":"&amp;ADDRESS(ROW(),COLUMN(NOTA[ID]))),-1)))</f>
        <v/>
      </c>
      <c r="AH490" s="84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38" t="str">
        <f>IF(NOTA[[#This Row],[CONCAT4]]="","",_xlfn.IFNA(MATCH(NOTA[[#This Row],[CONCAT4]],[2]!RAW[CONCAT_H],0),FALSE))</f>
        <v/>
      </c>
      <c r="AP490" s="174" t="str">
        <f>IF(NOTA[[#This Row],[CONCAT1]]="","",MATCH(NOTA[[#This Row],[CONCAT1]],[3]!db[NB NOTA_C],0)+1)</f>
        <v/>
      </c>
    </row>
    <row r="491" spans="1:42" ht="20.100000000000001" customHeight="1" x14ac:dyDescent="0.25">
      <c r="A49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93" t="str">
        <f>IF(NOTA[[#This Row],[ID_P]]="","",MATCH(NOTA[[#This Row],[ID_P]],[1]!B_MSK[N_ID],0))</f>
        <v/>
      </c>
      <c r="D491" s="93" t="str">
        <f ca="1">IF(NOTA[[#This Row],[NAMA BARANG]]="","",INDEX(NOTA[ID],MATCH(,INDIRECT(ADDRESS(ROW(NOTA[ID]),COLUMN(NOTA[ID]))&amp;":"&amp;ADDRESS(ROW(),COLUMN(NOTA[ID]))),-1)))</f>
        <v/>
      </c>
      <c r="E491" s="94"/>
      <c r="F491" s="38"/>
      <c r="G491" s="38"/>
      <c r="H491" s="79"/>
      <c r="I491" s="38"/>
      <c r="J491" s="95"/>
      <c r="K491" s="96"/>
      <c r="L491" s="38"/>
      <c r="M491" s="97"/>
      <c r="N491" s="96"/>
      <c r="O491" s="38"/>
      <c r="P491" s="98"/>
      <c r="Q491" s="99"/>
      <c r="R491" s="56"/>
      <c r="S491" s="100"/>
      <c r="T491" s="101"/>
      <c r="U491" s="102"/>
      <c r="V491" s="103"/>
      <c r="W491" s="87" t="str">
        <f>IF(NOTA[[#This Row],[HARGA/ CTN]]="",NOTA[[#This Row],[JUMLAH_H]],NOTA[[#This Row],[HARGA/ CTN]]*IF(NOTA[[#This Row],[C]]="",0,NOTA[[#This Row],[C]]))</f>
        <v/>
      </c>
      <c r="X491" s="87" t="str">
        <f>IF(NOTA[[#This Row],[JUMLAH]]="","",NOTA[[#This Row],[JUMLAH]]*NOTA[[#This Row],[DISC 1]])</f>
        <v/>
      </c>
      <c r="Y491" s="87" t="str">
        <f>IF(NOTA[[#This Row],[JUMLAH]]="","",(NOTA[[#This Row],[JUMLAH]]-NOTA[[#This Row],[DISC 1-]])*NOTA[[#This Row],[DISC 2]])</f>
        <v/>
      </c>
      <c r="Z491" s="87" t="str">
        <f>IF(NOTA[[#This Row],[JUMLAH]]="","",NOTA[[#This Row],[DISC 1-]]+NOTA[[#This Row],[DISC 2-]])</f>
        <v/>
      </c>
      <c r="AA491" s="87" t="str">
        <f>IF(NOTA[[#This Row],[JUMLAH]]="","",NOTA[[#This Row],[JUMLAH]]-NOTA[[#This Row],[DISC]])</f>
        <v/>
      </c>
      <c r="AB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87" t="str">
        <f>IF(OR(NOTA[[#This Row],[QTY]]="",NOTA[[#This Row],[HARGA SATUAN]]="",),"",NOTA[[#This Row],[QTY]]*NOTA[[#This Row],[HARGA SATUAN]])</f>
        <v/>
      </c>
      <c r="AF491" s="81" t="str">
        <f ca="1">IF(NOTA[ID_H]="","",INDEX(NOTA[TANGGAL],MATCH(,INDIRECT(ADDRESS(ROW(NOTA[TANGGAL]),COLUMN(NOTA[TANGGAL]))&amp;":"&amp;ADDRESS(ROW(),COLUMN(NOTA[TANGGAL]))),-1)))</f>
        <v/>
      </c>
      <c r="AG491" s="84" t="str">
        <f ca="1">IF(NOTA[[#This Row],[NAMA BARANG]]="","",INDEX(NOTA[SUPPLIER],MATCH(,INDIRECT(ADDRESS(ROW(NOTA[ID]),COLUMN(NOTA[ID]))&amp;":"&amp;ADDRESS(ROW(),COLUMN(NOTA[ID]))),-1)))</f>
        <v/>
      </c>
      <c r="AH491" s="84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38" t="str">
        <f>IF(NOTA[[#This Row],[CONCAT4]]="","",_xlfn.IFNA(MATCH(NOTA[[#This Row],[CONCAT4]],[2]!RAW[CONCAT_H],0),FALSE))</f>
        <v/>
      </c>
      <c r="AP491" s="174" t="str">
        <f>IF(NOTA[[#This Row],[CONCAT1]]="","",MATCH(NOTA[[#This Row],[CONCAT1]],[3]!db[NB NOTA_C],0)+1)</f>
        <v/>
      </c>
    </row>
    <row r="492" spans="1:42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139"/>
      <c r="F492" s="38"/>
      <c r="G492" s="38"/>
      <c r="H492" s="79"/>
      <c r="I492" s="38"/>
      <c r="J492" s="95"/>
      <c r="K492" s="96"/>
      <c r="L492" s="38"/>
      <c r="M492" s="97"/>
      <c r="N492" s="96"/>
      <c r="O492" s="38"/>
      <c r="P492" s="98"/>
      <c r="Q492" s="105"/>
      <c r="R492" s="56"/>
      <c r="S492" s="100"/>
      <c r="T492" s="141"/>
      <c r="U492" s="102"/>
      <c r="V492" s="103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38" t="str">
        <f>IF(NOTA[[#This Row],[CONCAT4]]="","",_xlfn.IFNA(MATCH(NOTA[[#This Row],[CONCAT4]],[2]!RAW[CONCAT_H],0),FALSE))</f>
        <v/>
      </c>
      <c r="AP492" s="174" t="str">
        <f>IF(NOTA[[#This Row],[CONCAT1]]="","",MATCH(NOTA[[#This Row],[CONCAT1]],[3]!db[NB NOTA_C],0)+1)</f>
        <v/>
      </c>
    </row>
    <row r="493" spans="1:42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94"/>
      <c r="F493" s="96"/>
      <c r="G493" s="96"/>
      <c r="H493" s="104"/>
      <c r="I493" s="38"/>
      <c r="J493" s="95"/>
      <c r="K493" s="96"/>
      <c r="L493" s="38"/>
      <c r="M493" s="97"/>
      <c r="N493" s="96"/>
      <c r="O493" s="38"/>
      <c r="P493" s="98"/>
      <c r="Q493" s="99"/>
      <c r="R493" s="56"/>
      <c r="S493" s="100"/>
      <c r="T493" s="101"/>
      <c r="U493" s="102"/>
      <c r="V493" s="103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38" t="str">
        <f>IF(NOTA[[#This Row],[CONCAT4]]="","",_xlfn.IFNA(MATCH(NOTA[[#This Row],[CONCAT4]],[2]!RAW[CONCAT_H],0),FALSE))</f>
        <v/>
      </c>
      <c r="AP493" s="174" t="str">
        <f>IF(NOTA[[#This Row],[CONCAT1]]="","",MATCH(NOTA[[#This Row],[CONCAT1]],[3]!db[NB NOTA_C],0)+1)</f>
        <v/>
      </c>
    </row>
    <row r="494" spans="1:42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94"/>
      <c r="F494" s="38"/>
      <c r="G494" s="38"/>
      <c r="H494" s="79"/>
      <c r="I494" s="38"/>
      <c r="J494" s="95"/>
      <c r="K494" s="96"/>
      <c r="L494" s="38"/>
      <c r="M494" s="97"/>
      <c r="N494" s="96"/>
      <c r="O494" s="38"/>
      <c r="P494" s="98"/>
      <c r="Q494" s="99"/>
      <c r="R494" s="56"/>
      <c r="S494" s="100"/>
      <c r="T494" s="101"/>
      <c r="U494" s="102"/>
      <c r="V494" s="103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38" t="str">
        <f>IF(NOTA[[#This Row],[CONCAT4]]="","",_xlfn.IFNA(MATCH(NOTA[[#This Row],[CONCAT4]],[2]!RAW[CONCAT_H],0),FALSE))</f>
        <v/>
      </c>
      <c r="AP494" s="174" t="str">
        <f>IF(NOTA[[#This Row],[CONCAT1]]="","",MATCH(NOTA[[#This Row],[CONCAT1]],[3]!db[NB NOTA_C],0)+1)</f>
        <v/>
      </c>
    </row>
    <row r="495" spans="1:42" s="48" customFormat="1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94"/>
      <c r="F495" s="96"/>
      <c r="G495" s="96"/>
      <c r="H495" s="104"/>
      <c r="I495" s="38"/>
      <c r="J495" s="95"/>
      <c r="K495" s="96"/>
      <c r="L495" s="38"/>
      <c r="M495" s="97"/>
      <c r="N495" s="96"/>
      <c r="O495" s="38"/>
      <c r="P495" s="98"/>
      <c r="Q495" s="99"/>
      <c r="R495" s="56"/>
      <c r="S495" s="100"/>
      <c r="T495" s="101"/>
      <c r="U495" s="102"/>
      <c r="V495" s="103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38" t="str">
        <f>IF(NOTA[[#This Row],[CONCAT4]]="","",_xlfn.IFNA(MATCH(NOTA[[#This Row],[CONCAT4]],[2]!RAW[CONCAT_H],0),FALSE))</f>
        <v/>
      </c>
      <c r="AP495" s="174" t="str">
        <f>IF(NOTA[[#This Row],[CONCAT1]]="","",MATCH(NOTA[[#This Row],[CONCAT1]],[3]!db[NB NOTA_C],0)+1)</f>
        <v/>
      </c>
    </row>
    <row r="496" spans="1:42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94"/>
      <c r="F496" s="38"/>
      <c r="G496" s="38"/>
      <c r="H496" s="79"/>
      <c r="I496" s="38"/>
      <c r="J496" s="95"/>
      <c r="K496" s="96"/>
      <c r="L496" s="38"/>
      <c r="M496" s="97"/>
      <c r="N496" s="96"/>
      <c r="O496" s="38"/>
      <c r="P496" s="98"/>
      <c r="Q496" s="99"/>
      <c r="R496" s="56"/>
      <c r="S496" s="100"/>
      <c r="T496" s="101"/>
      <c r="U496" s="102"/>
      <c r="V496" s="103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38" t="str">
        <f>IF(NOTA[[#This Row],[CONCAT4]]="","",_xlfn.IFNA(MATCH(NOTA[[#This Row],[CONCAT4]],[2]!RAW[CONCAT_H],0),FALSE))</f>
        <v/>
      </c>
      <c r="AP496" s="174" t="str">
        <f>IF(NOTA[[#This Row],[CONCAT1]]="","",MATCH(NOTA[[#This Row],[CONCAT1]],[3]!db[NB NOTA_C],0)+1)</f>
        <v/>
      </c>
    </row>
    <row r="497" spans="1:42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94"/>
      <c r="F497" s="38"/>
      <c r="G497" s="38"/>
      <c r="H497" s="38"/>
      <c r="I497" s="96"/>
      <c r="J497" s="95"/>
      <c r="K497" s="96"/>
      <c r="L497" s="38"/>
      <c r="M497" s="97"/>
      <c r="N497" s="96"/>
      <c r="O497" s="38"/>
      <c r="P497" s="98"/>
      <c r="Q497" s="99"/>
      <c r="R497" s="56"/>
      <c r="S497" s="100"/>
      <c r="T497" s="101"/>
      <c r="U497" s="102"/>
      <c r="V497" s="103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38" t="str">
        <f>IF(NOTA[[#This Row],[CONCAT4]]="","",_xlfn.IFNA(MATCH(NOTA[[#This Row],[CONCAT4]],[2]!RAW[CONCAT_H],0),FALSE))</f>
        <v/>
      </c>
      <c r="AP497" s="174" t="str">
        <f>IF(NOTA[[#This Row],[CONCAT1]]="","",MATCH(NOTA[[#This Row],[CONCAT1]],[3]!db[NB NOTA_C],0)+1)</f>
        <v/>
      </c>
    </row>
    <row r="498" spans="1:42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94"/>
      <c r="F498" s="38"/>
      <c r="G498" s="38"/>
      <c r="H498" s="79"/>
      <c r="I498" s="96"/>
      <c r="J498" s="95"/>
      <c r="K498" s="96"/>
      <c r="L498" s="38"/>
      <c r="M498" s="97"/>
      <c r="N498" s="96"/>
      <c r="O498" s="38"/>
      <c r="P498" s="98"/>
      <c r="Q498" s="99"/>
      <c r="R498" s="56"/>
      <c r="S498" s="100"/>
      <c r="T498" s="101"/>
      <c r="U498" s="102"/>
      <c r="V498" s="103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38" t="str">
        <f>IF(NOTA[[#This Row],[CONCAT4]]="","",_xlfn.IFNA(MATCH(NOTA[[#This Row],[CONCAT4]],[2]!RAW[CONCAT_H],0),FALSE))</f>
        <v/>
      </c>
      <c r="AP498" s="174" t="str">
        <f>IF(NOTA[[#This Row],[CONCAT1]]="","",MATCH(NOTA[[#This Row],[CONCAT1]],[3]!db[NB NOTA_C],0)+1)</f>
        <v/>
      </c>
    </row>
    <row r="499" spans="1:42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78"/>
      <c r="K499" s="95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38" t="str">
        <f>IF(NOTA[[#This Row],[CONCAT4]]="","",_xlfn.IFNA(MATCH(NOTA[[#This Row],[CONCAT4]],[2]!RAW[CONCAT_H],0),FALSE))</f>
        <v/>
      </c>
      <c r="AP499" s="174" t="str">
        <f>IF(NOTA[[#This Row],[CONCAT1]]="","",MATCH(NOTA[[#This Row],[CONCAT1]],[3]!db[NB NOTA_C],0)+1)</f>
        <v/>
      </c>
    </row>
    <row r="500" spans="1:42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38"/>
      <c r="G500" s="38"/>
      <c r="H500" s="79"/>
      <c r="I500" s="96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38" t="str">
        <f>IF(NOTA[[#This Row],[CONCAT4]]="","",_xlfn.IFNA(MATCH(NOTA[[#This Row],[CONCAT4]],[2]!RAW[CONCAT_H],0),FALSE))</f>
        <v/>
      </c>
      <c r="AP500" s="174" t="str">
        <f>IF(NOTA[[#This Row],[CONCAT1]]="","",MATCH(NOTA[[#This Row],[CONCAT1]],[3]!db[NB NOTA_C],0)+1)</f>
        <v/>
      </c>
    </row>
    <row r="501" spans="1:42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96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38" t="str">
        <f>IF(NOTA[[#This Row],[CONCAT4]]="","",_xlfn.IFNA(MATCH(NOTA[[#This Row],[CONCAT4]],[2]!RAW[CONCAT_H],0),FALSE))</f>
        <v/>
      </c>
      <c r="AP501" s="174" t="str">
        <f>IF(NOTA[[#This Row],[CONCAT1]]="","",MATCH(NOTA[[#This Row],[CONCAT1]],[3]!db[NB NOTA_C],0)+1)</f>
        <v/>
      </c>
    </row>
    <row r="502" spans="1:42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80"/>
      <c r="F502" s="26"/>
      <c r="G502" s="26"/>
      <c r="H502" s="31"/>
      <c r="I502" s="26"/>
      <c r="J502" s="81"/>
      <c r="K502" s="81"/>
      <c r="L502" s="38"/>
      <c r="M502" s="97"/>
      <c r="N502" s="96"/>
      <c r="O502" s="38"/>
      <c r="P502" s="98"/>
      <c r="Q502" s="99"/>
      <c r="R502" s="56"/>
      <c r="S502" s="86"/>
      <c r="T502" s="86"/>
      <c r="U502" s="87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38" t="str">
        <f>IF(NOTA[[#This Row],[CONCAT4]]="","",_xlfn.IFNA(MATCH(NOTA[[#This Row],[CONCAT4]],[2]!RAW[CONCAT_H],0),FALSE))</f>
        <v/>
      </c>
      <c r="AP502" s="174" t="str">
        <f>IF(NOTA[[#This Row],[CONCAT1]]="","",MATCH(NOTA[[#This Row],[CONCAT1]],[3]!db[NB NOTA_C],0)+1)</f>
        <v/>
      </c>
    </row>
    <row r="503" spans="1:42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80"/>
      <c r="F503" s="26"/>
      <c r="G503" s="26"/>
      <c r="H503" s="31"/>
      <c r="I503" s="82"/>
      <c r="J503" s="81"/>
      <c r="K503" s="82"/>
      <c r="L503" s="38"/>
      <c r="M503" s="140"/>
      <c r="N503" s="96"/>
      <c r="O503" s="38"/>
      <c r="P503" s="98"/>
      <c r="Q503" s="99"/>
      <c r="R503" s="56"/>
      <c r="S503" s="86"/>
      <c r="T503" s="86"/>
      <c r="U503" s="87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3" s="38" t="str">
        <f>IF(NOTA[[#This Row],[CONCAT4]]="","",_xlfn.IFNA(MATCH(NOTA[[#This Row],[CONCAT4]],[2]!RAW[CONCAT_H],0),FALSE))</f>
        <v/>
      </c>
      <c r="AP503" s="174" t="str">
        <f>IF(NOTA[[#This Row],[CONCAT1]]="","",MATCH(NOTA[[#This Row],[CONCAT1]],[3]!db[NB NOTA_C],0)+1)</f>
        <v/>
      </c>
    </row>
    <row r="504" spans="1:42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80"/>
      <c r="F504" s="26"/>
      <c r="G504" s="26"/>
      <c r="H504" s="31"/>
      <c r="I504" s="82"/>
      <c r="J504" s="81"/>
      <c r="K504" s="82"/>
      <c r="L504" s="26"/>
      <c r="M504" s="83"/>
      <c r="N504" s="82"/>
      <c r="O504" s="26"/>
      <c r="P504" s="84"/>
      <c r="Q504" s="85"/>
      <c r="R504" s="39"/>
      <c r="S504" s="86"/>
      <c r="T504" s="86"/>
      <c r="U504" s="87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38" t="str">
        <f>IF(NOTA[[#This Row],[CONCAT4]]="","",_xlfn.IFNA(MATCH(NOTA[[#This Row],[CONCAT4]],[2]!RAW[CONCAT_H],0),FALSE))</f>
        <v/>
      </c>
      <c r="AP504" s="174" t="str">
        <f>IF(NOTA[[#This Row],[CONCAT1]]="","",MATCH(NOTA[[#This Row],[CONCAT1]],[3]!db[NB NOTA_C],0)+1)</f>
        <v/>
      </c>
    </row>
    <row r="505" spans="1:42" s="48" customFormat="1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80"/>
      <c r="F505" s="26"/>
      <c r="G505" s="26"/>
      <c r="H505" s="31"/>
      <c r="I505" s="82"/>
      <c r="J505" s="81"/>
      <c r="K505" s="82"/>
      <c r="L505" s="26"/>
      <c r="M505" s="83"/>
      <c r="N505" s="82"/>
      <c r="O505" s="26"/>
      <c r="P505" s="84"/>
      <c r="Q505" s="85"/>
      <c r="R505" s="39"/>
      <c r="S505" s="86"/>
      <c r="T505" s="86"/>
      <c r="U505" s="87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38" t="str">
        <f>IF(NOTA[[#This Row],[CONCAT4]]="","",_xlfn.IFNA(MATCH(NOTA[[#This Row],[CONCAT4]],[2]!RAW[CONCAT_H],0),FALSE))</f>
        <v/>
      </c>
      <c r="AP505" s="174" t="str">
        <f>IF(NOTA[[#This Row],[CONCAT1]]="","",MATCH(NOTA[[#This Row],[CONCAT1]],[3]!db[NB NOTA_C],0)+1)</f>
        <v/>
      </c>
    </row>
    <row r="506" spans="1:42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80"/>
      <c r="F506" s="26"/>
      <c r="G506" s="26"/>
      <c r="H506" s="31"/>
      <c r="I506" s="82"/>
      <c r="J506" s="51"/>
      <c r="K506" s="26"/>
      <c r="L506" s="26"/>
      <c r="M506" s="83"/>
      <c r="N506" s="82"/>
      <c r="O506" s="26"/>
      <c r="P506" s="84"/>
      <c r="Q506" s="85"/>
      <c r="R506" s="39"/>
      <c r="S506" s="86"/>
      <c r="T506" s="86"/>
      <c r="U506" s="87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38" t="str">
        <f>IF(NOTA[[#This Row],[CONCAT4]]="","",_xlfn.IFNA(MATCH(NOTA[[#This Row],[CONCAT4]],[2]!RAW[CONCAT_H],0),FALSE))</f>
        <v/>
      </c>
      <c r="AP506" s="174" t="str">
        <f>IF(NOTA[[#This Row],[CONCAT1]]="","",MATCH(NOTA[[#This Row],[CONCAT1]],[3]!db[NB NOTA_C],0)+1)</f>
        <v/>
      </c>
    </row>
    <row r="507" spans="1:42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80"/>
      <c r="F507" s="26"/>
      <c r="G507" s="26"/>
      <c r="H507" s="31"/>
      <c r="I507" s="82"/>
      <c r="J507" s="81"/>
      <c r="K507" s="82"/>
      <c r="L507" s="26"/>
      <c r="M507" s="83"/>
      <c r="N507" s="82"/>
      <c r="O507" s="26"/>
      <c r="P507" s="84"/>
      <c r="Q507" s="85"/>
      <c r="R507" s="39"/>
      <c r="S507" s="86"/>
      <c r="T507" s="86"/>
      <c r="U507" s="87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38" t="str">
        <f>IF(NOTA[[#This Row],[CONCAT4]]="","",_xlfn.IFNA(MATCH(NOTA[[#This Row],[CONCAT4]],[2]!RAW[CONCAT_H],0),FALSE))</f>
        <v/>
      </c>
      <c r="AP507" s="174" t="str">
        <f>IF(NOTA[[#This Row],[CONCAT1]]="","",MATCH(NOTA[[#This Row],[CONCAT1]],[3]!db[NB NOTA_C],0)+1)</f>
        <v/>
      </c>
    </row>
    <row r="508" spans="1:42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80"/>
      <c r="F508" s="26"/>
      <c r="G508" s="26"/>
      <c r="H508" s="31"/>
      <c r="I508" s="82"/>
      <c r="J508" s="81"/>
      <c r="K508" s="82"/>
      <c r="L508" s="26"/>
      <c r="M508" s="83"/>
      <c r="N508" s="82"/>
      <c r="O508" s="26"/>
      <c r="P508" s="84"/>
      <c r="Q508" s="85"/>
      <c r="R508" s="39"/>
      <c r="S508" s="86"/>
      <c r="T508" s="86"/>
      <c r="U508" s="87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38" t="str">
        <f>IF(NOTA[[#This Row],[CONCAT4]]="","",_xlfn.IFNA(MATCH(NOTA[[#This Row],[CONCAT4]],[2]!RAW[CONCAT_H],0),FALSE))</f>
        <v/>
      </c>
      <c r="AP508" s="174" t="str">
        <f>IF(NOTA[[#This Row],[CONCAT1]]="","",MATCH(NOTA[[#This Row],[CONCAT1]],[3]!db[NB NOTA_C],0)+1)</f>
        <v/>
      </c>
    </row>
    <row r="509" spans="1:42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80"/>
      <c r="F509" s="26"/>
      <c r="G509" s="26"/>
      <c r="H509" s="31"/>
      <c r="I509" s="82"/>
      <c r="J509" s="81"/>
      <c r="K509" s="82"/>
      <c r="L509" s="26"/>
      <c r="M509" s="83"/>
      <c r="N509" s="82"/>
      <c r="O509" s="26"/>
      <c r="P509" s="84"/>
      <c r="Q509" s="85"/>
      <c r="R509" s="39"/>
      <c r="S509" s="53"/>
      <c r="T509" s="86"/>
      <c r="U509" s="87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38" t="str">
        <f>IF(NOTA[[#This Row],[CONCAT4]]="","",_xlfn.IFNA(MATCH(NOTA[[#This Row],[CONCAT4]],[2]!RAW[CONCAT_H],0),FALSE))</f>
        <v/>
      </c>
      <c r="AP509" s="174" t="str">
        <f>IF(NOTA[[#This Row],[CONCAT1]]="","",MATCH(NOTA[[#This Row],[CONCAT1]],[3]!db[NB NOTA_C],0)+1)</f>
        <v/>
      </c>
    </row>
    <row r="510" spans="1:42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80"/>
      <c r="F510" s="26"/>
      <c r="G510" s="26"/>
      <c r="H510" s="31"/>
      <c r="I510" s="26"/>
      <c r="J510" s="81"/>
      <c r="K510" s="82"/>
      <c r="L510" s="26"/>
      <c r="M510" s="83"/>
      <c r="N510" s="82"/>
      <c r="O510" s="26"/>
      <c r="P510" s="84"/>
      <c r="Q510" s="85"/>
      <c r="R510" s="39"/>
      <c r="S510" s="86"/>
      <c r="T510" s="86"/>
      <c r="U510" s="87"/>
      <c r="V510" s="37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Row],[SUPPLIER_H]]="","",AJ508),MONTH(NOTA[[#This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38" t="str">
        <f>IF(NOTA[[#This Row],[CONCAT4]]="","",_xlfn.IFNA(MATCH(NOTA[[#This Row],[CONCAT4]],[2]!RAW[CONCAT_H],0),FALSE))</f>
        <v/>
      </c>
      <c r="AP510" s="174" t="str">
        <f>IF(NOTA[[#This Row],[CONCAT1]]="","",MATCH(NOTA[[#This Row],[CONCAT1]],[3]!db[NB NOTA_C],0)+1)</f>
        <v/>
      </c>
    </row>
    <row r="511" spans="1:42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80"/>
      <c r="F511" s="26"/>
      <c r="G511" s="26"/>
      <c r="H511" s="31"/>
      <c r="I511" s="26"/>
      <c r="J511" s="81"/>
      <c r="K511" s="82"/>
      <c r="L511" s="26"/>
      <c r="M511" s="83"/>
      <c r="N511" s="82"/>
      <c r="O511" s="26"/>
      <c r="P511" s="84"/>
      <c r="Q511" s="85"/>
      <c r="R511" s="39"/>
      <c r="S511" s="86"/>
      <c r="T511" s="86"/>
      <c r="U511" s="87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38" t="str">
        <f>IF(NOTA[[#This Row],[CONCAT4]]="","",_xlfn.IFNA(MATCH(NOTA[[#This Row],[CONCAT4]],[2]!RAW[CONCAT_H],0),FALSE))</f>
        <v/>
      </c>
      <c r="AP511" s="174" t="str">
        <f>IF(NOTA[[#This Row],[CONCAT1]]="","",MATCH(NOTA[[#This Row],[CONCAT1]],[3]!db[NB NOTA_C],0)+1)</f>
        <v/>
      </c>
    </row>
    <row r="512" spans="1:42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80"/>
      <c r="F512" s="26"/>
      <c r="G512" s="26"/>
      <c r="H512" s="31"/>
      <c r="I512" s="62"/>
      <c r="J512" s="60"/>
      <c r="K512" s="82"/>
      <c r="L512" s="26"/>
      <c r="M512" s="83"/>
      <c r="N512" s="82"/>
      <c r="O512" s="26"/>
      <c r="P512" s="84"/>
      <c r="Q512" s="85"/>
      <c r="R512" s="39"/>
      <c r="S512" s="86"/>
      <c r="T512" s="86"/>
      <c r="U512" s="87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38" t="str">
        <f>IF(NOTA[[#This Row],[CONCAT4]]="","",_xlfn.IFNA(MATCH(NOTA[[#This Row],[CONCAT4]],[2]!RAW[CONCAT_H],0),FALSE))</f>
        <v/>
      </c>
      <c r="AP512" s="174" t="str">
        <f>IF(NOTA[[#This Row],[CONCAT1]]="","",MATCH(NOTA[[#This Row],[CONCAT1]],[3]!db[NB NOTA_C],0)+1)</f>
        <v/>
      </c>
    </row>
    <row r="513" spans="1:42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80"/>
      <c r="F513" s="26"/>
      <c r="G513" s="26"/>
      <c r="H513" s="31"/>
      <c r="I513" s="82"/>
      <c r="J513" s="81"/>
      <c r="K513" s="82"/>
      <c r="L513" s="26"/>
      <c r="M513" s="83"/>
      <c r="N513" s="82"/>
      <c r="O513" s="26"/>
      <c r="P513" s="84"/>
      <c r="Q513" s="85"/>
      <c r="R513" s="39"/>
      <c r="S513" s="86"/>
      <c r="T513" s="86"/>
      <c r="U513" s="87"/>
      <c r="V513" s="37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38" t="str">
        <f>IF(NOTA[[#This Row],[CONCAT4]]="","",_xlfn.IFNA(MATCH(NOTA[[#This Row],[CONCAT4]],[2]!RAW[CONCAT_H],0),FALSE))</f>
        <v/>
      </c>
      <c r="AP513" s="174" t="str">
        <f>IF(NOTA[[#This Row],[CONCAT1]]="","",MATCH(NOTA[[#This Row],[CONCAT1]],[3]!db[NB NOTA_C],0)+1)</f>
        <v/>
      </c>
    </row>
    <row r="514" spans="1:42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80"/>
      <c r="F514" s="26"/>
      <c r="G514" s="26"/>
      <c r="H514" s="31"/>
      <c r="I514" s="82"/>
      <c r="J514" s="81"/>
      <c r="K514" s="82"/>
      <c r="L514" s="26"/>
      <c r="M514" s="83"/>
      <c r="N514" s="82"/>
      <c r="O514" s="26"/>
      <c r="P514" s="84"/>
      <c r="Q514" s="85"/>
      <c r="R514" s="39"/>
      <c r="S514" s="86"/>
      <c r="T514" s="86"/>
      <c r="U514" s="87"/>
      <c r="V514" s="37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38" t="str">
        <f>IF(NOTA[[#This Row],[CONCAT4]]="","",_xlfn.IFNA(MATCH(NOTA[[#This Row],[CONCAT4]],[2]!RAW[CONCAT_H],0),FALSE))</f>
        <v/>
      </c>
      <c r="AP514" s="174" t="str">
        <f>IF(NOTA[[#This Row],[CONCAT1]]="","",MATCH(NOTA[[#This Row],[CONCAT1]],[3]!db[NB NOTA_C],0)+1)</f>
        <v/>
      </c>
    </row>
    <row r="515" spans="1:42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80"/>
      <c r="F515" s="26"/>
      <c r="G515" s="26"/>
      <c r="H515" s="31"/>
      <c r="I515" s="82"/>
      <c r="J515" s="81"/>
      <c r="K515" s="82"/>
      <c r="L515" s="26"/>
      <c r="M515" s="83"/>
      <c r="N515" s="82"/>
      <c r="O515" s="26"/>
      <c r="P515" s="84"/>
      <c r="Q515" s="85"/>
      <c r="R515" s="39"/>
      <c r="S515" s="86"/>
      <c r="T515" s="86"/>
      <c r="U515" s="87"/>
      <c r="V515" s="37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38" t="str">
        <f>IF(NOTA[[#This Row],[CONCAT4]]="","",_xlfn.IFNA(MATCH(NOTA[[#This Row],[CONCAT4]],[2]!RAW[CONCAT_H],0),FALSE))</f>
        <v/>
      </c>
      <c r="AP515" s="174" t="str">
        <f>IF(NOTA[[#This Row],[CONCAT1]]="","",MATCH(NOTA[[#This Row],[CONCAT1]],[3]!db[NB NOTA_C],0)+1)</f>
        <v/>
      </c>
    </row>
    <row r="516" spans="1:42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80"/>
      <c r="F516" s="26"/>
      <c r="G516" s="26"/>
      <c r="H516" s="31"/>
      <c r="I516" s="26"/>
      <c r="J516" s="81"/>
      <c r="K516" s="82"/>
      <c r="L516" s="26"/>
      <c r="M516" s="83"/>
      <c r="N516" s="82"/>
      <c r="O516" s="26"/>
      <c r="P516" s="84"/>
      <c r="Q516" s="85"/>
      <c r="R516" s="39"/>
      <c r="S516" s="53"/>
      <c r="T516" s="86"/>
      <c r="U516" s="87"/>
      <c r="V516" s="37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38" t="str">
        <f>IF(NOTA[[#This Row],[CONCAT4]]="","",_xlfn.IFNA(MATCH(NOTA[[#This Row],[CONCAT4]],[2]!RAW[CONCAT_H],0),FALSE))</f>
        <v/>
      </c>
      <c r="AP516" s="174" t="str">
        <f>IF(NOTA[[#This Row],[CONCAT1]]="","",MATCH(NOTA[[#This Row],[CONCAT1]],[3]!db[NB NOTA_C],0)+1)</f>
        <v/>
      </c>
    </row>
    <row r="517" spans="1:42" s="48" customFormat="1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80"/>
      <c r="F517" s="26"/>
      <c r="G517" s="26"/>
      <c r="H517" s="31"/>
      <c r="I517" s="82"/>
      <c r="J517" s="51"/>
      <c r="K517" s="82"/>
      <c r="L517" s="26"/>
      <c r="M517" s="83"/>
      <c r="N517" s="82"/>
      <c r="O517" s="26"/>
      <c r="P517" s="84"/>
      <c r="Q517" s="85"/>
      <c r="R517" s="39"/>
      <c r="S517" s="86"/>
      <c r="T517" s="86"/>
      <c r="U517" s="87"/>
      <c r="V517" s="37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38" t="str">
        <f>IF(NOTA[[#This Row],[CONCAT4]]="","",_xlfn.IFNA(MATCH(NOTA[[#This Row],[CONCAT4]],[2]!RAW[CONCAT_H],0),FALSE))</f>
        <v/>
      </c>
      <c r="AP517" s="174" t="str">
        <f>IF(NOTA[[#This Row],[CONCAT1]]="","",MATCH(NOTA[[#This Row],[CONCAT1]],[3]!db[NB NOTA_C],0)+1)</f>
        <v/>
      </c>
    </row>
    <row r="518" spans="1:42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80"/>
      <c r="F518" s="26"/>
      <c r="G518" s="26"/>
      <c r="H518" s="31"/>
      <c r="I518" s="82"/>
      <c r="J518" s="81"/>
      <c r="K518" s="82"/>
      <c r="L518" s="26"/>
      <c r="M518" s="83"/>
      <c r="N518" s="82"/>
      <c r="O518" s="26"/>
      <c r="P518" s="84"/>
      <c r="Q518" s="85"/>
      <c r="R518" s="39"/>
      <c r="S518" s="86"/>
      <c r="T518" s="86"/>
      <c r="U518" s="87"/>
      <c r="V518" s="37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38" t="str">
        <f>IF(NOTA[[#This Row],[CONCAT4]]="","",_xlfn.IFNA(MATCH(NOTA[[#This Row],[CONCAT4]],[2]!RAW[CONCAT_H],0),FALSE))</f>
        <v/>
      </c>
      <c r="AP518" s="174" t="str">
        <f>IF(NOTA[[#This Row],[CONCAT1]]="","",MATCH(NOTA[[#This Row],[CONCAT1]],[3]!db[NB NOTA_C],0)+1)</f>
        <v/>
      </c>
    </row>
    <row r="519" spans="1:42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80"/>
      <c r="F519" s="26"/>
      <c r="G519" s="26"/>
      <c r="H519" s="31"/>
      <c r="I519" s="26"/>
      <c r="J519" s="81"/>
      <c r="K519" s="82"/>
      <c r="L519" s="26"/>
      <c r="M519" s="83"/>
      <c r="N519" s="82"/>
      <c r="O519" s="26"/>
      <c r="P519" s="84"/>
      <c r="Q519" s="85"/>
      <c r="R519" s="39"/>
      <c r="S519" s="86"/>
      <c r="T519" s="86"/>
      <c r="U519" s="87"/>
      <c r="V519" s="37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38" t="str">
        <f>IF(NOTA[[#This Row],[CONCAT4]]="","",_xlfn.IFNA(MATCH(NOTA[[#This Row],[CONCAT4]],[2]!RAW[CONCAT_H],0),FALSE))</f>
        <v/>
      </c>
      <c r="AP519" s="174" t="str">
        <f>IF(NOTA[[#This Row],[CONCAT1]]="","",MATCH(NOTA[[#This Row],[CONCAT1]],[3]!db[NB NOTA_C],0)+1)</f>
        <v/>
      </c>
    </row>
    <row r="520" spans="1:42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80"/>
      <c r="F520" s="82"/>
      <c r="G520" s="82"/>
      <c r="H520" s="88"/>
      <c r="I520" s="82"/>
      <c r="J520" s="81"/>
      <c r="K520" s="82"/>
      <c r="L520" s="26"/>
      <c r="M520" s="83"/>
      <c r="N520" s="82"/>
      <c r="O520" s="26"/>
      <c r="P520" s="84"/>
      <c r="Q520" s="85"/>
      <c r="R520" s="39"/>
      <c r="S520" s="86"/>
      <c r="T520" s="86"/>
      <c r="U520" s="87"/>
      <c r="V520" s="37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38" t="str">
        <f>IF(NOTA[[#This Row],[CONCAT4]]="","",_xlfn.IFNA(MATCH(NOTA[[#This Row],[CONCAT4]],[2]!RAW[CONCAT_H],0),FALSE))</f>
        <v/>
      </c>
      <c r="AP520" s="174" t="str">
        <f>IF(NOTA[[#This Row],[CONCAT1]]="","",MATCH(NOTA[[#This Row],[CONCAT1]],[3]!db[NB NOTA_C],0)+1)</f>
        <v/>
      </c>
    </row>
    <row r="521" spans="1:42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80"/>
      <c r="F521" s="26"/>
      <c r="G521" s="26"/>
      <c r="H521" s="31"/>
      <c r="I521" s="26"/>
      <c r="J521" s="81"/>
      <c r="K521" s="82"/>
      <c r="L521" s="26"/>
      <c r="M521" s="83"/>
      <c r="N521" s="82"/>
      <c r="O521" s="26"/>
      <c r="P521" s="84"/>
      <c r="Q521" s="85"/>
      <c r="R521" s="39"/>
      <c r="S521" s="86"/>
      <c r="T521" s="86"/>
      <c r="U521" s="108"/>
      <c r="V521" s="91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38" t="str">
        <f>IF(NOTA[[#This Row],[CONCAT4]]="","",_xlfn.IFNA(MATCH(NOTA[[#This Row],[CONCAT4]],[2]!RAW[CONCAT_H],0),FALSE))</f>
        <v/>
      </c>
      <c r="AP521" s="174" t="str">
        <f>IF(NOTA[[#This Row],[CONCAT1]]="","",MATCH(NOTA[[#This Row],[CONCAT1]],[3]!db[NB NOTA_C],0)+1)</f>
        <v/>
      </c>
    </row>
    <row r="522" spans="1:42" ht="20.100000000000001" customHeight="1" x14ac:dyDescent="0.25">
      <c r="A5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0" t="str">
        <f>IF(NOTA[[#This Row],[ID_P]]="","",MATCH(NOTA[[#This Row],[ID_P]],[1]!B_MSK[N_ID],0))</f>
        <v/>
      </c>
      <c r="D522" s="50" t="str">
        <f ca="1">IF(NOTA[[#This Row],[NAMA BARANG]]="","",INDEX(NOTA[ID],MATCH(,INDIRECT(ADDRESS(ROW(NOTA[ID]),COLUMN(NOTA[ID]))&amp;":"&amp;ADDRESS(ROW(),COLUMN(NOTA[ID]))),-1)))</f>
        <v/>
      </c>
      <c r="E522" s="23"/>
      <c r="F522" s="26"/>
      <c r="G522" s="26"/>
      <c r="H522" s="31"/>
      <c r="I522" s="26"/>
      <c r="J522" s="51"/>
      <c r="K522" s="26"/>
      <c r="L522" s="26"/>
      <c r="M522" s="39"/>
      <c r="N522" s="26"/>
      <c r="O522" s="26"/>
      <c r="P522" s="49"/>
      <c r="Q522" s="52"/>
      <c r="R522" s="39"/>
      <c r="S522" s="53"/>
      <c r="T522" s="53"/>
      <c r="U522" s="54"/>
      <c r="V522" s="37"/>
      <c r="W522" s="54" t="str">
        <f>IF(NOTA[[#This Row],[HARGA/ CTN]]="",NOTA[[#This Row],[JUMLAH_H]],NOTA[[#This Row],[HARGA/ CTN]]*IF(NOTA[[#This Row],[C]]="",0,NOTA[[#This Row],[C]]))</f>
        <v/>
      </c>
      <c r="X522" s="54" t="str">
        <f>IF(NOTA[[#This Row],[JUMLAH]]="","",NOTA[[#This Row],[JUMLAH]]*NOTA[[#This Row],[DISC 1]])</f>
        <v/>
      </c>
      <c r="Y522" s="54" t="str">
        <f>IF(NOTA[[#This Row],[JUMLAH]]="","",(NOTA[[#This Row],[JUMLAH]]-NOTA[[#This Row],[DISC 1-]])*NOTA[[#This Row],[DISC 2]])</f>
        <v/>
      </c>
      <c r="Z522" s="54" t="str">
        <f>IF(NOTA[[#This Row],[JUMLAH]]="","",NOTA[[#This Row],[DISC 1-]]+NOTA[[#This Row],[DISC 2-]])</f>
        <v/>
      </c>
      <c r="AA522" s="54" t="str">
        <f>IF(NOTA[[#This Row],[JUMLAH]]="","",NOTA[[#This Row],[JUMLAH]]-NOTA[[#This Row],[DISC]])</f>
        <v/>
      </c>
      <c r="AB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54" t="str">
        <f>IF(OR(NOTA[[#This Row],[QTY]]="",NOTA[[#This Row],[HARGA SATUAN]]="",),"",NOTA[[#This Row],[QTY]]*NOTA[[#This Row],[HARGA SATUAN]])</f>
        <v/>
      </c>
      <c r="AF522" s="51" t="str">
        <f ca="1">IF(NOTA[ID_H]="","",INDEX(NOTA[TANGGAL],MATCH(,INDIRECT(ADDRESS(ROW(NOTA[TANGGAL]),COLUMN(NOTA[TANGGAL]))&amp;":"&amp;ADDRESS(ROW(),COLUMN(NOTA[TANGGAL]))),-1)))</f>
        <v/>
      </c>
      <c r="AG522" s="49" t="str">
        <f ca="1">IF(NOTA[[#This Row],[NAMA BARANG]]="","",INDEX(NOTA[SUPPLIER],MATCH(,INDIRECT(ADDRESS(ROW(NOTA[ID]),COLUMN(NOTA[ID]))&amp;":"&amp;ADDRESS(ROW(),COLUMN(NOTA[ID]))),-1)))</f>
        <v/>
      </c>
      <c r="AH522" s="49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38" t="str">
        <f>IF(NOTA[[#This Row],[CONCAT4]]="","",_xlfn.IFNA(MATCH(NOTA[[#This Row],[CONCAT4]],[2]!RAW[CONCAT_H],0),FALSE))</f>
        <v/>
      </c>
      <c r="AP522" s="174" t="str">
        <f>IF(NOTA[[#This Row],[CONCAT1]]="","",MATCH(NOTA[[#This Row],[CONCAT1]],[3]!db[NB NOTA_C],0)+1)</f>
        <v/>
      </c>
    </row>
    <row r="523" spans="1:42" ht="20.100000000000001" customHeight="1" x14ac:dyDescent="0.25">
      <c r="A5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0" t="str">
        <f>IF(NOTA[[#This Row],[ID_P]]="","",MATCH(NOTA[[#This Row],[ID_P]],[1]!B_MSK[N_ID],0))</f>
        <v/>
      </c>
      <c r="D523" s="50" t="str">
        <f ca="1">IF(NOTA[[#This Row],[NAMA BARANG]]="","",INDEX(NOTA[ID],MATCH(,INDIRECT(ADDRESS(ROW(NOTA[ID]),COLUMN(NOTA[ID]))&amp;":"&amp;ADDRESS(ROW(),COLUMN(NOTA[ID]))),-1)))</f>
        <v/>
      </c>
      <c r="E523" s="23"/>
      <c r="F523" s="26"/>
      <c r="G523" s="26"/>
      <c r="H523" s="31"/>
      <c r="I523" s="26"/>
      <c r="J523" s="51"/>
      <c r="K523" s="26"/>
      <c r="L523" s="26"/>
      <c r="M523" s="39"/>
      <c r="N523" s="26"/>
      <c r="O523" s="26"/>
      <c r="P523" s="49"/>
      <c r="Q523" s="52"/>
      <c r="R523" s="39"/>
      <c r="S523" s="53"/>
      <c r="T523" s="53"/>
      <c r="U523" s="54"/>
      <c r="V523" s="37"/>
      <c r="W523" s="54" t="str">
        <f>IF(NOTA[[#This Row],[HARGA/ CTN]]="",NOTA[[#This Row],[JUMLAH_H]],NOTA[[#This Row],[HARGA/ CTN]]*IF(NOTA[[#This Row],[C]]="",0,NOTA[[#This Row],[C]]))</f>
        <v/>
      </c>
      <c r="X523" s="54" t="str">
        <f>IF(NOTA[[#This Row],[JUMLAH]]="","",NOTA[[#This Row],[JUMLAH]]*NOTA[[#This Row],[DISC 1]])</f>
        <v/>
      </c>
      <c r="Y523" s="54" t="str">
        <f>IF(NOTA[[#This Row],[JUMLAH]]="","",(NOTA[[#This Row],[JUMLAH]]-NOTA[[#This Row],[DISC 1-]])*NOTA[[#This Row],[DISC 2]])</f>
        <v/>
      </c>
      <c r="Z523" s="54" t="str">
        <f>IF(NOTA[[#This Row],[JUMLAH]]="","",NOTA[[#This Row],[DISC 1-]]+NOTA[[#This Row],[DISC 2-]])</f>
        <v/>
      </c>
      <c r="AA523" s="54" t="str">
        <f>IF(NOTA[[#This Row],[JUMLAH]]="","",NOTA[[#This Row],[JUMLAH]]-NOTA[[#This Row],[DISC]])</f>
        <v/>
      </c>
      <c r="AB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54" t="str">
        <f>IF(OR(NOTA[[#This Row],[QTY]]="",NOTA[[#This Row],[HARGA SATUAN]]="",),"",NOTA[[#This Row],[QTY]]*NOTA[[#This Row],[HARGA SATUAN]])</f>
        <v/>
      </c>
      <c r="AF523" s="51" t="str">
        <f ca="1">IF(NOTA[ID_H]="","",INDEX(NOTA[TANGGAL],MATCH(,INDIRECT(ADDRESS(ROW(NOTA[TANGGAL]),COLUMN(NOTA[TANGGAL]))&amp;":"&amp;ADDRESS(ROW(),COLUMN(NOTA[TANGGAL]))),-1)))</f>
        <v/>
      </c>
      <c r="AG523" s="49" t="str">
        <f ca="1">IF(NOTA[[#This Row],[NAMA BARANG]]="","",INDEX(NOTA[SUPPLIER],MATCH(,INDIRECT(ADDRESS(ROW(NOTA[ID]),COLUMN(NOTA[ID]))&amp;":"&amp;ADDRESS(ROW(),COLUMN(NOTA[ID]))),-1)))</f>
        <v/>
      </c>
      <c r="AH523" s="49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Row],[SUPPLIER_H]]="","",#REF!),MONTH(NOTA[[#This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38" t="str">
        <f>IF(NOTA[[#This Row],[CONCAT4]]="","",_xlfn.IFNA(MATCH(NOTA[[#This Row],[CONCAT4]],[2]!RAW[CONCAT_H],0),FALSE))</f>
        <v/>
      </c>
      <c r="AP523" s="174" t="str">
        <f>IF(NOTA[[#This Row],[CONCAT1]]="","",MATCH(NOTA[[#This Row],[CONCAT1]],[3]!db[NB NOTA_C],0)+1)</f>
        <v/>
      </c>
    </row>
    <row r="524" spans="1:42" ht="20.100000000000001" customHeight="1" x14ac:dyDescent="0.25">
      <c r="A5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0" t="str">
        <f>IF(NOTA[[#This Row],[ID_P]]="","",MATCH(NOTA[[#This Row],[ID_P]],[1]!B_MSK[N_ID],0))</f>
        <v/>
      </c>
      <c r="D524" s="50" t="str">
        <f ca="1">IF(NOTA[[#This Row],[NAMA BARANG]]="","",INDEX(NOTA[ID],MATCH(,INDIRECT(ADDRESS(ROW(NOTA[ID]),COLUMN(NOTA[ID]))&amp;":"&amp;ADDRESS(ROW(),COLUMN(NOTA[ID]))),-1)))</f>
        <v/>
      </c>
      <c r="E524" s="23"/>
      <c r="F524" s="26"/>
      <c r="G524" s="26"/>
      <c r="H524" s="31"/>
      <c r="I524" s="26"/>
      <c r="J524" s="51"/>
      <c r="K524" s="26"/>
      <c r="L524" s="26"/>
      <c r="M524" s="39"/>
      <c r="N524" s="26"/>
      <c r="O524" s="26"/>
      <c r="P524" s="49"/>
      <c r="Q524" s="52"/>
      <c r="R524" s="39"/>
      <c r="S524" s="53"/>
      <c r="T524" s="53"/>
      <c r="U524" s="54"/>
      <c r="V524" s="37"/>
      <c r="W524" s="54" t="str">
        <f>IF(NOTA[[#This Row],[HARGA/ CTN]]="",NOTA[[#This Row],[JUMLAH_H]],NOTA[[#This Row],[HARGA/ CTN]]*IF(NOTA[[#This Row],[C]]="",0,NOTA[[#This Row],[C]]))</f>
        <v/>
      </c>
      <c r="X524" s="54" t="str">
        <f>IF(NOTA[[#This Row],[JUMLAH]]="","",NOTA[[#This Row],[JUMLAH]]*NOTA[[#This Row],[DISC 1]])</f>
        <v/>
      </c>
      <c r="Y524" s="54" t="str">
        <f>IF(NOTA[[#This Row],[JUMLAH]]="","",(NOTA[[#This Row],[JUMLAH]]-NOTA[[#This Row],[DISC 1-]])*NOTA[[#This Row],[DISC 2]])</f>
        <v/>
      </c>
      <c r="Z524" s="54" t="str">
        <f>IF(NOTA[[#This Row],[JUMLAH]]="","",NOTA[[#This Row],[DISC 1-]]+NOTA[[#This Row],[DISC 2-]])</f>
        <v/>
      </c>
      <c r="AA524" s="54" t="str">
        <f>IF(NOTA[[#This Row],[JUMLAH]]="","",NOTA[[#This Row],[JUMLAH]]-NOTA[[#This Row],[DISC]])</f>
        <v/>
      </c>
      <c r="AB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54" t="str">
        <f>IF(OR(NOTA[[#This Row],[QTY]]="",NOTA[[#This Row],[HARGA SATUAN]]="",),"",NOTA[[#This Row],[QTY]]*NOTA[[#This Row],[HARGA SATUAN]])</f>
        <v/>
      </c>
      <c r="AF524" s="51" t="str">
        <f ca="1">IF(NOTA[ID_H]="","",INDEX(NOTA[TANGGAL],MATCH(,INDIRECT(ADDRESS(ROW(NOTA[TANGGAL]),COLUMN(NOTA[TANGGAL]))&amp;":"&amp;ADDRESS(ROW(),COLUMN(NOTA[TANGGAL]))),-1)))</f>
        <v/>
      </c>
      <c r="AG524" s="49" t="str">
        <f ca="1">IF(NOTA[[#This Row],[NAMA BARANG]]="","",INDEX(NOTA[SUPPLIER],MATCH(,INDIRECT(ADDRESS(ROW(NOTA[ID]),COLUMN(NOTA[ID]))&amp;":"&amp;ADDRESS(ROW(),COLUMN(NOTA[ID]))),-1)))</f>
        <v/>
      </c>
      <c r="AH524" s="49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38" t="str">
        <f>IF(NOTA[[#This Row],[CONCAT4]]="","",_xlfn.IFNA(MATCH(NOTA[[#This Row],[CONCAT4]],[2]!RAW[CONCAT_H],0),FALSE))</f>
        <v/>
      </c>
      <c r="AP524" s="174" t="str">
        <f>IF(NOTA[[#This Row],[CONCAT1]]="","",MATCH(NOTA[[#This Row],[CONCAT1]],[3]!db[NB NOTA_C],0)+1)</f>
        <v/>
      </c>
    </row>
    <row r="525" spans="1:42" ht="20.100000000000001" customHeight="1" x14ac:dyDescent="0.25">
      <c r="A5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0" t="str">
        <f>IF(NOTA[[#This Row],[ID_P]]="","",MATCH(NOTA[[#This Row],[ID_P]],[1]!B_MSK[N_ID],0))</f>
        <v/>
      </c>
      <c r="D525" s="50" t="str">
        <f ca="1">IF(NOTA[[#This Row],[NAMA BARANG]]="","",INDEX(NOTA[ID],MATCH(,INDIRECT(ADDRESS(ROW(NOTA[ID]),COLUMN(NOTA[ID]))&amp;":"&amp;ADDRESS(ROW(),COLUMN(NOTA[ID]))),-1)))</f>
        <v/>
      </c>
      <c r="E525" s="23"/>
      <c r="F525" s="26"/>
      <c r="G525" s="26"/>
      <c r="H525" s="31"/>
      <c r="I525" s="26"/>
      <c r="J525" s="51"/>
      <c r="K525" s="26"/>
      <c r="L525" s="26"/>
      <c r="M525" s="39"/>
      <c r="N525" s="26"/>
      <c r="O525" s="26"/>
      <c r="P525" s="49"/>
      <c r="Q525" s="52"/>
      <c r="R525" s="39"/>
      <c r="S525" s="53"/>
      <c r="T525" s="53"/>
      <c r="U525" s="54"/>
      <c r="V525" s="37"/>
      <c r="W525" s="54" t="str">
        <f>IF(NOTA[[#This Row],[HARGA/ CTN]]="",NOTA[[#This Row],[JUMLAH_H]],NOTA[[#This Row],[HARGA/ CTN]]*IF(NOTA[[#This Row],[C]]="",0,NOTA[[#This Row],[C]]))</f>
        <v/>
      </c>
      <c r="X525" s="54" t="str">
        <f>IF(NOTA[[#This Row],[JUMLAH]]="","",NOTA[[#This Row],[JUMLAH]]*NOTA[[#This Row],[DISC 1]])</f>
        <v/>
      </c>
      <c r="Y525" s="54" t="str">
        <f>IF(NOTA[[#This Row],[JUMLAH]]="","",(NOTA[[#This Row],[JUMLAH]]-NOTA[[#This Row],[DISC 1-]])*NOTA[[#This Row],[DISC 2]])</f>
        <v/>
      </c>
      <c r="Z525" s="54" t="str">
        <f>IF(NOTA[[#This Row],[JUMLAH]]="","",NOTA[[#This Row],[DISC 1-]]+NOTA[[#This Row],[DISC 2-]])</f>
        <v/>
      </c>
      <c r="AA525" s="54" t="str">
        <f>IF(NOTA[[#This Row],[JUMLAH]]="","",NOTA[[#This Row],[JUMLAH]]-NOTA[[#This Row],[DISC]])</f>
        <v/>
      </c>
      <c r="AB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54" t="str">
        <f>IF(OR(NOTA[[#This Row],[QTY]]="",NOTA[[#This Row],[HARGA SATUAN]]="",),"",NOTA[[#This Row],[QTY]]*NOTA[[#This Row],[HARGA SATUAN]])</f>
        <v/>
      </c>
      <c r="AF525" s="51" t="str">
        <f ca="1">IF(NOTA[ID_H]="","",INDEX(NOTA[TANGGAL],MATCH(,INDIRECT(ADDRESS(ROW(NOTA[TANGGAL]),COLUMN(NOTA[TANGGAL]))&amp;":"&amp;ADDRESS(ROW(),COLUMN(NOTA[TANGGAL]))),-1)))</f>
        <v/>
      </c>
      <c r="AG525" s="49" t="str">
        <f ca="1">IF(NOTA[[#This Row],[NAMA BARANG]]="","",INDEX(NOTA[SUPPLIER],MATCH(,INDIRECT(ADDRESS(ROW(NOTA[ID]),COLUMN(NOTA[ID]))&amp;":"&amp;ADDRESS(ROW(),COLUMN(NOTA[ID]))),-1)))</f>
        <v/>
      </c>
      <c r="AH525" s="49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38" t="str">
        <f>IF(NOTA[[#This Row],[CONCAT4]]="","",_xlfn.IFNA(MATCH(NOTA[[#This Row],[CONCAT4]],[2]!RAW[CONCAT_H],0),FALSE))</f>
        <v/>
      </c>
      <c r="AP525" s="174" t="str">
        <f>IF(NOTA[[#This Row],[CONCAT1]]="","",MATCH(NOTA[[#This Row],[CONCAT1]],[3]!db[NB NOTA_C],0)+1)</f>
        <v/>
      </c>
    </row>
    <row r="526" spans="1:42" ht="20.100000000000001" customHeight="1" x14ac:dyDescent="0.25">
      <c r="A5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0" t="str">
        <f>IF(NOTA[[#This Row],[ID_P]]="","",MATCH(NOTA[[#This Row],[ID_P]],[1]!B_MSK[N_ID],0))</f>
        <v/>
      </c>
      <c r="D526" s="50" t="str">
        <f ca="1">IF(NOTA[[#This Row],[NAMA BARANG]]="","",INDEX(NOTA[ID],MATCH(,INDIRECT(ADDRESS(ROW(NOTA[ID]),COLUMN(NOTA[ID]))&amp;":"&amp;ADDRESS(ROW(),COLUMN(NOTA[ID]))),-1)))</f>
        <v/>
      </c>
      <c r="E526" s="23"/>
      <c r="F526" s="26"/>
      <c r="G526" s="26"/>
      <c r="H526" s="31"/>
      <c r="I526" s="26"/>
      <c r="J526" s="51"/>
      <c r="K526" s="26"/>
      <c r="L526" s="26"/>
      <c r="M526" s="39"/>
      <c r="N526" s="26"/>
      <c r="O526" s="26"/>
      <c r="P526" s="49"/>
      <c r="Q526" s="52"/>
      <c r="R526" s="39"/>
      <c r="S526" s="53"/>
      <c r="T526" s="53"/>
      <c r="U526" s="54"/>
      <c r="V526" s="37"/>
      <c r="W526" s="54" t="str">
        <f>IF(NOTA[[#This Row],[HARGA/ CTN]]="",NOTA[[#This Row],[JUMLAH_H]],NOTA[[#This Row],[HARGA/ CTN]]*IF(NOTA[[#This Row],[C]]="",0,NOTA[[#This Row],[C]]))</f>
        <v/>
      </c>
      <c r="X526" s="54" t="str">
        <f>IF(NOTA[[#This Row],[JUMLAH]]="","",NOTA[[#This Row],[JUMLAH]]*NOTA[[#This Row],[DISC 1]])</f>
        <v/>
      </c>
      <c r="Y526" s="54" t="str">
        <f>IF(NOTA[[#This Row],[JUMLAH]]="","",(NOTA[[#This Row],[JUMLAH]]-NOTA[[#This Row],[DISC 1-]])*NOTA[[#This Row],[DISC 2]])</f>
        <v/>
      </c>
      <c r="Z526" s="54" t="str">
        <f>IF(NOTA[[#This Row],[JUMLAH]]="","",NOTA[[#This Row],[DISC 1-]]+NOTA[[#This Row],[DISC 2-]])</f>
        <v/>
      </c>
      <c r="AA526" s="54" t="str">
        <f>IF(NOTA[[#This Row],[JUMLAH]]="","",NOTA[[#This Row],[JUMLAH]]-NOTA[[#This Row],[DISC]])</f>
        <v/>
      </c>
      <c r="AB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54" t="str">
        <f>IF(OR(NOTA[[#This Row],[QTY]]="",NOTA[[#This Row],[HARGA SATUAN]]="",),"",NOTA[[#This Row],[QTY]]*NOTA[[#This Row],[HARGA SATUAN]])</f>
        <v/>
      </c>
      <c r="AF526" s="51" t="str">
        <f ca="1">IF(NOTA[ID_H]="","",INDEX(NOTA[TANGGAL],MATCH(,INDIRECT(ADDRESS(ROW(NOTA[TANGGAL]),COLUMN(NOTA[TANGGAL]))&amp;":"&amp;ADDRESS(ROW(),COLUMN(NOTA[TANGGAL]))),-1)))</f>
        <v/>
      </c>
      <c r="AG526" s="49" t="str">
        <f ca="1">IF(NOTA[[#This Row],[NAMA BARANG]]="","",INDEX(NOTA[SUPPLIER],MATCH(,INDIRECT(ADDRESS(ROW(NOTA[ID]),COLUMN(NOTA[ID]))&amp;":"&amp;ADDRESS(ROW(),COLUMN(NOTA[ID]))),-1)))</f>
        <v/>
      </c>
      <c r="AH526" s="49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38" t="str">
        <f>IF(NOTA[[#This Row],[CONCAT4]]="","",_xlfn.IFNA(MATCH(NOTA[[#This Row],[CONCAT4]],[2]!RAW[CONCAT_H],0),FALSE))</f>
        <v/>
      </c>
      <c r="AP526" s="174" t="str">
        <f>IF(NOTA[[#This Row],[CONCAT1]]="","",MATCH(NOTA[[#This Row],[CONCAT1]],[3]!db[NB NOTA_C],0)+1)</f>
        <v/>
      </c>
    </row>
    <row r="527" spans="1:42" ht="20.100000000000001" customHeight="1" x14ac:dyDescent="0.25">
      <c r="A5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0" t="str">
        <f>IF(NOTA[[#This Row],[ID_P]]="","",MATCH(NOTA[[#This Row],[ID_P]],[1]!B_MSK[N_ID],0))</f>
        <v/>
      </c>
      <c r="D527" s="50" t="str">
        <f ca="1">IF(NOTA[[#This Row],[NAMA BARANG]]="","",INDEX(NOTA[ID],MATCH(,INDIRECT(ADDRESS(ROW(NOTA[ID]),COLUMN(NOTA[ID]))&amp;":"&amp;ADDRESS(ROW(),COLUMN(NOTA[ID]))),-1)))</f>
        <v/>
      </c>
      <c r="E527" s="23"/>
      <c r="F527" s="26"/>
      <c r="G527" s="26"/>
      <c r="H527" s="31"/>
      <c r="I527" s="26"/>
      <c r="J527" s="51"/>
      <c r="K527" s="26"/>
      <c r="L527" s="26"/>
      <c r="M527" s="39"/>
      <c r="N527" s="26"/>
      <c r="O527" s="26"/>
      <c r="P527" s="49"/>
      <c r="Q527" s="52"/>
      <c r="R527" s="39"/>
      <c r="S527" s="53"/>
      <c r="T527" s="53"/>
      <c r="U527" s="54"/>
      <c r="V527" s="37"/>
      <c r="W527" s="54" t="str">
        <f>IF(NOTA[[#This Row],[HARGA/ CTN]]="",NOTA[[#This Row],[JUMLAH_H]],NOTA[[#This Row],[HARGA/ CTN]]*IF(NOTA[[#This Row],[C]]="",0,NOTA[[#This Row],[C]]))</f>
        <v/>
      </c>
      <c r="X527" s="54" t="str">
        <f>IF(NOTA[[#This Row],[JUMLAH]]="","",NOTA[[#This Row],[JUMLAH]]*NOTA[[#This Row],[DISC 1]])</f>
        <v/>
      </c>
      <c r="Y527" s="54" t="str">
        <f>IF(NOTA[[#This Row],[JUMLAH]]="","",(NOTA[[#This Row],[JUMLAH]]-NOTA[[#This Row],[DISC 1-]])*NOTA[[#This Row],[DISC 2]])</f>
        <v/>
      </c>
      <c r="Z527" s="54" t="str">
        <f>IF(NOTA[[#This Row],[JUMLAH]]="","",NOTA[[#This Row],[DISC 1-]]+NOTA[[#This Row],[DISC 2-]])</f>
        <v/>
      </c>
      <c r="AA527" s="54" t="str">
        <f>IF(NOTA[[#This Row],[JUMLAH]]="","",NOTA[[#This Row],[JUMLAH]]-NOTA[[#This Row],[DISC]])</f>
        <v/>
      </c>
      <c r="AB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54" t="str">
        <f>IF(OR(NOTA[[#This Row],[QTY]]="",NOTA[[#This Row],[HARGA SATUAN]]="",),"",NOTA[[#This Row],[QTY]]*NOTA[[#This Row],[HARGA SATUAN]])</f>
        <v/>
      </c>
      <c r="AF527" s="51" t="str">
        <f ca="1">IF(NOTA[ID_H]="","",INDEX(NOTA[TANGGAL],MATCH(,INDIRECT(ADDRESS(ROW(NOTA[TANGGAL]),COLUMN(NOTA[TANGGAL]))&amp;":"&amp;ADDRESS(ROW(),COLUMN(NOTA[TANGGAL]))),-1)))</f>
        <v/>
      </c>
      <c r="AG527" s="49" t="str">
        <f ca="1">IF(NOTA[[#This Row],[NAMA BARANG]]="","",INDEX(NOTA[SUPPLIER],MATCH(,INDIRECT(ADDRESS(ROW(NOTA[ID]),COLUMN(NOTA[ID]))&amp;":"&amp;ADDRESS(ROW(),COLUMN(NOTA[ID]))),-1)))</f>
        <v/>
      </c>
      <c r="AH527" s="49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38" t="str">
        <f>IF(NOTA[[#This Row],[CONCAT4]]="","",_xlfn.IFNA(MATCH(NOTA[[#This Row],[CONCAT4]],[2]!RAW[CONCAT_H],0),FALSE))</f>
        <v/>
      </c>
      <c r="AP527" s="174" t="str">
        <f>IF(NOTA[[#This Row],[CONCAT1]]="","",MATCH(NOTA[[#This Row],[CONCAT1]],[3]!db[NB NOTA_C],0)+1)</f>
        <v/>
      </c>
    </row>
    <row r="528" spans="1:42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 t="str">
        <f ca="1">IF(NOTA[[#This Row],[NAMA BARANG]]="","",INDEX(NOTA[ID],MATCH(,INDIRECT(ADDRESS(ROW(NOTA[ID]),COLUMN(NOTA[ID]))&amp;":"&amp;ADDRESS(ROW(),COLUMN(NOTA[ID]))),-1)))</f>
        <v/>
      </c>
      <c r="E528" s="23"/>
      <c r="F528" s="26"/>
      <c r="G528" s="26"/>
      <c r="H528" s="31"/>
      <c r="I528" s="26"/>
      <c r="J528" s="51"/>
      <c r="K528" s="26"/>
      <c r="L528" s="26"/>
      <c r="M528" s="39"/>
      <c r="N528" s="26"/>
      <c r="O528" s="26"/>
      <c r="P528" s="49"/>
      <c r="Q528" s="52"/>
      <c r="R528" s="39"/>
      <c r="S528" s="53"/>
      <c r="T528" s="53"/>
      <c r="U528" s="54"/>
      <c r="V528" s="37"/>
      <c r="W528" s="54" t="str">
        <f>IF(NOTA[[#This Row],[HARGA/ CTN]]="",NOTA[[#This Row],[JUMLAH_H]],NOTA[[#This Row],[HARGA/ CTN]]*IF(NOTA[[#This Row],[C]]="",0,NOTA[[#This Row],[C]]))</f>
        <v/>
      </c>
      <c r="X528" s="54" t="str">
        <f>IF(NOTA[[#This Row],[JUMLAH]]="","",NOTA[[#This Row],[JUMLAH]]*NOTA[[#This Row],[DISC 1]])</f>
        <v/>
      </c>
      <c r="Y528" s="54" t="str">
        <f>IF(NOTA[[#This Row],[JUMLAH]]="","",(NOTA[[#This Row],[JUMLAH]]-NOTA[[#This Row],[DISC 1-]])*NOTA[[#This Row],[DISC 2]])</f>
        <v/>
      </c>
      <c r="Z528" s="54" t="str">
        <f>IF(NOTA[[#This Row],[JUMLAH]]="","",NOTA[[#This Row],[DISC 1-]]+NOTA[[#This Row],[DISC 2-]])</f>
        <v/>
      </c>
      <c r="AA528" s="54" t="str">
        <f>IF(NOTA[[#This Row],[JUMLAH]]="","",NOTA[[#This Row],[JUMLAH]]-NOTA[[#This Row],[DISC]])</f>
        <v/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54" t="str">
        <f>IF(OR(NOTA[[#This Row],[QTY]]="",NOTA[[#This Row],[HARGA SATUAN]]="",),"",NOTA[[#This Row],[QTY]]*NOTA[[#This Row],[HARGA SATUAN]])</f>
        <v/>
      </c>
      <c r="AF528" s="51" t="str">
        <f ca="1">IF(NOTA[ID_H]="","",INDEX(NOTA[TANGGAL],MATCH(,INDIRECT(ADDRESS(ROW(NOTA[TANGGAL]),COLUMN(NOTA[TANGGAL]))&amp;":"&amp;ADDRESS(ROW(),COLUMN(NOTA[TANGGAL]))),-1)))</f>
        <v/>
      </c>
      <c r="AG528" s="49" t="str">
        <f ca="1">IF(NOTA[[#This Row],[NAMA BARANG]]="","",INDEX(NOTA[SUPPLIER],MATCH(,INDIRECT(ADDRESS(ROW(NOTA[ID]),COLUMN(NOTA[ID]))&amp;":"&amp;ADDRESS(ROW(),COLUMN(NOTA[ID]))),-1)))</f>
        <v/>
      </c>
      <c r="AH528" s="49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38" t="str">
        <f>IF(NOTA[[#This Row],[CONCAT4]]="","",_xlfn.IFNA(MATCH(NOTA[[#This Row],[CONCAT4]],[2]!RAW[CONCAT_H],0),FALSE))</f>
        <v/>
      </c>
      <c r="AP528" s="174" t="str">
        <f>IF(NOTA[[#This Row],[CONCAT1]]="","",MATCH(NOTA[[#This Row],[CONCAT1]],[3]!db[NB NOTA_C],0)+1)</f>
        <v/>
      </c>
    </row>
    <row r="529" spans="1:42" s="38" customFormat="1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 t="str">
        <f ca="1">IF(NOTA[[#This Row],[NAMA BARANG]]="","",INDEX(NOTA[ID],MATCH(,INDIRECT(ADDRESS(ROW(NOTA[ID]),COLUMN(NOTA[ID]))&amp;":"&amp;ADDRESS(ROW(),COLUMN(NOTA[ID]))),-1)))</f>
        <v/>
      </c>
      <c r="E529" s="23"/>
      <c r="F529" s="26"/>
      <c r="G529" s="26"/>
      <c r="H529" s="31"/>
      <c r="I529" s="26"/>
      <c r="J529" s="51"/>
      <c r="K529" s="26"/>
      <c r="L529" s="26"/>
      <c r="M529" s="39"/>
      <c r="N529" s="26"/>
      <c r="O529" s="26"/>
      <c r="P529" s="49"/>
      <c r="Q529" s="52"/>
      <c r="R529" s="39"/>
      <c r="S529" s="53"/>
      <c r="T529" s="53"/>
      <c r="U529" s="54"/>
      <c r="V529" s="37"/>
      <c r="W529" s="54" t="str">
        <f>IF(NOTA[[#This Row],[HARGA/ CTN]]="",NOTA[[#This Row],[JUMLAH_H]],NOTA[[#This Row],[HARGA/ CTN]]*IF(NOTA[[#This Row],[C]]="",0,NOTA[[#This Row],[C]]))</f>
        <v/>
      </c>
      <c r="X529" s="54" t="str">
        <f>IF(NOTA[[#This Row],[JUMLAH]]="","",NOTA[[#This Row],[JUMLAH]]*NOTA[[#This Row],[DISC 1]])</f>
        <v/>
      </c>
      <c r="Y529" s="54" t="str">
        <f>IF(NOTA[[#This Row],[JUMLAH]]="","",(NOTA[[#This Row],[JUMLAH]]-NOTA[[#This Row],[DISC 1-]])*NOTA[[#This Row],[DISC 2]])</f>
        <v/>
      </c>
      <c r="Z529" s="54" t="str">
        <f>IF(NOTA[[#This Row],[JUMLAH]]="","",NOTA[[#This Row],[DISC 1-]]+NOTA[[#This Row],[DISC 2-]])</f>
        <v/>
      </c>
      <c r="AA529" s="54" t="str">
        <f>IF(NOTA[[#This Row],[JUMLAH]]="","",NOTA[[#This Row],[JUMLAH]]-NOTA[[#This Row],[DISC]])</f>
        <v/>
      </c>
      <c r="AB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54" t="str">
        <f>IF(OR(NOTA[[#This Row],[QTY]]="",NOTA[[#This Row],[HARGA SATUAN]]="",),"",NOTA[[#This Row],[QTY]]*NOTA[[#This Row],[HARGA SATUAN]])</f>
        <v/>
      </c>
      <c r="AF529" s="51" t="str">
        <f ca="1">IF(NOTA[ID_H]="","",INDEX(NOTA[TANGGAL],MATCH(,INDIRECT(ADDRESS(ROW(NOTA[TANGGAL]),COLUMN(NOTA[TANGGAL]))&amp;":"&amp;ADDRESS(ROW(),COLUMN(NOTA[TANGGAL]))),-1)))</f>
        <v/>
      </c>
      <c r="AG529" s="49" t="str">
        <f ca="1">IF(NOTA[[#This Row],[NAMA BARANG]]="","",INDEX(NOTA[SUPPLIER],MATCH(,INDIRECT(ADDRESS(ROW(NOTA[ID]),COLUMN(NOTA[ID]))&amp;":"&amp;ADDRESS(ROW(),COLUMN(NOTA[ID]))),-1)))</f>
        <v/>
      </c>
      <c r="AH529" s="49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38" t="str">
        <f>IF(NOTA[[#This Row],[CONCAT4]]="","",_xlfn.IFNA(MATCH(NOTA[[#This Row],[CONCAT4]],[2]!RAW[CONCAT_H],0),FALSE))</f>
        <v/>
      </c>
      <c r="AP529" s="174" t="str">
        <f>IF(NOTA[[#This Row],[CONCAT1]]="","",MATCH(NOTA[[#This Row],[CONCAT1]],[3]!db[NB NOTA_C],0)+1)</f>
        <v/>
      </c>
    </row>
    <row r="530" spans="1:42" s="38" customFormat="1" ht="20.100000000000001" customHeight="1" x14ac:dyDescent="0.25">
      <c r="A5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/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CTN]]*IF(NOTA[[#This Row],[C]]="",0,NOTA[[#This Row],[C]]))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49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38" t="str">
        <f>IF(NOTA[[#This Row],[CONCAT4]]="","",_xlfn.IFNA(MATCH(NOTA[[#This Row],[CONCAT4]],[2]!RAW[CONCAT_H],0),FALSE))</f>
        <v/>
      </c>
      <c r="AP530" s="174" t="str">
        <f>IF(NOTA[[#This Row],[CONCAT1]]="","",MATCH(NOTA[[#This Row],[CONCAT1]],[3]!db[NB NOTA_C],0)+1)</f>
        <v/>
      </c>
    </row>
    <row r="531" spans="1:42" s="38" customFormat="1" ht="20.100000000000001" customHeight="1" x14ac:dyDescent="0.25">
      <c r="A5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0" t="str">
        <f>IF(NOTA[[#This Row],[ID_P]]="","",MATCH(NOTA[[#This Row],[ID_P]],[1]!B_MSK[N_ID],0))</f>
        <v/>
      </c>
      <c r="D531" s="50" t="str">
        <f ca="1">IF(NOTA[[#This Row],[NAMA BARANG]]="","",INDEX(NOTA[ID],MATCH(,INDIRECT(ADDRESS(ROW(NOTA[ID]),COLUMN(NOTA[ID]))&amp;":"&amp;ADDRESS(ROW(),COLUMN(NOTA[ID]))),-1)))</f>
        <v/>
      </c>
      <c r="E531" s="23"/>
      <c r="F531" s="26"/>
      <c r="G531" s="26"/>
      <c r="H531" s="31"/>
      <c r="I531" s="26"/>
      <c r="J531" s="51"/>
      <c r="K531" s="26"/>
      <c r="L531" s="26"/>
      <c r="M531" s="39"/>
      <c r="N531" s="26"/>
      <c r="O531" s="26"/>
      <c r="P531" s="49"/>
      <c r="Q531" s="52"/>
      <c r="R531" s="39"/>
      <c r="S531" s="53"/>
      <c r="T531" s="53"/>
      <c r="U531" s="54"/>
      <c r="V531" s="37"/>
      <c r="W531" s="54" t="str">
        <f>IF(NOTA[[#This Row],[HARGA/ CTN]]="",NOTA[[#This Row],[JUMLAH_H]],NOTA[[#This Row],[HARGA/ CTN]]*IF(NOTA[[#This Row],[C]]="",0,NOTA[[#This Row],[C]]))</f>
        <v/>
      </c>
      <c r="X531" s="54" t="str">
        <f>IF(NOTA[[#This Row],[JUMLAH]]="","",NOTA[[#This Row],[JUMLAH]]*NOTA[[#This Row],[DISC 1]])</f>
        <v/>
      </c>
      <c r="Y531" s="54" t="str">
        <f>IF(NOTA[[#This Row],[JUMLAH]]="","",(NOTA[[#This Row],[JUMLAH]]-NOTA[[#This Row],[DISC 1-]])*NOTA[[#This Row],[DISC 2]])</f>
        <v/>
      </c>
      <c r="Z531" s="54" t="str">
        <f>IF(NOTA[[#This Row],[JUMLAH]]="","",NOTA[[#This Row],[DISC 1-]]+NOTA[[#This Row],[DISC 2-]])</f>
        <v/>
      </c>
      <c r="AA531" s="54" t="str">
        <f>IF(NOTA[[#This Row],[JUMLAH]]="","",NOTA[[#This Row],[JUMLAH]]-NOTA[[#This Row],[DISC]])</f>
        <v/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54" t="str">
        <f>IF(OR(NOTA[[#This Row],[QTY]]="",NOTA[[#This Row],[HARGA SATUAN]]="",),"",NOTA[[#This Row],[QTY]]*NOTA[[#This Row],[HARGA SATUAN]])</f>
        <v/>
      </c>
      <c r="AF531" s="51" t="str">
        <f ca="1">IF(NOTA[ID_H]="","",INDEX(NOTA[TANGGAL],MATCH(,INDIRECT(ADDRESS(ROW(NOTA[TANGGAL]),COLUMN(NOTA[TANGGAL]))&amp;":"&amp;ADDRESS(ROW(),COLUMN(NOTA[TANGGAL]))),-1)))</f>
        <v/>
      </c>
      <c r="AG531" s="49" t="str">
        <f ca="1">IF(NOTA[[#This Row],[NAMA BARANG]]="","",INDEX(NOTA[SUPPLIER],MATCH(,INDIRECT(ADDRESS(ROW(NOTA[ID]),COLUMN(NOTA[ID]))&amp;":"&amp;ADDRESS(ROW(),COLUMN(NOTA[ID]))),-1)))</f>
        <v/>
      </c>
      <c r="AH531" s="49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38" t="str">
        <f>IF(NOTA[[#This Row],[CONCAT4]]="","",_xlfn.IFNA(MATCH(NOTA[[#This Row],[CONCAT4]],[2]!RAW[CONCAT_H],0),FALSE))</f>
        <v/>
      </c>
      <c r="AP531" s="174" t="str">
        <f>IF(NOTA[[#This Row],[CONCAT1]]="","",MATCH(NOTA[[#This Row],[CONCAT1]],[3]!db[NB NOTA_C],0)+1)</f>
        <v/>
      </c>
    </row>
    <row r="532" spans="1:42" s="38" customFormat="1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 t="str">
        <f ca="1">IF(NOTA[[#This Row],[NAMA BARANG]]="","",INDEX(NOTA[ID],MATCH(,INDIRECT(ADDRESS(ROW(NOTA[ID]),COLUMN(NOTA[ID]))&amp;":"&amp;ADDRESS(ROW(),COLUMN(NOTA[ID]))),-1)))</f>
        <v/>
      </c>
      <c r="E532" s="23"/>
      <c r="F532" s="26"/>
      <c r="G532" s="26"/>
      <c r="H532" s="31"/>
      <c r="I532" s="26"/>
      <c r="J532" s="51"/>
      <c r="K532" s="26"/>
      <c r="L532" s="26"/>
      <c r="M532" s="39"/>
      <c r="N532" s="26"/>
      <c r="O532" s="26"/>
      <c r="P532" s="49"/>
      <c r="Q532" s="52"/>
      <c r="R532" s="39"/>
      <c r="S532" s="53"/>
      <c r="T532" s="53"/>
      <c r="U532" s="54"/>
      <c r="V532" s="37"/>
      <c r="W532" s="54" t="str">
        <f>IF(NOTA[[#This Row],[HARGA/ CTN]]="",NOTA[[#This Row],[JUMLAH_H]],NOTA[[#This Row],[HARGA/ CTN]]*IF(NOTA[[#This Row],[C]]="",0,NOTA[[#This Row],[C]]))</f>
        <v/>
      </c>
      <c r="X532" s="54" t="str">
        <f>IF(NOTA[[#This Row],[JUMLAH]]="","",NOTA[[#This Row],[JUMLAH]]*NOTA[[#This Row],[DISC 1]])</f>
        <v/>
      </c>
      <c r="Y532" s="54" t="str">
        <f>IF(NOTA[[#This Row],[JUMLAH]]="","",(NOTA[[#This Row],[JUMLAH]]-NOTA[[#This Row],[DISC 1-]])*NOTA[[#This Row],[DISC 2]])</f>
        <v/>
      </c>
      <c r="Z532" s="54" t="str">
        <f>IF(NOTA[[#This Row],[JUMLAH]]="","",NOTA[[#This Row],[DISC 1-]]+NOTA[[#This Row],[DISC 2-]])</f>
        <v/>
      </c>
      <c r="AA532" s="54" t="str">
        <f>IF(NOTA[[#This Row],[JUMLAH]]="","",NOTA[[#This Row],[JUMLAH]]-NOTA[[#This Row],[DISC]])</f>
        <v/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54" t="str">
        <f>IF(OR(NOTA[[#This Row],[QTY]]="",NOTA[[#This Row],[HARGA SATUAN]]="",),"",NOTA[[#This Row],[QTY]]*NOTA[[#This Row],[HARGA SATUAN]])</f>
        <v/>
      </c>
      <c r="AF532" s="51" t="str">
        <f ca="1">IF(NOTA[ID_H]="","",INDEX(NOTA[TANGGAL],MATCH(,INDIRECT(ADDRESS(ROW(NOTA[TANGGAL]),COLUMN(NOTA[TANGGAL]))&amp;":"&amp;ADDRESS(ROW(),COLUMN(NOTA[TANGGAL]))),-1)))</f>
        <v/>
      </c>
      <c r="AG532" s="49" t="str">
        <f ca="1">IF(NOTA[[#This Row],[NAMA BARANG]]="","",INDEX(NOTA[SUPPLIER],MATCH(,INDIRECT(ADDRESS(ROW(NOTA[ID]),COLUMN(NOTA[ID]))&amp;":"&amp;ADDRESS(ROW(),COLUMN(NOTA[ID]))),-1)))</f>
        <v/>
      </c>
      <c r="AH532" s="49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38" t="str">
        <f>IF(NOTA[[#This Row],[CONCAT4]]="","",_xlfn.IFNA(MATCH(NOTA[[#This Row],[CONCAT4]],[2]!RAW[CONCAT_H],0),FALSE))</f>
        <v/>
      </c>
      <c r="AP532" s="174" t="str">
        <f>IF(NOTA[[#This Row],[CONCAT1]]="","",MATCH(NOTA[[#This Row],[CONCAT1]],[3]!db[NB NOTA_C],0)+1)</f>
        <v/>
      </c>
    </row>
    <row r="533" spans="1:42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 t="str">
        <f ca="1">IF(NOTA[[#This Row],[NAMA BARANG]]="","",INDEX(NOTA[ID],MATCH(,INDIRECT(ADDRESS(ROW(NOTA[ID]),COLUMN(NOTA[ID]))&amp;":"&amp;ADDRESS(ROW(),COLUMN(NOTA[ID]))),-1)))</f>
        <v/>
      </c>
      <c r="E533" s="23"/>
      <c r="F533" s="26"/>
      <c r="G533" s="26"/>
      <c r="H533" s="31"/>
      <c r="I533" s="26"/>
      <c r="J533" s="51"/>
      <c r="K533" s="26"/>
      <c r="L533" s="26"/>
      <c r="M533" s="39"/>
      <c r="N533" s="26"/>
      <c r="O533" s="26"/>
      <c r="P533" s="49"/>
      <c r="Q533" s="52"/>
      <c r="R533" s="39"/>
      <c r="S533" s="53"/>
      <c r="T533" s="53"/>
      <c r="U533" s="54"/>
      <c r="V533" s="37"/>
      <c r="W533" s="54" t="str">
        <f>IF(NOTA[[#This Row],[HARGA/ CTN]]="",NOTA[[#This Row],[JUMLAH_H]],NOTA[[#This Row],[HARGA/ CTN]]*IF(NOTA[[#This Row],[C]]="",0,NOTA[[#This Row],[C]]))</f>
        <v/>
      </c>
      <c r="X533" s="54" t="str">
        <f>IF(NOTA[[#This Row],[JUMLAH]]="","",NOTA[[#This Row],[JUMLAH]]*NOTA[[#This Row],[DISC 1]])</f>
        <v/>
      </c>
      <c r="Y533" s="54" t="str">
        <f>IF(NOTA[[#This Row],[JUMLAH]]="","",(NOTA[[#This Row],[JUMLAH]]-NOTA[[#This Row],[DISC 1-]])*NOTA[[#This Row],[DISC 2]])</f>
        <v/>
      </c>
      <c r="Z533" s="54" t="str">
        <f>IF(NOTA[[#This Row],[JUMLAH]]="","",NOTA[[#This Row],[DISC 1-]]+NOTA[[#This Row],[DISC 2-]])</f>
        <v/>
      </c>
      <c r="AA533" s="54" t="str">
        <f>IF(NOTA[[#This Row],[JUMLAH]]="","",NOTA[[#This Row],[JUMLAH]]-NOTA[[#This Row],[DISC]])</f>
        <v/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54" t="str">
        <f>IF(OR(NOTA[[#This Row],[QTY]]="",NOTA[[#This Row],[HARGA SATUAN]]="",),"",NOTA[[#This Row],[QTY]]*NOTA[[#This Row],[HARGA SATUAN]])</f>
        <v/>
      </c>
      <c r="AF533" s="51" t="str">
        <f ca="1">IF(NOTA[ID_H]="","",INDEX(NOTA[TANGGAL],MATCH(,INDIRECT(ADDRESS(ROW(NOTA[TANGGAL]),COLUMN(NOTA[TANGGAL]))&amp;":"&amp;ADDRESS(ROW(),COLUMN(NOTA[TANGGAL]))),-1)))</f>
        <v/>
      </c>
      <c r="AG533" s="49" t="str">
        <f ca="1">IF(NOTA[[#This Row],[NAMA BARANG]]="","",INDEX(NOTA[SUPPLIER],MATCH(,INDIRECT(ADDRESS(ROW(NOTA[ID]),COLUMN(NOTA[ID]))&amp;":"&amp;ADDRESS(ROW(),COLUMN(NOTA[ID]))),-1)))</f>
        <v/>
      </c>
      <c r="AH533" s="49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38" t="str">
        <f>IF(NOTA[[#This Row],[CONCAT4]]="","",_xlfn.IFNA(MATCH(NOTA[[#This Row],[CONCAT4]],[2]!RAW[CONCAT_H],0),FALSE))</f>
        <v/>
      </c>
      <c r="AP533" s="174" t="str">
        <f>IF(NOTA[[#This Row],[CONCAT1]]="","",MATCH(NOTA[[#This Row],[CONCAT1]],[3]!db[NB NOTA_C],0)+1)</f>
        <v/>
      </c>
    </row>
    <row r="534" spans="1:42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 t="str">
        <f ca="1">IF(NOTA[[#This Row],[NAMA BARANG]]="","",INDEX(NOTA[ID],MATCH(,INDIRECT(ADDRESS(ROW(NOTA[ID]),COLUMN(NOTA[ID]))&amp;":"&amp;ADDRESS(ROW(),COLUMN(NOTA[ID]))),-1)))</f>
        <v/>
      </c>
      <c r="E534" s="23"/>
      <c r="F534" s="26"/>
      <c r="G534" s="26"/>
      <c r="H534" s="31"/>
      <c r="I534" s="26"/>
      <c r="J534" s="51"/>
      <c r="K534" s="26"/>
      <c r="L534" s="26"/>
      <c r="M534" s="39"/>
      <c r="N534" s="26"/>
      <c r="O534" s="26"/>
      <c r="P534" s="49"/>
      <c r="Q534" s="52"/>
      <c r="R534" s="39"/>
      <c r="S534" s="53"/>
      <c r="T534" s="53"/>
      <c r="U534" s="54"/>
      <c r="V534" s="37"/>
      <c r="W534" s="54" t="str">
        <f>IF(NOTA[[#This Row],[HARGA/ CTN]]="",NOTA[[#This Row],[JUMLAH_H]],NOTA[[#This Row],[HARGA/ CTN]]*IF(NOTA[[#This Row],[C]]="",0,NOTA[[#This Row],[C]]))</f>
        <v/>
      </c>
      <c r="X534" s="54" t="str">
        <f>IF(NOTA[[#This Row],[JUMLAH]]="","",NOTA[[#This Row],[JUMLAH]]*NOTA[[#This Row],[DISC 1]])</f>
        <v/>
      </c>
      <c r="Y534" s="54" t="str">
        <f>IF(NOTA[[#This Row],[JUMLAH]]="","",(NOTA[[#This Row],[JUMLAH]]-NOTA[[#This Row],[DISC 1-]])*NOTA[[#This Row],[DISC 2]])</f>
        <v/>
      </c>
      <c r="Z534" s="54" t="str">
        <f>IF(NOTA[[#This Row],[JUMLAH]]="","",NOTA[[#This Row],[DISC 1-]]+NOTA[[#This Row],[DISC 2-]])</f>
        <v/>
      </c>
      <c r="AA534" s="54" t="str">
        <f>IF(NOTA[[#This Row],[JUMLAH]]="","",NOTA[[#This Row],[JUMLAH]]-NOTA[[#This Row],[DISC]])</f>
        <v/>
      </c>
      <c r="AB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54" t="str">
        <f>IF(OR(NOTA[[#This Row],[QTY]]="",NOTA[[#This Row],[HARGA SATUAN]]="",),"",NOTA[[#This Row],[QTY]]*NOTA[[#This Row],[HARGA SATUAN]])</f>
        <v/>
      </c>
      <c r="AF534" s="51" t="str">
        <f ca="1">IF(NOTA[ID_H]="","",INDEX(NOTA[TANGGAL],MATCH(,INDIRECT(ADDRESS(ROW(NOTA[TANGGAL]),COLUMN(NOTA[TANGGAL]))&amp;":"&amp;ADDRESS(ROW(),COLUMN(NOTA[TANGGAL]))),-1)))</f>
        <v/>
      </c>
      <c r="AG534" s="49" t="str">
        <f ca="1">IF(NOTA[[#This Row],[NAMA BARANG]]="","",INDEX(NOTA[SUPPLIER],MATCH(,INDIRECT(ADDRESS(ROW(NOTA[ID]),COLUMN(NOTA[ID]))&amp;":"&amp;ADDRESS(ROW(),COLUMN(NOTA[ID]))),-1)))</f>
        <v/>
      </c>
      <c r="AH534" s="49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38" t="str">
        <f>IF(NOTA[[#This Row],[CONCAT4]]="","",_xlfn.IFNA(MATCH(NOTA[[#This Row],[CONCAT4]],[2]!RAW[CONCAT_H],0),FALSE))</f>
        <v/>
      </c>
      <c r="AP534" s="174" t="str">
        <f>IF(NOTA[[#This Row],[CONCAT1]]="","",MATCH(NOTA[[#This Row],[CONCAT1]],[3]!db[NB NOTA_C],0)+1)</f>
        <v/>
      </c>
    </row>
    <row r="535" spans="1:42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/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CTN]]*IF(NOTA[[#This Row],[C]]="",0,NOTA[[#This Row],[C]]))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49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38" t="str">
        <f>IF(NOTA[[#This Row],[CONCAT4]]="","",_xlfn.IFNA(MATCH(NOTA[[#This Row],[CONCAT4]],[2]!RAW[CONCAT_H],0),FALSE))</f>
        <v/>
      </c>
      <c r="AP535" s="174" t="str">
        <f>IF(NOTA[[#This Row],[CONCAT1]]="","",MATCH(NOTA[[#This Row],[CONCAT1]],[3]!db[NB NOTA_C],0)+1)</f>
        <v/>
      </c>
    </row>
    <row r="536" spans="1:42" ht="20.100000000000001" customHeight="1" x14ac:dyDescent="0.25">
      <c r="A5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0" t="str">
        <f>IF(NOTA[[#This Row],[ID_P]]="","",MATCH(NOTA[[#This Row],[ID_P]],[1]!B_MSK[N_ID],0))</f>
        <v/>
      </c>
      <c r="D536" s="50" t="str">
        <f ca="1">IF(NOTA[[#This Row],[NAMA BARANG]]="","",INDEX(NOTA[ID],MATCH(,INDIRECT(ADDRESS(ROW(NOTA[ID]),COLUMN(NOTA[ID]))&amp;":"&amp;ADDRESS(ROW(),COLUMN(NOTA[ID]))),-1)))</f>
        <v/>
      </c>
      <c r="E536" s="23"/>
      <c r="F536" s="26"/>
      <c r="G536" s="26"/>
      <c r="H536" s="31"/>
      <c r="I536" s="26"/>
      <c r="J536" s="51"/>
      <c r="K536" s="26"/>
      <c r="L536" s="26"/>
      <c r="M536" s="39"/>
      <c r="N536" s="26"/>
      <c r="O536" s="26"/>
      <c r="P536" s="49"/>
      <c r="Q536" s="52"/>
      <c r="R536" s="39"/>
      <c r="S536" s="53"/>
      <c r="T536" s="53"/>
      <c r="U536" s="54"/>
      <c r="V536" s="37"/>
      <c r="W536" s="54" t="str">
        <f>IF(NOTA[[#This Row],[HARGA/ CTN]]="",NOTA[[#This Row],[JUMLAH_H]],NOTA[[#This Row],[HARGA/ CTN]]*IF(NOTA[[#This Row],[C]]="",0,NOTA[[#This Row],[C]]))</f>
        <v/>
      </c>
      <c r="X536" s="54" t="str">
        <f>IF(NOTA[[#This Row],[JUMLAH]]="","",NOTA[[#This Row],[JUMLAH]]*NOTA[[#This Row],[DISC 1]])</f>
        <v/>
      </c>
      <c r="Y536" s="54" t="str">
        <f>IF(NOTA[[#This Row],[JUMLAH]]="","",(NOTA[[#This Row],[JUMLAH]]-NOTA[[#This Row],[DISC 1-]])*NOTA[[#This Row],[DISC 2]])</f>
        <v/>
      </c>
      <c r="Z536" s="54" t="str">
        <f>IF(NOTA[[#This Row],[JUMLAH]]="","",NOTA[[#This Row],[DISC 1-]]+NOTA[[#This Row],[DISC 2-]])</f>
        <v/>
      </c>
      <c r="AA536" s="54" t="str">
        <f>IF(NOTA[[#This Row],[JUMLAH]]="","",NOTA[[#This Row],[JUMLAH]]-NOTA[[#This Row],[DISC]])</f>
        <v/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54" t="str">
        <f>IF(OR(NOTA[[#This Row],[QTY]]="",NOTA[[#This Row],[HARGA SATUAN]]="",),"",NOTA[[#This Row],[QTY]]*NOTA[[#This Row],[HARGA SATUAN]])</f>
        <v/>
      </c>
      <c r="AF536" s="51" t="str">
        <f ca="1">IF(NOTA[ID_H]="","",INDEX(NOTA[TANGGAL],MATCH(,INDIRECT(ADDRESS(ROW(NOTA[TANGGAL]),COLUMN(NOTA[TANGGAL]))&amp;":"&amp;ADDRESS(ROW(),COLUMN(NOTA[TANGGAL]))),-1)))</f>
        <v/>
      </c>
      <c r="AG536" s="49" t="str">
        <f ca="1">IF(NOTA[[#This Row],[NAMA BARANG]]="","",INDEX(NOTA[SUPPLIER],MATCH(,INDIRECT(ADDRESS(ROW(NOTA[ID]),COLUMN(NOTA[ID]))&amp;":"&amp;ADDRESS(ROW(),COLUMN(NOTA[ID]))),-1)))</f>
        <v/>
      </c>
      <c r="AH536" s="49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38" t="str">
        <f>IF(NOTA[[#This Row],[CONCAT4]]="","",_xlfn.IFNA(MATCH(NOTA[[#This Row],[CONCAT4]],[2]!RAW[CONCAT_H],0),FALSE))</f>
        <v/>
      </c>
      <c r="AP536" s="174" t="str">
        <f>IF(NOTA[[#This Row],[CONCAT1]]="","",MATCH(NOTA[[#This Row],[CONCAT1]],[3]!db[NB NOTA_C],0)+1)</f>
        <v/>
      </c>
    </row>
    <row r="537" spans="1:42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 t="str">
        <f ca="1">IF(NOTA[[#This Row],[NAMA BARANG]]="","",INDEX(NOTA[ID],MATCH(,INDIRECT(ADDRESS(ROW(NOTA[ID]),COLUMN(NOTA[ID]))&amp;":"&amp;ADDRESS(ROW(),COLUMN(NOTA[ID]))),-1)))</f>
        <v/>
      </c>
      <c r="E537" s="23"/>
      <c r="F537" s="26"/>
      <c r="G537" s="26"/>
      <c r="H537" s="31"/>
      <c r="I537" s="26"/>
      <c r="J537" s="51"/>
      <c r="K537" s="26"/>
      <c r="L537" s="26"/>
      <c r="M537" s="39"/>
      <c r="N537" s="26"/>
      <c r="O537" s="26"/>
      <c r="P537" s="49"/>
      <c r="Q537" s="52"/>
      <c r="R537" s="39"/>
      <c r="S537" s="53"/>
      <c r="T537" s="53"/>
      <c r="U537" s="54"/>
      <c r="V537" s="37"/>
      <c r="W537" s="54" t="str">
        <f>IF(NOTA[[#This Row],[HARGA/ CTN]]="",NOTA[[#This Row],[JUMLAH_H]],NOTA[[#This Row],[HARGA/ CTN]]*IF(NOTA[[#This Row],[C]]="",0,NOTA[[#This Row],[C]]))</f>
        <v/>
      </c>
      <c r="X537" s="54" t="str">
        <f>IF(NOTA[[#This Row],[JUMLAH]]="","",NOTA[[#This Row],[JUMLAH]]*NOTA[[#This Row],[DISC 1]])</f>
        <v/>
      </c>
      <c r="Y537" s="54" t="str">
        <f>IF(NOTA[[#This Row],[JUMLAH]]="","",(NOTA[[#This Row],[JUMLAH]]-NOTA[[#This Row],[DISC 1-]])*NOTA[[#This Row],[DISC 2]])</f>
        <v/>
      </c>
      <c r="Z537" s="54" t="str">
        <f>IF(NOTA[[#This Row],[JUMLAH]]="","",NOTA[[#This Row],[DISC 1-]]+NOTA[[#This Row],[DISC 2-]])</f>
        <v/>
      </c>
      <c r="AA537" s="54" t="str">
        <f>IF(NOTA[[#This Row],[JUMLAH]]="","",NOTA[[#This Row],[JUMLAH]]-NOTA[[#This Row],[DISC]])</f>
        <v/>
      </c>
      <c r="AB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54" t="str">
        <f>IF(OR(NOTA[[#This Row],[QTY]]="",NOTA[[#This Row],[HARGA SATUAN]]="",),"",NOTA[[#This Row],[QTY]]*NOTA[[#This Row],[HARGA SATUAN]])</f>
        <v/>
      </c>
      <c r="AF537" s="51" t="str">
        <f ca="1">IF(NOTA[ID_H]="","",INDEX(NOTA[TANGGAL],MATCH(,INDIRECT(ADDRESS(ROW(NOTA[TANGGAL]),COLUMN(NOTA[TANGGAL]))&amp;":"&amp;ADDRESS(ROW(),COLUMN(NOTA[TANGGAL]))),-1)))</f>
        <v/>
      </c>
      <c r="AG537" s="49" t="str">
        <f ca="1">IF(NOTA[[#This Row],[NAMA BARANG]]="","",INDEX(NOTA[SUPPLIER],MATCH(,INDIRECT(ADDRESS(ROW(NOTA[ID]),COLUMN(NOTA[ID]))&amp;":"&amp;ADDRESS(ROW(),COLUMN(NOTA[ID]))),-1)))</f>
        <v/>
      </c>
      <c r="AH537" s="49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38" t="str">
        <f>IF(NOTA[[#This Row],[CONCAT4]]="","",_xlfn.IFNA(MATCH(NOTA[[#This Row],[CONCAT4]],[2]!RAW[CONCAT_H],0),FALSE))</f>
        <v/>
      </c>
      <c r="AP537" s="174" t="str">
        <f>IF(NOTA[[#This Row],[CONCAT1]]="","",MATCH(NOTA[[#This Row],[CONCAT1]],[3]!db[NB NOTA_C],0)+1)</f>
        <v/>
      </c>
    </row>
    <row r="538" spans="1:42" ht="20.100000000000001" customHeight="1" x14ac:dyDescent="0.25">
      <c r="A5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0" t="str">
        <f>IF(NOTA[[#This Row],[ID_P]]="","",MATCH(NOTA[[#This Row],[ID_P]],[1]!B_MSK[N_ID],0))</f>
        <v/>
      </c>
      <c r="D538" s="50" t="str">
        <f ca="1">IF(NOTA[[#This Row],[NAMA BARANG]]="","",INDEX(NOTA[ID],MATCH(,INDIRECT(ADDRESS(ROW(NOTA[ID]),COLUMN(NOTA[ID]))&amp;":"&amp;ADDRESS(ROW(),COLUMN(NOTA[ID]))),-1)))</f>
        <v/>
      </c>
      <c r="E538" s="23"/>
      <c r="F538" s="26"/>
      <c r="G538" s="26"/>
      <c r="H538" s="31"/>
      <c r="I538" s="26"/>
      <c r="J538" s="51"/>
      <c r="K538" s="26"/>
      <c r="L538" s="26"/>
      <c r="M538" s="39"/>
      <c r="N538" s="26"/>
      <c r="O538" s="26"/>
      <c r="P538" s="49"/>
      <c r="Q538" s="52"/>
      <c r="R538" s="39"/>
      <c r="S538" s="53"/>
      <c r="T538" s="53"/>
      <c r="U538" s="54"/>
      <c r="V538" s="37"/>
      <c r="W538" s="54" t="str">
        <f>IF(NOTA[[#This Row],[HARGA/ CTN]]="",NOTA[[#This Row],[JUMLAH_H]],NOTA[[#This Row],[HARGA/ CTN]]*IF(NOTA[[#This Row],[C]]="",0,NOTA[[#This Row],[C]]))</f>
        <v/>
      </c>
      <c r="X538" s="54" t="str">
        <f>IF(NOTA[[#This Row],[JUMLAH]]="","",NOTA[[#This Row],[JUMLAH]]*NOTA[[#This Row],[DISC 1]])</f>
        <v/>
      </c>
      <c r="Y538" s="54" t="str">
        <f>IF(NOTA[[#This Row],[JUMLAH]]="","",(NOTA[[#This Row],[JUMLAH]]-NOTA[[#This Row],[DISC 1-]])*NOTA[[#This Row],[DISC 2]])</f>
        <v/>
      </c>
      <c r="Z538" s="54" t="str">
        <f>IF(NOTA[[#This Row],[JUMLAH]]="","",NOTA[[#This Row],[DISC 1-]]+NOTA[[#This Row],[DISC 2-]])</f>
        <v/>
      </c>
      <c r="AA538" s="54" t="str">
        <f>IF(NOTA[[#This Row],[JUMLAH]]="","",NOTA[[#This Row],[JUMLAH]]-NOTA[[#This Row],[DISC]])</f>
        <v/>
      </c>
      <c r="AB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54" t="str">
        <f>IF(OR(NOTA[[#This Row],[QTY]]="",NOTA[[#This Row],[HARGA SATUAN]]="",),"",NOTA[[#This Row],[QTY]]*NOTA[[#This Row],[HARGA SATUAN]])</f>
        <v/>
      </c>
      <c r="AF538" s="51" t="str">
        <f ca="1">IF(NOTA[ID_H]="","",INDEX(NOTA[TANGGAL],MATCH(,INDIRECT(ADDRESS(ROW(NOTA[TANGGAL]),COLUMN(NOTA[TANGGAL]))&amp;":"&amp;ADDRESS(ROW(),COLUMN(NOTA[TANGGAL]))),-1)))</f>
        <v/>
      </c>
      <c r="AG538" s="49" t="str">
        <f ca="1">IF(NOTA[[#This Row],[NAMA BARANG]]="","",INDEX(NOTA[SUPPLIER],MATCH(,INDIRECT(ADDRESS(ROW(NOTA[ID]),COLUMN(NOTA[ID]))&amp;":"&amp;ADDRESS(ROW(),COLUMN(NOTA[ID]))),-1)))</f>
        <v/>
      </c>
      <c r="AH538" s="49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38" t="str">
        <f>IF(NOTA[[#This Row],[CONCAT4]]="","",_xlfn.IFNA(MATCH(NOTA[[#This Row],[CONCAT4]],[2]!RAW[CONCAT_H],0),FALSE))</f>
        <v/>
      </c>
      <c r="AP538" s="174" t="str">
        <f>IF(NOTA[[#This Row],[CONCAT1]]="","",MATCH(NOTA[[#This Row],[CONCAT1]],[3]!db[NB NOTA_C],0)+1)</f>
        <v/>
      </c>
    </row>
    <row r="539" spans="1:42" ht="20.100000000000001" customHeight="1" x14ac:dyDescent="0.25">
      <c r="A5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0" t="str">
        <f>IF(NOTA[[#This Row],[ID_P]]="","",MATCH(NOTA[[#This Row],[ID_P]],[1]!B_MSK[N_ID],0))</f>
        <v/>
      </c>
      <c r="D539" s="50" t="str">
        <f ca="1">IF(NOTA[[#This Row],[NAMA BARANG]]="","",INDEX(NOTA[ID],MATCH(,INDIRECT(ADDRESS(ROW(NOTA[ID]),COLUMN(NOTA[ID]))&amp;":"&amp;ADDRESS(ROW(),COLUMN(NOTA[ID]))),-1)))</f>
        <v/>
      </c>
      <c r="E539" s="23"/>
      <c r="F539" s="26"/>
      <c r="G539" s="26"/>
      <c r="H539" s="31"/>
      <c r="I539" s="26"/>
      <c r="J539" s="51"/>
      <c r="K539" s="26"/>
      <c r="L539" s="26"/>
      <c r="M539" s="39"/>
      <c r="N539" s="26"/>
      <c r="O539" s="26"/>
      <c r="P539" s="49"/>
      <c r="Q539" s="52"/>
      <c r="R539" s="39"/>
      <c r="S539" s="53"/>
      <c r="T539" s="53"/>
      <c r="U539" s="54"/>
      <c r="V539" s="37"/>
      <c r="W539" s="54" t="str">
        <f>IF(NOTA[[#This Row],[HARGA/ CTN]]="",NOTA[[#This Row],[JUMLAH_H]],NOTA[[#This Row],[HARGA/ CTN]]*IF(NOTA[[#This Row],[C]]="",0,NOTA[[#This Row],[C]]))</f>
        <v/>
      </c>
      <c r="X539" s="54" t="str">
        <f>IF(NOTA[[#This Row],[JUMLAH]]="","",NOTA[[#This Row],[JUMLAH]]*NOTA[[#This Row],[DISC 1]])</f>
        <v/>
      </c>
      <c r="Y539" s="54" t="str">
        <f>IF(NOTA[[#This Row],[JUMLAH]]="","",(NOTA[[#This Row],[JUMLAH]]-NOTA[[#This Row],[DISC 1-]])*NOTA[[#This Row],[DISC 2]])</f>
        <v/>
      </c>
      <c r="Z539" s="54" t="str">
        <f>IF(NOTA[[#This Row],[JUMLAH]]="","",NOTA[[#This Row],[DISC 1-]]+NOTA[[#This Row],[DISC 2-]])</f>
        <v/>
      </c>
      <c r="AA539" s="54" t="str">
        <f>IF(NOTA[[#This Row],[JUMLAH]]="","",NOTA[[#This Row],[JUMLAH]]-NOTA[[#This Row],[DISC]])</f>
        <v/>
      </c>
      <c r="AB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54" t="str">
        <f>IF(OR(NOTA[[#This Row],[QTY]]="",NOTA[[#This Row],[HARGA SATUAN]]="",),"",NOTA[[#This Row],[QTY]]*NOTA[[#This Row],[HARGA SATUAN]])</f>
        <v/>
      </c>
      <c r="AF539" s="51" t="str">
        <f ca="1">IF(NOTA[ID_H]="","",INDEX(NOTA[TANGGAL],MATCH(,INDIRECT(ADDRESS(ROW(NOTA[TANGGAL]),COLUMN(NOTA[TANGGAL]))&amp;":"&amp;ADDRESS(ROW(),COLUMN(NOTA[TANGGAL]))),-1)))</f>
        <v/>
      </c>
      <c r="AG539" s="49" t="str">
        <f ca="1">IF(NOTA[[#This Row],[NAMA BARANG]]="","",INDEX(NOTA[SUPPLIER],MATCH(,INDIRECT(ADDRESS(ROW(NOTA[ID]),COLUMN(NOTA[ID]))&amp;":"&amp;ADDRESS(ROW(),COLUMN(NOTA[ID]))),-1)))</f>
        <v/>
      </c>
      <c r="AH539" s="49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38" t="str">
        <f>IF(NOTA[[#This Row],[CONCAT4]]="","",_xlfn.IFNA(MATCH(NOTA[[#This Row],[CONCAT4]],[2]!RAW[CONCAT_H],0),FALSE))</f>
        <v/>
      </c>
      <c r="AP539" s="174" t="str">
        <f>IF(NOTA[[#This Row],[CONCAT1]]="","",MATCH(NOTA[[#This Row],[CONCAT1]],[3]!db[NB NOTA_C],0)+1)</f>
        <v/>
      </c>
    </row>
    <row r="540" spans="1:42" ht="20.100000000000001" customHeight="1" x14ac:dyDescent="0.25">
      <c r="A5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0" t="str">
        <f>IF(NOTA[[#This Row],[ID_P]]="","",MATCH(NOTA[[#This Row],[ID_P]],[1]!B_MSK[N_ID],0))</f>
        <v/>
      </c>
      <c r="D540" s="50" t="str">
        <f ca="1">IF(NOTA[[#This Row],[NAMA BARANG]]="","",INDEX(NOTA[ID],MATCH(,INDIRECT(ADDRESS(ROW(NOTA[ID]),COLUMN(NOTA[ID]))&amp;":"&amp;ADDRESS(ROW(),COLUMN(NOTA[ID]))),-1)))</f>
        <v/>
      </c>
      <c r="E540" s="23"/>
      <c r="F540" s="26"/>
      <c r="G540" s="26"/>
      <c r="H540" s="31"/>
      <c r="I540" s="26"/>
      <c r="J540" s="51"/>
      <c r="K540" s="26"/>
      <c r="L540" s="26"/>
      <c r="M540" s="39"/>
      <c r="N540" s="26"/>
      <c r="O540" s="26"/>
      <c r="P540" s="49"/>
      <c r="Q540" s="52"/>
      <c r="R540" s="39"/>
      <c r="S540" s="53"/>
      <c r="T540" s="53"/>
      <c r="U540" s="54"/>
      <c r="V540" s="37"/>
      <c r="W540" s="54" t="str">
        <f>IF(NOTA[[#This Row],[HARGA/ CTN]]="",NOTA[[#This Row],[JUMLAH_H]],NOTA[[#This Row],[HARGA/ CTN]]*IF(NOTA[[#This Row],[C]]="",0,NOTA[[#This Row],[C]]))</f>
        <v/>
      </c>
      <c r="X540" s="54" t="str">
        <f>IF(NOTA[[#This Row],[JUMLAH]]="","",NOTA[[#This Row],[JUMLAH]]*NOTA[[#This Row],[DISC 1]])</f>
        <v/>
      </c>
      <c r="Y540" s="54" t="str">
        <f>IF(NOTA[[#This Row],[JUMLAH]]="","",(NOTA[[#This Row],[JUMLAH]]-NOTA[[#This Row],[DISC 1-]])*NOTA[[#This Row],[DISC 2]])</f>
        <v/>
      </c>
      <c r="Z540" s="54" t="str">
        <f>IF(NOTA[[#This Row],[JUMLAH]]="","",NOTA[[#This Row],[DISC 1-]]+NOTA[[#This Row],[DISC 2-]])</f>
        <v/>
      </c>
      <c r="AA540" s="54" t="str">
        <f>IF(NOTA[[#This Row],[JUMLAH]]="","",NOTA[[#This Row],[JUMLAH]]-NOTA[[#This Row],[DISC]])</f>
        <v/>
      </c>
      <c r="AB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54" t="str">
        <f>IF(OR(NOTA[[#This Row],[QTY]]="",NOTA[[#This Row],[HARGA SATUAN]]="",),"",NOTA[[#This Row],[QTY]]*NOTA[[#This Row],[HARGA SATUAN]])</f>
        <v/>
      </c>
      <c r="AF540" s="51" t="str">
        <f ca="1">IF(NOTA[ID_H]="","",INDEX(NOTA[TANGGAL],MATCH(,INDIRECT(ADDRESS(ROW(NOTA[TANGGAL]),COLUMN(NOTA[TANGGAL]))&amp;":"&amp;ADDRESS(ROW(),COLUMN(NOTA[TANGGAL]))),-1)))</f>
        <v/>
      </c>
      <c r="AG540" s="49" t="str">
        <f ca="1">IF(NOTA[[#This Row],[NAMA BARANG]]="","",INDEX(NOTA[SUPPLIER],MATCH(,INDIRECT(ADDRESS(ROW(NOTA[ID]),COLUMN(NOTA[ID]))&amp;":"&amp;ADDRESS(ROW(),COLUMN(NOTA[ID]))),-1)))</f>
        <v/>
      </c>
      <c r="AH540" s="49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38" t="str">
        <f>IF(NOTA[[#This Row],[CONCAT4]]="","",_xlfn.IFNA(MATCH(NOTA[[#This Row],[CONCAT4]],[2]!RAW[CONCAT_H],0),FALSE))</f>
        <v/>
      </c>
      <c r="AP540" s="174" t="str">
        <f>IF(NOTA[[#This Row],[CONCAT1]]="","",MATCH(NOTA[[#This Row],[CONCAT1]],[3]!db[NB NOTA_C],0)+1)</f>
        <v/>
      </c>
    </row>
    <row r="541" spans="1:42" ht="20.100000000000001" customHeight="1" x14ac:dyDescent="0.25">
      <c r="A5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0" t="str">
        <f>IF(NOTA[[#This Row],[ID_P]]="","",MATCH(NOTA[[#This Row],[ID_P]],[1]!B_MSK[N_ID],0))</f>
        <v/>
      </c>
      <c r="D541" s="50" t="str">
        <f ca="1">IF(NOTA[[#This Row],[NAMA BARANG]]="","",INDEX(NOTA[ID],MATCH(,INDIRECT(ADDRESS(ROW(NOTA[ID]),COLUMN(NOTA[ID]))&amp;":"&amp;ADDRESS(ROW(),COLUMN(NOTA[ID]))),-1)))</f>
        <v/>
      </c>
      <c r="E541" s="23"/>
      <c r="F541" s="26"/>
      <c r="G541" s="26"/>
      <c r="H541" s="31"/>
      <c r="I541" s="26"/>
      <c r="J541" s="51"/>
      <c r="K541" s="26"/>
      <c r="L541" s="26"/>
      <c r="M541" s="39"/>
      <c r="N541" s="26"/>
      <c r="O541" s="26"/>
      <c r="P541" s="49"/>
      <c r="Q541" s="52"/>
      <c r="R541" s="39"/>
      <c r="S541" s="53"/>
      <c r="T541" s="53"/>
      <c r="U541" s="54"/>
      <c r="V541" s="37"/>
      <c r="W541" s="54" t="str">
        <f>IF(NOTA[[#This Row],[HARGA/ CTN]]="",NOTA[[#This Row],[JUMLAH_H]],NOTA[[#This Row],[HARGA/ CTN]]*IF(NOTA[[#This Row],[C]]="",0,NOTA[[#This Row],[C]]))</f>
        <v/>
      </c>
      <c r="X541" s="54" t="str">
        <f>IF(NOTA[[#This Row],[JUMLAH]]="","",NOTA[[#This Row],[JUMLAH]]*NOTA[[#This Row],[DISC 1]])</f>
        <v/>
      </c>
      <c r="Y541" s="54" t="str">
        <f>IF(NOTA[[#This Row],[JUMLAH]]="","",(NOTA[[#This Row],[JUMLAH]]-NOTA[[#This Row],[DISC 1-]])*NOTA[[#This Row],[DISC 2]])</f>
        <v/>
      </c>
      <c r="Z541" s="54" t="str">
        <f>IF(NOTA[[#This Row],[JUMLAH]]="","",NOTA[[#This Row],[DISC 1-]]+NOTA[[#This Row],[DISC 2-]])</f>
        <v/>
      </c>
      <c r="AA541" s="54" t="str">
        <f>IF(NOTA[[#This Row],[JUMLAH]]="","",NOTA[[#This Row],[JUMLAH]]-NOTA[[#This Row],[DISC]])</f>
        <v/>
      </c>
      <c r="AB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54" t="str">
        <f>IF(OR(NOTA[[#This Row],[QTY]]="",NOTA[[#This Row],[HARGA SATUAN]]="",),"",NOTA[[#This Row],[QTY]]*NOTA[[#This Row],[HARGA SATUAN]])</f>
        <v/>
      </c>
      <c r="AF541" s="51" t="str">
        <f ca="1">IF(NOTA[ID_H]="","",INDEX(NOTA[TANGGAL],MATCH(,INDIRECT(ADDRESS(ROW(NOTA[TANGGAL]),COLUMN(NOTA[TANGGAL]))&amp;":"&amp;ADDRESS(ROW(),COLUMN(NOTA[TANGGAL]))),-1)))</f>
        <v/>
      </c>
      <c r="AG541" s="49" t="str">
        <f ca="1">IF(NOTA[[#This Row],[NAMA BARANG]]="","",INDEX(NOTA[SUPPLIER],MATCH(,INDIRECT(ADDRESS(ROW(NOTA[ID]),COLUMN(NOTA[ID]))&amp;":"&amp;ADDRESS(ROW(),COLUMN(NOTA[ID]))),-1)))</f>
        <v/>
      </c>
      <c r="AH541" s="49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38" t="str">
        <f>IF(NOTA[[#This Row],[CONCAT4]]="","",_xlfn.IFNA(MATCH(NOTA[[#This Row],[CONCAT4]],[2]!RAW[CONCAT_H],0),FALSE))</f>
        <v/>
      </c>
      <c r="AP541" s="174" t="str">
        <f>IF(NOTA[[#This Row],[CONCAT1]]="","",MATCH(NOTA[[#This Row],[CONCAT1]],[3]!db[NB NOTA_C],0)+1)</f>
        <v/>
      </c>
    </row>
    <row r="542" spans="1:42" ht="20.100000000000001" customHeight="1" x14ac:dyDescent="0.25">
      <c r="A5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0" t="str">
        <f>IF(NOTA[[#This Row],[ID_P]]="","",MATCH(NOTA[[#This Row],[ID_P]],[1]!B_MSK[N_ID],0))</f>
        <v/>
      </c>
      <c r="D542" s="50" t="str">
        <f ca="1">IF(NOTA[[#This Row],[NAMA BARANG]]="","",INDEX(NOTA[ID],MATCH(,INDIRECT(ADDRESS(ROW(NOTA[ID]),COLUMN(NOTA[ID]))&amp;":"&amp;ADDRESS(ROW(),COLUMN(NOTA[ID]))),-1)))</f>
        <v/>
      </c>
      <c r="E542" s="23"/>
      <c r="F542" s="26"/>
      <c r="G542" s="26"/>
      <c r="H542" s="31"/>
      <c r="I542" s="26"/>
      <c r="J542" s="51"/>
      <c r="K542" s="26"/>
      <c r="L542" s="26"/>
      <c r="M542" s="39"/>
      <c r="N542" s="26"/>
      <c r="O542" s="26"/>
      <c r="P542" s="49"/>
      <c r="Q542" s="52"/>
      <c r="R542" s="39"/>
      <c r="S542" s="53"/>
      <c r="T542" s="53"/>
      <c r="U542" s="54"/>
      <c r="V542" s="37"/>
      <c r="W542" s="54" t="str">
        <f>IF(NOTA[[#This Row],[HARGA/ CTN]]="",NOTA[[#This Row],[JUMLAH_H]],NOTA[[#This Row],[HARGA/ CTN]]*IF(NOTA[[#This Row],[C]]="",0,NOTA[[#This Row],[C]]))</f>
        <v/>
      </c>
      <c r="X542" s="54" t="str">
        <f>IF(NOTA[[#This Row],[JUMLAH]]="","",NOTA[[#This Row],[JUMLAH]]*NOTA[[#This Row],[DISC 1]])</f>
        <v/>
      </c>
      <c r="Y542" s="54" t="str">
        <f>IF(NOTA[[#This Row],[JUMLAH]]="","",(NOTA[[#This Row],[JUMLAH]]-NOTA[[#This Row],[DISC 1-]])*NOTA[[#This Row],[DISC 2]])</f>
        <v/>
      </c>
      <c r="Z542" s="54" t="str">
        <f>IF(NOTA[[#This Row],[JUMLAH]]="","",NOTA[[#This Row],[DISC 1-]]+NOTA[[#This Row],[DISC 2-]])</f>
        <v/>
      </c>
      <c r="AA542" s="54" t="str">
        <f>IF(NOTA[[#This Row],[JUMLAH]]="","",NOTA[[#This Row],[JUMLAH]]-NOTA[[#This Row],[DISC]])</f>
        <v/>
      </c>
      <c r="AB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54" t="str">
        <f>IF(OR(NOTA[[#This Row],[QTY]]="",NOTA[[#This Row],[HARGA SATUAN]]="",),"",NOTA[[#This Row],[QTY]]*NOTA[[#This Row],[HARGA SATUAN]])</f>
        <v/>
      </c>
      <c r="AF542" s="51" t="str">
        <f ca="1">IF(NOTA[ID_H]="","",INDEX(NOTA[TANGGAL],MATCH(,INDIRECT(ADDRESS(ROW(NOTA[TANGGAL]),COLUMN(NOTA[TANGGAL]))&amp;":"&amp;ADDRESS(ROW(),COLUMN(NOTA[TANGGAL]))),-1)))</f>
        <v/>
      </c>
      <c r="AG542" s="49" t="str">
        <f ca="1">IF(NOTA[[#This Row],[NAMA BARANG]]="","",INDEX(NOTA[SUPPLIER],MATCH(,INDIRECT(ADDRESS(ROW(NOTA[ID]),COLUMN(NOTA[ID]))&amp;":"&amp;ADDRESS(ROW(),COLUMN(NOTA[ID]))),-1)))</f>
        <v/>
      </c>
      <c r="AH542" s="49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38" t="str">
        <f>IF(NOTA[[#This Row],[CONCAT4]]="","",_xlfn.IFNA(MATCH(NOTA[[#This Row],[CONCAT4]],[2]!RAW[CONCAT_H],0),FALSE))</f>
        <v/>
      </c>
      <c r="AP542" s="174" t="str">
        <f>IF(NOTA[[#This Row],[CONCAT1]]="","",MATCH(NOTA[[#This Row],[CONCAT1]],[3]!db[NB NOTA_C],0)+1)</f>
        <v/>
      </c>
    </row>
    <row r="543" spans="1:42" s="48" customFormat="1" ht="20.100000000000001" customHeight="1" x14ac:dyDescent="0.25">
      <c r="A5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0" t="str">
        <f>IF(NOTA[[#This Row],[ID_P]]="","",MATCH(NOTA[[#This Row],[ID_P]],[1]!B_MSK[N_ID],0))</f>
        <v/>
      </c>
      <c r="D543" s="50" t="str">
        <f ca="1">IF(NOTA[[#This Row],[NAMA BARANG]]="","",INDEX(NOTA[ID],MATCH(,INDIRECT(ADDRESS(ROW(NOTA[ID]),COLUMN(NOTA[ID]))&amp;":"&amp;ADDRESS(ROW(),COLUMN(NOTA[ID]))),-1)))</f>
        <v/>
      </c>
      <c r="E543" s="23"/>
      <c r="F543" s="26"/>
      <c r="G543" s="26"/>
      <c r="H543" s="31"/>
      <c r="I543" s="26"/>
      <c r="J543" s="51"/>
      <c r="K543" s="26"/>
      <c r="L543" s="26"/>
      <c r="M543" s="39"/>
      <c r="N543" s="26"/>
      <c r="O543" s="26"/>
      <c r="P543" s="49"/>
      <c r="Q543" s="52"/>
      <c r="R543" s="39"/>
      <c r="S543" s="53"/>
      <c r="T543" s="53"/>
      <c r="U543" s="54"/>
      <c r="V543" s="37"/>
      <c r="W543" s="54" t="str">
        <f>IF(NOTA[[#This Row],[HARGA/ CTN]]="",NOTA[[#This Row],[JUMLAH_H]],NOTA[[#This Row],[HARGA/ CTN]]*IF(NOTA[[#This Row],[C]]="",0,NOTA[[#This Row],[C]]))</f>
        <v/>
      </c>
      <c r="X543" s="54" t="str">
        <f>IF(NOTA[[#This Row],[JUMLAH]]="","",NOTA[[#This Row],[JUMLAH]]*NOTA[[#This Row],[DISC 1]])</f>
        <v/>
      </c>
      <c r="Y543" s="54" t="str">
        <f>IF(NOTA[[#This Row],[JUMLAH]]="","",(NOTA[[#This Row],[JUMLAH]]-NOTA[[#This Row],[DISC 1-]])*NOTA[[#This Row],[DISC 2]])</f>
        <v/>
      </c>
      <c r="Z543" s="54" t="str">
        <f>IF(NOTA[[#This Row],[JUMLAH]]="","",NOTA[[#This Row],[DISC 1-]]+NOTA[[#This Row],[DISC 2-]])</f>
        <v/>
      </c>
      <c r="AA543" s="54" t="str">
        <f>IF(NOTA[[#This Row],[JUMLAH]]="","",NOTA[[#This Row],[JUMLAH]]-NOTA[[#This Row],[DISC]])</f>
        <v/>
      </c>
      <c r="AB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54" t="str">
        <f>IF(OR(NOTA[[#This Row],[QTY]]="",NOTA[[#This Row],[HARGA SATUAN]]="",),"",NOTA[[#This Row],[QTY]]*NOTA[[#This Row],[HARGA SATUAN]])</f>
        <v/>
      </c>
      <c r="AF543" s="51" t="str">
        <f ca="1">IF(NOTA[ID_H]="","",INDEX(NOTA[TANGGAL],MATCH(,INDIRECT(ADDRESS(ROW(NOTA[TANGGAL]),COLUMN(NOTA[TANGGAL]))&amp;":"&amp;ADDRESS(ROW(),COLUMN(NOTA[TANGGAL]))),-1)))</f>
        <v/>
      </c>
      <c r="AG543" s="49" t="str">
        <f ca="1">IF(NOTA[[#This Row],[NAMA BARANG]]="","",INDEX(NOTA[SUPPLIER],MATCH(,INDIRECT(ADDRESS(ROW(NOTA[ID]),COLUMN(NOTA[ID]))&amp;":"&amp;ADDRESS(ROW(),COLUMN(NOTA[ID]))),-1)))</f>
        <v/>
      </c>
      <c r="AH543" s="49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38" t="str">
        <f>IF(NOTA[[#This Row],[CONCAT4]]="","",_xlfn.IFNA(MATCH(NOTA[[#This Row],[CONCAT4]],[2]!RAW[CONCAT_H],0),FALSE))</f>
        <v/>
      </c>
      <c r="AP543" s="174" t="str">
        <f>IF(NOTA[[#This Row],[CONCAT1]]="","",MATCH(NOTA[[#This Row],[CONCAT1]],[3]!db[NB NOTA_C],0)+1)</f>
        <v/>
      </c>
    </row>
    <row r="544" spans="1:42" ht="20.100000000000001" customHeight="1" x14ac:dyDescent="0.25">
      <c r="A5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0" t="str">
        <f>IF(NOTA[[#This Row],[ID_P]]="","",MATCH(NOTA[[#This Row],[ID_P]],[1]!B_MSK[N_ID],0))</f>
        <v/>
      </c>
      <c r="D544" s="50" t="str">
        <f ca="1">IF(NOTA[[#This Row],[NAMA BARANG]]="","",INDEX(NOTA[ID],MATCH(,INDIRECT(ADDRESS(ROW(NOTA[ID]),COLUMN(NOTA[ID]))&amp;":"&amp;ADDRESS(ROW(),COLUMN(NOTA[ID]))),-1)))</f>
        <v/>
      </c>
      <c r="E544" s="23"/>
      <c r="F544" s="26"/>
      <c r="G544" s="26"/>
      <c r="H544" s="31"/>
      <c r="I544" s="26"/>
      <c r="J544" s="51"/>
      <c r="K544" s="26"/>
      <c r="L544" s="26"/>
      <c r="M544" s="39"/>
      <c r="N544" s="26"/>
      <c r="O544" s="26"/>
      <c r="P544" s="49"/>
      <c r="Q544" s="52"/>
      <c r="R544" s="39"/>
      <c r="S544" s="53"/>
      <c r="T544" s="53"/>
      <c r="U544" s="54"/>
      <c r="V544" s="37"/>
      <c r="W544" s="54" t="str">
        <f>IF(NOTA[[#This Row],[HARGA/ CTN]]="",NOTA[[#This Row],[JUMLAH_H]],NOTA[[#This Row],[HARGA/ CTN]]*IF(NOTA[[#This Row],[C]]="",0,NOTA[[#This Row],[C]]))</f>
        <v/>
      </c>
      <c r="X544" s="54" t="str">
        <f>IF(NOTA[[#This Row],[JUMLAH]]="","",NOTA[[#This Row],[JUMLAH]]*NOTA[[#This Row],[DISC 1]])</f>
        <v/>
      </c>
      <c r="Y544" s="54" t="str">
        <f>IF(NOTA[[#This Row],[JUMLAH]]="","",(NOTA[[#This Row],[JUMLAH]]-NOTA[[#This Row],[DISC 1-]])*NOTA[[#This Row],[DISC 2]])</f>
        <v/>
      </c>
      <c r="Z544" s="54" t="str">
        <f>IF(NOTA[[#This Row],[JUMLAH]]="","",NOTA[[#This Row],[DISC 1-]]+NOTA[[#This Row],[DISC 2-]])</f>
        <v/>
      </c>
      <c r="AA544" s="54" t="str">
        <f>IF(NOTA[[#This Row],[JUMLAH]]="","",NOTA[[#This Row],[JUMLAH]]-NOTA[[#This Row],[DISC]])</f>
        <v/>
      </c>
      <c r="AB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54" t="str">
        <f>IF(OR(NOTA[[#This Row],[QTY]]="",NOTA[[#This Row],[HARGA SATUAN]]="",),"",NOTA[[#This Row],[QTY]]*NOTA[[#This Row],[HARGA SATUAN]])</f>
        <v/>
      </c>
      <c r="AF544" s="51" t="str">
        <f ca="1">IF(NOTA[ID_H]="","",INDEX(NOTA[TANGGAL],MATCH(,INDIRECT(ADDRESS(ROW(NOTA[TANGGAL]),COLUMN(NOTA[TANGGAL]))&amp;":"&amp;ADDRESS(ROW(),COLUMN(NOTA[TANGGAL]))),-1)))</f>
        <v/>
      </c>
      <c r="AG544" s="49" t="str">
        <f ca="1">IF(NOTA[[#This Row],[NAMA BARANG]]="","",INDEX(NOTA[SUPPLIER],MATCH(,INDIRECT(ADDRESS(ROW(NOTA[ID]),COLUMN(NOTA[ID]))&amp;":"&amp;ADDRESS(ROW(),COLUMN(NOTA[ID]))),-1)))</f>
        <v/>
      </c>
      <c r="AH544" s="49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38" t="str">
        <f>IF(NOTA[[#This Row],[CONCAT4]]="","",_xlfn.IFNA(MATCH(NOTA[[#This Row],[CONCAT4]],[2]!RAW[CONCAT_H],0),FALSE))</f>
        <v/>
      </c>
      <c r="AP544" s="174" t="str">
        <f>IF(NOTA[[#This Row],[CONCAT1]]="","",MATCH(NOTA[[#This Row],[CONCAT1]],[3]!db[NB NOTA_C],0)+1)</f>
        <v/>
      </c>
    </row>
    <row r="545" spans="1:42" ht="20.100000000000001" customHeight="1" x14ac:dyDescent="0.25">
      <c r="A5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0" t="str">
        <f>IF(NOTA[[#This Row],[ID_P]]="","",MATCH(NOTA[[#This Row],[ID_P]],[1]!B_MSK[N_ID],0))</f>
        <v/>
      </c>
      <c r="D545" s="50" t="str">
        <f ca="1">IF(NOTA[[#This Row],[NAMA BARANG]]="","",INDEX(NOTA[ID],MATCH(,INDIRECT(ADDRESS(ROW(NOTA[ID]),COLUMN(NOTA[ID]))&amp;":"&amp;ADDRESS(ROW(),COLUMN(NOTA[ID]))),-1)))</f>
        <v/>
      </c>
      <c r="E545" s="23"/>
      <c r="F545" s="26"/>
      <c r="G545" s="26"/>
      <c r="H545" s="31"/>
      <c r="I545" s="26"/>
      <c r="J545" s="51"/>
      <c r="K545" s="26"/>
      <c r="L545" s="26"/>
      <c r="M545" s="39"/>
      <c r="N545" s="26"/>
      <c r="O545" s="26"/>
      <c r="P545" s="49"/>
      <c r="Q545" s="52"/>
      <c r="R545" s="39"/>
      <c r="S545" s="53"/>
      <c r="T545" s="53"/>
      <c r="U545" s="54"/>
      <c r="V545" s="37"/>
      <c r="W545" s="54" t="str">
        <f>IF(NOTA[[#This Row],[HARGA/ CTN]]="",NOTA[[#This Row],[JUMLAH_H]],NOTA[[#This Row],[HARGA/ CTN]]*IF(NOTA[[#This Row],[C]]="",0,NOTA[[#This Row],[C]]))</f>
        <v/>
      </c>
      <c r="X545" s="54" t="str">
        <f>IF(NOTA[[#This Row],[JUMLAH]]="","",NOTA[[#This Row],[JUMLAH]]*NOTA[[#This Row],[DISC 1]])</f>
        <v/>
      </c>
      <c r="Y545" s="54" t="str">
        <f>IF(NOTA[[#This Row],[JUMLAH]]="","",(NOTA[[#This Row],[JUMLAH]]-NOTA[[#This Row],[DISC 1-]])*NOTA[[#This Row],[DISC 2]])</f>
        <v/>
      </c>
      <c r="Z545" s="54" t="str">
        <f>IF(NOTA[[#This Row],[JUMLAH]]="","",NOTA[[#This Row],[DISC 1-]]+NOTA[[#This Row],[DISC 2-]])</f>
        <v/>
      </c>
      <c r="AA545" s="54" t="str">
        <f>IF(NOTA[[#This Row],[JUMLAH]]="","",NOTA[[#This Row],[JUMLAH]]-NOTA[[#This Row],[DISC]])</f>
        <v/>
      </c>
      <c r="AB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54" t="str">
        <f>IF(OR(NOTA[[#This Row],[QTY]]="",NOTA[[#This Row],[HARGA SATUAN]]="",),"",NOTA[[#This Row],[QTY]]*NOTA[[#This Row],[HARGA SATUAN]])</f>
        <v/>
      </c>
      <c r="AF545" s="51" t="str">
        <f ca="1">IF(NOTA[ID_H]="","",INDEX(NOTA[TANGGAL],MATCH(,INDIRECT(ADDRESS(ROW(NOTA[TANGGAL]),COLUMN(NOTA[TANGGAL]))&amp;":"&amp;ADDRESS(ROW(),COLUMN(NOTA[TANGGAL]))),-1)))</f>
        <v/>
      </c>
      <c r="AG545" s="49" t="str">
        <f ca="1">IF(NOTA[[#This Row],[NAMA BARANG]]="","",INDEX(NOTA[SUPPLIER],MATCH(,INDIRECT(ADDRESS(ROW(NOTA[ID]),COLUMN(NOTA[ID]))&amp;":"&amp;ADDRESS(ROW(),COLUMN(NOTA[ID]))),-1)))</f>
        <v/>
      </c>
      <c r="AH545" s="49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38" t="str">
        <f>IF(NOTA[[#This Row],[CONCAT4]]="","",_xlfn.IFNA(MATCH(NOTA[[#This Row],[CONCAT4]],[2]!RAW[CONCAT_H],0),FALSE))</f>
        <v/>
      </c>
      <c r="AP545" s="174" t="str">
        <f>IF(NOTA[[#This Row],[CONCAT1]]="","",MATCH(NOTA[[#This Row],[CONCAT1]],[3]!db[NB NOTA_C],0)+1)</f>
        <v/>
      </c>
    </row>
    <row r="546" spans="1:42" ht="20.100000000000001" customHeight="1" x14ac:dyDescent="0.25">
      <c r="A5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0" t="str">
        <f>IF(NOTA[[#This Row],[ID_P]]="","",MATCH(NOTA[[#This Row],[ID_P]],[1]!B_MSK[N_ID],0))</f>
        <v/>
      </c>
      <c r="D546" s="50" t="str">
        <f ca="1">IF(NOTA[[#This Row],[NAMA BARANG]]="","",INDEX(NOTA[ID],MATCH(,INDIRECT(ADDRESS(ROW(NOTA[ID]),COLUMN(NOTA[ID]))&amp;":"&amp;ADDRESS(ROW(),COLUMN(NOTA[ID]))),-1)))</f>
        <v/>
      </c>
      <c r="E546" s="23"/>
      <c r="F546" s="26"/>
      <c r="G546" s="26"/>
      <c r="H546" s="31"/>
      <c r="I546" s="26"/>
      <c r="J546" s="51"/>
      <c r="K546" s="26"/>
      <c r="L546" s="26"/>
      <c r="M546" s="39"/>
      <c r="N546" s="26"/>
      <c r="O546" s="26"/>
      <c r="P546" s="49"/>
      <c r="Q546" s="52"/>
      <c r="R546" s="39"/>
      <c r="S546" s="53"/>
      <c r="T546" s="53"/>
      <c r="U546" s="54"/>
      <c r="V546" s="37"/>
      <c r="W546" s="54" t="str">
        <f>IF(NOTA[[#This Row],[HARGA/ CTN]]="",NOTA[[#This Row],[JUMLAH_H]],NOTA[[#This Row],[HARGA/ CTN]]*IF(NOTA[[#This Row],[C]]="",0,NOTA[[#This Row],[C]]))</f>
        <v/>
      </c>
      <c r="X546" s="54" t="str">
        <f>IF(NOTA[[#This Row],[JUMLAH]]="","",NOTA[[#This Row],[JUMLAH]]*NOTA[[#This Row],[DISC 1]])</f>
        <v/>
      </c>
      <c r="Y546" s="54" t="str">
        <f>IF(NOTA[[#This Row],[JUMLAH]]="","",(NOTA[[#This Row],[JUMLAH]]-NOTA[[#This Row],[DISC 1-]])*NOTA[[#This Row],[DISC 2]])</f>
        <v/>
      </c>
      <c r="Z546" s="54" t="str">
        <f>IF(NOTA[[#This Row],[JUMLAH]]="","",NOTA[[#This Row],[DISC 1-]]+NOTA[[#This Row],[DISC 2-]])</f>
        <v/>
      </c>
      <c r="AA546" s="54" t="str">
        <f>IF(NOTA[[#This Row],[JUMLAH]]="","",NOTA[[#This Row],[JUMLAH]]-NOTA[[#This Row],[DISC]])</f>
        <v/>
      </c>
      <c r="AB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54" t="str">
        <f>IF(OR(NOTA[[#This Row],[QTY]]="",NOTA[[#This Row],[HARGA SATUAN]]="",),"",NOTA[[#This Row],[QTY]]*NOTA[[#This Row],[HARGA SATUAN]])</f>
        <v/>
      </c>
      <c r="AF546" s="51" t="str">
        <f ca="1">IF(NOTA[ID_H]="","",INDEX(NOTA[TANGGAL],MATCH(,INDIRECT(ADDRESS(ROW(NOTA[TANGGAL]),COLUMN(NOTA[TANGGAL]))&amp;":"&amp;ADDRESS(ROW(),COLUMN(NOTA[TANGGAL]))),-1)))</f>
        <v/>
      </c>
      <c r="AG546" s="49" t="str">
        <f ca="1">IF(NOTA[[#This Row],[NAMA BARANG]]="","",INDEX(NOTA[SUPPLIER],MATCH(,INDIRECT(ADDRESS(ROW(NOTA[ID]),COLUMN(NOTA[ID]))&amp;":"&amp;ADDRESS(ROW(),COLUMN(NOTA[ID]))),-1)))</f>
        <v/>
      </c>
      <c r="AH546" s="49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38" t="str">
        <f>IF(NOTA[[#This Row],[CONCAT4]]="","",_xlfn.IFNA(MATCH(NOTA[[#This Row],[CONCAT4]],[2]!RAW[CONCAT_H],0),FALSE))</f>
        <v/>
      </c>
      <c r="AP546" s="174" t="str">
        <f>IF(NOTA[[#This Row],[CONCAT1]]="","",MATCH(NOTA[[#This Row],[CONCAT1]],[3]!db[NB NOTA_C],0)+1)</f>
        <v/>
      </c>
    </row>
    <row r="547" spans="1:42" s="48" customFormat="1" ht="20.100000000000001" customHeight="1" x14ac:dyDescent="0.25">
      <c r="A5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0" t="str">
        <f>IF(NOTA[[#This Row],[ID_P]]="","",MATCH(NOTA[[#This Row],[ID_P]],[1]!B_MSK[N_ID],0))</f>
        <v/>
      </c>
      <c r="D547" s="50" t="str">
        <f ca="1">IF(NOTA[[#This Row],[NAMA BARANG]]="","",INDEX(NOTA[ID],MATCH(,INDIRECT(ADDRESS(ROW(NOTA[ID]),COLUMN(NOTA[ID]))&amp;":"&amp;ADDRESS(ROW(),COLUMN(NOTA[ID]))),-1)))</f>
        <v/>
      </c>
      <c r="E547" s="23"/>
      <c r="F547" s="26"/>
      <c r="G547" s="26"/>
      <c r="H547" s="31"/>
      <c r="I547" s="26"/>
      <c r="J547" s="51"/>
      <c r="K547" s="26"/>
      <c r="L547" s="26"/>
      <c r="M547" s="39"/>
      <c r="N547" s="26"/>
      <c r="O547" s="26"/>
      <c r="P547" s="49"/>
      <c r="Q547" s="52"/>
      <c r="R547" s="39"/>
      <c r="S547" s="53"/>
      <c r="T547" s="53"/>
      <c r="U547" s="54"/>
      <c r="V547" s="37"/>
      <c r="W547" s="54" t="str">
        <f>IF(NOTA[[#This Row],[HARGA/ CTN]]="",NOTA[[#This Row],[JUMLAH_H]],NOTA[[#This Row],[HARGA/ CTN]]*IF(NOTA[[#This Row],[C]]="",0,NOTA[[#This Row],[C]]))</f>
        <v/>
      </c>
      <c r="X547" s="54" t="str">
        <f>IF(NOTA[[#This Row],[JUMLAH]]="","",NOTA[[#This Row],[JUMLAH]]*NOTA[[#This Row],[DISC 1]])</f>
        <v/>
      </c>
      <c r="Y547" s="54" t="str">
        <f>IF(NOTA[[#This Row],[JUMLAH]]="","",(NOTA[[#This Row],[JUMLAH]]-NOTA[[#This Row],[DISC 1-]])*NOTA[[#This Row],[DISC 2]])</f>
        <v/>
      </c>
      <c r="Z547" s="54" t="str">
        <f>IF(NOTA[[#This Row],[JUMLAH]]="","",NOTA[[#This Row],[DISC 1-]]+NOTA[[#This Row],[DISC 2-]])</f>
        <v/>
      </c>
      <c r="AA547" s="54" t="str">
        <f>IF(NOTA[[#This Row],[JUMLAH]]="","",NOTA[[#This Row],[JUMLAH]]-NOTA[[#This Row],[DISC]])</f>
        <v/>
      </c>
      <c r="AB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54" t="str">
        <f>IF(OR(NOTA[[#This Row],[QTY]]="",NOTA[[#This Row],[HARGA SATUAN]]="",),"",NOTA[[#This Row],[QTY]]*NOTA[[#This Row],[HARGA SATUAN]])</f>
        <v/>
      </c>
      <c r="AF547" s="51" t="str">
        <f ca="1">IF(NOTA[ID_H]="","",INDEX(NOTA[TANGGAL],MATCH(,INDIRECT(ADDRESS(ROW(NOTA[TANGGAL]),COLUMN(NOTA[TANGGAL]))&amp;":"&amp;ADDRESS(ROW(),COLUMN(NOTA[TANGGAL]))),-1)))</f>
        <v/>
      </c>
      <c r="AG547" s="49" t="str">
        <f ca="1">IF(NOTA[[#This Row],[NAMA BARANG]]="","",INDEX(NOTA[SUPPLIER],MATCH(,INDIRECT(ADDRESS(ROW(NOTA[ID]),COLUMN(NOTA[ID]))&amp;":"&amp;ADDRESS(ROW(),COLUMN(NOTA[ID]))),-1)))</f>
        <v/>
      </c>
      <c r="AH547" s="49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38" t="str">
        <f>IF(NOTA[[#This Row],[CONCAT4]]="","",_xlfn.IFNA(MATCH(NOTA[[#This Row],[CONCAT4]],[2]!RAW[CONCAT_H],0),FALSE))</f>
        <v/>
      </c>
      <c r="AP547" s="174" t="str">
        <f>IF(NOTA[[#This Row],[CONCAT1]]="","",MATCH(NOTA[[#This Row],[CONCAT1]],[3]!db[NB NOTA_C],0)+1)</f>
        <v/>
      </c>
    </row>
    <row r="548" spans="1:42" ht="20.100000000000001" customHeight="1" x14ac:dyDescent="0.25">
      <c r="A5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0" t="str">
        <f>IF(NOTA[[#This Row],[ID_P]]="","",MATCH(NOTA[[#This Row],[ID_P]],[1]!B_MSK[N_ID],0))</f>
        <v/>
      </c>
      <c r="D548" s="50" t="str">
        <f ca="1">IF(NOTA[[#This Row],[NAMA BARANG]]="","",INDEX(NOTA[ID],MATCH(,INDIRECT(ADDRESS(ROW(NOTA[ID]),COLUMN(NOTA[ID]))&amp;":"&amp;ADDRESS(ROW(),COLUMN(NOTA[ID]))),-1)))</f>
        <v/>
      </c>
      <c r="E548" s="23"/>
      <c r="F548" s="26"/>
      <c r="G548" s="26"/>
      <c r="H548" s="31"/>
      <c r="I548" s="26"/>
      <c r="J548" s="51"/>
      <c r="K548" s="26"/>
      <c r="L548" s="26"/>
      <c r="M548" s="39"/>
      <c r="N548" s="26"/>
      <c r="O548" s="26"/>
      <c r="P548" s="49"/>
      <c r="Q548" s="52"/>
      <c r="R548" s="39"/>
      <c r="S548" s="53"/>
      <c r="T548" s="53"/>
      <c r="U548" s="54"/>
      <c r="V548" s="37"/>
      <c r="W548" s="54" t="str">
        <f>IF(NOTA[[#This Row],[HARGA/ CTN]]="",NOTA[[#This Row],[JUMLAH_H]],NOTA[[#This Row],[HARGA/ CTN]]*IF(NOTA[[#This Row],[C]]="",0,NOTA[[#This Row],[C]]))</f>
        <v/>
      </c>
      <c r="X548" s="54" t="str">
        <f>IF(NOTA[[#This Row],[JUMLAH]]="","",NOTA[[#This Row],[JUMLAH]]*NOTA[[#This Row],[DISC 1]])</f>
        <v/>
      </c>
      <c r="Y548" s="54" t="str">
        <f>IF(NOTA[[#This Row],[JUMLAH]]="","",(NOTA[[#This Row],[JUMLAH]]-NOTA[[#This Row],[DISC 1-]])*NOTA[[#This Row],[DISC 2]])</f>
        <v/>
      </c>
      <c r="Z548" s="54" t="str">
        <f>IF(NOTA[[#This Row],[JUMLAH]]="","",NOTA[[#This Row],[DISC 1-]]+NOTA[[#This Row],[DISC 2-]])</f>
        <v/>
      </c>
      <c r="AA548" s="54" t="str">
        <f>IF(NOTA[[#This Row],[JUMLAH]]="","",NOTA[[#This Row],[JUMLAH]]-NOTA[[#This Row],[DISC]])</f>
        <v/>
      </c>
      <c r="AB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54" t="str">
        <f>IF(OR(NOTA[[#This Row],[QTY]]="",NOTA[[#This Row],[HARGA SATUAN]]="",),"",NOTA[[#This Row],[QTY]]*NOTA[[#This Row],[HARGA SATUAN]])</f>
        <v/>
      </c>
      <c r="AF548" s="51" t="str">
        <f ca="1">IF(NOTA[ID_H]="","",INDEX(NOTA[TANGGAL],MATCH(,INDIRECT(ADDRESS(ROW(NOTA[TANGGAL]),COLUMN(NOTA[TANGGAL]))&amp;":"&amp;ADDRESS(ROW(),COLUMN(NOTA[TANGGAL]))),-1)))</f>
        <v/>
      </c>
      <c r="AG548" s="49" t="str">
        <f ca="1">IF(NOTA[[#This Row],[NAMA BARANG]]="","",INDEX(NOTA[SUPPLIER],MATCH(,INDIRECT(ADDRESS(ROW(NOTA[ID]),COLUMN(NOTA[ID]))&amp;":"&amp;ADDRESS(ROW(),COLUMN(NOTA[ID]))),-1)))</f>
        <v/>
      </c>
      <c r="AH548" s="49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38" t="str">
        <f>IF(NOTA[[#This Row],[CONCAT4]]="","",_xlfn.IFNA(MATCH(NOTA[[#This Row],[CONCAT4]],[2]!RAW[CONCAT_H],0),FALSE))</f>
        <v/>
      </c>
      <c r="AP548" s="174" t="str">
        <f>IF(NOTA[[#This Row],[CONCAT1]]="","",MATCH(NOTA[[#This Row],[CONCAT1]],[3]!db[NB NOTA_C],0)+1)</f>
        <v/>
      </c>
    </row>
    <row r="549" spans="1:42" ht="20.100000000000001" customHeight="1" x14ac:dyDescent="0.25">
      <c r="A5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0" t="str">
        <f>IF(NOTA[[#This Row],[ID_P]]="","",MATCH(NOTA[[#This Row],[ID_P]],[1]!B_MSK[N_ID],0))</f>
        <v/>
      </c>
      <c r="D549" s="50" t="str">
        <f ca="1">IF(NOTA[[#This Row],[NAMA BARANG]]="","",INDEX(NOTA[ID],MATCH(,INDIRECT(ADDRESS(ROW(NOTA[ID]),COLUMN(NOTA[ID]))&amp;":"&amp;ADDRESS(ROW(),COLUMN(NOTA[ID]))),-1)))</f>
        <v/>
      </c>
      <c r="E549" s="23"/>
      <c r="F549" s="26"/>
      <c r="G549" s="26"/>
      <c r="H549" s="31"/>
      <c r="I549" s="26"/>
      <c r="J549" s="51"/>
      <c r="K549" s="26"/>
      <c r="L549" s="26"/>
      <c r="M549" s="39"/>
      <c r="N549" s="26"/>
      <c r="O549" s="26"/>
      <c r="P549" s="49"/>
      <c r="Q549" s="52"/>
      <c r="R549" s="39"/>
      <c r="S549" s="53"/>
      <c r="T549" s="53"/>
      <c r="U549" s="54"/>
      <c r="V549" s="37"/>
      <c r="W549" s="54" t="str">
        <f>IF(NOTA[[#This Row],[HARGA/ CTN]]="",NOTA[[#This Row],[JUMLAH_H]],NOTA[[#This Row],[HARGA/ CTN]]*IF(NOTA[[#This Row],[C]]="",0,NOTA[[#This Row],[C]]))</f>
        <v/>
      </c>
      <c r="X549" s="54" t="str">
        <f>IF(NOTA[[#This Row],[JUMLAH]]="","",NOTA[[#This Row],[JUMLAH]]*NOTA[[#This Row],[DISC 1]])</f>
        <v/>
      </c>
      <c r="Y549" s="54" t="str">
        <f>IF(NOTA[[#This Row],[JUMLAH]]="","",(NOTA[[#This Row],[JUMLAH]]-NOTA[[#This Row],[DISC 1-]])*NOTA[[#This Row],[DISC 2]])</f>
        <v/>
      </c>
      <c r="Z549" s="54" t="str">
        <f>IF(NOTA[[#This Row],[JUMLAH]]="","",NOTA[[#This Row],[DISC 1-]]+NOTA[[#This Row],[DISC 2-]])</f>
        <v/>
      </c>
      <c r="AA549" s="54" t="str">
        <f>IF(NOTA[[#This Row],[JUMLAH]]="","",NOTA[[#This Row],[JUMLAH]]-NOTA[[#This Row],[DISC]])</f>
        <v/>
      </c>
      <c r="AB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54" t="str">
        <f>IF(OR(NOTA[[#This Row],[QTY]]="",NOTA[[#This Row],[HARGA SATUAN]]="",),"",NOTA[[#This Row],[QTY]]*NOTA[[#This Row],[HARGA SATUAN]])</f>
        <v/>
      </c>
      <c r="AF549" s="51" t="str">
        <f ca="1">IF(NOTA[ID_H]="","",INDEX(NOTA[TANGGAL],MATCH(,INDIRECT(ADDRESS(ROW(NOTA[TANGGAL]),COLUMN(NOTA[TANGGAL]))&amp;":"&amp;ADDRESS(ROW(),COLUMN(NOTA[TANGGAL]))),-1)))</f>
        <v/>
      </c>
      <c r="AG549" s="49" t="str">
        <f ca="1">IF(NOTA[[#This Row],[NAMA BARANG]]="","",INDEX(NOTA[SUPPLIER],MATCH(,INDIRECT(ADDRESS(ROW(NOTA[ID]),COLUMN(NOTA[ID]))&amp;":"&amp;ADDRESS(ROW(),COLUMN(NOTA[ID]))),-1)))</f>
        <v/>
      </c>
      <c r="AH549" s="49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38" t="str">
        <f>IF(NOTA[[#This Row],[CONCAT4]]="","",_xlfn.IFNA(MATCH(NOTA[[#This Row],[CONCAT4]],[2]!RAW[CONCAT_H],0),FALSE))</f>
        <v/>
      </c>
      <c r="AP549" s="174" t="str">
        <f>IF(NOTA[[#This Row],[CONCAT1]]="","",MATCH(NOTA[[#This Row],[CONCAT1]],[3]!db[NB NOTA_C],0)+1)</f>
        <v/>
      </c>
    </row>
    <row r="550" spans="1:42" ht="20.100000000000001" customHeight="1" x14ac:dyDescent="0.25">
      <c r="A5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0" t="str">
        <f>IF(NOTA[[#This Row],[ID_P]]="","",MATCH(NOTA[[#This Row],[ID_P]],[1]!B_MSK[N_ID],0))</f>
        <v/>
      </c>
      <c r="D550" s="50" t="str">
        <f ca="1">IF(NOTA[[#This Row],[NAMA BARANG]]="","",INDEX(NOTA[ID],MATCH(,INDIRECT(ADDRESS(ROW(NOTA[ID]),COLUMN(NOTA[ID]))&amp;":"&amp;ADDRESS(ROW(),COLUMN(NOTA[ID]))),-1)))</f>
        <v/>
      </c>
      <c r="E550" s="23"/>
      <c r="F550" s="26"/>
      <c r="G550" s="26"/>
      <c r="H550" s="31"/>
      <c r="I550" s="26"/>
      <c r="J550" s="51"/>
      <c r="K550" s="26"/>
      <c r="L550" s="26"/>
      <c r="M550" s="39"/>
      <c r="N550" s="26"/>
      <c r="O550" s="26"/>
      <c r="P550" s="49"/>
      <c r="Q550" s="52"/>
      <c r="R550" s="39"/>
      <c r="S550" s="53"/>
      <c r="T550" s="53"/>
      <c r="U550" s="54"/>
      <c r="V550" s="37"/>
      <c r="W550" s="54" t="str">
        <f>IF(NOTA[[#This Row],[HARGA/ CTN]]="",NOTA[[#This Row],[JUMLAH_H]],NOTA[[#This Row],[HARGA/ CTN]]*IF(NOTA[[#This Row],[C]]="",0,NOTA[[#This Row],[C]]))</f>
        <v/>
      </c>
      <c r="X550" s="54" t="str">
        <f>IF(NOTA[[#This Row],[JUMLAH]]="","",NOTA[[#This Row],[JUMLAH]]*NOTA[[#This Row],[DISC 1]])</f>
        <v/>
      </c>
      <c r="Y550" s="54" t="str">
        <f>IF(NOTA[[#This Row],[JUMLAH]]="","",(NOTA[[#This Row],[JUMLAH]]-NOTA[[#This Row],[DISC 1-]])*NOTA[[#This Row],[DISC 2]])</f>
        <v/>
      </c>
      <c r="Z550" s="54" t="str">
        <f>IF(NOTA[[#This Row],[JUMLAH]]="","",NOTA[[#This Row],[DISC 1-]]+NOTA[[#This Row],[DISC 2-]])</f>
        <v/>
      </c>
      <c r="AA550" s="54" t="str">
        <f>IF(NOTA[[#This Row],[JUMLAH]]="","",NOTA[[#This Row],[JUMLAH]]-NOTA[[#This Row],[DISC]])</f>
        <v/>
      </c>
      <c r="AB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54" t="str">
        <f>IF(OR(NOTA[[#This Row],[QTY]]="",NOTA[[#This Row],[HARGA SATUAN]]="",),"",NOTA[[#This Row],[QTY]]*NOTA[[#This Row],[HARGA SATUAN]])</f>
        <v/>
      </c>
      <c r="AF550" s="51" t="str">
        <f ca="1">IF(NOTA[ID_H]="","",INDEX(NOTA[TANGGAL],MATCH(,INDIRECT(ADDRESS(ROW(NOTA[TANGGAL]),COLUMN(NOTA[TANGGAL]))&amp;":"&amp;ADDRESS(ROW(),COLUMN(NOTA[TANGGAL]))),-1)))</f>
        <v/>
      </c>
      <c r="AG550" s="49" t="str">
        <f ca="1">IF(NOTA[[#This Row],[NAMA BARANG]]="","",INDEX(NOTA[SUPPLIER],MATCH(,INDIRECT(ADDRESS(ROW(NOTA[ID]),COLUMN(NOTA[ID]))&amp;":"&amp;ADDRESS(ROW(),COLUMN(NOTA[ID]))),-1)))</f>
        <v/>
      </c>
      <c r="AH550" s="49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38" t="str">
        <f>IF(NOTA[[#This Row],[CONCAT4]]="","",_xlfn.IFNA(MATCH(NOTA[[#This Row],[CONCAT4]],[2]!RAW[CONCAT_H],0),FALSE))</f>
        <v/>
      </c>
      <c r="AP550" s="174" t="str">
        <f>IF(NOTA[[#This Row],[CONCAT1]]="","",MATCH(NOTA[[#This Row],[CONCAT1]],[3]!db[NB NOTA_C],0)+1)</f>
        <v/>
      </c>
    </row>
    <row r="551" spans="1:42" s="48" customFormat="1" ht="20.100000000000001" customHeight="1" x14ac:dyDescent="0.25">
      <c r="A5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0" t="str">
        <f>IF(NOTA[[#This Row],[ID_P]]="","",MATCH(NOTA[[#This Row],[ID_P]],[1]!B_MSK[N_ID],0))</f>
        <v/>
      </c>
      <c r="D551" s="50" t="str">
        <f ca="1">IF(NOTA[[#This Row],[NAMA BARANG]]="","",INDEX(NOTA[ID],MATCH(,INDIRECT(ADDRESS(ROW(NOTA[ID]),COLUMN(NOTA[ID]))&amp;":"&amp;ADDRESS(ROW(),COLUMN(NOTA[ID]))),-1)))</f>
        <v/>
      </c>
      <c r="E551" s="23"/>
      <c r="F551" s="26"/>
      <c r="G551" s="26"/>
      <c r="H551" s="31"/>
      <c r="I551" s="26"/>
      <c r="J551" s="51"/>
      <c r="K551" s="26"/>
      <c r="L551" s="26"/>
      <c r="M551" s="39"/>
      <c r="N551" s="26"/>
      <c r="O551" s="26"/>
      <c r="P551" s="49"/>
      <c r="Q551" s="52"/>
      <c r="R551" s="39"/>
      <c r="S551" s="53"/>
      <c r="T551" s="53"/>
      <c r="U551" s="54"/>
      <c r="V551" s="37"/>
      <c r="W551" s="54" t="str">
        <f>IF(NOTA[[#This Row],[HARGA/ CTN]]="",NOTA[[#This Row],[JUMLAH_H]],NOTA[[#This Row],[HARGA/ CTN]]*IF(NOTA[[#This Row],[C]]="",0,NOTA[[#This Row],[C]]))</f>
        <v/>
      </c>
      <c r="X551" s="54" t="str">
        <f>IF(NOTA[[#This Row],[JUMLAH]]="","",NOTA[[#This Row],[JUMLAH]]*NOTA[[#This Row],[DISC 1]])</f>
        <v/>
      </c>
      <c r="Y551" s="54" t="str">
        <f>IF(NOTA[[#This Row],[JUMLAH]]="","",(NOTA[[#This Row],[JUMLAH]]-NOTA[[#This Row],[DISC 1-]])*NOTA[[#This Row],[DISC 2]])</f>
        <v/>
      </c>
      <c r="Z551" s="54" t="str">
        <f>IF(NOTA[[#This Row],[JUMLAH]]="","",NOTA[[#This Row],[DISC 1-]]+NOTA[[#This Row],[DISC 2-]])</f>
        <v/>
      </c>
      <c r="AA551" s="54" t="str">
        <f>IF(NOTA[[#This Row],[JUMLAH]]="","",NOTA[[#This Row],[JUMLAH]]-NOTA[[#This Row],[DISC]])</f>
        <v/>
      </c>
      <c r="AB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54" t="str">
        <f>IF(OR(NOTA[[#This Row],[QTY]]="",NOTA[[#This Row],[HARGA SATUAN]]="",),"",NOTA[[#This Row],[QTY]]*NOTA[[#This Row],[HARGA SATUAN]])</f>
        <v/>
      </c>
      <c r="AF551" s="51" t="str">
        <f ca="1">IF(NOTA[ID_H]="","",INDEX(NOTA[TANGGAL],MATCH(,INDIRECT(ADDRESS(ROW(NOTA[TANGGAL]),COLUMN(NOTA[TANGGAL]))&amp;":"&amp;ADDRESS(ROW(),COLUMN(NOTA[TANGGAL]))),-1)))</f>
        <v/>
      </c>
      <c r="AG551" s="49" t="str">
        <f ca="1">IF(NOTA[[#This Row],[NAMA BARANG]]="","",INDEX(NOTA[SUPPLIER],MATCH(,INDIRECT(ADDRESS(ROW(NOTA[ID]),COLUMN(NOTA[ID]))&amp;":"&amp;ADDRESS(ROW(),COLUMN(NOTA[ID]))),-1)))</f>
        <v/>
      </c>
      <c r="AH551" s="49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38" t="str">
        <f>IF(NOTA[[#This Row],[CONCAT4]]="","",_xlfn.IFNA(MATCH(NOTA[[#This Row],[CONCAT4]],[2]!RAW[CONCAT_H],0),FALSE))</f>
        <v/>
      </c>
      <c r="AP551" s="174" t="str">
        <f>IF(NOTA[[#This Row],[CONCAT1]]="","",MATCH(NOTA[[#This Row],[CONCAT1]],[3]!db[NB NOTA_C],0)+1)</f>
        <v/>
      </c>
    </row>
    <row r="552" spans="1:42" ht="20.100000000000001" customHeight="1" x14ac:dyDescent="0.25">
      <c r="A5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0" t="str">
        <f>IF(NOTA[[#This Row],[ID_P]]="","",MATCH(NOTA[[#This Row],[ID_P]],[1]!B_MSK[N_ID],0))</f>
        <v/>
      </c>
      <c r="D552" s="50" t="str">
        <f ca="1">IF(NOTA[[#This Row],[NAMA BARANG]]="","",INDEX(NOTA[ID],MATCH(,INDIRECT(ADDRESS(ROW(NOTA[ID]),COLUMN(NOTA[ID]))&amp;":"&amp;ADDRESS(ROW(),COLUMN(NOTA[ID]))),-1)))</f>
        <v/>
      </c>
      <c r="E552" s="23"/>
      <c r="F552" s="26"/>
      <c r="G552" s="26"/>
      <c r="H552" s="31"/>
      <c r="I552" s="26"/>
      <c r="J552" s="51"/>
      <c r="K552" s="26"/>
      <c r="L552" s="26"/>
      <c r="M552" s="39"/>
      <c r="N552" s="26"/>
      <c r="O552" s="26"/>
      <c r="P552" s="49"/>
      <c r="Q552" s="52"/>
      <c r="R552" s="39"/>
      <c r="S552" s="53"/>
      <c r="T552" s="53"/>
      <c r="U552" s="54"/>
      <c r="V552" s="37"/>
      <c r="W552" s="54" t="str">
        <f>IF(NOTA[[#This Row],[HARGA/ CTN]]="",NOTA[[#This Row],[JUMLAH_H]],NOTA[[#This Row],[HARGA/ CTN]]*IF(NOTA[[#This Row],[C]]="",0,NOTA[[#This Row],[C]]))</f>
        <v/>
      </c>
      <c r="X552" s="54" t="str">
        <f>IF(NOTA[[#This Row],[JUMLAH]]="","",NOTA[[#This Row],[JUMLAH]]*NOTA[[#This Row],[DISC 1]])</f>
        <v/>
      </c>
      <c r="Y552" s="54" t="str">
        <f>IF(NOTA[[#This Row],[JUMLAH]]="","",(NOTA[[#This Row],[JUMLAH]]-NOTA[[#This Row],[DISC 1-]])*NOTA[[#This Row],[DISC 2]])</f>
        <v/>
      </c>
      <c r="Z552" s="54" t="str">
        <f>IF(NOTA[[#This Row],[JUMLAH]]="","",NOTA[[#This Row],[DISC 1-]]+NOTA[[#This Row],[DISC 2-]])</f>
        <v/>
      </c>
      <c r="AA552" s="54" t="str">
        <f>IF(NOTA[[#This Row],[JUMLAH]]="","",NOTA[[#This Row],[JUMLAH]]-NOTA[[#This Row],[DISC]])</f>
        <v/>
      </c>
      <c r="AB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54" t="str">
        <f>IF(OR(NOTA[[#This Row],[QTY]]="",NOTA[[#This Row],[HARGA SATUAN]]="",),"",NOTA[[#This Row],[QTY]]*NOTA[[#This Row],[HARGA SATUAN]])</f>
        <v/>
      </c>
      <c r="AF552" s="51" t="str">
        <f ca="1">IF(NOTA[ID_H]="","",INDEX(NOTA[TANGGAL],MATCH(,INDIRECT(ADDRESS(ROW(NOTA[TANGGAL]),COLUMN(NOTA[TANGGAL]))&amp;":"&amp;ADDRESS(ROW(),COLUMN(NOTA[TANGGAL]))),-1)))</f>
        <v/>
      </c>
      <c r="AG552" s="49" t="str">
        <f ca="1">IF(NOTA[[#This Row],[NAMA BARANG]]="","",INDEX(NOTA[SUPPLIER],MATCH(,INDIRECT(ADDRESS(ROW(NOTA[ID]),COLUMN(NOTA[ID]))&amp;":"&amp;ADDRESS(ROW(),COLUMN(NOTA[ID]))),-1)))</f>
        <v/>
      </c>
      <c r="AH552" s="49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38" t="str">
        <f>IF(NOTA[[#This Row],[CONCAT4]]="","",_xlfn.IFNA(MATCH(NOTA[[#This Row],[CONCAT4]],[2]!RAW[CONCAT_H],0),FALSE))</f>
        <v/>
      </c>
      <c r="AP552" s="174" t="str">
        <f>IF(NOTA[[#This Row],[CONCAT1]]="","",MATCH(NOTA[[#This Row],[CONCAT1]],[3]!db[NB NOTA_C],0)+1)</f>
        <v/>
      </c>
    </row>
    <row r="553" spans="1:42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38" t="str">
        <f>IF(NOTA[[#This Row],[CONCAT4]]="","",_xlfn.IFNA(MATCH(NOTA[[#This Row],[CONCAT4]],[2]!RAW[CONCAT_H],0),FALSE))</f>
        <v/>
      </c>
      <c r="AP553" s="174" t="str">
        <f>IF(NOTA[[#This Row],[CONCAT1]]="","",MATCH(NOTA[[#This Row],[CONCAT1]],[3]!db[NB NOTA_C],0)+1)</f>
        <v/>
      </c>
    </row>
    <row r="554" spans="1:42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38" t="str">
        <f>IF(NOTA[[#This Row],[CONCAT4]]="","",_xlfn.IFNA(MATCH(NOTA[[#This Row],[CONCAT4]],[2]!RAW[CONCAT_H],0),FALSE))</f>
        <v/>
      </c>
      <c r="AP554" s="174" t="str">
        <f>IF(NOTA[[#This Row],[CONCAT1]]="","",MATCH(NOTA[[#This Row],[CONCAT1]],[3]!db[NB NOTA_C],0)+1)</f>
        <v/>
      </c>
    </row>
    <row r="555" spans="1:42" ht="20.100000000000001" customHeight="1" x14ac:dyDescent="0.25">
      <c r="A5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29" t="str">
        <f>IF(NOTA[[#This Row],[ID_P]]="","",MATCH(NOTA[[#This Row],[ID_P]],[1]!B_MSK[N_ID],0))</f>
        <v/>
      </c>
      <c r="D555" s="29" t="str">
        <f ca="1">IF(NOTA[[#This Row],[NAMA BARANG]]="","",INDEX(NOTA[ID],MATCH(,INDIRECT(ADDRESS(ROW(NOTA[ID]),COLUMN(NOTA[ID]))&amp;":"&amp;ADDRESS(ROW(),COLUMN(NOTA[ID]))),-1)))</f>
        <v/>
      </c>
      <c r="E555" s="30"/>
      <c r="F555" s="26"/>
      <c r="G555" s="26"/>
      <c r="H555" s="31"/>
      <c r="I555" s="32"/>
      <c r="J555" s="33"/>
      <c r="K555" s="26"/>
      <c r="L555" s="26"/>
      <c r="M555" s="34"/>
      <c r="N555" s="26"/>
      <c r="O555" s="26"/>
      <c r="P555" s="28"/>
      <c r="Q555" s="46"/>
      <c r="R555" s="39"/>
      <c r="S555" s="53"/>
      <c r="T555" s="35"/>
      <c r="U555" s="36"/>
      <c r="V555" s="37"/>
      <c r="W555" s="36" t="str">
        <f>IF(NOTA[[#This Row],[HARGA/ CTN]]="",NOTA[[#This Row],[JUMLAH_H]],NOTA[[#This Row],[HARGA/ CTN]]*IF(NOTA[[#This Row],[C]]="",0,NOTA[[#This Row],[C]]))</f>
        <v/>
      </c>
      <c r="X555" s="36" t="str">
        <f>IF(NOTA[[#This Row],[JUMLAH]]="","",NOTA[[#This Row],[JUMLAH]]*NOTA[[#This Row],[DISC 1]])</f>
        <v/>
      </c>
      <c r="Y555" s="36" t="str">
        <f>IF(NOTA[[#This Row],[JUMLAH]]="","",(NOTA[[#This Row],[JUMLAH]]-NOTA[[#This Row],[DISC 1-]])*NOTA[[#This Row],[DISC 2]])</f>
        <v/>
      </c>
      <c r="Z555" s="36" t="str">
        <f>IF(NOTA[[#This Row],[JUMLAH]]="","",NOTA[[#This Row],[DISC 1-]]+NOTA[[#This Row],[DISC 2-]])</f>
        <v/>
      </c>
      <c r="AA555" s="36" t="str">
        <f>IF(NOTA[[#This Row],[JUMLAH]]="","",NOTA[[#This Row],[JUMLAH]]-NOTA[[#This Row],[DISC]])</f>
        <v/>
      </c>
      <c r="AB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36" t="str">
        <f>IF(OR(NOTA[[#This Row],[QTY]]="",NOTA[[#This Row],[HARGA SATUAN]]="",),"",NOTA[[#This Row],[QTY]]*NOTA[[#This Row],[HARGA SATUAN]])</f>
        <v/>
      </c>
      <c r="AF555" s="33" t="str">
        <f ca="1">IF(NOTA[ID_H]="","",INDEX(NOTA[TANGGAL],MATCH(,INDIRECT(ADDRESS(ROW(NOTA[TANGGAL]),COLUMN(NOTA[TANGGAL]))&amp;":"&amp;ADDRESS(ROW(),COLUMN(NOTA[TANGGAL]))),-1)))</f>
        <v/>
      </c>
      <c r="AG555" s="28" t="str">
        <f ca="1">IF(NOTA[[#This Row],[NAMA BARANG]]="","",INDEX(NOTA[SUPPLIER],MATCH(,INDIRECT(ADDRESS(ROW(NOTA[ID]),COLUMN(NOTA[ID]))&amp;":"&amp;ADDRESS(ROW(),COLUMN(NOTA[ID]))),-1)))</f>
        <v/>
      </c>
      <c r="AH555" s="28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38" t="str">
        <f>IF(NOTA[[#This Row],[CONCAT4]]="","",_xlfn.IFNA(MATCH(NOTA[[#This Row],[CONCAT4]],[2]!RAW[CONCAT_H],0),FALSE))</f>
        <v/>
      </c>
      <c r="AP555" s="174" t="str">
        <f>IF(NOTA[[#This Row],[CONCAT1]]="","",MATCH(NOTA[[#This Row],[CONCAT1]],[3]!db[NB NOTA_C],0)+1)</f>
        <v/>
      </c>
    </row>
    <row r="556" spans="1:42" ht="20.100000000000001" customHeight="1" x14ac:dyDescent="0.25">
      <c r="A5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29" t="str">
        <f>IF(NOTA[[#This Row],[ID_P]]="","",MATCH(NOTA[[#This Row],[ID_P]],[1]!B_MSK[N_ID],0))</f>
        <v/>
      </c>
      <c r="D556" s="29" t="str">
        <f ca="1">IF(NOTA[[#This Row],[NAMA BARANG]]="","",INDEX(NOTA[ID],MATCH(,INDIRECT(ADDRESS(ROW(NOTA[ID]),COLUMN(NOTA[ID]))&amp;":"&amp;ADDRESS(ROW(),COLUMN(NOTA[ID]))),-1)))</f>
        <v/>
      </c>
      <c r="E556" s="30"/>
      <c r="F556" s="32"/>
      <c r="G556" s="32"/>
      <c r="H556" s="55"/>
      <c r="I556" s="32"/>
      <c r="J556" s="33"/>
      <c r="K556" s="32"/>
      <c r="L556" s="26"/>
      <c r="M556" s="34"/>
      <c r="N556" s="32"/>
      <c r="O556" s="26"/>
      <c r="P556" s="28"/>
      <c r="Q556" s="46"/>
      <c r="R556" s="39"/>
      <c r="S556" s="35"/>
      <c r="T556" s="35"/>
      <c r="U556" s="36"/>
      <c r="V556" s="37"/>
      <c r="W556" s="36" t="str">
        <f>IF(NOTA[[#This Row],[HARGA/ CTN]]="",NOTA[[#This Row],[JUMLAH_H]],NOTA[[#This Row],[HARGA/ CTN]]*IF(NOTA[[#This Row],[C]]="",0,NOTA[[#This Row],[C]]))</f>
        <v/>
      </c>
      <c r="X556" s="36" t="str">
        <f>IF(NOTA[[#This Row],[JUMLAH]]="","",NOTA[[#This Row],[JUMLAH]]*NOTA[[#This Row],[DISC 1]])</f>
        <v/>
      </c>
      <c r="Y556" s="36" t="str">
        <f>IF(NOTA[[#This Row],[JUMLAH]]="","",(NOTA[[#This Row],[JUMLAH]]-NOTA[[#This Row],[DISC 1-]])*NOTA[[#This Row],[DISC 2]])</f>
        <v/>
      </c>
      <c r="Z556" s="36" t="str">
        <f>IF(NOTA[[#This Row],[JUMLAH]]="","",NOTA[[#This Row],[DISC 1-]]+NOTA[[#This Row],[DISC 2-]])</f>
        <v/>
      </c>
      <c r="AA556" s="36" t="str">
        <f>IF(NOTA[[#This Row],[JUMLAH]]="","",NOTA[[#This Row],[JUMLAH]]-NOTA[[#This Row],[DISC]])</f>
        <v/>
      </c>
      <c r="AB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36" t="str">
        <f>IF(OR(NOTA[[#This Row],[QTY]]="",NOTA[[#This Row],[HARGA SATUAN]]="",),"",NOTA[[#This Row],[QTY]]*NOTA[[#This Row],[HARGA SATUAN]])</f>
        <v/>
      </c>
      <c r="AF556" s="33" t="str">
        <f ca="1">IF(NOTA[ID_H]="","",INDEX(NOTA[TANGGAL],MATCH(,INDIRECT(ADDRESS(ROW(NOTA[TANGGAL]),COLUMN(NOTA[TANGGAL]))&amp;":"&amp;ADDRESS(ROW(),COLUMN(NOTA[TANGGAL]))),-1)))</f>
        <v/>
      </c>
      <c r="AG556" s="28" t="str">
        <f ca="1">IF(NOTA[[#This Row],[NAMA BARANG]]="","",INDEX(NOTA[SUPPLIER],MATCH(,INDIRECT(ADDRESS(ROW(NOTA[ID]),COLUMN(NOTA[ID]))&amp;":"&amp;ADDRESS(ROW(),COLUMN(NOTA[ID]))),-1)))</f>
        <v/>
      </c>
      <c r="AH556" s="28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38" t="str">
        <f>IF(NOTA[[#This Row],[CONCAT4]]="","",_xlfn.IFNA(MATCH(NOTA[[#This Row],[CONCAT4]],[2]!RAW[CONCAT_H],0),FALSE))</f>
        <v/>
      </c>
      <c r="AP556" s="174" t="str">
        <f>IF(NOTA[[#This Row],[CONCAT1]]="","",MATCH(NOTA[[#This Row],[CONCAT1]],[3]!db[NB NOTA_C],0)+1)</f>
        <v/>
      </c>
    </row>
    <row r="557" spans="1:42" ht="20.100000000000001" customHeight="1" x14ac:dyDescent="0.25">
      <c r="A5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29" t="str">
        <f>IF(NOTA[[#This Row],[ID_P]]="","",MATCH(NOTA[[#This Row],[ID_P]],[1]!B_MSK[N_ID],0))</f>
        <v/>
      </c>
      <c r="D557" s="29" t="str">
        <f ca="1">IF(NOTA[[#This Row],[NAMA BARANG]]="","",INDEX(NOTA[ID],MATCH(,INDIRECT(ADDRESS(ROW(NOTA[ID]),COLUMN(NOTA[ID]))&amp;":"&amp;ADDRESS(ROW(),COLUMN(NOTA[ID]))),-1)))</f>
        <v/>
      </c>
      <c r="E557" s="30"/>
      <c r="F557" s="26"/>
      <c r="G557" s="26"/>
      <c r="H557" s="31"/>
      <c r="I557" s="26"/>
      <c r="J557" s="33"/>
      <c r="K557" s="32"/>
      <c r="L557" s="26"/>
      <c r="M557" s="34"/>
      <c r="N557" s="32"/>
      <c r="O557" s="26"/>
      <c r="P557" s="28"/>
      <c r="Q557" s="46"/>
      <c r="R557" s="39"/>
      <c r="S557" s="35"/>
      <c r="T557" s="35"/>
      <c r="U557" s="36"/>
      <c r="V557" s="37"/>
      <c r="W557" s="36" t="str">
        <f>IF(NOTA[[#This Row],[HARGA/ CTN]]="",NOTA[[#This Row],[JUMLAH_H]],NOTA[[#This Row],[HARGA/ CTN]]*IF(NOTA[[#This Row],[C]]="",0,NOTA[[#This Row],[C]]))</f>
        <v/>
      </c>
      <c r="X557" s="36" t="str">
        <f>IF(NOTA[[#This Row],[JUMLAH]]="","",NOTA[[#This Row],[JUMLAH]]*NOTA[[#This Row],[DISC 1]])</f>
        <v/>
      </c>
      <c r="Y557" s="36" t="str">
        <f>IF(NOTA[[#This Row],[JUMLAH]]="","",(NOTA[[#This Row],[JUMLAH]]-NOTA[[#This Row],[DISC 1-]])*NOTA[[#This Row],[DISC 2]])</f>
        <v/>
      </c>
      <c r="Z557" s="36" t="str">
        <f>IF(NOTA[[#This Row],[JUMLAH]]="","",NOTA[[#This Row],[DISC 1-]]+NOTA[[#This Row],[DISC 2-]])</f>
        <v/>
      </c>
      <c r="AA557" s="36" t="str">
        <f>IF(NOTA[[#This Row],[JUMLAH]]="","",NOTA[[#This Row],[JUMLAH]]-NOTA[[#This Row],[DISC]])</f>
        <v/>
      </c>
      <c r="AB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36" t="str">
        <f>IF(OR(NOTA[[#This Row],[QTY]]="",NOTA[[#This Row],[HARGA SATUAN]]="",),"",NOTA[[#This Row],[QTY]]*NOTA[[#This Row],[HARGA SATUAN]])</f>
        <v/>
      </c>
      <c r="AF557" s="33" t="str">
        <f ca="1">IF(NOTA[ID_H]="","",INDEX(NOTA[TANGGAL],MATCH(,INDIRECT(ADDRESS(ROW(NOTA[TANGGAL]),COLUMN(NOTA[TANGGAL]))&amp;":"&amp;ADDRESS(ROW(),COLUMN(NOTA[TANGGAL]))),-1)))</f>
        <v/>
      </c>
      <c r="AG557" s="28" t="str">
        <f ca="1">IF(NOTA[[#This Row],[NAMA BARANG]]="","",INDEX(NOTA[SUPPLIER],MATCH(,INDIRECT(ADDRESS(ROW(NOTA[ID]),COLUMN(NOTA[ID]))&amp;":"&amp;ADDRESS(ROW(),COLUMN(NOTA[ID]))),-1)))</f>
        <v/>
      </c>
      <c r="AH557" s="28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7" s="38" t="str">
        <f>IF(NOTA[[#This Row],[CONCAT4]]="","",_xlfn.IFNA(MATCH(NOTA[[#This Row],[CONCAT4]],[2]!RAW[CONCAT_H],0),FALSE))</f>
        <v/>
      </c>
      <c r="AP557" s="174" t="str">
        <f>IF(NOTA[[#This Row],[CONCAT1]]="","",MATCH(NOTA[[#This Row],[CONCAT1]],[3]!db[NB NOTA_C],0)+1)</f>
        <v/>
      </c>
    </row>
    <row r="558" spans="1:42" ht="20.100000000000001" customHeight="1" x14ac:dyDescent="0.25">
      <c r="A5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29" t="str">
        <f>IF(NOTA[[#This Row],[ID_P]]="","",MATCH(NOTA[[#This Row],[ID_P]],[1]!B_MSK[N_ID],0))</f>
        <v/>
      </c>
      <c r="D558" s="29" t="str">
        <f ca="1">IF(NOTA[[#This Row],[NAMA BARANG]]="","",INDEX(NOTA[ID],MATCH(,INDIRECT(ADDRESS(ROW(NOTA[ID]),COLUMN(NOTA[ID]))&amp;":"&amp;ADDRESS(ROW(),COLUMN(NOTA[ID]))),-1)))</f>
        <v/>
      </c>
      <c r="E558" s="30"/>
      <c r="F558" s="26"/>
      <c r="G558" s="26"/>
      <c r="H558" s="31"/>
      <c r="I558" s="33"/>
      <c r="J558" s="33"/>
      <c r="K558" s="32"/>
      <c r="L558" s="26"/>
      <c r="M558" s="34"/>
      <c r="N558" s="32"/>
      <c r="O558" s="26"/>
      <c r="P558" s="28"/>
      <c r="Q558" s="46"/>
      <c r="R558" s="39"/>
      <c r="S558" s="35"/>
      <c r="T558" s="35"/>
      <c r="U558" s="36"/>
      <c r="V558" s="37"/>
      <c r="W558" s="36" t="str">
        <f>IF(NOTA[[#This Row],[HARGA/ CTN]]="",NOTA[[#This Row],[JUMLAH_H]],NOTA[[#This Row],[HARGA/ CTN]]*IF(NOTA[[#This Row],[C]]="",0,NOTA[[#This Row],[C]]))</f>
        <v/>
      </c>
      <c r="X558" s="36" t="str">
        <f>IF(NOTA[[#This Row],[JUMLAH]]="","",NOTA[[#This Row],[JUMLAH]]*NOTA[[#This Row],[DISC 1]])</f>
        <v/>
      </c>
      <c r="Y558" s="36" t="str">
        <f>IF(NOTA[[#This Row],[JUMLAH]]="","",(NOTA[[#This Row],[JUMLAH]]-NOTA[[#This Row],[DISC 1-]])*NOTA[[#This Row],[DISC 2]])</f>
        <v/>
      </c>
      <c r="Z558" s="36" t="str">
        <f>IF(NOTA[[#This Row],[JUMLAH]]="","",NOTA[[#This Row],[DISC 1-]]+NOTA[[#This Row],[DISC 2-]])</f>
        <v/>
      </c>
      <c r="AA558" s="36" t="str">
        <f>IF(NOTA[[#This Row],[JUMLAH]]="","",NOTA[[#This Row],[JUMLAH]]-NOTA[[#This Row],[DISC]])</f>
        <v/>
      </c>
      <c r="AB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36" t="str">
        <f>IF(OR(NOTA[[#This Row],[QTY]]="",NOTA[[#This Row],[HARGA SATUAN]]="",),"",NOTA[[#This Row],[QTY]]*NOTA[[#This Row],[HARGA SATUAN]])</f>
        <v/>
      </c>
      <c r="AF558" s="33" t="str">
        <f ca="1">IF(NOTA[ID_H]="","",INDEX(NOTA[TANGGAL],MATCH(,INDIRECT(ADDRESS(ROW(NOTA[TANGGAL]),COLUMN(NOTA[TANGGAL]))&amp;":"&amp;ADDRESS(ROW(),COLUMN(NOTA[TANGGAL]))),-1)))</f>
        <v/>
      </c>
      <c r="AG558" s="28" t="str">
        <f ca="1">IF(NOTA[[#This Row],[NAMA BARANG]]="","",INDEX(NOTA[SUPPLIER],MATCH(,INDIRECT(ADDRESS(ROW(NOTA[ID]),COLUMN(NOTA[ID]))&amp;":"&amp;ADDRESS(ROW(),COLUMN(NOTA[ID]))),-1)))</f>
        <v/>
      </c>
      <c r="AH558" s="28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38" t="str">
        <f>IF(NOTA[[#This Row],[CONCAT4]]="","",_xlfn.IFNA(MATCH(NOTA[[#This Row],[CONCAT4]],[2]!RAW[CONCAT_H],0),FALSE))</f>
        <v/>
      </c>
      <c r="AP558" s="174" t="str">
        <f>IF(NOTA[[#This Row],[CONCAT1]]="","",MATCH(NOTA[[#This Row],[CONCAT1]],[3]!db[NB NOTA_C],0)+1)</f>
        <v/>
      </c>
    </row>
    <row r="559" spans="1:42" ht="20.100000000000001" customHeight="1" x14ac:dyDescent="0.25">
      <c r="A5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29" t="str">
        <f>IF(NOTA[[#This Row],[ID_P]]="","",MATCH(NOTA[[#This Row],[ID_P]],[1]!B_MSK[N_ID],0))</f>
        <v/>
      </c>
      <c r="D559" s="29" t="str">
        <f ca="1">IF(NOTA[[#This Row],[NAMA BARANG]]="","",INDEX(NOTA[ID],MATCH(,INDIRECT(ADDRESS(ROW(NOTA[ID]),COLUMN(NOTA[ID]))&amp;":"&amp;ADDRESS(ROW(),COLUMN(NOTA[ID]))),-1)))</f>
        <v/>
      </c>
      <c r="E559" s="30"/>
      <c r="F559" s="26"/>
      <c r="G559" s="26"/>
      <c r="H559" s="31"/>
      <c r="I559" s="32"/>
      <c r="J559" s="33"/>
      <c r="K559" s="32"/>
      <c r="L559" s="26"/>
      <c r="M559" s="34"/>
      <c r="N559" s="32"/>
      <c r="O559" s="26"/>
      <c r="P559" s="28"/>
      <c r="Q559" s="46"/>
      <c r="R559" s="39"/>
      <c r="S559" s="35"/>
      <c r="T559" s="35"/>
      <c r="U559" s="36"/>
      <c r="V559" s="37"/>
      <c r="W559" s="36" t="str">
        <f>IF(NOTA[[#This Row],[HARGA/ CTN]]="",NOTA[[#This Row],[JUMLAH_H]],NOTA[[#This Row],[HARGA/ CTN]]*IF(NOTA[[#This Row],[C]]="",0,NOTA[[#This Row],[C]]))</f>
        <v/>
      </c>
      <c r="X559" s="36" t="str">
        <f>IF(NOTA[[#This Row],[JUMLAH]]="","",NOTA[[#This Row],[JUMLAH]]*NOTA[[#This Row],[DISC 1]])</f>
        <v/>
      </c>
      <c r="Y559" s="36" t="str">
        <f>IF(NOTA[[#This Row],[JUMLAH]]="","",(NOTA[[#This Row],[JUMLAH]]-NOTA[[#This Row],[DISC 1-]])*NOTA[[#This Row],[DISC 2]])</f>
        <v/>
      </c>
      <c r="Z559" s="36" t="str">
        <f>IF(NOTA[[#This Row],[JUMLAH]]="","",NOTA[[#This Row],[DISC 1-]]+NOTA[[#This Row],[DISC 2-]])</f>
        <v/>
      </c>
      <c r="AA559" s="36" t="str">
        <f>IF(NOTA[[#This Row],[JUMLAH]]="","",NOTA[[#This Row],[JUMLAH]]-NOTA[[#This Row],[DISC]])</f>
        <v/>
      </c>
      <c r="AB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36" t="str">
        <f>IF(OR(NOTA[[#This Row],[QTY]]="",NOTA[[#This Row],[HARGA SATUAN]]="",),"",NOTA[[#This Row],[QTY]]*NOTA[[#This Row],[HARGA SATUAN]])</f>
        <v/>
      </c>
      <c r="AF559" s="33" t="str">
        <f ca="1">IF(NOTA[ID_H]="","",INDEX(NOTA[TANGGAL],MATCH(,INDIRECT(ADDRESS(ROW(NOTA[TANGGAL]),COLUMN(NOTA[TANGGAL]))&amp;":"&amp;ADDRESS(ROW(),COLUMN(NOTA[TANGGAL]))),-1)))</f>
        <v/>
      </c>
      <c r="AG559" s="28" t="str">
        <f ca="1">IF(NOTA[[#This Row],[NAMA BARANG]]="","",INDEX(NOTA[SUPPLIER],MATCH(,INDIRECT(ADDRESS(ROW(NOTA[ID]),COLUMN(NOTA[ID]))&amp;":"&amp;ADDRESS(ROW(),COLUMN(NOTA[ID]))),-1)))</f>
        <v/>
      </c>
      <c r="AH559" s="28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9" s="38" t="str">
        <f>IF(NOTA[[#This Row],[CONCAT4]]="","",_xlfn.IFNA(MATCH(NOTA[[#This Row],[CONCAT4]],[2]!RAW[CONCAT_H],0),FALSE))</f>
        <v/>
      </c>
      <c r="AP559" s="174" t="str">
        <f>IF(NOTA[[#This Row],[CONCAT1]]="","",MATCH(NOTA[[#This Row],[CONCAT1]],[3]!db[NB NOTA_C],0)+1)</f>
        <v/>
      </c>
    </row>
    <row r="560" spans="1:42" ht="20.100000000000001" customHeight="1" x14ac:dyDescent="0.25">
      <c r="A5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29" t="str">
        <f>IF(NOTA[[#This Row],[ID_P]]="","",MATCH(NOTA[[#This Row],[ID_P]],[1]!B_MSK[N_ID],0))</f>
        <v/>
      </c>
      <c r="D560" s="29" t="str">
        <f ca="1">IF(NOTA[[#This Row],[NAMA BARANG]]="","",INDEX(NOTA[ID],MATCH(,INDIRECT(ADDRESS(ROW(NOTA[ID]),COLUMN(NOTA[ID]))&amp;":"&amp;ADDRESS(ROW(),COLUMN(NOTA[ID]))),-1)))</f>
        <v/>
      </c>
      <c r="E560" s="30"/>
      <c r="F560" s="26"/>
      <c r="G560" s="26"/>
      <c r="H560" s="31"/>
      <c r="I560" s="32"/>
      <c r="J560" s="33"/>
      <c r="K560" s="32"/>
      <c r="L560" s="26"/>
      <c r="M560" s="34"/>
      <c r="N560" s="32"/>
      <c r="O560" s="26"/>
      <c r="P560" s="28"/>
      <c r="Q560" s="46"/>
      <c r="R560" s="39"/>
      <c r="S560" s="35"/>
      <c r="T560" s="35"/>
      <c r="U560" s="36"/>
      <c r="V560" s="37"/>
      <c r="W560" s="36" t="str">
        <f>IF(NOTA[[#This Row],[HARGA/ CTN]]="",NOTA[[#This Row],[JUMLAH_H]],NOTA[[#This Row],[HARGA/ CTN]]*IF(NOTA[[#This Row],[C]]="",0,NOTA[[#This Row],[C]]))</f>
        <v/>
      </c>
      <c r="X560" s="36" t="str">
        <f>IF(NOTA[[#This Row],[JUMLAH]]="","",NOTA[[#This Row],[JUMLAH]]*NOTA[[#This Row],[DISC 1]])</f>
        <v/>
      </c>
      <c r="Y560" s="36" t="str">
        <f>IF(NOTA[[#This Row],[JUMLAH]]="","",(NOTA[[#This Row],[JUMLAH]]-NOTA[[#This Row],[DISC 1-]])*NOTA[[#This Row],[DISC 2]])</f>
        <v/>
      </c>
      <c r="Z560" s="36" t="str">
        <f>IF(NOTA[[#This Row],[JUMLAH]]="","",NOTA[[#This Row],[DISC 1-]]+NOTA[[#This Row],[DISC 2-]])</f>
        <v/>
      </c>
      <c r="AA560" s="36" t="str">
        <f>IF(NOTA[[#This Row],[JUMLAH]]="","",NOTA[[#This Row],[JUMLAH]]-NOTA[[#This Row],[DISC]])</f>
        <v/>
      </c>
      <c r="AB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36" t="str">
        <f>IF(OR(NOTA[[#This Row],[QTY]]="",NOTA[[#This Row],[HARGA SATUAN]]="",),"",NOTA[[#This Row],[QTY]]*NOTA[[#This Row],[HARGA SATUAN]])</f>
        <v/>
      </c>
      <c r="AF560" s="33" t="str">
        <f ca="1">IF(NOTA[ID_H]="","",INDEX(NOTA[TANGGAL],MATCH(,INDIRECT(ADDRESS(ROW(NOTA[TANGGAL]),COLUMN(NOTA[TANGGAL]))&amp;":"&amp;ADDRESS(ROW(),COLUMN(NOTA[TANGGAL]))),-1)))</f>
        <v/>
      </c>
      <c r="AG560" s="28" t="str">
        <f ca="1">IF(NOTA[[#This Row],[NAMA BARANG]]="","",INDEX(NOTA[SUPPLIER],MATCH(,INDIRECT(ADDRESS(ROW(NOTA[ID]),COLUMN(NOTA[ID]))&amp;":"&amp;ADDRESS(ROW(),COLUMN(NOTA[ID]))),-1)))</f>
        <v/>
      </c>
      <c r="AH560" s="28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38" t="str">
        <f>IF(NOTA[[#This Row],[CONCAT4]]="","",_xlfn.IFNA(MATCH(NOTA[[#This Row],[CONCAT4]],[2]!RAW[CONCAT_H],0),FALSE))</f>
        <v/>
      </c>
      <c r="AP560" s="174" t="str">
        <f>IF(NOTA[[#This Row],[CONCAT1]]="","",MATCH(NOTA[[#This Row],[CONCAT1]],[3]!db[NB NOTA_C],0)+1)</f>
        <v/>
      </c>
    </row>
    <row r="561" spans="1:42" ht="20.100000000000001" customHeight="1" x14ac:dyDescent="0.25">
      <c r="A5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29" t="str">
        <f>IF(NOTA[[#This Row],[ID_P]]="","",MATCH(NOTA[[#This Row],[ID_P]],[1]!B_MSK[N_ID],0))</f>
        <v/>
      </c>
      <c r="D561" s="29" t="str">
        <f ca="1">IF(NOTA[[#This Row],[NAMA BARANG]]="","",INDEX(NOTA[ID],MATCH(,INDIRECT(ADDRESS(ROW(NOTA[ID]),COLUMN(NOTA[ID]))&amp;":"&amp;ADDRESS(ROW(),COLUMN(NOTA[ID]))),-1)))</f>
        <v/>
      </c>
      <c r="E561" s="30"/>
      <c r="F561" s="26"/>
      <c r="G561" s="26"/>
      <c r="H561" s="31"/>
      <c r="I561" s="32"/>
      <c r="J561" s="33"/>
      <c r="K561" s="32"/>
      <c r="L561" s="26"/>
      <c r="M561" s="34"/>
      <c r="N561" s="32"/>
      <c r="O561" s="26"/>
      <c r="P561" s="28"/>
      <c r="Q561" s="46"/>
      <c r="R561" s="39"/>
      <c r="S561" s="35"/>
      <c r="T561" s="35"/>
      <c r="U561" s="36"/>
      <c r="V561" s="37"/>
      <c r="W561" s="36" t="str">
        <f>IF(NOTA[[#This Row],[HARGA/ CTN]]="",NOTA[[#This Row],[JUMLAH_H]],NOTA[[#This Row],[HARGA/ CTN]]*IF(NOTA[[#This Row],[C]]="",0,NOTA[[#This Row],[C]]))</f>
        <v/>
      </c>
      <c r="X561" s="36" t="str">
        <f>IF(NOTA[[#This Row],[JUMLAH]]="","",NOTA[[#This Row],[JUMLAH]]*NOTA[[#This Row],[DISC 1]])</f>
        <v/>
      </c>
      <c r="Y561" s="36" t="str">
        <f>IF(NOTA[[#This Row],[JUMLAH]]="","",(NOTA[[#This Row],[JUMLAH]]-NOTA[[#This Row],[DISC 1-]])*NOTA[[#This Row],[DISC 2]])</f>
        <v/>
      </c>
      <c r="Z561" s="36" t="str">
        <f>IF(NOTA[[#This Row],[JUMLAH]]="","",NOTA[[#This Row],[DISC 1-]]+NOTA[[#This Row],[DISC 2-]])</f>
        <v/>
      </c>
      <c r="AA561" s="36" t="str">
        <f>IF(NOTA[[#This Row],[JUMLAH]]="","",NOTA[[#This Row],[JUMLAH]]-NOTA[[#This Row],[DISC]])</f>
        <v/>
      </c>
      <c r="AB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36" t="str">
        <f>IF(OR(NOTA[[#This Row],[QTY]]="",NOTA[[#This Row],[HARGA SATUAN]]="",),"",NOTA[[#This Row],[QTY]]*NOTA[[#This Row],[HARGA SATUAN]])</f>
        <v/>
      </c>
      <c r="AF561" s="33" t="str">
        <f ca="1">IF(NOTA[ID_H]="","",INDEX(NOTA[TANGGAL],MATCH(,INDIRECT(ADDRESS(ROW(NOTA[TANGGAL]),COLUMN(NOTA[TANGGAL]))&amp;":"&amp;ADDRESS(ROW(),COLUMN(NOTA[TANGGAL]))),-1)))</f>
        <v/>
      </c>
      <c r="AG561" s="28" t="str">
        <f ca="1">IF(NOTA[[#This Row],[NAMA BARANG]]="","",INDEX(NOTA[SUPPLIER],MATCH(,INDIRECT(ADDRESS(ROW(NOTA[ID]),COLUMN(NOTA[ID]))&amp;":"&amp;ADDRESS(ROW(),COLUMN(NOTA[ID]))),-1)))</f>
        <v/>
      </c>
      <c r="AH561" s="28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38" t="str">
        <f>IF(NOTA[[#This Row],[CONCAT4]]="","",_xlfn.IFNA(MATCH(NOTA[[#This Row],[CONCAT4]],[2]!RAW[CONCAT_H],0),FALSE))</f>
        <v/>
      </c>
      <c r="AP561" s="174" t="str">
        <f>IF(NOTA[[#This Row],[CONCAT1]]="","",MATCH(NOTA[[#This Row],[CONCAT1]],[3]!db[NB NOTA_C],0)+1)</f>
        <v/>
      </c>
    </row>
    <row r="562" spans="1:42" ht="20.100000000000001" customHeight="1" x14ac:dyDescent="0.25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29" t="str">
        <f>IF(NOTA[[#This Row],[ID_P]]="","",MATCH(NOTA[[#This Row],[ID_P]],[1]!B_MSK[N_ID],0))</f>
        <v/>
      </c>
      <c r="D562" s="29" t="str">
        <f ca="1">IF(NOTA[[#This Row],[NAMA BARANG]]="","",INDEX(NOTA[ID],MATCH(,INDIRECT(ADDRESS(ROW(NOTA[ID]),COLUMN(NOTA[ID]))&amp;":"&amp;ADDRESS(ROW(),COLUMN(NOTA[ID]))),-1)))</f>
        <v/>
      </c>
      <c r="E562" s="30"/>
      <c r="F562" s="26"/>
      <c r="G562" s="26"/>
      <c r="H562" s="31"/>
      <c r="I562" s="26"/>
      <c r="J562" s="33"/>
      <c r="K562" s="32"/>
      <c r="L562" s="26"/>
      <c r="M562" s="34"/>
      <c r="N562" s="32"/>
      <c r="O562" s="26"/>
      <c r="P562" s="28"/>
      <c r="Q562" s="46"/>
      <c r="R562" s="39"/>
      <c r="S562" s="35"/>
      <c r="T562" s="35"/>
      <c r="U562" s="36"/>
      <c r="V562" s="37"/>
      <c r="W562" s="36" t="str">
        <f>IF(NOTA[[#This Row],[HARGA/ CTN]]="",NOTA[[#This Row],[JUMLAH_H]],NOTA[[#This Row],[HARGA/ CTN]]*IF(NOTA[[#This Row],[C]]="",0,NOTA[[#This Row],[C]]))</f>
        <v/>
      </c>
      <c r="X562" s="36" t="str">
        <f>IF(NOTA[[#This Row],[JUMLAH]]="","",NOTA[[#This Row],[JUMLAH]]*NOTA[[#This Row],[DISC 1]])</f>
        <v/>
      </c>
      <c r="Y562" s="36" t="str">
        <f>IF(NOTA[[#This Row],[JUMLAH]]="","",(NOTA[[#This Row],[JUMLAH]]-NOTA[[#This Row],[DISC 1-]])*NOTA[[#This Row],[DISC 2]])</f>
        <v/>
      </c>
      <c r="Z562" s="36" t="str">
        <f>IF(NOTA[[#This Row],[JUMLAH]]="","",NOTA[[#This Row],[DISC 1-]]+NOTA[[#This Row],[DISC 2-]])</f>
        <v/>
      </c>
      <c r="AA562" s="36" t="str">
        <f>IF(NOTA[[#This Row],[JUMLAH]]="","",NOTA[[#This Row],[JUMLAH]]-NOTA[[#This Row],[DISC]])</f>
        <v/>
      </c>
      <c r="AB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36" t="str">
        <f>IF(OR(NOTA[[#This Row],[QTY]]="",NOTA[[#This Row],[HARGA SATUAN]]="",),"",NOTA[[#This Row],[QTY]]*NOTA[[#This Row],[HARGA SATUAN]])</f>
        <v/>
      </c>
      <c r="AF562" s="33" t="str">
        <f ca="1">IF(NOTA[ID_H]="","",INDEX(NOTA[TANGGAL],MATCH(,INDIRECT(ADDRESS(ROW(NOTA[TANGGAL]),COLUMN(NOTA[TANGGAL]))&amp;":"&amp;ADDRESS(ROW(),COLUMN(NOTA[TANGGAL]))),-1)))</f>
        <v/>
      </c>
      <c r="AG562" s="28" t="str">
        <f ca="1">IF(NOTA[[#This Row],[NAMA BARANG]]="","",INDEX(NOTA[SUPPLIER],MATCH(,INDIRECT(ADDRESS(ROW(NOTA[ID]),COLUMN(NOTA[ID]))&amp;":"&amp;ADDRESS(ROW(),COLUMN(NOTA[ID]))),-1)))</f>
        <v/>
      </c>
      <c r="AH562" s="28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38" t="str">
        <f>IF(NOTA[[#This Row],[CONCAT4]]="","",_xlfn.IFNA(MATCH(NOTA[[#This Row],[CONCAT4]],[2]!RAW[CONCAT_H],0),FALSE))</f>
        <v/>
      </c>
      <c r="AP562" s="174" t="str">
        <f>IF(NOTA[[#This Row],[CONCAT1]]="","",MATCH(NOTA[[#This Row],[CONCAT1]],[3]!db[NB NOTA_C],0)+1)</f>
        <v/>
      </c>
    </row>
    <row r="563" spans="1:42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52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38" t="str">
        <f>IF(NOTA[[#This Row],[CONCAT4]]="","",_xlfn.IFNA(MATCH(NOTA[[#This Row],[CONCAT4]],[2]!RAW[CONCAT_H],0),FALSE))</f>
        <v/>
      </c>
      <c r="AP563" s="174" t="str">
        <f>IF(NOTA[[#This Row],[CONCAT1]]="","",MATCH(NOTA[[#This Row],[CONCAT1]],[3]!db[NB NOTA_C],0)+1)</f>
        <v/>
      </c>
    </row>
    <row r="564" spans="1:42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38" t="str">
        <f>IF(NOTA[[#This Row],[CONCAT4]]="","",_xlfn.IFNA(MATCH(NOTA[[#This Row],[CONCAT4]],[2]!RAW[CONCAT_H],0),FALSE))</f>
        <v/>
      </c>
      <c r="AP564" s="174" t="str">
        <f>IF(NOTA[[#This Row],[CONCAT1]]="","",MATCH(NOTA[[#This Row],[CONCAT1]],[3]!db[NB NOTA_C],0)+1)</f>
        <v/>
      </c>
    </row>
    <row r="565" spans="1:42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38" t="str">
        <f>IF(NOTA[[#This Row],[CONCAT4]]="","",_xlfn.IFNA(MATCH(NOTA[[#This Row],[CONCAT4]],[2]!RAW[CONCAT_H],0),FALSE))</f>
        <v/>
      </c>
      <c r="AP565" s="174" t="str">
        <f>IF(NOTA[[#This Row],[CONCAT1]]="","",MATCH(NOTA[[#This Row],[CONCAT1]],[3]!db[NB NOTA_C],0)+1)</f>
        <v/>
      </c>
    </row>
    <row r="566" spans="1:42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38" t="str">
        <f>IF(NOTA[[#This Row],[CONCAT4]]="","",_xlfn.IFNA(MATCH(NOTA[[#This Row],[CONCAT4]],[2]!RAW[CONCAT_H],0),FALSE))</f>
        <v/>
      </c>
      <c r="AP566" s="174" t="str">
        <f>IF(NOTA[[#This Row],[CONCAT1]]="","",MATCH(NOTA[[#This Row],[CONCAT1]],[3]!db[NB NOTA_C],0)+1)</f>
        <v/>
      </c>
    </row>
    <row r="567" spans="1:42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38" t="str">
        <f>IF(NOTA[[#This Row],[CONCAT4]]="","",_xlfn.IFNA(MATCH(NOTA[[#This Row],[CONCAT4]],[2]!RAW[CONCAT_H],0),FALSE))</f>
        <v/>
      </c>
      <c r="AP567" s="174" t="str">
        <f>IF(NOTA[[#This Row],[CONCAT1]]="","",MATCH(NOTA[[#This Row],[CONCAT1]],[3]!db[NB NOTA_C],0)+1)</f>
        <v/>
      </c>
    </row>
    <row r="568" spans="1:42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38" t="str">
        <f>IF(NOTA[[#This Row],[CONCAT4]]="","",_xlfn.IFNA(MATCH(NOTA[[#This Row],[CONCAT4]],[2]!RAW[CONCAT_H],0),FALSE))</f>
        <v/>
      </c>
      <c r="AP568" s="174" t="str">
        <f>IF(NOTA[[#This Row],[CONCAT1]]="","",MATCH(NOTA[[#This Row],[CONCAT1]],[3]!db[NB NOTA_C],0)+1)</f>
        <v/>
      </c>
    </row>
    <row r="569" spans="1:42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38" t="str">
        <f>IF(NOTA[[#This Row],[CONCAT4]]="","",_xlfn.IFNA(MATCH(NOTA[[#This Row],[CONCAT4]],[2]!RAW[CONCAT_H],0),FALSE))</f>
        <v/>
      </c>
      <c r="AP569" s="174" t="str">
        <f>IF(NOTA[[#This Row],[CONCAT1]]="","",MATCH(NOTA[[#This Row],[CONCAT1]],[3]!db[NB NOTA_C],0)+1)</f>
        <v/>
      </c>
    </row>
    <row r="570" spans="1:42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38" t="str">
        <f>IF(NOTA[[#This Row],[CONCAT4]]="","",_xlfn.IFNA(MATCH(NOTA[[#This Row],[CONCAT4]],[2]!RAW[CONCAT_H],0),FALSE))</f>
        <v/>
      </c>
      <c r="AP570" s="174" t="str">
        <f>IF(NOTA[[#This Row],[CONCAT1]]="","",MATCH(NOTA[[#This Row],[CONCAT1]],[3]!db[NB NOTA_C],0)+1)</f>
        <v/>
      </c>
    </row>
    <row r="571" spans="1:42" ht="20.100000000000001" customHeight="1" x14ac:dyDescent="0.25">
      <c r="A5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29" t="str">
        <f>IF(NOTA[[#This Row],[ID_P]]="","",MATCH(NOTA[[#This Row],[ID_P]],[1]!B_MSK[N_ID],0))</f>
        <v/>
      </c>
      <c r="D571" s="29" t="str">
        <f ca="1">IF(NOTA[[#This Row],[NAMA BARANG]]="","",INDEX(NOTA[ID],MATCH(,INDIRECT(ADDRESS(ROW(NOTA[ID]),COLUMN(NOTA[ID]))&amp;":"&amp;ADDRESS(ROW(),COLUMN(NOTA[ID]))),-1)))</f>
        <v/>
      </c>
      <c r="E571" s="30"/>
      <c r="F571" s="26"/>
      <c r="G571" s="26"/>
      <c r="H571" s="31"/>
      <c r="I571" s="32"/>
      <c r="J571" s="33"/>
      <c r="K571" s="32"/>
      <c r="L571" s="26"/>
      <c r="M571" s="34"/>
      <c r="N571" s="32"/>
      <c r="O571" s="26"/>
      <c r="P571" s="28"/>
      <c r="Q571" s="46"/>
      <c r="R571" s="39"/>
      <c r="S571" s="35"/>
      <c r="T571" s="35"/>
      <c r="U571" s="36"/>
      <c r="V571" s="37"/>
      <c r="W571" s="36" t="str">
        <f>IF(NOTA[[#This Row],[HARGA/ CTN]]="",NOTA[[#This Row],[JUMLAH_H]],NOTA[[#This Row],[HARGA/ CTN]]*IF(NOTA[[#This Row],[C]]="",0,NOTA[[#This Row],[C]]))</f>
        <v/>
      </c>
      <c r="X571" s="36" t="str">
        <f>IF(NOTA[[#This Row],[JUMLAH]]="","",NOTA[[#This Row],[JUMLAH]]*NOTA[[#This Row],[DISC 1]])</f>
        <v/>
      </c>
      <c r="Y571" s="36" t="str">
        <f>IF(NOTA[[#This Row],[JUMLAH]]="","",(NOTA[[#This Row],[JUMLAH]]-NOTA[[#This Row],[DISC 1-]])*NOTA[[#This Row],[DISC 2]])</f>
        <v/>
      </c>
      <c r="Z571" s="36" t="str">
        <f>IF(NOTA[[#This Row],[JUMLAH]]="","",NOTA[[#This Row],[DISC 1-]]+NOTA[[#This Row],[DISC 2-]])</f>
        <v/>
      </c>
      <c r="AA571" s="36" t="str">
        <f>IF(NOTA[[#This Row],[JUMLAH]]="","",NOTA[[#This Row],[JUMLAH]]-NOTA[[#This Row],[DISC]])</f>
        <v/>
      </c>
      <c r="AB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36" t="str">
        <f>IF(OR(NOTA[[#This Row],[QTY]]="",NOTA[[#This Row],[HARGA SATUAN]]="",),"",NOTA[[#This Row],[QTY]]*NOTA[[#This Row],[HARGA SATUAN]])</f>
        <v/>
      </c>
      <c r="AF571" s="33" t="str">
        <f ca="1">IF(NOTA[ID_H]="","",INDEX(NOTA[TANGGAL],MATCH(,INDIRECT(ADDRESS(ROW(NOTA[TANGGAL]),COLUMN(NOTA[TANGGAL]))&amp;":"&amp;ADDRESS(ROW(),COLUMN(NOTA[TANGGAL]))),-1)))</f>
        <v/>
      </c>
      <c r="AG571" s="28" t="str">
        <f ca="1">IF(NOTA[[#This Row],[NAMA BARANG]]="","",INDEX(NOTA[SUPPLIER],MATCH(,INDIRECT(ADDRESS(ROW(NOTA[ID]),COLUMN(NOTA[ID]))&amp;":"&amp;ADDRESS(ROW(),COLUMN(NOTA[ID]))),-1)))</f>
        <v/>
      </c>
      <c r="AH571" s="28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38" t="str">
        <f>IF(NOTA[[#This Row],[CONCAT4]]="","",_xlfn.IFNA(MATCH(NOTA[[#This Row],[CONCAT4]],[2]!RAW[CONCAT_H],0),FALSE))</f>
        <v/>
      </c>
      <c r="AP571" s="174" t="str">
        <f>IF(NOTA[[#This Row],[CONCAT1]]="","",MATCH(NOTA[[#This Row],[CONCAT1]],[3]!db[NB NOTA_C],0)+1)</f>
        <v/>
      </c>
    </row>
    <row r="572" spans="1:42" ht="20.100000000000001" customHeight="1" x14ac:dyDescent="0.25">
      <c r="A5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29" t="str">
        <f>IF(NOTA[[#This Row],[ID_P]]="","",MATCH(NOTA[[#This Row],[ID_P]],[1]!B_MSK[N_ID],0))</f>
        <v/>
      </c>
      <c r="D572" s="29" t="str">
        <f ca="1">IF(NOTA[[#This Row],[NAMA BARANG]]="","",INDEX(NOTA[ID],MATCH(,INDIRECT(ADDRESS(ROW(NOTA[ID]),COLUMN(NOTA[ID]))&amp;":"&amp;ADDRESS(ROW(),COLUMN(NOTA[ID]))),-1)))</f>
        <v/>
      </c>
      <c r="E572" s="30"/>
      <c r="F572" s="26"/>
      <c r="G572" s="26"/>
      <c r="H572" s="31"/>
      <c r="I572" s="32"/>
      <c r="J572" s="33"/>
      <c r="K572" s="32"/>
      <c r="L572" s="26"/>
      <c r="M572" s="34"/>
      <c r="N572" s="32"/>
      <c r="O572" s="26"/>
      <c r="P572" s="28"/>
      <c r="Q572" s="46"/>
      <c r="R572" s="39"/>
      <c r="S572" s="35"/>
      <c r="T572" s="35"/>
      <c r="U572" s="36"/>
      <c r="V572" s="37"/>
      <c r="W572" s="36" t="str">
        <f>IF(NOTA[[#This Row],[HARGA/ CTN]]="",NOTA[[#This Row],[JUMLAH_H]],NOTA[[#This Row],[HARGA/ CTN]]*IF(NOTA[[#This Row],[C]]="",0,NOTA[[#This Row],[C]]))</f>
        <v/>
      </c>
      <c r="X572" s="36" t="str">
        <f>IF(NOTA[[#This Row],[JUMLAH]]="","",NOTA[[#This Row],[JUMLAH]]*NOTA[[#This Row],[DISC 1]])</f>
        <v/>
      </c>
      <c r="Y572" s="36" t="str">
        <f>IF(NOTA[[#This Row],[JUMLAH]]="","",(NOTA[[#This Row],[JUMLAH]]-NOTA[[#This Row],[DISC 1-]])*NOTA[[#This Row],[DISC 2]])</f>
        <v/>
      </c>
      <c r="Z572" s="36" t="str">
        <f>IF(NOTA[[#This Row],[JUMLAH]]="","",NOTA[[#This Row],[DISC 1-]]+NOTA[[#This Row],[DISC 2-]])</f>
        <v/>
      </c>
      <c r="AA572" s="36" t="str">
        <f>IF(NOTA[[#This Row],[JUMLAH]]="","",NOTA[[#This Row],[JUMLAH]]-NOTA[[#This Row],[DISC]])</f>
        <v/>
      </c>
      <c r="AB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36" t="str">
        <f>IF(OR(NOTA[[#This Row],[QTY]]="",NOTA[[#This Row],[HARGA SATUAN]]="",),"",NOTA[[#This Row],[QTY]]*NOTA[[#This Row],[HARGA SATUAN]])</f>
        <v/>
      </c>
      <c r="AF572" s="33" t="str">
        <f ca="1">IF(NOTA[ID_H]="","",INDEX(NOTA[TANGGAL],MATCH(,INDIRECT(ADDRESS(ROW(NOTA[TANGGAL]),COLUMN(NOTA[TANGGAL]))&amp;":"&amp;ADDRESS(ROW(),COLUMN(NOTA[TANGGAL]))),-1)))</f>
        <v/>
      </c>
      <c r="AG572" s="28" t="str">
        <f ca="1">IF(NOTA[[#This Row],[NAMA BARANG]]="","",INDEX(NOTA[SUPPLIER],MATCH(,INDIRECT(ADDRESS(ROW(NOTA[ID]),COLUMN(NOTA[ID]))&amp;":"&amp;ADDRESS(ROW(),COLUMN(NOTA[ID]))),-1)))</f>
        <v/>
      </c>
      <c r="AH572" s="28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38" t="str">
        <f>IF(NOTA[[#This Row],[CONCAT4]]="","",_xlfn.IFNA(MATCH(NOTA[[#This Row],[CONCAT4]],[2]!RAW[CONCAT_H],0),FALSE))</f>
        <v/>
      </c>
      <c r="AP572" s="174" t="str">
        <f>IF(NOTA[[#This Row],[CONCAT1]]="","",MATCH(NOTA[[#This Row],[CONCAT1]],[3]!db[NB NOTA_C],0)+1)</f>
        <v/>
      </c>
    </row>
    <row r="573" spans="1:42" ht="20.100000000000001" customHeight="1" x14ac:dyDescent="0.25">
      <c r="A5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29" t="str">
        <f>IF(NOTA[[#This Row],[ID_P]]="","",MATCH(NOTA[[#This Row],[ID_P]],[1]!B_MSK[N_ID],0))</f>
        <v/>
      </c>
      <c r="D573" s="29" t="str">
        <f ca="1">IF(NOTA[[#This Row],[NAMA BARANG]]="","",INDEX(NOTA[ID],MATCH(,INDIRECT(ADDRESS(ROW(NOTA[ID]),COLUMN(NOTA[ID]))&amp;":"&amp;ADDRESS(ROW(),COLUMN(NOTA[ID]))),-1)))</f>
        <v/>
      </c>
      <c r="E573" s="30"/>
      <c r="F573" s="26"/>
      <c r="G573" s="26"/>
      <c r="H573" s="31"/>
      <c r="I573" s="32"/>
      <c r="J573" s="33"/>
      <c r="K573" s="32"/>
      <c r="L573" s="26"/>
      <c r="M573" s="34"/>
      <c r="N573" s="32"/>
      <c r="O573" s="26"/>
      <c r="P573" s="28"/>
      <c r="Q573" s="46"/>
      <c r="R573" s="39"/>
      <c r="S573" s="35"/>
      <c r="T573" s="35"/>
      <c r="U573" s="36"/>
      <c r="V573" s="37"/>
      <c r="W573" s="36" t="str">
        <f>IF(NOTA[[#This Row],[HARGA/ CTN]]="",NOTA[[#This Row],[JUMLAH_H]],NOTA[[#This Row],[HARGA/ CTN]]*IF(NOTA[[#This Row],[C]]="",0,NOTA[[#This Row],[C]]))</f>
        <v/>
      </c>
      <c r="X573" s="36" t="str">
        <f>IF(NOTA[[#This Row],[JUMLAH]]="","",NOTA[[#This Row],[JUMLAH]]*NOTA[[#This Row],[DISC 1]])</f>
        <v/>
      </c>
      <c r="Y573" s="36" t="str">
        <f>IF(NOTA[[#This Row],[JUMLAH]]="","",(NOTA[[#This Row],[JUMLAH]]-NOTA[[#This Row],[DISC 1-]])*NOTA[[#This Row],[DISC 2]])</f>
        <v/>
      </c>
      <c r="Z573" s="36" t="str">
        <f>IF(NOTA[[#This Row],[JUMLAH]]="","",NOTA[[#This Row],[DISC 1-]]+NOTA[[#This Row],[DISC 2-]])</f>
        <v/>
      </c>
      <c r="AA573" s="36" t="str">
        <f>IF(NOTA[[#This Row],[JUMLAH]]="","",NOTA[[#This Row],[JUMLAH]]-NOTA[[#This Row],[DISC]])</f>
        <v/>
      </c>
      <c r="AB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36" t="str">
        <f>IF(OR(NOTA[[#This Row],[QTY]]="",NOTA[[#This Row],[HARGA SATUAN]]="",),"",NOTA[[#This Row],[QTY]]*NOTA[[#This Row],[HARGA SATUAN]])</f>
        <v/>
      </c>
      <c r="AF573" s="33" t="str">
        <f ca="1">IF(NOTA[ID_H]="","",INDEX(NOTA[TANGGAL],MATCH(,INDIRECT(ADDRESS(ROW(NOTA[TANGGAL]),COLUMN(NOTA[TANGGAL]))&amp;":"&amp;ADDRESS(ROW(),COLUMN(NOTA[TANGGAL]))),-1)))</f>
        <v/>
      </c>
      <c r="AG573" s="28" t="str">
        <f ca="1">IF(NOTA[[#This Row],[NAMA BARANG]]="","",INDEX(NOTA[SUPPLIER],MATCH(,INDIRECT(ADDRESS(ROW(NOTA[ID]),COLUMN(NOTA[ID]))&amp;":"&amp;ADDRESS(ROW(),COLUMN(NOTA[ID]))),-1)))</f>
        <v/>
      </c>
      <c r="AH573" s="28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38" t="str">
        <f>IF(NOTA[[#This Row],[CONCAT4]]="","",_xlfn.IFNA(MATCH(NOTA[[#This Row],[CONCAT4]],[2]!RAW[CONCAT_H],0),FALSE))</f>
        <v/>
      </c>
      <c r="AP573" s="174" t="str">
        <f>IF(NOTA[[#This Row],[CONCAT1]]="","",MATCH(NOTA[[#This Row],[CONCAT1]],[3]!db[NB NOTA_C],0)+1)</f>
        <v/>
      </c>
    </row>
    <row r="574" spans="1:42" s="48" customFormat="1" ht="20.100000000000001" customHeight="1" x14ac:dyDescent="0.25">
      <c r="A5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29" t="str">
        <f>IF(NOTA[[#This Row],[ID_P]]="","",MATCH(NOTA[[#This Row],[ID_P]],[1]!B_MSK[N_ID],0))</f>
        <v/>
      </c>
      <c r="D574" s="29" t="str">
        <f ca="1">IF(NOTA[[#This Row],[NAMA BARANG]]="","",INDEX(NOTA[ID],MATCH(,INDIRECT(ADDRESS(ROW(NOTA[ID]),COLUMN(NOTA[ID]))&amp;":"&amp;ADDRESS(ROW(),COLUMN(NOTA[ID]))),-1)))</f>
        <v/>
      </c>
      <c r="E574" s="30"/>
      <c r="F574" s="26"/>
      <c r="G574" s="26"/>
      <c r="H574" s="31"/>
      <c r="I574" s="32"/>
      <c r="J574" s="33"/>
      <c r="K574" s="32"/>
      <c r="L574" s="26"/>
      <c r="M574" s="34"/>
      <c r="N574" s="32"/>
      <c r="O574" s="26"/>
      <c r="P574" s="28"/>
      <c r="Q574" s="46"/>
      <c r="R574" s="39"/>
      <c r="S574" s="35"/>
      <c r="T574" s="35"/>
      <c r="U574" s="36"/>
      <c r="V574" s="37"/>
      <c r="W574" s="36" t="str">
        <f>IF(NOTA[[#This Row],[HARGA/ CTN]]="",NOTA[[#This Row],[JUMLAH_H]],NOTA[[#This Row],[HARGA/ CTN]]*IF(NOTA[[#This Row],[C]]="",0,NOTA[[#This Row],[C]]))</f>
        <v/>
      </c>
      <c r="X574" s="36" t="str">
        <f>IF(NOTA[[#This Row],[JUMLAH]]="","",NOTA[[#This Row],[JUMLAH]]*NOTA[[#This Row],[DISC 1]])</f>
        <v/>
      </c>
      <c r="Y574" s="36" t="str">
        <f>IF(NOTA[[#This Row],[JUMLAH]]="","",(NOTA[[#This Row],[JUMLAH]]-NOTA[[#This Row],[DISC 1-]])*NOTA[[#This Row],[DISC 2]])</f>
        <v/>
      </c>
      <c r="Z574" s="36" t="str">
        <f>IF(NOTA[[#This Row],[JUMLAH]]="","",NOTA[[#This Row],[DISC 1-]]+NOTA[[#This Row],[DISC 2-]])</f>
        <v/>
      </c>
      <c r="AA574" s="36" t="str">
        <f>IF(NOTA[[#This Row],[JUMLAH]]="","",NOTA[[#This Row],[JUMLAH]]-NOTA[[#This Row],[DISC]])</f>
        <v/>
      </c>
      <c r="AB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36" t="str">
        <f>IF(OR(NOTA[[#This Row],[QTY]]="",NOTA[[#This Row],[HARGA SATUAN]]="",),"",NOTA[[#This Row],[QTY]]*NOTA[[#This Row],[HARGA SATUAN]])</f>
        <v/>
      </c>
      <c r="AF574" s="33" t="str">
        <f ca="1">IF(NOTA[ID_H]="","",INDEX(NOTA[TANGGAL],MATCH(,INDIRECT(ADDRESS(ROW(NOTA[TANGGAL]),COLUMN(NOTA[TANGGAL]))&amp;":"&amp;ADDRESS(ROW(),COLUMN(NOTA[TANGGAL]))),-1)))</f>
        <v/>
      </c>
      <c r="AG574" s="28" t="str">
        <f ca="1">IF(NOTA[[#This Row],[NAMA BARANG]]="","",INDEX(NOTA[SUPPLIER],MATCH(,INDIRECT(ADDRESS(ROW(NOTA[ID]),COLUMN(NOTA[ID]))&amp;":"&amp;ADDRESS(ROW(),COLUMN(NOTA[ID]))),-1)))</f>
        <v/>
      </c>
      <c r="AH574" s="28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38" t="str">
        <f>IF(NOTA[[#This Row],[CONCAT4]]="","",_xlfn.IFNA(MATCH(NOTA[[#This Row],[CONCAT4]],[2]!RAW[CONCAT_H],0),FALSE))</f>
        <v/>
      </c>
      <c r="AP574" s="174" t="str">
        <f>IF(NOTA[[#This Row],[CONCAT1]]="","",MATCH(NOTA[[#This Row],[CONCAT1]],[3]!db[NB NOTA_C],0)+1)</f>
        <v/>
      </c>
    </row>
    <row r="575" spans="1:42" ht="20.100000000000001" customHeight="1" x14ac:dyDescent="0.25">
      <c r="A5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29" t="str">
        <f>IF(NOTA[[#This Row],[ID_P]]="","",MATCH(NOTA[[#This Row],[ID_P]],[1]!B_MSK[N_ID],0))</f>
        <v/>
      </c>
      <c r="D575" s="29" t="str">
        <f ca="1">IF(NOTA[[#This Row],[NAMA BARANG]]="","",INDEX(NOTA[ID],MATCH(,INDIRECT(ADDRESS(ROW(NOTA[ID]),COLUMN(NOTA[ID]))&amp;":"&amp;ADDRESS(ROW(),COLUMN(NOTA[ID]))),-1)))</f>
        <v/>
      </c>
      <c r="E575" s="30"/>
      <c r="F575" s="26"/>
      <c r="G575" s="26"/>
      <c r="H575" s="31"/>
      <c r="I575" s="32"/>
      <c r="J575" s="33"/>
      <c r="K575" s="32"/>
      <c r="L575" s="26"/>
      <c r="M575" s="34"/>
      <c r="N575" s="32"/>
      <c r="O575" s="26"/>
      <c r="P575" s="28"/>
      <c r="Q575" s="46"/>
      <c r="R575" s="39"/>
      <c r="S575" s="35"/>
      <c r="T575" s="35"/>
      <c r="U575" s="36"/>
      <c r="V575" s="37"/>
      <c r="W575" s="36" t="str">
        <f>IF(NOTA[[#This Row],[HARGA/ CTN]]="",NOTA[[#This Row],[JUMLAH_H]],NOTA[[#This Row],[HARGA/ CTN]]*IF(NOTA[[#This Row],[C]]="",0,NOTA[[#This Row],[C]]))</f>
        <v/>
      </c>
      <c r="X575" s="36" t="str">
        <f>IF(NOTA[[#This Row],[JUMLAH]]="","",NOTA[[#This Row],[JUMLAH]]*NOTA[[#This Row],[DISC 1]])</f>
        <v/>
      </c>
      <c r="Y575" s="36" t="str">
        <f>IF(NOTA[[#This Row],[JUMLAH]]="","",(NOTA[[#This Row],[JUMLAH]]-NOTA[[#This Row],[DISC 1-]])*NOTA[[#This Row],[DISC 2]])</f>
        <v/>
      </c>
      <c r="Z575" s="36" t="str">
        <f>IF(NOTA[[#This Row],[JUMLAH]]="","",NOTA[[#This Row],[DISC 1-]]+NOTA[[#This Row],[DISC 2-]])</f>
        <v/>
      </c>
      <c r="AA575" s="36" t="str">
        <f>IF(NOTA[[#This Row],[JUMLAH]]="","",NOTA[[#This Row],[JUMLAH]]-NOTA[[#This Row],[DISC]])</f>
        <v/>
      </c>
      <c r="AB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36" t="str">
        <f>IF(OR(NOTA[[#This Row],[QTY]]="",NOTA[[#This Row],[HARGA SATUAN]]="",),"",NOTA[[#This Row],[QTY]]*NOTA[[#This Row],[HARGA SATUAN]])</f>
        <v/>
      </c>
      <c r="AF575" s="33" t="str">
        <f ca="1">IF(NOTA[ID_H]="","",INDEX(NOTA[TANGGAL],MATCH(,INDIRECT(ADDRESS(ROW(NOTA[TANGGAL]),COLUMN(NOTA[TANGGAL]))&amp;":"&amp;ADDRESS(ROW(),COLUMN(NOTA[TANGGAL]))),-1)))</f>
        <v/>
      </c>
      <c r="AG575" s="28" t="str">
        <f ca="1">IF(NOTA[[#This Row],[NAMA BARANG]]="","",INDEX(NOTA[SUPPLIER],MATCH(,INDIRECT(ADDRESS(ROW(NOTA[ID]),COLUMN(NOTA[ID]))&amp;":"&amp;ADDRESS(ROW(),COLUMN(NOTA[ID]))),-1)))</f>
        <v/>
      </c>
      <c r="AH575" s="28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38" t="str">
        <f>IF(NOTA[[#This Row],[CONCAT4]]="","",_xlfn.IFNA(MATCH(NOTA[[#This Row],[CONCAT4]],[2]!RAW[CONCAT_H],0),FALSE))</f>
        <v/>
      </c>
      <c r="AP575" s="174" t="str">
        <f>IF(NOTA[[#This Row],[CONCAT1]]="","",MATCH(NOTA[[#This Row],[CONCAT1]],[3]!db[NB NOTA_C],0)+1)</f>
        <v/>
      </c>
    </row>
    <row r="576" spans="1:42" s="48" customFormat="1" ht="20.100000000000001" customHeight="1" x14ac:dyDescent="0.25">
      <c r="A5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29" t="str">
        <f>IF(NOTA[[#This Row],[ID_P]]="","",MATCH(NOTA[[#This Row],[ID_P]],[1]!B_MSK[N_ID],0))</f>
        <v/>
      </c>
      <c r="D576" s="29" t="str">
        <f ca="1">IF(NOTA[[#This Row],[NAMA BARANG]]="","",INDEX(NOTA[ID],MATCH(,INDIRECT(ADDRESS(ROW(NOTA[ID]),COLUMN(NOTA[ID]))&amp;":"&amp;ADDRESS(ROW(),COLUMN(NOTA[ID]))),-1)))</f>
        <v/>
      </c>
      <c r="E576" s="30"/>
      <c r="F576" s="26"/>
      <c r="G576" s="26"/>
      <c r="H576" s="31"/>
      <c r="I576" s="32"/>
      <c r="J576" s="33"/>
      <c r="K576" s="32"/>
      <c r="L576" s="26"/>
      <c r="M576" s="34"/>
      <c r="N576" s="32"/>
      <c r="O576" s="26"/>
      <c r="P576" s="28"/>
      <c r="Q576" s="46"/>
      <c r="R576" s="39"/>
      <c r="S576" s="35"/>
      <c r="T576" s="35"/>
      <c r="U576" s="36"/>
      <c r="V576" s="37"/>
      <c r="W576" s="36" t="str">
        <f>IF(NOTA[[#This Row],[HARGA/ CTN]]="",NOTA[[#This Row],[JUMLAH_H]],NOTA[[#This Row],[HARGA/ CTN]]*IF(NOTA[[#This Row],[C]]="",0,NOTA[[#This Row],[C]]))</f>
        <v/>
      </c>
      <c r="X576" s="36" t="str">
        <f>IF(NOTA[[#This Row],[JUMLAH]]="","",NOTA[[#This Row],[JUMLAH]]*NOTA[[#This Row],[DISC 1]])</f>
        <v/>
      </c>
      <c r="Y576" s="36" t="str">
        <f>IF(NOTA[[#This Row],[JUMLAH]]="","",(NOTA[[#This Row],[JUMLAH]]-NOTA[[#This Row],[DISC 1-]])*NOTA[[#This Row],[DISC 2]])</f>
        <v/>
      </c>
      <c r="Z576" s="36" t="str">
        <f>IF(NOTA[[#This Row],[JUMLAH]]="","",NOTA[[#This Row],[DISC 1-]]+NOTA[[#This Row],[DISC 2-]])</f>
        <v/>
      </c>
      <c r="AA576" s="36" t="str">
        <f>IF(NOTA[[#This Row],[JUMLAH]]="","",NOTA[[#This Row],[JUMLAH]]-NOTA[[#This Row],[DISC]])</f>
        <v/>
      </c>
      <c r="AB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36" t="str">
        <f>IF(OR(NOTA[[#This Row],[QTY]]="",NOTA[[#This Row],[HARGA SATUAN]]="",),"",NOTA[[#This Row],[QTY]]*NOTA[[#This Row],[HARGA SATUAN]])</f>
        <v/>
      </c>
      <c r="AF576" s="33" t="str">
        <f ca="1">IF(NOTA[ID_H]="","",INDEX(NOTA[TANGGAL],MATCH(,INDIRECT(ADDRESS(ROW(NOTA[TANGGAL]),COLUMN(NOTA[TANGGAL]))&amp;":"&amp;ADDRESS(ROW(),COLUMN(NOTA[TANGGAL]))),-1)))</f>
        <v/>
      </c>
      <c r="AG576" s="28" t="str">
        <f ca="1">IF(NOTA[[#This Row],[NAMA BARANG]]="","",INDEX(NOTA[SUPPLIER],MATCH(,INDIRECT(ADDRESS(ROW(NOTA[ID]),COLUMN(NOTA[ID]))&amp;":"&amp;ADDRESS(ROW(),COLUMN(NOTA[ID]))),-1)))</f>
        <v/>
      </c>
      <c r="AH576" s="28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38" t="str">
        <f>IF(NOTA[[#This Row],[CONCAT4]]="","",_xlfn.IFNA(MATCH(NOTA[[#This Row],[CONCAT4]],[2]!RAW[CONCAT_H],0),FALSE))</f>
        <v/>
      </c>
      <c r="AP576" s="174" t="str">
        <f>IF(NOTA[[#This Row],[CONCAT1]]="","",MATCH(NOTA[[#This Row],[CONCAT1]],[3]!db[NB NOTA_C],0)+1)</f>
        <v/>
      </c>
    </row>
    <row r="577" spans="1:42" ht="20.100000000000001" customHeight="1" x14ac:dyDescent="0.25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29" t="str">
        <f>IF(NOTA[[#This Row],[ID_P]]="","",MATCH(NOTA[[#This Row],[ID_P]],[1]!B_MSK[N_ID],0))</f>
        <v/>
      </c>
      <c r="D577" s="29" t="str">
        <f ca="1">IF(NOTA[[#This Row],[NAMA BARANG]]="","",INDEX(NOTA[ID],MATCH(,INDIRECT(ADDRESS(ROW(NOTA[ID]),COLUMN(NOTA[ID]))&amp;":"&amp;ADDRESS(ROW(),COLUMN(NOTA[ID]))),-1)))</f>
        <v/>
      </c>
      <c r="E577" s="30"/>
      <c r="F577" s="26"/>
      <c r="G577" s="26"/>
      <c r="H577" s="31"/>
      <c r="I577" s="32"/>
      <c r="J577" s="33"/>
      <c r="K577" s="32"/>
      <c r="L577" s="26"/>
      <c r="M577" s="34"/>
      <c r="N577" s="32"/>
      <c r="O577" s="26"/>
      <c r="P577" s="28"/>
      <c r="Q577" s="46"/>
      <c r="R577" s="39"/>
      <c r="S577" s="35"/>
      <c r="T577" s="35"/>
      <c r="U577" s="36"/>
      <c r="V577" s="37"/>
      <c r="W577" s="36" t="str">
        <f>IF(NOTA[[#This Row],[HARGA/ CTN]]="",NOTA[[#This Row],[JUMLAH_H]],NOTA[[#This Row],[HARGA/ CTN]]*IF(NOTA[[#This Row],[C]]="",0,NOTA[[#This Row],[C]]))</f>
        <v/>
      </c>
      <c r="X577" s="36" t="str">
        <f>IF(NOTA[[#This Row],[JUMLAH]]="","",NOTA[[#This Row],[JUMLAH]]*NOTA[[#This Row],[DISC 1]])</f>
        <v/>
      </c>
      <c r="Y577" s="36" t="str">
        <f>IF(NOTA[[#This Row],[JUMLAH]]="","",(NOTA[[#This Row],[JUMLAH]]-NOTA[[#This Row],[DISC 1-]])*NOTA[[#This Row],[DISC 2]])</f>
        <v/>
      </c>
      <c r="Z577" s="36" t="str">
        <f>IF(NOTA[[#This Row],[JUMLAH]]="","",NOTA[[#This Row],[DISC 1-]]+NOTA[[#This Row],[DISC 2-]])</f>
        <v/>
      </c>
      <c r="AA577" s="36" t="str">
        <f>IF(NOTA[[#This Row],[JUMLAH]]="","",NOTA[[#This Row],[JUMLAH]]-NOTA[[#This Row],[DISC]])</f>
        <v/>
      </c>
      <c r="AB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36" t="str">
        <f>IF(OR(NOTA[[#This Row],[QTY]]="",NOTA[[#This Row],[HARGA SATUAN]]="",),"",NOTA[[#This Row],[QTY]]*NOTA[[#This Row],[HARGA SATUAN]])</f>
        <v/>
      </c>
      <c r="AF577" s="33" t="str">
        <f ca="1">IF(NOTA[ID_H]="","",INDEX(NOTA[TANGGAL],MATCH(,INDIRECT(ADDRESS(ROW(NOTA[TANGGAL]),COLUMN(NOTA[TANGGAL]))&amp;":"&amp;ADDRESS(ROW(),COLUMN(NOTA[TANGGAL]))),-1)))</f>
        <v/>
      </c>
      <c r="AG577" s="28" t="str">
        <f ca="1">IF(NOTA[[#This Row],[NAMA BARANG]]="","",INDEX(NOTA[SUPPLIER],MATCH(,INDIRECT(ADDRESS(ROW(NOTA[ID]),COLUMN(NOTA[ID]))&amp;":"&amp;ADDRESS(ROW(),COLUMN(NOTA[ID]))),-1)))</f>
        <v/>
      </c>
      <c r="AH577" s="28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38" t="str">
        <f>IF(NOTA[[#This Row],[CONCAT4]]="","",_xlfn.IFNA(MATCH(NOTA[[#This Row],[CONCAT4]],[2]!RAW[CONCAT_H],0),FALSE))</f>
        <v/>
      </c>
      <c r="AP577" s="174" t="str">
        <f>IF(NOTA[[#This Row],[CONCAT1]]="","",MATCH(NOTA[[#This Row],[CONCAT1]],[3]!db[NB NOTA_C],0)+1)</f>
        <v/>
      </c>
    </row>
    <row r="578" spans="1:42" ht="20.100000000000001" customHeight="1" x14ac:dyDescent="0.25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29" t="str">
        <f>IF(NOTA[[#This Row],[ID_P]]="","",MATCH(NOTA[[#This Row],[ID_P]],[1]!B_MSK[N_ID],0))</f>
        <v/>
      </c>
      <c r="D578" s="29" t="str">
        <f ca="1">IF(NOTA[[#This Row],[NAMA BARANG]]="","",INDEX(NOTA[ID],MATCH(,INDIRECT(ADDRESS(ROW(NOTA[ID]),COLUMN(NOTA[ID]))&amp;":"&amp;ADDRESS(ROW(),COLUMN(NOTA[ID]))),-1)))</f>
        <v/>
      </c>
      <c r="E578" s="30"/>
      <c r="F578" s="32"/>
      <c r="G578" s="32"/>
      <c r="H578" s="55"/>
      <c r="I578" s="32"/>
      <c r="J578" s="33"/>
      <c r="K578" s="32"/>
      <c r="L578" s="26"/>
      <c r="M578" s="34"/>
      <c r="N578" s="26"/>
      <c r="O578" s="26"/>
      <c r="P578" s="28"/>
      <c r="Q578" s="46"/>
      <c r="R578" s="39"/>
      <c r="S578" s="35"/>
      <c r="T578" s="35"/>
      <c r="U578" s="36"/>
      <c r="V578" s="37"/>
      <c r="W578" s="36" t="str">
        <f>IF(NOTA[[#This Row],[HARGA/ CTN]]="",NOTA[[#This Row],[JUMLAH_H]],NOTA[[#This Row],[HARGA/ CTN]]*IF(NOTA[[#This Row],[C]]="",0,NOTA[[#This Row],[C]]))</f>
        <v/>
      </c>
      <c r="X578" s="36" t="str">
        <f>IF(NOTA[[#This Row],[JUMLAH]]="","",NOTA[[#This Row],[JUMLAH]]*NOTA[[#This Row],[DISC 1]])</f>
        <v/>
      </c>
      <c r="Y578" s="36" t="str">
        <f>IF(NOTA[[#This Row],[JUMLAH]]="","",(NOTA[[#This Row],[JUMLAH]]-NOTA[[#This Row],[DISC 1-]])*NOTA[[#This Row],[DISC 2]])</f>
        <v/>
      </c>
      <c r="Z578" s="36" t="str">
        <f>IF(NOTA[[#This Row],[JUMLAH]]="","",NOTA[[#This Row],[DISC 1-]]+NOTA[[#This Row],[DISC 2-]])</f>
        <v/>
      </c>
      <c r="AA578" s="36" t="str">
        <f>IF(NOTA[[#This Row],[JUMLAH]]="","",NOTA[[#This Row],[JUMLAH]]-NOTA[[#This Row],[DISC]])</f>
        <v/>
      </c>
      <c r="AB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36" t="str">
        <f>IF(OR(NOTA[[#This Row],[QTY]]="",NOTA[[#This Row],[HARGA SATUAN]]="",),"",NOTA[[#This Row],[QTY]]*NOTA[[#This Row],[HARGA SATUAN]])</f>
        <v/>
      </c>
      <c r="AF578" s="33" t="str">
        <f ca="1">IF(NOTA[ID_H]="","",INDEX(NOTA[TANGGAL],MATCH(,INDIRECT(ADDRESS(ROW(NOTA[TANGGAL]),COLUMN(NOTA[TANGGAL]))&amp;":"&amp;ADDRESS(ROW(),COLUMN(NOTA[TANGGAL]))),-1)))</f>
        <v/>
      </c>
      <c r="AG578" s="28" t="str">
        <f ca="1">IF(NOTA[[#This Row],[NAMA BARANG]]="","",INDEX(NOTA[SUPPLIER],MATCH(,INDIRECT(ADDRESS(ROW(NOTA[ID]),COLUMN(NOTA[ID]))&amp;":"&amp;ADDRESS(ROW(),COLUMN(NOTA[ID]))),-1)))</f>
        <v/>
      </c>
      <c r="AH578" s="28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38" t="str">
        <f>IF(NOTA[[#This Row],[CONCAT4]]="","",_xlfn.IFNA(MATCH(NOTA[[#This Row],[CONCAT4]],[2]!RAW[CONCAT_H],0),FALSE))</f>
        <v/>
      </c>
      <c r="AP578" s="174" t="str">
        <f>IF(NOTA[[#This Row],[CONCAT1]]="","",MATCH(NOTA[[#This Row],[CONCAT1]],[3]!db[NB NOTA_C],0)+1)</f>
        <v/>
      </c>
    </row>
    <row r="579" spans="1:42" ht="20.100000000000001" customHeight="1" x14ac:dyDescent="0.25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29" t="str">
        <f>IF(NOTA[[#This Row],[ID_P]]="","",MATCH(NOTA[[#This Row],[ID_P]],[1]!B_MSK[N_ID],0))</f>
        <v/>
      </c>
      <c r="D579" s="29" t="str">
        <f ca="1">IF(NOTA[[#This Row],[NAMA BARANG]]="","",INDEX(NOTA[ID],MATCH(,INDIRECT(ADDRESS(ROW(NOTA[ID]),COLUMN(NOTA[ID]))&amp;":"&amp;ADDRESS(ROW(),COLUMN(NOTA[ID]))),-1)))</f>
        <v/>
      </c>
      <c r="E579" s="30"/>
      <c r="F579" s="26"/>
      <c r="G579" s="26"/>
      <c r="H579" s="31"/>
      <c r="I579" s="32"/>
      <c r="J579" s="33"/>
      <c r="K579" s="32"/>
      <c r="L579" s="26"/>
      <c r="M579" s="34"/>
      <c r="N579" s="32"/>
      <c r="O579" s="26"/>
      <c r="P579" s="28"/>
      <c r="Q579" s="46"/>
      <c r="R579" s="39"/>
      <c r="S579" s="35"/>
      <c r="T579" s="35"/>
      <c r="U579" s="36"/>
      <c r="V579" s="37"/>
      <c r="W579" s="36" t="str">
        <f>IF(NOTA[[#This Row],[HARGA/ CTN]]="",NOTA[[#This Row],[JUMLAH_H]],NOTA[[#This Row],[HARGA/ CTN]]*IF(NOTA[[#This Row],[C]]="",0,NOTA[[#This Row],[C]]))</f>
        <v/>
      </c>
      <c r="X579" s="36" t="str">
        <f>IF(NOTA[[#This Row],[JUMLAH]]="","",NOTA[[#This Row],[JUMLAH]]*NOTA[[#This Row],[DISC 1]])</f>
        <v/>
      </c>
      <c r="Y579" s="36" t="str">
        <f>IF(NOTA[[#This Row],[JUMLAH]]="","",(NOTA[[#This Row],[JUMLAH]]-NOTA[[#This Row],[DISC 1-]])*NOTA[[#This Row],[DISC 2]])</f>
        <v/>
      </c>
      <c r="Z579" s="36" t="str">
        <f>IF(NOTA[[#This Row],[JUMLAH]]="","",NOTA[[#This Row],[DISC 1-]]+NOTA[[#This Row],[DISC 2-]])</f>
        <v/>
      </c>
      <c r="AA579" s="36" t="str">
        <f>IF(NOTA[[#This Row],[JUMLAH]]="","",NOTA[[#This Row],[JUMLAH]]-NOTA[[#This Row],[DISC]])</f>
        <v/>
      </c>
      <c r="AB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36" t="str">
        <f>IF(OR(NOTA[[#This Row],[QTY]]="",NOTA[[#This Row],[HARGA SATUAN]]="",),"",NOTA[[#This Row],[QTY]]*NOTA[[#This Row],[HARGA SATUAN]])</f>
        <v/>
      </c>
      <c r="AF579" s="33" t="str">
        <f ca="1">IF(NOTA[ID_H]="","",INDEX(NOTA[TANGGAL],MATCH(,INDIRECT(ADDRESS(ROW(NOTA[TANGGAL]),COLUMN(NOTA[TANGGAL]))&amp;":"&amp;ADDRESS(ROW(),COLUMN(NOTA[TANGGAL]))),-1)))</f>
        <v/>
      </c>
      <c r="AG579" s="28" t="str">
        <f ca="1">IF(NOTA[[#This Row],[NAMA BARANG]]="","",INDEX(NOTA[SUPPLIER],MATCH(,INDIRECT(ADDRESS(ROW(NOTA[ID]),COLUMN(NOTA[ID]))&amp;":"&amp;ADDRESS(ROW(),COLUMN(NOTA[ID]))),-1)))</f>
        <v/>
      </c>
      <c r="AH579" s="28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38" t="str">
        <f>IF(NOTA[[#This Row],[CONCAT4]]="","",_xlfn.IFNA(MATCH(NOTA[[#This Row],[CONCAT4]],[2]!RAW[CONCAT_H],0),FALSE))</f>
        <v/>
      </c>
      <c r="AP579" s="174" t="str">
        <f>IF(NOTA[[#This Row],[CONCAT1]]="","",MATCH(NOTA[[#This Row],[CONCAT1]],[3]!db[NB NOTA_C],0)+1)</f>
        <v/>
      </c>
    </row>
    <row r="580" spans="1:42" ht="20.100000000000001" customHeight="1" x14ac:dyDescent="0.25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29" t="str">
        <f>IF(NOTA[[#This Row],[ID_P]]="","",MATCH(NOTA[[#This Row],[ID_P]],[1]!B_MSK[N_ID],0))</f>
        <v/>
      </c>
      <c r="D580" s="29" t="str">
        <f ca="1">IF(NOTA[[#This Row],[NAMA BARANG]]="","",INDEX(NOTA[ID],MATCH(,INDIRECT(ADDRESS(ROW(NOTA[ID]),COLUMN(NOTA[ID]))&amp;":"&amp;ADDRESS(ROW(),COLUMN(NOTA[ID]))),-1)))</f>
        <v/>
      </c>
      <c r="E580" s="30"/>
      <c r="F580" s="32"/>
      <c r="G580" s="32"/>
      <c r="H580" s="55"/>
      <c r="I580" s="32"/>
      <c r="J580" s="33"/>
      <c r="K580" s="32"/>
      <c r="L580" s="26"/>
      <c r="M580" s="34"/>
      <c r="N580" s="32"/>
      <c r="O580" s="26"/>
      <c r="P580" s="28"/>
      <c r="Q580" s="46"/>
      <c r="R580" s="39"/>
      <c r="S580" s="35"/>
      <c r="T580" s="35"/>
      <c r="U580" s="36"/>
      <c r="V580" s="37"/>
      <c r="W580" s="36" t="str">
        <f>IF(NOTA[[#This Row],[HARGA/ CTN]]="",NOTA[[#This Row],[JUMLAH_H]],NOTA[[#This Row],[HARGA/ CTN]]*IF(NOTA[[#This Row],[C]]="",0,NOTA[[#This Row],[C]]))</f>
        <v/>
      </c>
      <c r="X580" s="36" t="str">
        <f>IF(NOTA[[#This Row],[JUMLAH]]="","",NOTA[[#This Row],[JUMLAH]]*NOTA[[#This Row],[DISC 1]])</f>
        <v/>
      </c>
      <c r="Y580" s="36" t="str">
        <f>IF(NOTA[[#This Row],[JUMLAH]]="","",(NOTA[[#This Row],[JUMLAH]]-NOTA[[#This Row],[DISC 1-]])*NOTA[[#This Row],[DISC 2]])</f>
        <v/>
      </c>
      <c r="Z580" s="36" t="str">
        <f>IF(NOTA[[#This Row],[JUMLAH]]="","",NOTA[[#This Row],[DISC 1-]]+NOTA[[#This Row],[DISC 2-]])</f>
        <v/>
      </c>
      <c r="AA580" s="36" t="str">
        <f>IF(NOTA[[#This Row],[JUMLAH]]="","",NOTA[[#This Row],[JUMLAH]]-NOTA[[#This Row],[DISC]])</f>
        <v/>
      </c>
      <c r="AB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36" t="str">
        <f>IF(OR(NOTA[[#This Row],[QTY]]="",NOTA[[#This Row],[HARGA SATUAN]]="",),"",NOTA[[#This Row],[QTY]]*NOTA[[#This Row],[HARGA SATUAN]])</f>
        <v/>
      </c>
      <c r="AF580" s="33" t="str">
        <f ca="1">IF(NOTA[ID_H]="","",INDEX(NOTA[TANGGAL],MATCH(,INDIRECT(ADDRESS(ROW(NOTA[TANGGAL]),COLUMN(NOTA[TANGGAL]))&amp;":"&amp;ADDRESS(ROW(),COLUMN(NOTA[TANGGAL]))),-1)))</f>
        <v/>
      </c>
      <c r="AG580" s="28" t="str">
        <f ca="1">IF(NOTA[[#This Row],[NAMA BARANG]]="","",INDEX(NOTA[SUPPLIER],MATCH(,INDIRECT(ADDRESS(ROW(NOTA[ID]),COLUMN(NOTA[ID]))&amp;":"&amp;ADDRESS(ROW(),COLUMN(NOTA[ID]))),-1)))</f>
        <v/>
      </c>
      <c r="AH580" s="28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38" t="str">
        <f>IF(NOTA[[#This Row],[CONCAT4]]="","",_xlfn.IFNA(MATCH(NOTA[[#This Row],[CONCAT4]],[2]!RAW[CONCAT_H],0),FALSE))</f>
        <v/>
      </c>
      <c r="AP580" s="174" t="str">
        <f>IF(NOTA[[#This Row],[CONCAT1]]="","",MATCH(NOTA[[#This Row],[CONCAT1]],[3]!db[NB NOTA_C],0)+1)</f>
        <v/>
      </c>
    </row>
    <row r="581" spans="1:42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29" t="str">
        <f>IF(NOTA[[#This Row],[ID_P]]="","",MATCH(NOTA[[#This Row],[ID_P]],[1]!B_MSK[N_ID],0))</f>
        <v/>
      </c>
      <c r="D581" s="29" t="str">
        <f ca="1">IF(NOTA[[#This Row],[NAMA BARANG]]="","",INDEX(NOTA[ID],MATCH(,INDIRECT(ADDRESS(ROW(NOTA[ID]),COLUMN(NOTA[ID]))&amp;":"&amp;ADDRESS(ROW(),COLUMN(NOTA[ID]))),-1)))</f>
        <v/>
      </c>
      <c r="E581" s="30"/>
      <c r="F581" s="26"/>
      <c r="G581" s="26"/>
      <c r="H581" s="31"/>
      <c r="I581" s="32"/>
      <c r="J581" s="33"/>
      <c r="K581" s="32"/>
      <c r="L581" s="26"/>
      <c r="M581" s="34"/>
      <c r="N581" s="26"/>
      <c r="O581" s="26"/>
      <c r="P581" s="28"/>
      <c r="Q581" s="46"/>
      <c r="R581" s="39"/>
      <c r="S581" s="35"/>
      <c r="T581" s="35"/>
      <c r="U581" s="36"/>
      <c r="V581" s="37"/>
      <c r="W581" s="36" t="str">
        <f>IF(NOTA[[#This Row],[HARGA/ CTN]]="",NOTA[[#This Row],[JUMLAH_H]],NOTA[[#This Row],[HARGA/ CTN]]*IF(NOTA[[#This Row],[C]]="",0,NOTA[[#This Row],[C]]))</f>
        <v/>
      </c>
      <c r="X581" s="36" t="str">
        <f>IF(NOTA[[#This Row],[JUMLAH]]="","",NOTA[[#This Row],[JUMLAH]]*NOTA[[#This Row],[DISC 1]])</f>
        <v/>
      </c>
      <c r="Y581" s="36" t="str">
        <f>IF(NOTA[[#This Row],[JUMLAH]]="","",(NOTA[[#This Row],[JUMLAH]]-NOTA[[#This Row],[DISC 1-]])*NOTA[[#This Row],[DISC 2]])</f>
        <v/>
      </c>
      <c r="Z581" s="36" t="str">
        <f>IF(NOTA[[#This Row],[JUMLAH]]="","",NOTA[[#This Row],[DISC 1-]]+NOTA[[#This Row],[DISC 2-]])</f>
        <v/>
      </c>
      <c r="AA581" s="36" t="str">
        <f>IF(NOTA[[#This Row],[JUMLAH]]="","",NOTA[[#This Row],[JUMLAH]]-NOTA[[#This Row],[DISC]])</f>
        <v/>
      </c>
      <c r="AB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36" t="str">
        <f>IF(OR(NOTA[[#This Row],[QTY]]="",NOTA[[#This Row],[HARGA SATUAN]]="",),"",NOTA[[#This Row],[QTY]]*NOTA[[#This Row],[HARGA SATUAN]])</f>
        <v/>
      </c>
      <c r="AF581" s="33" t="str">
        <f ca="1">IF(NOTA[ID_H]="","",INDEX(NOTA[TANGGAL],MATCH(,INDIRECT(ADDRESS(ROW(NOTA[TANGGAL]),COLUMN(NOTA[TANGGAL]))&amp;":"&amp;ADDRESS(ROW(),COLUMN(NOTA[TANGGAL]))),-1)))</f>
        <v/>
      </c>
      <c r="AG581" s="28" t="str">
        <f ca="1">IF(NOTA[[#This Row],[NAMA BARANG]]="","",INDEX(NOTA[SUPPLIER],MATCH(,INDIRECT(ADDRESS(ROW(NOTA[ID]),COLUMN(NOTA[ID]))&amp;":"&amp;ADDRESS(ROW(),COLUMN(NOTA[ID]))),-1)))</f>
        <v/>
      </c>
      <c r="AH581" s="28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38" t="str">
        <f>IF(NOTA[[#This Row],[CONCAT4]]="","",_xlfn.IFNA(MATCH(NOTA[[#This Row],[CONCAT4]],[2]!RAW[CONCAT_H],0),FALSE))</f>
        <v/>
      </c>
      <c r="AP581" s="174" t="str">
        <f>IF(NOTA[[#This Row],[CONCAT1]]="","",MATCH(NOTA[[#This Row],[CONCAT1]],[3]!db[NB NOTA_C],0)+1)</f>
        <v/>
      </c>
    </row>
    <row r="582" spans="1:42" ht="20.100000000000001" customHeight="1" x14ac:dyDescent="0.25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29" t="str">
        <f>IF(NOTA[[#This Row],[ID_P]]="","",MATCH(NOTA[[#This Row],[ID_P]],[1]!B_MSK[N_ID],0))</f>
        <v/>
      </c>
      <c r="D582" s="29" t="str">
        <f ca="1">IF(NOTA[[#This Row],[NAMA BARANG]]="","",INDEX(NOTA[ID],MATCH(,INDIRECT(ADDRESS(ROW(NOTA[ID]),COLUMN(NOTA[ID]))&amp;":"&amp;ADDRESS(ROW(),COLUMN(NOTA[ID]))),-1)))</f>
        <v/>
      </c>
      <c r="E582" s="30"/>
      <c r="F582" s="26"/>
      <c r="G582" s="26"/>
      <c r="H582" s="31"/>
      <c r="I582" s="32"/>
      <c r="J582" s="51"/>
      <c r="K582" s="32"/>
      <c r="L582" s="26"/>
      <c r="M582" s="34"/>
      <c r="N582" s="32"/>
      <c r="O582" s="26"/>
      <c r="P582" s="49"/>
      <c r="Q582" s="46"/>
      <c r="R582" s="39"/>
      <c r="S582" s="35"/>
      <c r="T582" s="35"/>
      <c r="U582" s="36"/>
      <c r="V582" s="37"/>
      <c r="W582" s="36" t="str">
        <f>IF(NOTA[[#This Row],[HARGA/ CTN]]="",NOTA[[#This Row],[JUMLAH_H]],NOTA[[#This Row],[HARGA/ CTN]]*IF(NOTA[[#This Row],[C]]="",0,NOTA[[#This Row],[C]]))</f>
        <v/>
      </c>
      <c r="X582" s="36" t="str">
        <f>IF(NOTA[[#This Row],[JUMLAH]]="","",NOTA[[#This Row],[JUMLAH]]*NOTA[[#This Row],[DISC 1]])</f>
        <v/>
      </c>
      <c r="Y582" s="36" t="str">
        <f>IF(NOTA[[#This Row],[JUMLAH]]="","",(NOTA[[#This Row],[JUMLAH]]-NOTA[[#This Row],[DISC 1-]])*NOTA[[#This Row],[DISC 2]])</f>
        <v/>
      </c>
      <c r="Z582" s="36" t="str">
        <f>IF(NOTA[[#This Row],[JUMLAH]]="","",NOTA[[#This Row],[DISC 1-]]+NOTA[[#This Row],[DISC 2-]])</f>
        <v/>
      </c>
      <c r="AA582" s="36" t="str">
        <f>IF(NOTA[[#This Row],[JUMLAH]]="","",NOTA[[#This Row],[JUMLAH]]-NOTA[[#This Row],[DISC]])</f>
        <v/>
      </c>
      <c r="AB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36" t="str">
        <f>IF(OR(NOTA[[#This Row],[QTY]]="",NOTA[[#This Row],[HARGA SATUAN]]="",),"",NOTA[[#This Row],[QTY]]*NOTA[[#This Row],[HARGA SATUAN]])</f>
        <v/>
      </c>
      <c r="AF582" s="33" t="str">
        <f ca="1">IF(NOTA[ID_H]="","",INDEX(NOTA[TANGGAL],MATCH(,INDIRECT(ADDRESS(ROW(NOTA[TANGGAL]),COLUMN(NOTA[TANGGAL]))&amp;":"&amp;ADDRESS(ROW(),COLUMN(NOTA[TANGGAL]))),-1)))</f>
        <v/>
      </c>
      <c r="AG582" s="28" t="str">
        <f ca="1">IF(NOTA[[#This Row],[NAMA BARANG]]="","",INDEX(NOTA[SUPPLIER],MATCH(,INDIRECT(ADDRESS(ROW(NOTA[ID]),COLUMN(NOTA[ID]))&amp;":"&amp;ADDRESS(ROW(),COLUMN(NOTA[ID]))),-1)))</f>
        <v/>
      </c>
      <c r="AH582" s="28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38" t="str">
        <f>IF(NOTA[[#This Row],[CONCAT4]]="","",_xlfn.IFNA(MATCH(NOTA[[#This Row],[CONCAT4]],[2]!RAW[CONCAT_H],0),FALSE))</f>
        <v/>
      </c>
      <c r="AP582" s="174" t="str">
        <f>IF(NOTA[[#This Row],[CONCAT1]]="","",MATCH(NOTA[[#This Row],[CONCAT1]],[3]!db[NB NOTA_C],0)+1)</f>
        <v/>
      </c>
    </row>
    <row r="583" spans="1:42" ht="20.100000000000001" customHeight="1" x14ac:dyDescent="0.25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29" t="str">
        <f>IF(NOTA[[#This Row],[ID_P]]="","",MATCH(NOTA[[#This Row],[ID_P]],[1]!B_MSK[N_ID],0))</f>
        <v/>
      </c>
      <c r="D583" s="29" t="str">
        <f ca="1">IF(NOTA[[#This Row],[NAMA BARANG]]="","",INDEX(NOTA[ID],MATCH(,INDIRECT(ADDRESS(ROW(NOTA[ID]),COLUMN(NOTA[ID]))&amp;":"&amp;ADDRESS(ROW(),COLUMN(NOTA[ID]))),-1)))</f>
        <v/>
      </c>
      <c r="E583" s="30"/>
      <c r="F583" s="26"/>
      <c r="G583" s="26"/>
      <c r="H583" s="31"/>
      <c r="I583" s="32"/>
      <c r="J583" s="33"/>
      <c r="K583" s="32"/>
      <c r="L583" s="26"/>
      <c r="M583" s="34"/>
      <c r="N583" s="32"/>
      <c r="O583" s="26"/>
      <c r="P583" s="28"/>
      <c r="Q583" s="46"/>
      <c r="R583" s="39"/>
      <c r="S583" s="35"/>
      <c r="T583" s="35"/>
      <c r="U583" s="36"/>
      <c r="V583" s="37"/>
      <c r="W583" s="36" t="str">
        <f>IF(NOTA[[#This Row],[HARGA/ CTN]]="",NOTA[[#This Row],[JUMLAH_H]],NOTA[[#This Row],[HARGA/ CTN]]*IF(NOTA[[#This Row],[C]]="",0,NOTA[[#This Row],[C]]))</f>
        <v/>
      </c>
      <c r="X583" s="36" t="str">
        <f>IF(NOTA[[#This Row],[JUMLAH]]="","",NOTA[[#This Row],[JUMLAH]]*NOTA[[#This Row],[DISC 1]])</f>
        <v/>
      </c>
      <c r="Y583" s="36" t="str">
        <f>IF(NOTA[[#This Row],[JUMLAH]]="","",(NOTA[[#This Row],[JUMLAH]]-NOTA[[#This Row],[DISC 1-]])*NOTA[[#This Row],[DISC 2]])</f>
        <v/>
      </c>
      <c r="Z583" s="36" t="str">
        <f>IF(NOTA[[#This Row],[JUMLAH]]="","",NOTA[[#This Row],[DISC 1-]]+NOTA[[#This Row],[DISC 2-]])</f>
        <v/>
      </c>
      <c r="AA583" s="36" t="str">
        <f>IF(NOTA[[#This Row],[JUMLAH]]="","",NOTA[[#This Row],[JUMLAH]]-NOTA[[#This Row],[DISC]])</f>
        <v/>
      </c>
      <c r="AB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36" t="str">
        <f>IF(OR(NOTA[[#This Row],[QTY]]="",NOTA[[#This Row],[HARGA SATUAN]]="",),"",NOTA[[#This Row],[QTY]]*NOTA[[#This Row],[HARGA SATUAN]])</f>
        <v/>
      </c>
      <c r="AF583" s="33" t="str">
        <f ca="1">IF(NOTA[ID_H]="","",INDEX(NOTA[TANGGAL],MATCH(,INDIRECT(ADDRESS(ROW(NOTA[TANGGAL]),COLUMN(NOTA[TANGGAL]))&amp;":"&amp;ADDRESS(ROW(),COLUMN(NOTA[TANGGAL]))),-1)))</f>
        <v/>
      </c>
      <c r="AG583" s="28" t="str">
        <f ca="1">IF(NOTA[[#This Row],[NAMA BARANG]]="","",INDEX(NOTA[SUPPLIER],MATCH(,INDIRECT(ADDRESS(ROW(NOTA[ID]),COLUMN(NOTA[ID]))&amp;":"&amp;ADDRESS(ROW(),COLUMN(NOTA[ID]))),-1)))</f>
        <v/>
      </c>
      <c r="AH583" s="28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38" t="str">
        <f>IF(NOTA[[#This Row],[CONCAT4]]="","",_xlfn.IFNA(MATCH(NOTA[[#This Row],[CONCAT4]],[2]!RAW[CONCAT_H],0),FALSE))</f>
        <v/>
      </c>
      <c r="AP583" s="174" t="str">
        <f>IF(NOTA[[#This Row],[CONCAT1]]="","",MATCH(NOTA[[#This Row],[CONCAT1]],[3]!db[NB NOTA_C],0)+1)</f>
        <v/>
      </c>
    </row>
    <row r="584" spans="1:42" ht="20.100000000000001" customHeight="1" x14ac:dyDescent="0.25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29" t="str">
        <f>IF(NOTA[[#This Row],[ID_P]]="","",MATCH(NOTA[[#This Row],[ID_P]],[1]!B_MSK[N_ID],0))</f>
        <v/>
      </c>
      <c r="D584" s="29" t="str">
        <f ca="1">IF(NOTA[[#This Row],[NAMA BARANG]]="","",INDEX(NOTA[ID],MATCH(,INDIRECT(ADDRESS(ROW(NOTA[ID]),COLUMN(NOTA[ID]))&amp;":"&amp;ADDRESS(ROW(),COLUMN(NOTA[ID]))),-1)))</f>
        <v/>
      </c>
      <c r="E584" s="30"/>
      <c r="F584" s="32"/>
      <c r="G584" s="32"/>
      <c r="H584" s="55"/>
      <c r="I584" s="32"/>
      <c r="J584" s="33"/>
      <c r="K584" s="32"/>
      <c r="L584" s="26"/>
      <c r="M584" s="34"/>
      <c r="N584" s="32"/>
      <c r="O584" s="26"/>
      <c r="P584" s="28"/>
      <c r="Q584" s="46"/>
      <c r="R584" s="39"/>
      <c r="S584" s="35"/>
      <c r="T584" s="35"/>
      <c r="U584" s="36"/>
      <c r="V584" s="37"/>
      <c r="W584" s="36" t="str">
        <f>IF(NOTA[[#This Row],[HARGA/ CTN]]="",NOTA[[#This Row],[JUMLAH_H]],NOTA[[#This Row],[HARGA/ CTN]]*IF(NOTA[[#This Row],[C]]="",0,NOTA[[#This Row],[C]]))</f>
        <v/>
      </c>
      <c r="X584" s="36" t="str">
        <f>IF(NOTA[[#This Row],[JUMLAH]]="","",NOTA[[#This Row],[JUMLAH]]*NOTA[[#This Row],[DISC 1]])</f>
        <v/>
      </c>
      <c r="Y584" s="36" t="str">
        <f>IF(NOTA[[#This Row],[JUMLAH]]="","",(NOTA[[#This Row],[JUMLAH]]-NOTA[[#This Row],[DISC 1-]])*NOTA[[#This Row],[DISC 2]])</f>
        <v/>
      </c>
      <c r="Z584" s="36" t="str">
        <f>IF(NOTA[[#This Row],[JUMLAH]]="","",NOTA[[#This Row],[DISC 1-]]+NOTA[[#This Row],[DISC 2-]])</f>
        <v/>
      </c>
      <c r="AA584" s="36" t="str">
        <f>IF(NOTA[[#This Row],[JUMLAH]]="","",NOTA[[#This Row],[JUMLAH]]-NOTA[[#This Row],[DISC]])</f>
        <v/>
      </c>
      <c r="AB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36" t="str">
        <f>IF(OR(NOTA[[#This Row],[QTY]]="",NOTA[[#This Row],[HARGA SATUAN]]="",),"",NOTA[[#This Row],[QTY]]*NOTA[[#This Row],[HARGA SATUAN]])</f>
        <v/>
      </c>
      <c r="AF584" s="33" t="str">
        <f ca="1">IF(NOTA[ID_H]="","",INDEX(NOTA[TANGGAL],MATCH(,INDIRECT(ADDRESS(ROW(NOTA[TANGGAL]),COLUMN(NOTA[TANGGAL]))&amp;":"&amp;ADDRESS(ROW(),COLUMN(NOTA[TANGGAL]))),-1)))</f>
        <v/>
      </c>
      <c r="AG584" s="28" t="str">
        <f ca="1">IF(NOTA[[#This Row],[NAMA BARANG]]="","",INDEX(NOTA[SUPPLIER],MATCH(,INDIRECT(ADDRESS(ROW(NOTA[ID]),COLUMN(NOTA[ID]))&amp;":"&amp;ADDRESS(ROW(),COLUMN(NOTA[ID]))),-1)))</f>
        <v/>
      </c>
      <c r="AH584" s="28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38" t="str">
        <f>IF(NOTA[[#This Row],[CONCAT4]]="","",_xlfn.IFNA(MATCH(NOTA[[#This Row],[CONCAT4]],[2]!RAW[CONCAT_H],0),FALSE))</f>
        <v/>
      </c>
      <c r="AP584" s="174" t="str">
        <f>IF(NOTA[[#This Row],[CONCAT1]]="","",MATCH(NOTA[[#This Row],[CONCAT1]],[3]!db[NB NOTA_C],0)+1)</f>
        <v/>
      </c>
    </row>
    <row r="585" spans="1:42" ht="20.100000000000001" customHeight="1" x14ac:dyDescent="0.25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29" t="str">
        <f>IF(NOTA[[#This Row],[ID_P]]="","",MATCH(NOTA[[#This Row],[ID_P]],[1]!B_MSK[N_ID],0))</f>
        <v/>
      </c>
      <c r="D585" s="29" t="str">
        <f ca="1">IF(NOTA[[#This Row],[NAMA BARANG]]="","",INDEX(NOTA[ID],MATCH(,INDIRECT(ADDRESS(ROW(NOTA[ID]),COLUMN(NOTA[ID]))&amp;":"&amp;ADDRESS(ROW(),COLUMN(NOTA[ID]))),-1)))</f>
        <v/>
      </c>
      <c r="E585" s="30"/>
      <c r="F585" s="26"/>
      <c r="G585" s="26"/>
      <c r="H585" s="31"/>
      <c r="I585" s="32"/>
      <c r="J585" s="33"/>
      <c r="K585" s="32"/>
      <c r="L585" s="26"/>
      <c r="M585" s="34"/>
      <c r="N585" s="32"/>
      <c r="O585" s="26"/>
      <c r="P585" s="28"/>
      <c r="Q585" s="46"/>
      <c r="R585" s="39"/>
      <c r="S585" s="35"/>
      <c r="T585" s="35"/>
      <c r="U585" s="36"/>
      <c r="V585" s="37"/>
      <c r="W585" s="36" t="str">
        <f>IF(NOTA[[#This Row],[HARGA/ CTN]]="",NOTA[[#This Row],[JUMLAH_H]],NOTA[[#This Row],[HARGA/ CTN]]*IF(NOTA[[#This Row],[C]]="",0,NOTA[[#This Row],[C]]))</f>
        <v/>
      </c>
      <c r="X585" s="36" t="str">
        <f>IF(NOTA[[#This Row],[JUMLAH]]="","",NOTA[[#This Row],[JUMLAH]]*NOTA[[#This Row],[DISC 1]])</f>
        <v/>
      </c>
      <c r="Y585" s="36" t="str">
        <f>IF(NOTA[[#This Row],[JUMLAH]]="","",(NOTA[[#This Row],[JUMLAH]]-NOTA[[#This Row],[DISC 1-]])*NOTA[[#This Row],[DISC 2]])</f>
        <v/>
      </c>
      <c r="Z585" s="36" t="str">
        <f>IF(NOTA[[#This Row],[JUMLAH]]="","",NOTA[[#This Row],[DISC 1-]]+NOTA[[#This Row],[DISC 2-]])</f>
        <v/>
      </c>
      <c r="AA585" s="36" t="str">
        <f>IF(NOTA[[#This Row],[JUMLAH]]="","",NOTA[[#This Row],[JUMLAH]]-NOTA[[#This Row],[DISC]])</f>
        <v/>
      </c>
      <c r="AB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36" t="str">
        <f>IF(OR(NOTA[[#This Row],[QTY]]="",NOTA[[#This Row],[HARGA SATUAN]]="",),"",NOTA[[#This Row],[QTY]]*NOTA[[#This Row],[HARGA SATUAN]])</f>
        <v/>
      </c>
      <c r="AF585" s="33" t="str">
        <f ca="1">IF(NOTA[ID_H]="","",INDEX(NOTA[TANGGAL],MATCH(,INDIRECT(ADDRESS(ROW(NOTA[TANGGAL]),COLUMN(NOTA[TANGGAL]))&amp;":"&amp;ADDRESS(ROW(),COLUMN(NOTA[TANGGAL]))),-1)))</f>
        <v/>
      </c>
      <c r="AG585" s="28" t="str">
        <f ca="1">IF(NOTA[[#This Row],[NAMA BARANG]]="","",INDEX(NOTA[SUPPLIER],MATCH(,INDIRECT(ADDRESS(ROW(NOTA[ID]),COLUMN(NOTA[ID]))&amp;":"&amp;ADDRESS(ROW(),COLUMN(NOTA[ID]))),-1)))</f>
        <v/>
      </c>
      <c r="AH585" s="28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38" t="str">
        <f>IF(NOTA[[#This Row],[CONCAT4]]="","",_xlfn.IFNA(MATCH(NOTA[[#This Row],[CONCAT4]],[2]!RAW[CONCAT_H],0),FALSE))</f>
        <v/>
      </c>
      <c r="AP585" s="174" t="str">
        <f>IF(NOTA[[#This Row],[CONCAT1]]="","",MATCH(NOTA[[#This Row],[CONCAT1]],[3]!db[NB NOTA_C],0)+1)</f>
        <v/>
      </c>
    </row>
    <row r="586" spans="1:42" ht="20.100000000000001" customHeight="1" x14ac:dyDescent="0.25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29" t="str">
        <f>IF(NOTA[[#This Row],[ID_P]]="","",MATCH(NOTA[[#This Row],[ID_P]],[1]!B_MSK[N_ID],0))</f>
        <v/>
      </c>
      <c r="D586" s="29" t="str">
        <f ca="1">IF(NOTA[[#This Row],[NAMA BARANG]]="","",INDEX(NOTA[ID],MATCH(,INDIRECT(ADDRESS(ROW(NOTA[ID]),COLUMN(NOTA[ID]))&amp;":"&amp;ADDRESS(ROW(),COLUMN(NOTA[ID]))),-1)))</f>
        <v/>
      </c>
      <c r="E586" s="30"/>
      <c r="F586" s="32"/>
      <c r="G586" s="32"/>
      <c r="H586" s="55"/>
      <c r="I586" s="32"/>
      <c r="J586" s="33"/>
      <c r="K586" s="32"/>
      <c r="L586" s="26"/>
      <c r="M586" s="34"/>
      <c r="N586" s="32"/>
      <c r="O586" s="26"/>
      <c r="P586" s="28"/>
      <c r="Q586" s="46"/>
      <c r="R586" s="39"/>
      <c r="S586" s="35"/>
      <c r="T586" s="35"/>
      <c r="U586" s="36"/>
      <c r="V586" s="37"/>
      <c r="W586" s="36" t="str">
        <f>IF(NOTA[[#This Row],[HARGA/ CTN]]="",NOTA[[#This Row],[JUMLAH_H]],NOTA[[#This Row],[HARGA/ CTN]]*IF(NOTA[[#This Row],[C]]="",0,NOTA[[#This Row],[C]]))</f>
        <v/>
      </c>
      <c r="X586" s="36" t="str">
        <f>IF(NOTA[[#This Row],[JUMLAH]]="","",NOTA[[#This Row],[JUMLAH]]*NOTA[[#This Row],[DISC 1]])</f>
        <v/>
      </c>
      <c r="Y586" s="36" t="str">
        <f>IF(NOTA[[#This Row],[JUMLAH]]="","",(NOTA[[#This Row],[JUMLAH]]-NOTA[[#This Row],[DISC 1-]])*NOTA[[#This Row],[DISC 2]])</f>
        <v/>
      </c>
      <c r="Z586" s="36" t="str">
        <f>IF(NOTA[[#This Row],[JUMLAH]]="","",NOTA[[#This Row],[DISC 1-]]+NOTA[[#This Row],[DISC 2-]])</f>
        <v/>
      </c>
      <c r="AA586" s="36" t="str">
        <f>IF(NOTA[[#This Row],[JUMLAH]]="","",NOTA[[#This Row],[JUMLAH]]-NOTA[[#This Row],[DISC]])</f>
        <v/>
      </c>
      <c r="AB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36" t="str">
        <f>IF(OR(NOTA[[#This Row],[QTY]]="",NOTA[[#This Row],[HARGA SATUAN]]="",),"",NOTA[[#This Row],[QTY]]*NOTA[[#This Row],[HARGA SATUAN]])</f>
        <v/>
      </c>
      <c r="AF586" s="33" t="str">
        <f ca="1">IF(NOTA[ID_H]="","",INDEX(NOTA[TANGGAL],MATCH(,INDIRECT(ADDRESS(ROW(NOTA[TANGGAL]),COLUMN(NOTA[TANGGAL]))&amp;":"&amp;ADDRESS(ROW(),COLUMN(NOTA[TANGGAL]))),-1)))</f>
        <v/>
      </c>
      <c r="AG586" s="28" t="str">
        <f ca="1">IF(NOTA[[#This Row],[NAMA BARANG]]="","",INDEX(NOTA[SUPPLIER],MATCH(,INDIRECT(ADDRESS(ROW(NOTA[ID]),COLUMN(NOTA[ID]))&amp;":"&amp;ADDRESS(ROW(),COLUMN(NOTA[ID]))),-1)))</f>
        <v/>
      </c>
      <c r="AH586" s="28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38" t="str">
        <f>IF(NOTA[[#This Row],[CONCAT4]]="","",_xlfn.IFNA(MATCH(NOTA[[#This Row],[CONCAT4]],[2]!RAW[CONCAT_H],0),FALSE))</f>
        <v/>
      </c>
      <c r="AP586" s="174" t="str">
        <f>IF(NOTA[[#This Row],[CONCAT1]]="","",MATCH(NOTA[[#This Row],[CONCAT1]],[3]!db[NB NOTA_C],0)+1)</f>
        <v/>
      </c>
    </row>
    <row r="587" spans="1:42" ht="20.100000000000001" customHeight="1" x14ac:dyDescent="0.25">
      <c r="A5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29" t="str">
        <f>IF(NOTA[[#This Row],[ID_P]]="","",MATCH(NOTA[[#This Row],[ID_P]],[1]!B_MSK[N_ID],0))</f>
        <v/>
      </c>
      <c r="D587" s="29" t="str">
        <f ca="1">IF(NOTA[[#This Row],[NAMA BARANG]]="","",INDEX(NOTA[ID],MATCH(,INDIRECT(ADDRESS(ROW(NOTA[ID]),COLUMN(NOTA[ID]))&amp;":"&amp;ADDRESS(ROW(),COLUMN(NOTA[ID]))),-1)))</f>
        <v/>
      </c>
      <c r="E587" s="166"/>
      <c r="F587" s="167"/>
      <c r="G587" s="167"/>
      <c r="H587" s="168"/>
      <c r="I587" s="167"/>
      <c r="J587" s="169"/>
      <c r="K587" s="167"/>
      <c r="L587" s="26"/>
      <c r="M587" s="34"/>
      <c r="N587" s="32"/>
      <c r="O587" s="26"/>
      <c r="P587" s="28"/>
      <c r="Q587" s="46"/>
      <c r="R587" s="39"/>
      <c r="S587" s="35"/>
      <c r="T587" s="35"/>
      <c r="U587" s="170"/>
      <c r="V587" s="171"/>
      <c r="W587" s="36" t="str">
        <f>IF(NOTA[[#This Row],[HARGA/ CTN]]="",NOTA[[#This Row],[JUMLAH_H]],NOTA[[#This Row],[HARGA/ CTN]]*IF(NOTA[[#This Row],[C]]="",0,NOTA[[#This Row],[C]]))</f>
        <v/>
      </c>
      <c r="X587" s="36" t="str">
        <f>IF(NOTA[[#This Row],[JUMLAH]]="","",NOTA[[#This Row],[JUMLAH]]*NOTA[[#This Row],[DISC 1]])</f>
        <v/>
      </c>
      <c r="Y587" s="36" t="str">
        <f>IF(NOTA[[#This Row],[JUMLAH]]="","",(NOTA[[#This Row],[JUMLAH]]-NOTA[[#This Row],[DISC 1-]])*NOTA[[#This Row],[DISC 2]])</f>
        <v/>
      </c>
      <c r="Z587" s="36" t="str">
        <f>IF(NOTA[[#This Row],[JUMLAH]]="","",NOTA[[#This Row],[DISC 1-]]+NOTA[[#This Row],[DISC 2-]])</f>
        <v/>
      </c>
      <c r="AA587" s="36" t="str">
        <f>IF(NOTA[[#This Row],[JUMLAH]]="","",NOTA[[#This Row],[JUMLAH]]-NOTA[[#This Row],[DISC]])</f>
        <v/>
      </c>
      <c r="AB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36" t="str">
        <f>IF(OR(NOTA[[#This Row],[QTY]]="",NOTA[[#This Row],[HARGA SATUAN]]="",),"",NOTA[[#This Row],[QTY]]*NOTA[[#This Row],[HARGA SATUAN]])</f>
        <v/>
      </c>
      <c r="AF587" s="33" t="str">
        <f ca="1">IF(NOTA[ID_H]="","",INDEX(NOTA[TANGGAL],MATCH(,INDIRECT(ADDRESS(ROW(NOTA[TANGGAL]),COLUMN(NOTA[TANGGAL]))&amp;":"&amp;ADDRESS(ROW(),COLUMN(NOTA[TANGGAL]))),-1)))</f>
        <v/>
      </c>
      <c r="AG587" s="28" t="str">
        <f ca="1">IF(NOTA[[#This Row],[NAMA BARANG]]="","",INDEX(NOTA[SUPPLIER],MATCH(,INDIRECT(ADDRESS(ROW(NOTA[ID]),COLUMN(NOTA[ID]))&amp;":"&amp;ADDRESS(ROW(),COLUMN(NOTA[ID]))),-1)))</f>
        <v/>
      </c>
      <c r="AH587" s="28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38" t="str">
        <f>IF(NOTA[[#This Row],[CONCAT4]]="","",_xlfn.IFNA(MATCH(NOTA[[#This Row],[CONCAT4]],[2]!RAW[CONCAT_H],0),FALSE))</f>
        <v/>
      </c>
      <c r="AP587" s="174" t="str">
        <f>IF(NOTA[[#This Row],[CONCAT1]]="","",MATCH(NOTA[[#This Row],[CONCAT1]],[3]!db[NB NOTA_C],0)+1)</f>
        <v/>
      </c>
    </row>
    <row r="588" spans="1:42" s="48" customFormat="1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32"/>
      <c r="L588" s="26"/>
      <c r="M588" s="34"/>
      <c r="N588" s="26"/>
      <c r="O588" s="26"/>
      <c r="P588" s="28"/>
      <c r="Q588" s="46"/>
      <c r="R588" s="39"/>
      <c r="S588" s="35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38" t="str">
        <f>IF(NOTA[[#This Row],[CONCAT4]]="","",_xlfn.IFNA(MATCH(NOTA[[#This Row],[CONCAT4]],[2]!RAW[CONCAT_H],0),FALSE))</f>
        <v/>
      </c>
      <c r="AP588" s="174" t="str">
        <f>IF(NOTA[[#This Row],[CONCAT1]]="","",MATCH(NOTA[[#This Row],[CONCAT1]],[3]!db[NB NOTA_C],0)+1)</f>
        <v/>
      </c>
    </row>
    <row r="589" spans="1:42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26"/>
      <c r="G589" s="26"/>
      <c r="H589" s="31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38" t="str">
        <f>IF(NOTA[[#This Row],[CONCAT4]]="","",_xlfn.IFNA(MATCH(NOTA[[#This Row],[CONCAT4]],[2]!RAW[CONCAT_H],0),FALSE))</f>
        <v/>
      </c>
      <c r="AP589" s="174" t="str">
        <f>IF(NOTA[[#This Row],[CONCAT1]]="","",MATCH(NOTA[[#This Row],[CONCAT1]],[3]!db[NB NOTA_C],0)+1)</f>
        <v/>
      </c>
    </row>
    <row r="590" spans="1:42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32"/>
      <c r="G590" s="32"/>
      <c r="H590" s="55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38" t="str">
        <f>IF(NOTA[[#This Row],[CONCAT4]]="","",_xlfn.IFNA(MATCH(NOTA[[#This Row],[CONCAT4]],[2]!RAW[CONCAT_H],0),FALSE))</f>
        <v/>
      </c>
      <c r="AP590" s="174" t="str">
        <f>IF(NOTA[[#This Row],[CONCAT1]]="","",MATCH(NOTA[[#This Row],[CONCAT1]],[3]!db[NB NOTA_C],0)+1)</f>
        <v/>
      </c>
    </row>
    <row r="591" spans="1:42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2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38" t="str">
        <f>IF(NOTA[[#This Row],[CONCAT4]]="","",_xlfn.IFNA(MATCH(NOTA[[#This Row],[CONCAT4]],[2]!RAW[CONCAT_H],0),FALSE))</f>
        <v/>
      </c>
      <c r="AP591" s="174" t="str">
        <f>IF(NOTA[[#This Row],[CONCAT1]]="","",MATCH(NOTA[[#This Row],[CONCAT1]],[3]!db[NB NOTA_C],0)+1)</f>
        <v/>
      </c>
    </row>
    <row r="592" spans="1:42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26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38" t="str">
        <f>IF(NOTA[[#This Row],[CONCAT4]]="","",_xlfn.IFNA(MATCH(NOTA[[#This Row],[CONCAT4]],[2]!RAW[CONCAT_H],0),FALSE))</f>
        <v/>
      </c>
      <c r="AP592" s="174" t="str">
        <f>IF(NOTA[[#This Row],[CONCAT1]]="","",MATCH(NOTA[[#This Row],[CONCAT1]],[3]!db[NB NOTA_C],0)+1)</f>
        <v/>
      </c>
    </row>
    <row r="593" spans="1:42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8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38" t="str">
        <f>IF(NOTA[[#This Row],[CONCAT4]]="","",_xlfn.IFNA(MATCH(NOTA[[#This Row],[CONCAT4]],[2]!RAW[CONCAT_H],0),FALSE))</f>
        <v/>
      </c>
      <c r="AP593" s="174" t="str">
        <f>IF(NOTA[[#This Row],[CONCAT1]]="","",MATCH(NOTA[[#This Row],[CONCAT1]],[3]!db[NB NOTA_C],0)+1)</f>
        <v/>
      </c>
    </row>
    <row r="594" spans="1:42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23"/>
      <c r="F594" s="26"/>
      <c r="G594" s="26"/>
      <c r="H594" s="31"/>
      <c r="I594" s="26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38" t="str">
        <f>IF(NOTA[[#This Row],[CONCAT4]]="","",_xlfn.IFNA(MATCH(NOTA[[#This Row],[CONCAT4]],[2]!RAW[CONCAT_H],0),FALSE))</f>
        <v/>
      </c>
      <c r="AP594" s="174" t="str">
        <f>IF(NOTA[[#This Row],[CONCAT1]]="","",MATCH(NOTA[[#This Row],[CONCAT1]],[3]!db[NB NOTA_C],0)+1)</f>
        <v/>
      </c>
    </row>
    <row r="595" spans="1:42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32"/>
      <c r="G595" s="32"/>
      <c r="H595" s="55"/>
      <c r="I595" s="32"/>
      <c r="J595" s="33"/>
      <c r="K595" s="32"/>
      <c r="L595" s="26"/>
      <c r="M595" s="34"/>
      <c r="N595" s="26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38" t="str">
        <f>IF(NOTA[[#This Row],[CONCAT4]]="","",_xlfn.IFNA(MATCH(NOTA[[#This Row],[CONCAT4]],[2]!RAW[CONCAT_H],0),FALSE))</f>
        <v/>
      </c>
      <c r="AP595" s="174" t="str">
        <f>IF(NOTA[[#This Row],[CONCAT1]]="","",MATCH(NOTA[[#This Row],[CONCAT1]],[3]!db[NB NOTA_C],0)+1)</f>
        <v/>
      </c>
    </row>
    <row r="596" spans="1:42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38" t="str">
        <f>IF(NOTA[[#This Row],[CONCAT4]]="","",_xlfn.IFNA(MATCH(NOTA[[#This Row],[CONCAT4]],[2]!RAW[CONCAT_H],0),FALSE))</f>
        <v/>
      </c>
      <c r="AP596" s="174" t="str">
        <f>IF(NOTA[[#This Row],[CONCAT1]]="","",MATCH(NOTA[[#This Row],[CONCAT1]],[3]!db[NB NOTA_C],0)+1)</f>
        <v/>
      </c>
    </row>
    <row r="597" spans="1:42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33"/>
      <c r="K597" s="32"/>
      <c r="L597" s="26"/>
      <c r="M597" s="34"/>
      <c r="N597" s="32"/>
      <c r="O597" s="26"/>
      <c r="P597" s="28"/>
      <c r="Q597" s="181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38" t="str">
        <f>IF(NOTA[[#This Row],[CONCAT4]]="","",_xlfn.IFNA(MATCH(NOTA[[#This Row],[CONCAT4]],[2]!RAW[CONCAT_H],0),FALSE))</f>
        <v/>
      </c>
      <c r="AP597" s="174" t="str">
        <f>IF(NOTA[[#This Row],[CONCAT1]]="","",MATCH(NOTA[[#This Row],[CONCAT1]],[3]!db[NB NOTA_C],0)+1)</f>
        <v/>
      </c>
    </row>
    <row r="598" spans="1:42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32"/>
      <c r="G598" s="32"/>
      <c r="H598" s="55"/>
      <c r="I598" s="32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38" t="str">
        <f>IF(NOTA[[#This Row],[CONCAT4]]="","",_xlfn.IFNA(MATCH(NOTA[[#This Row],[CONCAT4]],[2]!RAW[CONCAT_H],0),FALSE))</f>
        <v/>
      </c>
      <c r="AP598" s="174" t="str">
        <f>IF(NOTA[[#This Row],[CONCAT1]]="","",MATCH(NOTA[[#This Row],[CONCAT1]],[3]!db[NB NOTA_C],0)+1)</f>
        <v/>
      </c>
    </row>
    <row r="599" spans="1:42" s="48" customFormat="1" ht="20.100000000000001" customHeight="1" x14ac:dyDescent="0.25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29" t="str">
        <f>IF(NOTA[[#This Row],[ID_P]]="","",MATCH(NOTA[[#This Row],[ID_P]],[1]!B_MSK[N_ID],0))</f>
        <v/>
      </c>
      <c r="D599" s="29" t="str">
        <f ca="1">IF(NOTA[[#This Row],[NAMA BARANG]]="","",INDEX(NOTA[ID],MATCH(,INDIRECT(ADDRESS(ROW(NOTA[ID]),COLUMN(NOTA[ID]))&amp;":"&amp;ADDRESS(ROW(),COLUMN(NOTA[ID]))),-1)))</f>
        <v/>
      </c>
      <c r="E599" s="30"/>
      <c r="F599" s="26"/>
      <c r="G599" s="26"/>
      <c r="H599" s="31"/>
      <c r="I599" s="32"/>
      <c r="J599" s="33"/>
      <c r="K599" s="32"/>
      <c r="L599" s="26"/>
      <c r="M599" s="34"/>
      <c r="N599" s="32"/>
      <c r="O599" s="26"/>
      <c r="P599" s="28"/>
      <c r="Q599" s="46"/>
      <c r="R599" s="39"/>
      <c r="S599" s="35"/>
      <c r="T599" s="35"/>
      <c r="U599" s="36"/>
      <c r="V599" s="37"/>
      <c r="W599" s="36" t="str">
        <f>IF(NOTA[[#This Row],[HARGA/ CTN]]="",NOTA[[#This Row],[JUMLAH_H]],NOTA[[#This Row],[HARGA/ CTN]]*IF(NOTA[[#This Row],[C]]="",0,NOTA[[#This Row],[C]]))</f>
        <v/>
      </c>
      <c r="X599" s="36" t="str">
        <f>IF(NOTA[[#This Row],[JUMLAH]]="","",NOTA[[#This Row],[JUMLAH]]*NOTA[[#This Row],[DISC 1]])</f>
        <v/>
      </c>
      <c r="Y599" s="36" t="str">
        <f>IF(NOTA[[#This Row],[JUMLAH]]="","",(NOTA[[#This Row],[JUMLAH]]-NOTA[[#This Row],[DISC 1-]])*NOTA[[#This Row],[DISC 2]])</f>
        <v/>
      </c>
      <c r="Z599" s="36" t="str">
        <f>IF(NOTA[[#This Row],[JUMLAH]]="","",NOTA[[#This Row],[DISC 1-]]+NOTA[[#This Row],[DISC 2-]])</f>
        <v/>
      </c>
      <c r="AA599" s="36" t="str">
        <f>IF(NOTA[[#This Row],[JUMLAH]]="","",NOTA[[#This Row],[JUMLAH]]-NOTA[[#This Row],[DISC]])</f>
        <v/>
      </c>
      <c r="AB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36" t="str">
        <f>IF(OR(NOTA[[#This Row],[QTY]]="",NOTA[[#This Row],[HARGA SATUAN]]="",),"",NOTA[[#This Row],[QTY]]*NOTA[[#This Row],[HARGA SATUAN]])</f>
        <v/>
      </c>
      <c r="AF599" s="33" t="str">
        <f ca="1">IF(NOTA[ID_H]="","",INDEX(NOTA[TANGGAL],MATCH(,INDIRECT(ADDRESS(ROW(NOTA[TANGGAL]),COLUMN(NOTA[TANGGAL]))&amp;":"&amp;ADDRESS(ROW(),COLUMN(NOTA[TANGGAL]))),-1)))</f>
        <v/>
      </c>
      <c r="AG599" s="28" t="str">
        <f ca="1">IF(NOTA[[#This Row],[NAMA BARANG]]="","",INDEX(NOTA[SUPPLIER],MATCH(,INDIRECT(ADDRESS(ROW(NOTA[ID]),COLUMN(NOTA[ID]))&amp;":"&amp;ADDRESS(ROW(),COLUMN(NOTA[ID]))),-1)))</f>
        <v/>
      </c>
      <c r="AH599" s="28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38" t="str">
        <f>IF(NOTA[[#This Row],[CONCAT4]]="","",_xlfn.IFNA(MATCH(NOTA[[#This Row],[CONCAT4]],[2]!RAW[CONCAT_H],0),FALSE))</f>
        <v/>
      </c>
      <c r="AP599" s="174" t="str">
        <f>IF(NOTA[[#This Row],[CONCAT1]]="","",MATCH(NOTA[[#This Row],[CONCAT1]],[3]!db[NB NOTA_C],0)+1)</f>
        <v/>
      </c>
    </row>
    <row r="600" spans="1:42" ht="20.100000000000001" customHeight="1" x14ac:dyDescent="0.25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29" t="str">
        <f>IF(NOTA[[#This Row],[ID_P]]="","",MATCH(NOTA[[#This Row],[ID_P]],[1]!B_MSK[N_ID],0))</f>
        <v/>
      </c>
      <c r="D600" s="29" t="str">
        <f ca="1">IF(NOTA[[#This Row],[NAMA BARANG]]="","",INDEX(NOTA[ID],MATCH(,INDIRECT(ADDRESS(ROW(NOTA[ID]),COLUMN(NOTA[ID]))&amp;":"&amp;ADDRESS(ROW(),COLUMN(NOTA[ID]))),-1)))</f>
        <v/>
      </c>
      <c r="E600" s="30"/>
      <c r="F600" s="32"/>
      <c r="G600" s="32"/>
      <c r="H600" s="55"/>
      <c r="I600" s="32"/>
      <c r="J600" s="33"/>
      <c r="K600" s="32"/>
      <c r="L600" s="26"/>
      <c r="M600" s="34"/>
      <c r="N600" s="32"/>
      <c r="O600" s="26"/>
      <c r="P600" s="28"/>
      <c r="Q600" s="46"/>
      <c r="R600" s="39"/>
      <c r="S600" s="35"/>
      <c r="T600" s="35"/>
      <c r="U600" s="36"/>
      <c r="V600" s="37"/>
      <c r="W600" s="36" t="str">
        <f>IF(NOTA[[#This Row],[HARGA/ CTN]]="",NOTA[[#This Row],[JUMLAH_H]],NOTA[[#This Row],[HARGA/ CTN]]*IF(NOTA[[#This Row],[C]]="",0,NOTA[[#This Row],[C]]))</f>
        <v/>
      </c>
      <c r="X600" s="36" t="str">
        <f>IF(NOTA[[#This Row],[JUMLAH]]="","",NOTA[[#This Row],[JUMLAH]]*NOTA[[#This Row],[DISC 1]])</f>
        <v/>
      </c>
      <c r="Y600" s="36" t="str">
        <f>IF(NOTA[[#This Row],[JUMLAH]]="","",(NOTA[[#This Row],[JUMLAH]]-NOTA[[#This Row],[DISC 1-]])*NOTA[[#This Row],[DISC 2]])</f>
        <v/>
      </c>
      <c r="Z600" s="36" t="str">
        <f>IF(NOTA[[#This Row],[JUMLAH]]="","",NOTA[[#This Row],[DISC 1-]]+NOTA[[#This Row],[DISC 2-]])</f>
        <v/>
      </c>
      <c r="AA600" s="36" t="str">
        <f>IF(NOTA[[#This Row],[JUMLAH]]="","",NOTA[[#This Row],[JUMLAH]]-NOTA[[#This Row],[DISC]])</f>
        <v/>
      </c>
      <c r="AB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36" t="str">
        <f>IF(OR(NOTA[[#This Row],[QTY]]="",NOTA[[#This Row],[HARGA SATUAN]]="",),"",NOTA[[#This Row],[QTY]]*NOTA[[#This Row],[HARGA SATUAN]])</f>
        <v/>
      </c>
      <c r="AF600" s="33" t="str">
        <f ca="1">IF(NOTA[ID_H]="","",INDEX(NOTA[TANGGAL],MATCH(,INDIRECT(ADDRESS(ROW(NOTA[TANGGAL]),COLUMN(NOTA[TANGGAL]))&amp;":"&amp;ADDRESS(ROW(),COLUMN(NOTA[TANGGAL]))),-1)))</f>
        <v/>
      </c>
      <c r="AG600" s="28" t="str">
        <f ca="1">IF(NOTA[[#This Row],[NAMA BARANG]]="","",INDEX(NOTA[SUPPLIER],MATCH(,INDIRECT(ADDRESS(ROW(NOTA[ID]),COLUMN(NOTA[ID]))&amp;":"&amp;ADDRESS(ROW(),COLUMN(NOTA[ID]))),-1)))</f>
        <v/>
      </c>
      <c r="AH600" s="28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38" t="str">
        <f>IF(NOTA[[#This Row],[CONCAT4]]="","",_xlfn.IFNA(MATCH(NOTA[[#This Row],[CONCAT4]],[2]!RAW[CONCAT_H],0),FALSE))</f>
        <v/>
      </c>
      <c r="AP600" s="174" t="str">
        <f>IF(NOTA[[#This Row],[CONCAT1]]="","",MATCH(NOTA[[#This Row],[CONCAT1]],[3]!db[NB NOTA_C],0)+1)</f>
        <v/>
      </c>
    </row>
    <row r="601" spans="1:42" ht="20.100000000000001" customHeight="1" x14ac:dyDescent="0.25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29" t="str">
        <f>IF(NOTA[[#This Row],[ID_P]]="","",MATCH(NOTA[[#This Row],[ID_P]],[1]!B_MSK[N_ID],0))</f>
        <v/>
      </c>
      <c r="D601" s="29" t="str">
        <f ca="1">IF(NOTA[[#This Row],[NAMA BARANG]]="","",INDEX(NOTA[ID],MATCH(,INDIRECT(ADDRESS(ROW(NOTA[ID]),COLUMN(NOTA[ID]))&amp;":"&amp;ADDRESS(ROW(),COLUMN(NOTA[ID]))),-1)))</f>
        <v/>
      </c>
      <c r="E601" s="30"/>
      <c r="F601" s="26"/>
      <c r="G601" s="26"/>
      <c r="H601" s="31"/>
      <c r="I601" s="26"/>
      <c r="J601" s="33"/>
      <c r="K601" s="26"/>
      <c r="L601" s="26"/>
      <c r="M601" s="34"/>
      <c r="N601" s="32"/>
      <c r="O601" s="26"/>
      <c r="P601" s="28"/>
      <c r="Q601" s="46"/>
      <c r="R601" s="39"/>
      <c r="S601" s="35"/>
      <c r="T601" s="35"/>
      <c r="U601" s="36"/>
      <c r="V601" s="37"/>
      <c r="W601" s="36" t="str">
        <f>IF(NOTA[[#This Row],[HARGA/ CTN]]="",NOTA[[#This Row],[JUMLAH_H]],NOTA[[#This Row],[HARGA/ CTN]]*IF(NOTA[[#This Row],[C]]="",0,NOTA[[#This Row],[C]]))</f>
        <v/>
      </c>
      <c r="X601" s="36" t="str">
        <f>IF(NOTA[[#This Row],[JUMLAH]]="","",NOTA[[#This Row],[JUMLAH]]*NOTA[[#This Row],[DISC 1]])</f>
        <v/>
      </c>
      <c r="Y601" s="36" t="str">
        <f>IF(NOTA[[#This Row],[JUMLAH]]="","",(NOTA[[#This Row],[JUMLAH]]-NOTA[[#This Row],[DISC 1-]])*NOTA[[#This Row],[DISC 2]])</f>
        <v/>
      </c>
      <c r="Z601" s="36" t="str">
        <f>IF(NOTA[[#This Row],[JUMLAH]]="","",NOTA[[#This Row],[DISC 1-]]+NOTA[[#This Row],[DISC 2-]])</f>
        <v/>
      </c>
      <c r="AA601" s="36" t="str">
        <f>IF(NOTA[[#This Row],[JUMLAH]]="","",NOTA[[#This Row],[JUMLAH]]-NOTA[[#This Row],[DISC]])</f>
        <v/>
      </c>
      <c r="AB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36" t="str">
        <f>IF(OR(NOTA[[#This Row],[QTY]]="",NOTA[[#This Row],[HARGA SATUAN]]="",),"",NOTA[[#This Row],[QTY]]*NOTA[[#This Row],[HARGA SATUAN]])</f>
        <v/>
      </c>
      <c r="AF601" s="33" t="str">
        <f ca="1">IF(NOTA[ID_H]="","",INDEX(NOTA[TANGGAL],MATCH(,INDIRECT(ADDRESS(ROW(NOTA[TANGGAL]),COLUMN(NOTA[TANGGAL]))&amp;":"&amp;ADDRESS(ROW(),COLUMN(NOTA[TANGGAL]))),-1)))</f>
        <v/>
      </c>
      <c r="AG601" s="28" t="str">
        <f ca="1">IF(NOTA[[#This Row],[NAMA BARANG]]="","",INDEX(NOTA[SUPPLIER],MATCH(,INDIRECT(ADDRESS(ROW(NOTA[ID]),COLUMN(NOTA[ID]))&amp;":"&amp;ADDRESS(ROW(),COLUMN(NOTA[ID]))),-1)))</f>
        <v/>
      </c>
      <c r="AH601" s="28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38" t="str">
        <f>IF(NOTA[[#This Row],[CONCAT4]]="","",_xlfn.IFNA(MATCH(NOTA[[#This Row],[CONCAT4]],[2]!RAW[CONCAT_H],0),FALSE))</f>
        <v/>
      </c>
      <c r="AP601" s="174" t="str">
        <f>IF(NOTA[[#This Row],[CONCAT1]]="","",MATCH(NOTA[[#This Row],[CONCAT1]],[3]!db[NB NOTA_C],0)+1)</f>
        <v/>
      </c>
    </row>
    <row r="602" spans="1:42" ht="20.100000000000001" customHeight="1" x14ac:dyDescent="0.25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29" t="str">
        <f>IF(NOTA[[#This Row],[ID_P]]="","",MATCH(NOTA[[#This Row],[ID_P]],[1]!B_MSK[N_ID],0))</f>
        <v/>
      </c>
      <c r="D602" s="29" t="str">
        <f ca="1">IF(NOTA[[#This Row],[NAMA BARANG]]="","",INDEX(NOTA[ID],MATCH(,INDIRECT(ADDRESS(ROW(NOTA[ID]),COLUMN(NOTA[ID]))&amp;":"&amp;ADDRESS(ROW(),COLUMN(NOTA[ID]))),-1)))</f>
        <v/>
      </c>
      <c r="E602" s="30"/>
      <c r="F602" s="32"/>
      <c r="G602" s="32"/>
      <c r="H602" s="55"/>
      <c r="I602" s="32"/>
      <c r="J602" s="33"/>
      <c r="K602" s="32"/>
      <c r="L602" s="26"/>
      <c r="M602" s="34"/>
      <c r="N602" s="32"/>
      <c r="O602" s="26"/>
      <c r="P602" s="28"/>
      <c r="Q602" s="46"/>
      <c r="R602" s="39"/>
      <c r="S602" s="35"/>
      <c r="T602" s="35"/>
      <c r="U602" s="36"/>
      <c r="V602" s="37"/>
      <c r="W602" s="36" t="str">
        <f>IF(NOTA[[#This Row],[HARGA/ CTN]]="",NOTA[[#This Row],[JUMLAH_H]],NOTA[[#This Row],[HARGA/ CTN]]*IF(NOTA[[#This Row],[C]]="",0,NOTA[[#This Row],[C]]))</f>
        <v/>
      </c>
      <c r="X602" s="36" t="str">
        <f>IF(NOTA[[#This Row],[JUMLAH]]="","",NOTA[[#This Row],[JUMLAH]]*NOTA[[#This Row],[DISC 1]])</f>
        <v/>
      </c>
      <c r="Y602" s="36" t="str">
        <f>IF(NOTA[[#This Row],[JUMLAH]]="","",(NOTA[[#This Row],[JUMLAH]]-NOTA[[#This Row],[DISC 1-]])*NOTA[[#This Row],[DISC 2]])</f>
        <v/>
      </c>
      <c r="Z602" s="36" t="str">
        <f>IF(NOTA[[#This Row],[JUMLAH]]="","",NOTA[[#This Row],[DISC 1-]]+NOTA[[#This Row],[DISC 2-]])</f>
        <v/>
      </c>
      <c r="AA602" s="36" t="str">
        <f>IF(NOTA[[#This Row],[JUMLAH]]="","",NOTA[[#This Row],[JUMLAH]]-NOTA[[#This Row],[DISC]])</f>
        <v/>
      </c>
      <c r="AB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36" t="str">
        <f>IF(OR(NOTA[[#This Row],[QTY]]="",NOTA[[#This Row],[HARGA SATUAN]]="",),"",NOTA[[#This Row],[QTY]]*NOTA[[#This Row],[HARGA SATUAN]])</f>
        <v/>
      </c>
      <c r="AF602" s="33" t="str">
        <f ca="1">IF(NOTA[ID_H]="","",INDEX(NOTA[TANGGAL],MATCH(,INDIRECT(ADDRESS(ROW(NOTA[TANGGAL]),COLUMN(NOTA[TANGGAL]))&amp;":"&amp;ADDRESS(ROW(),COLUMN(NOTA[TANGGAL]))),-1)))</f>
        <v/>
      </c>
      <c r="AG602" s="28" t="str">
        <f ca="1">IF(NOTA[[#This Row],[NAMA BARANG]]="","",INDEX(NOTA[SUPPLIER],MATCH(,INDIRECT(ADDRESS(ROW(NOTA[ID]),COLUMN(NOTA[ID]))&amp;":"&amp;ADDRESS(ROW(),COLUMN(NOTA[ID]))),-1)))</f>
        <v/>
      </c>
      <c r="AH602" s="28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38" t="str">
        <f>IF(NOTA[[#This Row],[CONCAT4]]="","",_xlfn.IFNA(MATCH(NOTA[[#This Row],[CONCAT4]],[2]!RAW[CONCAT_H],0),FALSE))</f>
        <v/>
      </c>
      <c r="AP602" s="174" t="str">
        <f>IF(NOTA[[#This Row],[CONCAT1]]="","",MATCH(NOTA[[#This Row],[CONCAT1]],[3]!db[NB NOTA_C],0)+1)</f>
        <v/>
      </c>
    </row>
    <row r="603" spans="1:42" ht="20.100000000000001" customHeight="1" x14ac:dyDescent="0.25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29" t="str">
        <f>IF(NOTA[[#This Row],[ID_P]]="","",MATCH(NOTA[[#This Row],[ID_P]],[1]!B_MSK[N_ID],0))</f>
        <v/>
      </c>
      <c r="D603" s="29" t="str">
        <f ca="1">IF(NOTA[[#This Row],[NAMA BARANG]]="","",INDEX(NOTA[ID],MATCH(,INDIRECT(ADDRESS(ROW(NOTA[ID]),COLUMN(NOTA[ID]))&amp;":"&amp;ADDRESS(ROW(),COLUMN(NOTA[ID]))),-1)))</f>
        <v/>
      </c>
      <c r="E603" s="30"/>
      <c r="F603" s="26"/>
      <c r="G603" s="26"/>
      <c r="H603" s="31"/>
      <c r="I603" s="26"/>
      <c r="J603" s="33"/>
      <c r="K603" s="32"/>
      <c r="L603" s="26"/>
      <c r="M603" s="34"/>
      <c r="N603" s="32"/>
      <c r="O603" s="26"/>
      <c r="P603" s="28"/>
      <c r="Q603" s="46"/>
      <c r="R603" s="39"/>
      <c r="S603" s="35"/>
      <c r="T603" s="35"/>
      <c r="U603" s="36"/>
      <c r="V603" s="37"/>
      <c r="W603" s="36" t="str">
        <f>IF(NOTA[[#This Row],[HARGA/ CTN]]="",NOTA[[#This Row],[JUMLAH_H]],NOTA[[#This Row],[HARGA/ CTN]]*IF(NOTA[[#This Row],[C]]="",0,NOTA[[#This Row],[C]]))</f>
        <v/>
      </c>
      <c r="X603" s="36" t="str">
        <f>IF(NOTA[[#This Row],[JUMLAH]]="","",NOTA[[#This Row],[JUMLAH]]*NOTA[[#This Row],[DISC 1]])</f>
        <v/>
      </c>
      <c r="Y603" s="36" t="str">
        <f>IF(NOTA[[#This Row],[JUMLAH]]="","",(NOTA[[#This Row],[JUMLAH]]-NOTA[[#This Row],[DISC 1-]])*NOTA[[#This Row],[DISC 2]])</f>
        <v/>
      </c>
      <c r="Z603" s="36" t="str">
        <f>IF(NOTA[[#This Row],[JUMLAH]]="","",NOTA[[#This Row],[DISC 1-]]+NOTA[[#This Row],[DISC 2-]])</f>
        <v/>
      </c>
      <c r="AA603" s="36" t="str">
        <f>IF(NOTA[[#This Row],[JUMLAH]]="","",NOTA[[#This Row],[JUMLAH]]-NOTA[[#This Row],[DISC]])</f>
        <v/>
      </c>
      <c r="AB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36" t="str">
        <f>IF(OR(NOTA[[#This Row],[QTY]]="",NOTA[[#This Row],[HARGA SATUAN]]="",),"",NOTA[[#This Row],[QTY]]*NOTA[[#This Row],[HARGA SATUAN]])</f>
        <v/>
      </c>
      <c r="AF603" s="33" t="str">
        <f ca="1">IF(NOTA[ID_H]="","",INDEX(NOTA[TANGGAL],MATCH(,INDIRECT(ADDRESS(ROW(NOTA[TANGGAL]),COLUMN(NOTA[TANGGAL]))&amp;":"&amp;ADDRESS(ROW(),COLUMN(NOTA[TANGGAL]))),-1)))</f>
        <v/>
      </c>
      <c r="AG603" s="28" t="str">
        <f ca="1">IF(NOTA[[#This Row],[NAMA BARANG]]="","",INDEX(NOTA[SUPPLIER],MATCH(,INDIRECT(ADDRESS(ROW(NOTA[ID]),COLUMN(NOTA[ID]))&amp;":"&amp;ADDRESS(ROW(),COLUMN(NOTA[ID]))),-1)))</f>
        <v/>
      </c>
      <c r="AH603" s="28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38" t="str">
        <f>IF(NOTA[[#This Row],[CONCAT4]]="","",_xlfn.IFNA(MATCH(NOTA[[#This Row],[CONCAT4]],[2]!RAW[CONCAT_H],0),FALSE))</f>
        <v/>
      </c>
      <c r="AP603" s="174" t="str">
        <f>IF(NOTA[[#This Row],[CONCAT1]]="","",MATCH(NOTA[[#This Row],[CONCAT1]],[3]!db[NB NOTA_C],0)+1)</f>
        <v/>
      </c>
    </row>
    <row r="604" spans="1:42" s="48" customFormat="1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32"/>
      <c r="G604" s="32"/>
      <c r="H604" s="55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38" t="str">
        <f>IF(NOTA[[#This Row],[CONCAT4]]="","",_xlfn.IFNA(MATCH(NOTA[[#This Row],[CONCAT4]],[2]!RAW[CONCAT_H],0),FALSE))</f>
        <v/>
      </c>
      <c r="AP604" s="174" t="str">
        <f>IF(NOTA[[#This Row],[CONCAT1]]="","",MATCH(NOTA[[#This Row],[CONCAT1]],[3]!db[NB NOTA_C],0)+1)</f>
        <v/>
      </c>
    </row>
    <row r="605" spans="1:42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14"/>
      <c r="G605" s="214"/>
      <c r="H605" s="215"/>
      <c r="I605" s="214"/>
      <c r="J605" s="216"/>
      <c r="K605" s="214"/>
      <c r="L605" s="214"/>
      <c r="M605" s="217"/>
      <c r="N605" s="218"/>
      <c r="O605" s="214"/>
      <c r="P605" s="219"/>
      <c r="Q605" s="220"/>
      <c r="R605" s="217"/>
      <c r="S605" s="221"/>
      <c r="T605" s="221"/>
      <c r="U605" s="222"/>
      <c r="V605" s="223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38" t="str">
        <f>IF(NOTA[[#This Row],[CONCAT4]]="","",_xlfn.IFNA(MATCH(NOTA[[#This Row],[CONCAT4]],[2]!RAW[CONCAT_H],0),FALSE))</f>
        <v/>
      </c>
      <c r="AP605" s="174" t="str">
        <f>IF(NOTA[[#This Row],[CONCAT1]]="","",MATCH(NOTA[[#This Row],[CONCAT1]],[3]!db[NB NOTA_C],0)+1)</f>
        <v/>
      </c>
    </row>
    <row r="606" spans="1:42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32"/>
      <c r="G606" s="32"/>
      <c r="H606" s="55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38" t="str">
        <f>IF(NOTA[[#This Row],[CONCAT4]]="","",_xlfn.IFNA(MATCH(NOTA[[#This Row],[CONCAT4]],[2]!RAW[CONCAT_H],0),FALSE))</f>
        <v/>
      </c>
      <c r="AP606" s="174" t="str">
        <f>IF(NOTA[[#This Row],[CONCAT1]]="","",MATCH(NOTA[[#This Row],[CONCAT1]],[3]!db[NB NOTA_C],0)+1)</f>
        <v/>
      </c>
    </row>
    <row r="607" spans="1:42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38" t="str">
        <f>IF(NOTA[[#This Row],[CONCAT4]]="","",_xlfn.IFNA(MATCH(NOTA[[#This Row],[CONCAT4]],[2]!RAW[CONCAT_H],0),FALSE))</f>
        <v/>
      </c>
      <c r="AP607" s="174" t="str">
        <f>IF(NOTA[[#This Row],[CONCAT1]]="","",MATCH(NOTA[[#This Row],[CONCAT1]],[3]!db[NB NOTA_C],0)+1)</f>
        <v/>
      </c>
    </row>
    <row r="608" spans="1:42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38" t="str">
        <f>IF(NOTA[[#This Row],[CONCAT4]]="","",_xlfn.IFNA(MATCH(NOTA[[#This Row],[CONCAT4]],[2]!RAW[CONCAT_H],0),FALSE))</f>
        <v/>
      </c>
      <c r="AP608" s="174" t="str">
        <f>IF(NOTA[[#This Row],[CONCAT1]]="","",MATCH(NOTA[[#This Row],[CONCAT1]],[3]!db[NB NOTA_C],0)+1)</f>
        <v/>
      </c>
    </row>
    <row r="609" spans="1:42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23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38" t="str">
        <f>IF(NOTA[[#This Row],[CONCAT4]]="","",_xlfn.IFNA(MATCH(NOTA[[#This Row],[CONCAT4]],[2]!RAW[CONCAT_H],0),FALSE))</f>
        <v/>
      </c>
      <c r="AP609" s="174" t="str">
        <f>IF(NOTA[[#This Row],[CONCAT1]]="","",MATCH(NOTA[[#This Row],[CONCAT1]],[3]!db[NB NOTA_C],0)+1)</f>
        <v/>
      </c>
    </row>
    <row r="610" spans="1:42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32"/>
      <c r="G610" s="32"/>
      <c r="H610" s="55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38" t="str">
        <f>IF(NOTA[[#This Row],[CONCAT4]]="","",_xlfn.IFNA(MATCH(NOTA[[#This Row],[CONCAT4]],[2]!RAW[CONCAT_H],0),FALSE))</f>
        <v/>
      </c>
      <c r="AP610" s="174" t="str">
        <f>IF(NOTA[[#This Row],[CONCAT1]]="","",MATCH(NOTA[[#This Row],[CONCAT1]],[3]!db[NB NOTA_C],0)+1)</f>
        <v/>
      </c>
    </row>
    <row r="611" spans="1:42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38" t="str">
        <f>IF(NOTA[[#This Row],[CONCAT4]]="","",_xlfn.IFNA(MATCH(NOTA[[#This Row],[CONCAT4]],[2]!RAW[CONCAT_H],0),FALSE))</f>
        <v/>
      </c>
      <c r="AP611" s="174" t="str">
        <f>IF(NOTA[[#This Row],[CONCAT1]]="","",MATCH(NOTA[[#This Row],[CONCAT1]],[3]!db[NB NOTA_C],0)+1)</f>
        <v/>
      </c>
    </row>
    <row r="612" spans="1:42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38" t="str">
        <f>IF(NOTA[[#This Row],[CONCAT4]]="","",_xlfn.IFNA(MATCH(NOTA[[#This Row],[CONCAT4]],[2]!RAW[CONCAT_H],0),FALSE))</f>
        <v/>
      </c>
      <c r="AP612" s="174" t="str">
        <f>IF(NOTA[[#This Row],[CONCAT1]]="","",MATCH(NOTA[[#This Row],[CONCAT1]],[3]!db[NB NOTA_C],0)+1)</f>
        <v/>
      </c>
    </row>
    <row r="613" spans="1:42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38" t="str">
        <f>IF(NOTA[[#This Row],[CONCAT4]]="","",_xlfn.IFNA(MATCH(NOTA[[#This Row],[CONCAT4]],[2]!RAW[CONCAT_H],0),FALSE))</f>
        <v/>
      </c>
      <c r="AP613" s="174" t="str">
        <f>IF(NOTA[[#This Row],[CONCAT1]]="","",MATCH(NOTA[[#This Row],[CONCAT1]],[3]!db[NB NOTA_C],0)+1)</f>
        <v/>
      </c>
    </row>
    <row r="614" spans="1:42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51"/>
      <c r="K614" s="32"/>
      <c r="L614" s="26"/>
      <c r="M614" s="34"/>
      <c r="N614" s="32"/>
      <c r="O614" s="26"/>
      <c r="P614" s="28"/>
      <c r="Q614" s="52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38" t="str">
        <f>IF(NOTA[[#This Row],[CONCAT4]]="","",_xlfn.IFNA(MATCH(NOTA[[#This Row],[CONCAT4]],[2]!RAW[CONCAT_H],0),FALSE))</f>
        <v/>
      </c>
      <c r="AP614" s="174" t="str">
        <f>IF(NOTA[[#This Row],[CONCAT1]]="","",MATCH(NOTA[[#This Row],[CONCAT1]],[3]!db[NB NOTA_C],0)+1)</f>
        <v/>
      </c>
    </row>
    <row r="615" spans="1:42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26"/>
      <c r="J615" s="33"/>
      <c r="K615" s="26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38" t="str">
        <f>IF(NOTA[[#This Row],[CONCAT4]]="","",_xlfn.IFNA(MATCH(NOTA[[#This Row],[CONCAT4]],[2]!RAW[CONCAT_H],0),FALSE))</f>
        <v/>
      </c>
      <c r="AP615" s="174" t="str">
        <f>IF(NOTA[[#This Row],[CONCAT1]]="","",MATCH(NOTA[[#This Row],[CONCAT1]],[3]!db[NB NOTA_C],0)+1)</f>
        <v/>
      </c>
    </row>
    <row r="616" spans="1:42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38" t="str">
        <f>IF(NOTA[[#This Row],[CONCAT4]]="","",_xlfn.IFNA(MATCH(NOTA[[#This Row],[CONCAT4]],[2]!RAW[CONCAT_H],0),FALSE))</f>
        <v/>
      </c>
      <c r="AP616" s="174" t="str">
        <f>IF(NOTA[[#This Row],[CONCAT1]]="","",MATCH(NOTA[[#This Row],[CONCAT1]],[3]!db[NB NOTA_C],0)+1)</f>
        <v/>
      </c>
    </row>
    <row r="617" spans="1:42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26"/>
      <c r="J617" s="33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38" t="str">
        <f>IF(NOTA[[#This Row],[CONCAT4]]="","",_xlfn.IFNA(MATCH(NOTA[[#This Row],[CONCAT4]],[2]!RAW[CONCAT_H],0),FALSE))</f>
        <v/>
      </c>
      <c r="AP617" s="174" t="str">
        <f>IF(NOTA[[#This Row],[CONCAT1]]="","",MATCH(NOTA[[#This Row],[CONCAT1]],[3]!db[NB NOTA_C],0)+1)</f>
        <v/>
      </c>
    </row>
    <row r="618" spans="1:42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38" t="str">
        <f>IF(NOTA[[#This Row],[CONCAT4]]="","",_xlfn.IFNA(MATCH(NOTA[[#This Row],[CONCAT4]],[2]!RAW[CONCAT_H],0),FALSE))</f>
        <v/>
      </c>
      <c r="AP618" s="174" t="str">
        <f>IF(NOTA[[#This Row],[CONCAT1]]="","",MATCH(NOTA[[#This Row],[CONCAT1]],[3]!db[NB NOTA_C],0)+1)</f>
        <v/>
      </c>
    </row>
    <row r="619" spans="1:42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26"/>
      <c r="G619" s="26"/>
      <c r="H619" s="31"/>
      <c r="I619" s="32"/>
      <c r="J619" s="33"/>
      <c r="K619" s="32"/>
      <c r="L619" s="26"/>
      <c r="M619" s="34"/>
      <c r="N619" s="32"/>
      <c r="O619" s="26"/>
      <c r="P619" s="28"/>
      <c r="Q619" s="52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38" t="str">
        <f>IF(NOTA[[#This Row],[CONCAT4]]="","",_xlfn.IFNA(MATCH(NOTA[[#This Row],[CONCAT4]],[2]!RAW[CONCAT_H],0),FALSE))</f>
        <v/>
      </c>
      <c r="AP619" s="174" t="str">
        <f>IF(NOTA[[#This Row],[CONCAT1]]="","",MATCH(NOTA[[#This Row],[CONCAT1]],[3]!db[NB NOTA_C],0)+1)</f>
        <v/>
      </c>
    </row>
    <row r="620" spans="1:42" s="48" customFormat="1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32"/>
      <c r="G620" s="32"/>
      <c r="H620" s="55"/>
      <c r="I620" s="32"/>
      <c r="J620" s="33"/>
      <c r="K620" s="32"/>
      <c r="L620" s="26"/>
      <c r="M620" s="34"/>
      <c r="N620" s="32"/>
      <c r="O620" s="26"/>
      <c r="P620" s="28"/>
      <c r="Q620" s="46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38" t="str">
        <f>IF(NOTA[[#This Row],[CONCAT4]]="","",_xlfn.IFNA(MATCH(NOTA[[#This Row],[CONCAT4]],[2]!RAW[CONCAT_H],0),FALSE))</f>
        <v/>
      </c>
      <c r="AP620" s="174" t="str">
        <f>IF(NOTA[[#This Row],[CONCAT1]]="","",MATCH(NOTA[[#This Row],[CONCAT1]],[3]!db[NB NOTA_C],0)+1)</f>
        <v/>
      </c>
    </row>
    <row r="621" spans="1:42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38" t="str">
        <f>IF(NOTA[[#This Row],[CONCAT4]]="","",_xlfn.IFNA(MATCH(NOTA[[#This Row],[CONCAT4]],[2]!RAW[CONCAT_H],0),FALSE))</f>
        <v/>
      </c>
      <c r="AP621" s="174" t="str">
        <f>IF(NOTA[[#This Row],[CONCAT1]]="","",MATCH(NOTA[[#This Row],[CONCAT1]],[3]!db[NB NOTA_C],0)+1)</f>
        <v/>
      </c>
    </row>
    <row r="622" spans="1:42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49"/>
      <c r="Q622" s="52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38" t="str">
        <f>IF(NOTA[[#This Row],[CONCAT4]]="","",_xlfn.IFNA(MATCH(NOTA[[#This Row],[CONCAT4]],[2]!RAW[CONCAT_H],0),FALSE))</f>
        <v/>
      </c>
      <c r="AP622" s="174" t="str">
        <f>IF(NOTA[[#This Row],[CONCAT1]]="","",MATCH(NOTA[[#This Row],[CONCAT1]],[3]!db[NB NOTA_C],0)+1)</f>
        <v/>
      </c>
    </row>
    <row r="623" spans="1:42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38" t="str">
        <f>IF(NOTA[[#This Row],[CONCAT4]]="","",_xlfn.IFNA(MATCH(NOTA[[#This Row],[CONCAT4]],[2]!RAW[CONCAT_H],0),FALSE))</f>
        <v/>
      </c>
      <c r="AP623" s="174" t="str">
        <f>IF(NOTA[[#This Row],[CONCAT1]]="","",MATCH(NOTA[[#This Row],[CONCAT1]],[3]!db[NB NOTA_C],0)+1)</f>
        <v/>
      </c>
    </row>
    <row r="624" spans="1:42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32"/>
      <c r="G624" s="32"/>
      <c r="H624" s="55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38" t="str">
        <f>IF(NOTA[[#This Row],[CONCAT4]]="","",_xlfn.IFNA(MATCH(NOTA[[#This Row],[CONCAT4]],[2]!RAW[CONCAT_H],0),FALSE))</f>
        <v/>
      </c>
      <c r="AP624" s="174" t="str">
        <f>IF(NOTA[[#This Row],[CONCAT1]]="","",MATCH(NOTA[[#This Row],[CONCAT1]],[3]!db[NB NOTA_C],0)+1)</f>
        <v/>
      </c>
    </row>
    <row r="625" spans="1:42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109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38" t="str">
        <f>IF(NOTA[[#This Row],[CONCAT4]]="","",_xlfn.IFNA(MATCH(NOTA[[#This Row],[CONCAT4]],[2]!RAW[CONCAT_H],0),FALSE))</f>
        <v/>
      </c>
      <c r="AP625" s="174" t="str">
        <f>IF(NOTA[[#This Row],[CONCAT1]]="","",MATCH(NOTA[[#This Row],[CONCAT1]],[3]!db[NB NOTA_C],0)+1)</f>
        <v/>
      </c>
    </row>
    <row r="626" spans="1:42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26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38" t="str">
        <f>IF(NOTA[[#This Row],[CONCAT4]]="","",_xlfn.IFNA(MATCH(NOTA[[#This Row],[CONCAT4]],[2]!RAW[CONCAT_H],0),FALSE))</f>
        <v/>
      </c>
      <c r="AP626" s="174" t="str">
        <f>IF(NOTA[[#This Row],[CONCAT1]]="","",MATCH(NOTA[[#This Row],[CONCAT1]],[3]!db[NB NOTA_C],0)+1)</f>
        <v/>
      </c>
    </row>
    <row r="627" spans="1:42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55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7" s="38" t="str">
        <f>IF(NOTA[[#This Row],[CONCAT4]]="","",_xlfn.IFNA(MATCH(NOTA[[#This Row],[CONCAT4]],[2]!RAW[CONCAT_H],0),FALSE))</f>
        <v/>
      </c>
      <c r="AP627" s="174" t="str">
        <f>IF(NOTA[[#This Row],[CONCAT1]]="","",MATCH(NOTA[[#This Row],[CONCAT1]],[3]!db[NB NOTA_C],0)+1)</f>
        <v/>
      </c>
    </row>
    <row r="628" spans="1:42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172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8" s="38" t="str">
        <f>IF(NOTA[[#This Row],[CONCAT4]]="","",_xlfn.IFNA(MATCH(NOTA[[#This Row],[CONCAT4]],[2]!RAW[CONCAT_H],0),FALSE))</f>
        <v/>
      </c>
      <c r="AP628" s="174" t="str">
        <f>IF(NOTA[[#This Row],[CONCAT1]]="","",MATCH(NOTA[[#This Row],[CONCAT1]],[3]!db[NB NOTA_C],0)+1)</f>
        <v/>
      </c>
    </row>
    <row r="629" spans="1:42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9" s="38" t="str">
        <f>IF(NOTA[[#This Row],[CONCAT4]]="","",_xlfn.IFNA(MATCH(NOTA[[#This Row],[CONCAT4]],[2]!RAW[CONCAT_H],0),FALSE))</f>
        <v/>
      </c>
      <c r="AP629" s="174" t="str">
        <f>IF(NOTA[[#This Row],[CONCAT1]]="","",MATCH(NOTA[[#This Row],[CONCAT1]],[3]!db[NB NOTA_C],0)+1)</f>
        <v/>
      </c>
    </row>
    <row r="630" spans="1:42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26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0" s="38" t="str">
        <f>IF(NOTA[[#This Row],[CONCAT4]]="","",_xlfn.IFNA(MATCH(NOTA[[#This Row],[CONCAT4]],[2]!RAW[CONCAT_H],0),FALSE))</f>
        <v/>
      </c>
      <c r="AP630" s="174" t="str">
        <f>IF(NOTA[[#This Row],[CONCAT1]]="","",MATCH(NOTA[[#This Row],[CONCAT1]],[3]!db[NB NOTA_C],0)+1)</f>
        <v/>
      </c>
    </row>
    <row r="631" spans="1:42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26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38" t="str">
        <f>IF(NOTA[[#This Row],[CONCAT4]]="","",_xlfn.IFNA(MATCH(NOTA[[#This Row],[CONCAT4]],[2]!RAW[CONCAT_H],0),FALSE))</f>
        <v/>
      </c>
      <c r="AP631" s="174" t="str">
        <f>IF(NOTA[[#This Row],[CONCAT1]]="","",MATCH(NOTA[[#This Row],[CONCAT1]],[3]!db[NB NOTA_C],0)+1)</f>
        <v/>
      </c>
    </row>
    <row r="632" spans="1:42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51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38" t="str">
        <f>IF(NOTA[[#This Row],[CONCAT4]]="","",_xlfn.IFNA(MATCH(NOTA[[#This Row],[CONCAT4]],[2]!RAW[CONCAT_H],0),FALSE))</f>
        <v/>
      </c>
      <c r="AP632" s="174" t="str">
        <f>IF(NOTA[[#This Row],[CONCAT1]]="","",MATCH(NOTA[[#This Row],[CONCAT1]],[3]!db[NB NOTA_C],0)+1)</f>
        <v/>
      </c>
    </row>
    <row r="633" spans="1:42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26"/>
      <c r="G633" s="26"/>
      <c r="H633" s="31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3" s="38" t="str">
        <f>IF(NOTA[[#This Row],[CONCAT4]]="","",_xlfn.IFNA(MATCH(NOTA[[#This Row],[CONCAT4]],[2]!RAW[CONCAT_H],0),FALSE))</f>
        <v/>
      </c>
      <c r="AP633" s="174" t="str">
        <f>IF(NOTA[[#This Row],[CONCAT1]]="","",MATCH(NOTA[[#This Row],[CONCAT1]],[3]!db[NB NOTA_C],0)+1)</f>
        <v/>
      </c>
    </row>
    <row r="634" spans="1:42" s="48" customFormat="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4" s="38" t="str">
        <f>IF(NOTA[[#This Row],[CONCAT4]]="","",_xlfn.IFNA(MATCH(NOTA[[#This Row],[CONCAT4]],[2]!RAW[CONCAT_H],0),FALSE))</f>
        <v/>
      </c>
      <c r="AP634" s="174" t="str">
        <f>IF(NOTA[[#This Row],[CONCAT1]]="","",MATCH(NOTA[[#This Row],[CONCAT1]],[3]!db[NB NOTA_C],0)+1)</f>
        <v/>
      </c>
    </row>
    <row r="635" spans="1:42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53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38" t="str">
        <f>IF(NOTA[[#This Row],[CONCAT4]]="","",_xlfn.IFNA(MATCH(NOTA[[#This Row],[CONCAT4]],[2]!RAW[CONCAT_H],0),FALSE))</f>
        <v/>
      </c>
      <c r="AP635" s="174" t="str">
        <f>IF(NOTA[[#This Row],[CONCAT1]]="","",MATCH(NOTA[[#This Row],[CONCAT1]],[3]!db[NB NOTA_C],0)+1)</f>
        <v/>
      </c>
    </row>
    <row r="636" spans="1:42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32"/>
      <c r="J636" s="51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38" t="str">
        <f>IF(NOTA[[#This Row],[CONCAT4]]="","",_xlfn.IFNA(MATCH(NOTA[[#This Row],[CONCAT4]],[2]!RAW[CONCAT_H],0),FALSE))</f>
        <v/>
      </c>
      <c r="AP636" s="174" t="str">
        <f>IF(NOTA[[#This Row],[CONCAT1]]="","",MATCH(NOTA[[#This Row],[CONCAT1]],[3]!db[NB NOTA_C],0)+1)</f>
        <v/>
      </c>
    </row>
    <row r="637" spans="1:42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26"/>
      <c r="G637" s="26"/>
      <c r="H637" s="31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7" s="38" t="str">
        <f>IF(NOTA[[#This Row],[CONCAT4]]="","",_xlfn.IFNA(MATCH(NOTA[[#This Row],[CONCAT4]],[2]!RAW[CONCAT_H],0),FALSE))</f>
        <v/>
      </c>
      <c r="AP637" s="174" t="str">
        <f>IF(NOTA[[#This Row],[CONCAT1]]="","",MATCH(NOTA[[#This Row],[CONCAT1]],[3]!db[NB NOTA_C],0)+1)</f>
        <v/>
      </c>
    </row>
    <row r="638" spans="1:42" s="48" customFormat="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8" s="38" t="str">
        <f>IF(NOTA[[#This Row],[CONCAT4]]="","",_xlfn.IFNA(MATCH(NOTA[[#This Row],[CONCAT4]],[2]!RAW[CONCAT_H],0),FALSE))</f>
        <v/>
      </c>
      <c r="AP638" s="174" t="str">
        <f>IF(NOTA[[#This Row],[CONCAT1]]="","",MATCH(NOTA[[#This Row],[CONCAT1]],[3]!db[NB NOTA_C],0)+1)</f>
        <v/>
      </c>
    </row>
    <row r="639" spans="1:42" ht="20.100000000000001" customHeight="1" x14ac:dyDescent="0.25">
      <c r="A6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0" t="str">
        <f>IF(NOTA[[#This Row],[ID_P]]="","",MATCH(NOTA[[#This Row],[ID_P]],[1]!B_MSK[N_ID],0))</f>
        <v/>
      </c>
      <c r="D639" s="50" t="str">
        <f ca="1">IF(NOTA[[#This Row],[NAMA BARANG]]="","",INDEX(NOTA[ID],MATCH(,INDIRECT(ADDRESS(ROW(NOTA[ID]),COLUMN(NOTA[ID]))&amp;":"&amp;ADDRESS(ROW(),COLUMN(NOTA[ID]))),-1)))</f>
        <v/>
      </c>
      <c r="E639" s="23"/>
      <c r="F639" s="26"/>
      <c r="G639" s="26"/>
      <c r="H639" s="31"/>
      <c r="I639" s="26"/>
      <c r="J639" s="51"/>
      <c r="K639" s="26"/>
      <c r="L639" s="26"/>
      <c r="M639" s="39"/>
      <c r="N639" s="26"/>
      <c r="O639" s="26"/>
      <c r="P639" s="28"/>
      <c r="Q639" s="52"/>
      <c r="R639" s="39"/>
      <c r="S639" s="35"/>
      <c r="T639" s="35"/>
      <c r="U639" s="54"/>
      <c r="V639" s="37"/>
      <c r="W639" s="54" t="str">
        <f>IF(NOTA[[#This Row],[HARGA/ CTN]]="",NOTA[[#This Row],[JUMLAH_H]],NOTA[[#This Row],[HARGA/ CTN]]*IF(NOTA[[#This Row],[C]]="",0,NOTA[[#This Row],[C]]))</f>
        <v/>
      </c>
      <c r="X639" s="54" t="str">
        <f>IF(NOTA[[#This Row],[JUMLAH]]="","",NOTA[[#This Row],[JUMLAH]]*NOTA[[#This Row],[DISC 1]])</f>
        <v/>
      </c>
      <c r="Y639" s="54" t="str">
        <f>IF(NOTA[[#This Row],[JUMLAH]]="","",(NOTA[[#This Row],[JUMLAH]]-NOTA[[#This Row],[DISC 1-]])*NOTA[[#This Row],[DISC 2]])</f>
        <v/>
      </c>
      <c r="Z639" s="54" t="str">
        <f>IF(NOTA[[#This Row],[JUMLAH]]="","",NOTA[[#This Row],[DISC 1-]]+NOTA[[#This Row],[DISC 2-]])</f>
        <v/>
      </c>
      <c r="AA639" s="54" t="str">
        <f>IF(NOTA[[#This Row],[JUMLAH]]="","",NOTA[[#This Row],[JUMLAH]]-NOTA[[#This Row],[DISC]])</f>
        <v/>
      </c>
      <c r="AB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54" t="str">
        <f>IF(OR(NOTA[[#This Row],[QTY]]="",NOTA[[#This Row],[HARGA SATUAN]]="",),"",NOTA[[#This Row],[QTY]]*NOTA[[#This Row],[HARGA SATUAN]])</f>
        <v/>
      </c>
      <c r="AF639" s="51" t="str">
        <f ca="1">IF(NOTA[ID_H]="","",INDEX(NOTA[TANGGAL],MATCH(,INDIRECT(ADDRESS(ROW(NOTA[TANGGAL]),COLUMN(NOTA[TANGGAL]))&amp;":"&amp;ADDRESS(ROW(),COLUMN(NOTA[TANGGAL]))),-1)))</f>
        <v/>
      </c>
      <c r="AG639" s="49" t="str">
        <f ca="1">IF(NOTA[[#This Row],[NAMA BARANG]]="","",INDEX(NOTA[SUPPLIER],MATCH(,INDIRECT(ADDRESS(ROW(NOTA[ID]),COLUMN(NOTA[ID]))&amp;":"&amp;ADDRESS(ROW(),COLUMN(NOTA[ID]))),-1)))</f>
        <v/>
      </c>
      <c r="AH639" s="49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38" t="str">
        <f>IF(NOTA[[#This Row],[CONCAT4]]="","",_xlfn.IFNA(MATCH(NOTA[[#This Row],[CONCAT4]],[2]!RAW[CONCAT_H],0),FALSE))</f>
        <v/>
      </c>
      <c r="AP639" s="174" t="str">
        <f>IF(NOTA[[#This Row],[CONCAT1]]="","",MATCH(NOTA[[#This Row],[CONCAT1]],[3]!db[NB NOTA_C],0)+1)</f>
        <v/>
      </c>
    </row>
    <row r="640" spans="1:42" ht="20.100000000000001" customHeight="1" x14ac:dyDescent="0.25">
      <c r="A6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0" t="str">
        <f>IF(NOTA[[#This Row],[ID_P]]="","",MATCH(NOTA[[#This Row],[ID_P]],[1]!B_MSK[N_ID],0))</f>
        <v/>
      </c>
      <c r="D640" s="50" t="str">
        <f ca="1">IF(NOTA[[#This Row],[NAMA BARANG]]="","",INDEX(NOTA[ID],MATCH(,INDIRECT(ADDRESS(ROW(NOTA[ID]),COLUMN(NOTA[ID]))&amp;":"&amp;ADDRESS(ROW(),COLUMN(NOTA[ID]))),-1)))</f>
        <v/>
      </c>
      <c r="E640" s="23"/>
      <c r="F640" s="26"/>
      <c r="G640" s="26"/>
      <c r="H640" s="31"/>
      <c r="I640" s="26"/>
      <c r="J640" s="51"/>
      <c r="K640" s="26"/>
      <c r="L640" s="26"/>
      <c r="M640" s="39"/>
      <c r="N640" s="26"/>
      <c r="O640" s="26"/>
      <c r="P640" s="28"/>
      <c r="Q640" s="52"/>
      <c r="R640" s="39"/>
      <c r="S640" s="35"/>
      <c r="T640" s="35"/>
      <c r="U640" s="54"/>
      <c r="V640" s="37"/>
      <c r="W640" s="54" t="str">
        <f>IF(NOTA[[#This Row],[HARGA/ CTN]]="",NOTA[[#This Row],[JUMLAH_H]],NOTA[[#This Row],[HARGA/ CTN]]*IF(NOTA[[#This Row],[C]]="",0,NOTA[[#This Row],[C]]))</f>
        <v/>
      </c>
      <c r="X640" s="54" t="str">
        <f>IF(NOTA[[#This Row],[JUMLAH]]="","",NOTA[[#This Row],[JUMLAH]]*NOTA[[#This Row],[DISC 1]])</f>
        <v/>
      </c>
      <c r="Y640" s="54" t="str">
        <f>IF(NOTA[[#This Row],[JUMLAH]]="","",(NOTA[[#This Row],[JUMLAH]]-NOTA[[#This Row],[DISC 1-]])*NOTA[[#This Row],[DISC 2]])</f>
        <v/>
      </c>
      <c r="Z640" s="54" t="str">
        <f>IF(NOTA[[#This Row],[JUMLAH]]="","",NOTA[[#This Row],[DISC 1-]]+NOTA[[#This Row],[DISC 2-]])</f>
        <v/>
      </c>
      <c r="AA640" s="54" t="str">
        <f>IF(NOTA[[#This Row],[JUMLAH]]="","",NOTA[[#This Row],[JUMLAH]]-NOTA[[#This Row],[DISC]])</f>
        <v/>
      </c>
      <c r="AB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54" t="str">
        <f>IF(OR(NOTA[[#This Row],[QTY]]="",NOTA[[#This Row],[HARGA SATUAN]]="",),"",NOTA[[#This Row],[QTY]]*NOTA[[#This Row],[HARGA SATUAN]])</f>
        <v/>
      </c>
      <c r="AF640" s="51" t="str">
        <f ca="1">IF(NOTA[ID_H]="","",INDEX(NOTA[TANGGAL],MATCH(,INDIRECT(ADDRESS(ROW(NOTA[TANGGAL]),COLUMN(NOTA[TANGGAL]))&amp;":"&amp;ADDRESS(ROW(),COLUMN(NOTA[TANGGAL]))),-1)))</f>
        <v/>
      </c>
      <c r="AG640" s="49" t="str">
        <f ca="1">IF(NOTA[[#This Row],[NAMA BARANG]]="","",INDEX(NOTA[SUPPLIER],MATCH(,INDIRECT(ADDRESS(ROW(NOTA[ID]),COLUMN(NOTA[ID]))&amp;":"&amp;ADDRESS(ROW(),COLUMN(NOTA[ID]))),-1)))</f>
        <v/>
      </c>
      <c r="AH640" s="49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0" s="38" t="str">
        <f>IF(NOTA[[#This Row],[CONCAT4]]="","",_xlfn.IFNA(MATCH(NOTA[[#This Row],[CONCAT4]],[2]!RAW[CONCAT_H],0),FALSE))</f>
        <v/>
      </c>
      <c r="AP640" s="174" t="str">
        <f>IF(NOTA[[#This Row],[CONCAT1]]="","",MATCH(NOTA[[#This Row],[CONCAT1]],[3]!db[NB NOTA_C],0)+1)</f>
        <v/>
      </c>
    </row>
    <row r="641" spans="1:42" s="48" customFormat="1" ht="20.100000000000001" customHeight="1" x14ac:dyDescent="0.25">
      <c r="A64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8" t="str">
        <f>IF(NOTA[[#This Row],[ID_P]]="","",MATCH(NOTA[[#This Row],[ID_P]],[1]!B_MSK[N_ID],0))</f>
        <v/>
      </c>
      <c r="D641" s="58" t="str">
        <f ca="1">IF(NOTA[[#This Row],[NAMA BARANG]]="","",INDEX(NOTA[ID],MATCH(,INDIRECT(ADDRESS(ROW(NOTA[ID]),COLUMN(NOTA[ID]))&amp;":"&amp;ADDRESS(ROW(),COLUMN(NOTA[ID]))),-1)))</f>
        <v/>
      </c>
      <c r="E641" s="61"/>
      <c r="F641" s="62"/>
      <c r="G641" s="62"/>
      <c r="H641" s="107"/>
      <c r="I641" s="62"/>
      <c r="J641" s="60"/>
      <c r="K641" s="62"/>
      <c r="L641" s="26"/>
      <c r="M641" s="63"/>
      <c r="N641" s="62"/>
      <c r="O641" s="26"/>
      <c r="P641" s="28"/>
      <c r="Q641" s="64"/>
      <c r="R641" s="39"/>
      <c r="S641" s="35"/>
      <c r="T641" s="35"/>
      <c r="U641" s="59"/>
      <c r="V641" s="37"/>
      <c r="W641" s="59" t="str">
        <f>IF(NOTA[[#This Row],[HARGA/ CTN]]="",NOTA[[#This Row],[JUMLAH_H]],NOTA[[#This Row],[HARGA/ CTN]]*IF(NOTA[[#This Row],[C]]="",0,NOTA[[#This Row],[C]]))</f>
        <v/>
      </c>
      <c r="X641" s="59" t="str">
        <f>IF(NOTA[[#This Row],[JUMLAH]]="","",NOTA[[#This Row],[JUMLAH]]*NOTA[[#This Row],[DISC 1]])</f>
        <v/>
      </c>
      <c r="Y641" s="59" t="str">
        <f>IF(NOTA[[#This Row],[JUMLAH]]="","",(NOTA[[#This Row],[JUMLAH]]-NOTA[[#This Row],[DISC 1-]])*NOTA[[#This Row],[DISC 2]])</f>
        <v/>
      </c>
      <c r="Z641" s="59" t="str">
        <f>IF(NOTA[[#This Row],[JUMLAH]]="","",NOTA[[#This Row],[DISC 1-]]+NOTA[[#This Row],[DISC 2-]])</f>
        <v/>
      </c>
      <c r="AA641" s="59" t="str">
        <f>IF(NOTA[[#This Row],[JUMLAH]]="","",NOTA[[#This Row],[JUMLAH]]-NOTA[[#This Row],[DISC]])</f>
        <v/>
      </c>
      <c r="AB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59" t="str">
        <f>IF(OR(NOTA[[#This Row],[QTY]]="",NOTA[[#This Row],[HARGA SATUAN]]="",),"",NOTA[[#This Row],[QTY]]*NOTA[[#This Row],[HARGA SATUAN]])</f>
        <v/>
      </c>
      <c r="AF641" s="60" t="str">
        <f ca="1">IF(NOTA[ID_H]="","",INDEX(NOTA[TANGGAL],MATCH(,INDIRECT(ADDRESS(ROW(NOTA[TANGGAL]),COLUMN(NOTA[TANGGAL]))&amp;":"&amp;ADDRESS(ROW(),COLUMN(NOTA[TANGGAL]))),-1)))</f>
        <v/>
      </c>
      <c r="AG641" s="57" t="str">
        <f ca="1">IF(NOTA[[#This Row],[NAMA BARANG]]="","",INDEX(NOTA[SUPPLIER],MATCH(,INDIRECT(ADDRESS(ROW(NOTA[ID]),COLUMN(NOTA[ID]))&amp;":"&amp;ADDRESS(ROW(),COLUMN(NOTA[ID]))),-1)))</f>
        <v/>
      </c>
      <c r="AH641" s="57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38" t="str">
        <f>IF(NOTA[[#This Row],[CONCAT4]]="","",_xlfn.IFNA(MATCH(NOTA[[#This Row],[CONCAT4]],[2]!RAW[CONCAT_H],0),FALSE))</f>
        <v/>
      </c>
      <c r="AP641" s="174" t="str">
        <f>IF(NOTA[[#This Row],[CONCAT1]]="","",MATCH(NOTA[[#This Row],[CONCAT1]],[3]!db[NB NOTA_C],0)+1)</f>
        <v/>
      </c>
    </row>
    <row r="642" spans="1:42" ht="20.100000000000001" customHeight="1" x14ac:dyDescent="0.25">
      <c r="A6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8" t="str">
        <f>IF(NOTA[[#This Row],[ID_P]]="","",MATCH(NOTA[[#This Row],[ID_P]],[1]!B_MSK[N_ID],0))</f>
        <v/>
      </c>
      <c r="D642" s="58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26"/>
      <c r="J642" s="51"/>
      <c r="K642" s="26"/>
      <c r="L642" s="26"/>
      <c r="M642" s="39"/>
      <c r="N642" s="26"/>
      <c r="O642" s="26"/>
      <c r="P642" s="49"/>
      <c r="Q642" s="52"/>
      <c r="R642" s="39"/>
      <c r="S642" s="53"/>
      <c r="T642" s="53"/>
      <c r="U642" s="54"/>
      <c r="V642" s="37"/>
      <c r="W642" s="59" t="str">
        <f>IF(NOTA[[#This Row],[HARGA/ CTN]]="",NOTA[[#This Row],[JUMLAH_H]],NOTA[[#This Row],[HARGA/ CTN]]*IF(NOTA[[#This Row],[C]]="",0,NOTA[[#This Row],[C]]))</f>
        <v/>
      </c>
      <c r="X642" s="59" t="str">
        <f>IF(NOTA[[#This Row],[JUMLAH]]="","",NOTA[[#This Row],[JUMLAH]]*NOTA[[#This Row],[DISC 1]])</f>
        <v/>
      </c>
      <c r="Y642" s="59" t="str">
        <f>IF(NOTA[[#This Row],[JUMLAH]]="","",(NOTA[[#This Row],[JUMLAH]]-NOTA[[#This Row],[DISC 1-]])*NOTA[[#This Row],[DISC 2]])</f>
        <v/>
      </c>
      <c r="Z642" s="59" t="str">
        <f>IF(NOTA[[#This Row],[JUMLAH]]="","",NOTA[[#This Row],[DISC 1-]]+NOTA[[#This Row],[DISC 2-]])</f>
        <v/>
      </c>
      <c r="AA642" s="59" t="str">
        <f>IF(NOTA[[#This Row],[JUMLAH]]="","",NOTA[[#This Row],[JUMLAH]]-NOTA[[#This Row],[DISC]])</f>
        <v/>
      </c>
      <c r="AB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59" t="str">
        <f>IF(OR(NOTA[[#This Row],[QTY]]="",NOTA[[#This Row],[HARGA SATUAN]]="",),"",NOTA[[#This Row],[QTY]]*NOTA[[#This Row],[HARGA SATUAN]])</f>
        <v/>
      </c>
      <c r="AF642" s="60" t="str">
        <f ca="1">IF(NOTA[ID_H]="","",INDEX(NOTA[TANGGAL],MATCH(,INDIRECT(ADDRESS(ROW(NOTA[TANGGAL]),COLUMN(NOTA[TANGGAL]))&amp;":"&amp;ADDRESS(ROW(),COLUMN(NOTA[TANGGAL]))),-1)))</f>
        <v/>
      </c>
      <c r="AG642" s="57" t="str">
        <f ca="1">IF(NOTA[[#This Row],[NAMA BARANG]]="","",INDEX(NOTA[SUPPLIER],MATCH(,INDIRECT(ADDRESS(ROW(NOTA[ID]),COLUMN(NOTA[ID]))&amp;":"&amp;ADDRESS(ROW(),COLUMN(NOTA[ID]))),-1)))</f>
        <v/>
      </c>
      <c r="AH642" s="57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38" t="str">
        <f>IF(NOTA[[#This Row],[CONCAT4]]="","",_xlfn.IFNA(MATCH(NOTA[[#This Row],[CONCAT4]],[2]!RAW[CONCAT_H],0),FALSE))</f>
        <v/>
      </c>
      <c r="AP642" s="174" t="str">
        <f>IF(NOTA[[#This Row],[CONCAT1]]="","",MATCH(NOTA[[#This Row],[CONCAT1]],[3]!db[NB NOTA_C],0)+1)</f>
        <v/>
      </c>
    </row>
    <row r="643" spans="1:42" s="48" customFormat="1" ht="20.100000000000001" customHeight="1" x14ac:dyDescent="0.25">
      <c r="A64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8" t="str">
        <f>IF(NOTA[[#This Row],[ID_P]]="","",MATCH(NOTA[[#This Row],[ID_P]],[1]!B_MSK[N_ID],0))</f>
        <v/>
      </c>
      <c r="D643" s="58" t="str">
        <f ca="1">IF(NOTA[[#This Row],[NAMA BARANG]]="","",INDEX(NOTA[ID],MATCH(,INDIRECT(ADDRESS(ROW(NOTA[ID]),COLUMN(NOTA[ID]))&amp;":"&amp;ADDRESS(ROW(),COLUMN(NOTA[ID]))),-1)))</f>
        <v/>
      </c>
      <c r="E643" s="23"/>
      <c r="F643" s="26"/>
      <c r="G643" s="26"/>
      <c r="H643" s="31"/>
      <c r="I643" s="26"/>
      <c r="J643" s="51"/>
      <c r="K643" s="26"/>
      <c r="L643" s="26"/>
      <c r="M643" s="39"/>
      <c r="N643" s="26"/>
      <c r="O643" s="26"/>
      <c r="P643" s="49"/>
      <c r="Q643" s="52"/>
      <c r="R643" s="39"/>
      <c r="S643" s="53"/>
      <c r="T643" s="53"/>
      <c r="U643" s="54"/>
      <c r="V643" s="37"/>
      <c r="W643" s="59" t="str">
        <f>IF(NOTA[[#This Row],[HARGA/ CTN]]="",NOTA[[#This Row],[JUMLAH_H]],NOTA[[#This Row],[HARGA/ CTN]]*IF(NOTA[[#This Row],[C]]="",0,NOTA[[#This Row],[C]]))</f>
        <v/>
      </c>
      <c r="X643" s="59" t="str">
        <f>IF(NOTA[[#This Row],[JUMLAH]]="","",NOTA[[#This Row],[JUMLAH]]*NOTA[[#This Row],[DISC 1]])</f>
        <v/>
      </c>
      <c r="Y643" s="59" t="str">
        <f>IF(NOTA[[#This Row],[JUMLAH]]="","",(NOTA[[#This Row],[JUMLAH]]-NOTA[[#This Row],[DISC 1-]])*NOTA[[#This Row],[DISC 2]])</f>
        <v/>
      </c>
      <c r="Z643" s="59" t="str">
        <f>IF(NOTA[[#This Row],[JUMLAH]]="","",NOTA[[#This Row],[DISC 1-]]+NOTA[[#This Row],[DISC 2-]])</f>
        <v/>
      </c>
      <c r="AA643" s="59" t="str">
        <f>IF(NOTA[[#This Row],[JUMLAH]]="","",NOTA[[#This Row],[JUMLAH]]-NOTA[[#This Row],[DISC]])</f>
        <v/>
      </c>
      <c r="AB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59" t="str">
        <f>IF(OR(NOTA[[#This Row],[QTY]]="",NOTA[[#This Row],[HARGA SATUAN]]="",),"",NOTA[[#This Row],[QTY]]*NOTA[[#This Row],[HARGA SATUAN]])</f>
        <v/>
      </c>
      <c r="AF643" s="60" t="str">
        <f ca="1">IF(NOTA[ID_H]="","",INDEX(NOTA[TANGGAL],MATCH(,INDIRECT(ADDRESS(ROW(NOTA[TANGGAL]),COLUMN(NOTA[TANGGAL]))&amp;":"&amp;ADDRESS(ROW(),COLUMN(NOTA[TANGGAL]))),-1)))</f>
        <v/>
      </c>
      <c r="AG643" s="57" t="str">
        <f ca="1">IF(NOTA[[#This Row],[NAMA BARANG]]="","",INDEX(NOTA[SUPPLIER],MATCH(,INDIRECT(ADDRESS(ROW(NOTA[ID]),COLUMN(NOTA[ID]))&amp;":"&amp;ADDRESS(ROW(),COLUMN(NOTA[ID]))),-1)))</f>
        <v/>
      </c>
      <c r="AH643" s="57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38" t="str">
        <f>IF(NOTA[[#This Row],[CONCAT4]]="","",_xlfn.IFNA(MATCH(NOTA[[#This Row],[CONCAT4]],[2]!RAW[CONCAT_H],0),FALSE))</f>
        <v/>
      </c>
      <c r="AP643" s="174" t="str">
        <f>IF(NOTA[[#This Row],[CONCAT1]]="","",MATCH(NOTA[[#This Row],[CONCAT1]],[3]!db[NB NOTA_C],0)+1)</f>
        <v/>
      </c>
    </row>
    <row r="644" spans="1:42" ht="20.100000000000001" customHeight="1" x14ac:dyDescent="0.25">
      <c r="A6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8" t="str">
        <f>IF(NOTA[[#This Row],[ID_P]]="","",MATCH(NOTA[[#This Row],[ID_P]],[1]!B_MSK[N_ID],0))</f>
        <v/>
      </c>
      <c r="D644" s="58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26"/>
      <c r="J644" s="51"/>
      <c r="K644" s="26"/>
      <c r="L644" s="26"/>
      <c r="M644" s="39"/>
      <c r="N644" s="26"/>
      <c r="O644" s="26"/>
      <c r="P644" s="49"/>
      <c r="Q644" s="52"/>
      <c r="R644" s="39"/>
      <c r="S644" s="53"/>
      <c r="T644" s="53"/>
      <c r="U644" s="54"/>
      <c r="V644" s="37"/>
      <c r="W644" s="59" t="str">
        <f>IF(NOTA[[#This Row],[HARGA/ CTN]]="",NOTA[[#This Row],[JUMLAH_H]],NOTA[[#This Row],[HARGA/ CTN]]*IF(NOTA[[#This Row],[C]]="",0,NOTA[[#This Row],[C]]))</f>
        <v/>
      </c>
      <c r="X644" s="59" t="str">
        <f>IF(NOTA[[#This Row],[JUMLAH]]="","",NOTA[[#This Row],[JUMLAH]]*NOTA[[#This Row],[DISC 1]])</f>
        <v/>
      </c>
      <c r="Y644" s="59" t="str">
        <f>IF(NOTA[[#This Row],[JUMLAH]]="","",(NOTA[[#This Row],[JUMLAH]]-NOTA[[#This Row],[DISC 1-]])*NOTA[[#This Row],[DISC 2]])</f>
        <v/>
      </c>
      <c r="Z644" s="59" t="str">
        <f>IF(NOTA[[#This Row],[JUMLAH]]="","",NOTA[[#This Row],[DISC 1-]]+NOTA[[#This Row],[DISC 2-]])</f>
        <v/>
      </c>
      <c r="AA644" s="59" t="str">
        <f>IF(NOTA[[#This Row],[JUMLAH]]="","",NOTA[[#This Row],[JUMLAH]]-NOTA[[#This Row],[DISC]])</f>
        <v/>
      </c>
      <c r="AB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59" t="str">
        <f>IF(OR(NOTA[[#This Row],[QTY]]="",NOTA[[#This Row],[HARGA SATUAN]]="",),"",NOTA[[#This Row],[QTY]]*NOTA[[#This Row],[HARGA SATUAN]])</f>
        <v/>
      </c>
      <c r="AF644" s="60" t="str">
        <f ca="1">IF(NOTA[ID_H]="","",INDEX(NOTA[TANGGAL],MATCH(,INDIRECT(ADDRESS(ROW(NOTA[TANGGAL]),COLUMN(NOTA[TANGGAL]))&amp;":"&amp;ADDRESS(ROW(),COLUMN(NOTA[TANGGAL]))),-1)))</f>
        <v/>
      </c>
      <c r="AG644" s="57" t="str">
        <f ca="1">IF(NOTA[[#This Row],[NAMA BARANG]]="","",INDEX(NOTA[SUPPLIER],MATCH(,INDIRECT(ADDRESS(ROW(NOTA[ID]),COLUMN(NOTA[ID]))&amp;":"&amp;ADDRESS(ROW(),COLUMN(NOTA[ID]))),-1)))</f>
        <v/>
      </c>
      <c r="AH644" s="57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38" t="str">
        <f>IF(NOTA[[#This Row],[CONCAT4]]="","",_xlfn.IFNA(MATCH(NOTA[[#This Row],[CONCAT4]],[2]!RAW[CONCAT_H],0),FALSE))</f>
        <v/>
      </c>
      <c r="AP644" s="174" t="str">
        <f>IF(NOTA[[#This Row],[CONCAT1]]="","",MATCH(NOTA[[#This Row],[CONCAT1]],[3]!db[NB NOTA_C],0)+1)</f>
        <v/>
      </c>
    </row>
    <row r="645" spans="1:42" s="48" customFormat="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8" t="str">
        <f>IF(NOTA[[#This Row],[ID_P]]="","",MATCH(NOTA[[#This Row],[ID_P]],[1]!B_MSK[N_ID],0))</f>
        <v/>
      </c>
      <c r="D645" s="58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49"/>
      <c r="Q645" s="52"/>
      <c r="R645" s="39"/>
      <c r="S645" s="53"/>
      <c r="T645" s="53"/>
      <c r="U645" s="54"/>
      <c r="V645" s="37"/>
      <c r="W645" s="59" t="str">
        <f>IF(NOTA[[#This Row],[HARGA/ CTN]]="",NOTA[[#This Row],[JUMLAH_H]],NOTA[[#This Row],[HARGA/ CTN]]*IF(NOTA[[#This Row],[C]]="",0,NOTA[[#This Row],[C]]))</f>
        <v/>
      </c>
      <c r="X645" s="59" t="str">
        <f>IF(NOTA[[#This Row],[JUMLAH]]="","",NOTA[[#This Row],[JUMLAH]]*NOTA[[#This Row],[DISC 1]])</f>
        <v/>
      </c>
      <c r="Y645" s="59" t="str">
        <f>IF(NOTA[[#This Row],[JUMLAH]]="","",(NOTA[[#This Row],[JUMLAH]]-NOTA[[#This Row],[DISC 1-]])*NOTA[[#This Row],[DISC 2]])</f>
        <v/>
      </c>
      <c r="Z645" s="59" t="str">
        <f>IF(NOTA[[#This Row],[JUMLAH]]="","",NOTA[[#This Row],[DISC 1-]]+NOTA[[#This Row],[DISC 2-]])</f>
        <v/>
      </c>
      <c r="AA645" s="59" t="str">
        <f>IF(NOTA[[#This Row],[JUMLAH]]="","",NOTA[[#This Row],[JUMLAH]]-NOTA[[#This Row],[DISC]])</f>
        <v/>
      </c>
      <c r="AB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9" t="str">
        <f>IF(OR(NOTA[[#This Row],[QTY]]="",NOTA[[#This Row],[HARGA SATUAN]]="",),"",NOTA[[#This Row],[QTY]]*NOTA[[#This Row],[HARGA SATUAN]])</f>
        <v/>
      </c>
      <c r="AF645" s="60" t="str">
        <f ca="1">IF(NOTA[ID_H]="","",INDEX(NOTA[TANGGAL],MATCH(,INDIRECT(ADDRESS(ROW(NOTA[TANGGAL]),COLUMN(NOTA[TANGGAL]))&amp;":"&amp;ADDRESS(ROW(),COLUMN(NOTA[TANGGAL]))),-1)))</f>
        <v/>
      </c>
      <c r="AG645" s="57" t="str">
        <f ca="1">IF(NOTA[[#This Row],[NAMA BARANG]]="","",INDEX(NOTA[SUPPLIER],MATCH(,INDIRECT(ADDRESS(ROW(NOTA[ID]),COLUMN(NOTA[ID]))&amp;":"&amp;ADDRESS(ROW(),COLUMN(NOTA[ID]))),-1)))</f>
        <v/>
      </c>
      <c r="AH645" s="57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5" s="38" t="str">
        <f>IF(NOTA[[#This Row],[CONCAT4]]="","",_xlfn.IFNA(MATCH(NOTA[[#This Row],[CONCAT4]],[2]!RAW[CONCAT_H],0),FALSE))</f>
        <v/>
      </c>
      <c r="AP645" s="174" t="str">
        <f>IF(NOTA[[#This Row],[CONCAT1]]="","",MATCH(NOTA[[#This Row],[CONCAT1]],[3]!db[NB NOTA_C],0)+1)</f>
        <v/>
      </c>
    </row>
    <row r="646" spans="1:42" ht="20.100000000000001" customHeight="1" x14ac:dyDescent="0.25">
      <c r="A6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8" t="str">
        <f>IF(NOTA[[#This Row],[ID_P]]="","",MATCH(NOTA[[#This Row],[ID_P]],[1]!B_MSK[N_ID],0))</f>
        <v/>
      </c>
      <c r="D646" s="58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49"/>
      <c r="Q646" s="52"/>
      <c r="R646" s="39"/>
      <c r="S646" s="53"/>
      <c r="T646" s="53"/>
      <c r="U646" s="54"/>
      <c r="V646" s="37"/>
      <c r="W646" s="59" t="str">
        <f>IF(NOTA[[#This Row],[HARGA/ CTN]]="",NOTA[[#This Row],[JUMLAH_H]],NOTA[[#This Row],[HARGA/ CTN]]*IF(NOTA[[#This Row],[C]]="",0,NOTA[[#This Row],[C]]))</f>
        <v/>
      </c>
      <c r="X646" s="59" t="str">
        <f>IF(NOTA[[#This Row],[JUMLAH]]="","",NOTA[[#This Row],[JUMLAH]]*NOTA[[#This Row],[DISC 1]])</f>
        <v/>
      </c>
      <c r="Y646" s="59" t="str">
        <f>IF(NOTA[[#This Row],[JUMLAH]]="","",(NOTA[[#This Row],[JUMLAH]]-NOTA[[#This Row],[DISC 1-]])*NOTA[[#This Row],[DISC 2]])</f>
        <v/>
      </c>
      <c r="Z646" s="59" t="str">
        <f>IF(NOTA[[#This Row],[JUMLAH]]="","",NOTA[[#This Row],[DISC 1-]]+NOTA[[#This Row],[DISC 2-]])</f>
        <v/>
      </c>
      <c r="AA646" s="59" t="str">
        <f>IF(NOTA[[#This Row],[JUMLAH]]="","",NOTA[[#This Row],[JUMLAH]]-NOTA[[#This Row],[DISC]])</f>
        <v/>
      </c>
      <c r="AB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59" t="str">
        <f>IF(OR(NOTA[[#This Row],[QTY]]="",NOTA[[#This Row],[HARGA SATUAN]]="",),"",NOTA[[#This Row],[QTY]]*NOTA[[#This Row],[HARGA SATUAN]])</f>
        <v/>
      </c>
      <c r="AF646" s="60" t="str">
        <f ca="1">IF(NOTA[ID_H]="","",INDEX(NOTA[TANGGAL],MATCH(,INDIRECT(ADDRESS(ROW(NOTA[TANGGAL]),COLUMN(NOTA[TANGGAL]))&amp;":"&amp;ADDRESS(ROW(),COLUMN(NOTA[TANGGAL]))),-1)))</f>
        <v/>
      </c>
      <c r="AG646" s="57" t="str">
        <f ca="1">IF(NOTA[[#This Row],[NAMA BARANG]]="","",INDEX(NOTA[SUPPLIER],MATCH(,INDIRECT(ADDRESS(ROW(NOTA[ID]),COLUMN(NOTA[ID]))&amp;":"&amp;ADDRESS(ROW(),COLUMN(NOTA[ID]))),-1)))</f>
        <v/>
      </c>
      <c r="AH646" s="57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38" t="str">
        <f>IF(NOTA[[#This Row],[CONCAT4]]="","",_xlfn.IFNA(MATCH(NOTA[[#This Row],[CONCAT4]],[2]!RAW[CONCAT_H],0),FALSE))</f>
        <v/>
      </c>
      <c r="AP646" s="174" t="str">
        <f>IF(NOTA[[#This Row],[CONCAT1]]="","",MATCH(NOTA[[#This Row],[CONCAT1]],[3]!db[NB NOTA_C],0)+1)</f>
        <v/>
      </c>
    </row>
    <row r="647" spans="1:42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23"/>
      <c r="F647" s="26"/>
      <c r="G647" s="26"/>
      <c r="H647" s="31"/>
      <c r="I647" s="26"/>
      <c r="J647" s="51"/>
      <c r="K647" s="26"/>
      <c r="L647" s="26"/>
      <c r="M647" s="39"/>
      <c r="N647" s="26"/>
      <c r="O647" s="26"/>
      <c r="P647" s="49"/>
      <c r="Q647" s="52"/>
      <c r="R647" s="39"/>
      <c r="S647" s="53"/>
      <c r="T647" s="53"/>
      <c r="U647" s="54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38" t="str">
        <f>IF(NOTA[[#This Row],[CONCAT4]]="","",_xlfn.IFNA(MATCH(NOTA[[#This Row],[CONCAT4]],[2]!RAW[CONCAT_H],0),FALSE))</f>
        <v/>
      </c>
      <c r="AP647" s="174" t="str">
        <f>IF(NOTA[[#This Row],[CONCAT1]]="","",MATCH(NOTA[[#This Row],[CONCAT1]],[3]!db[NB NOTA_C],0)+1)</f>
        <v/>
      </c>
    </row>
    <row r="648" spans="1:42" s="48" customFormat="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23"/>
      <c r="F648" s="26"/>
      <c r="G648" s="26"/>
      <c r="H648" s="31"/>
      <c r="I648" s="26"/>
      <c r="J648" s="51"/>
      <c r="K648" s="26"/>
      <c r="L648" s="26"/>
      <c r="M648" s="39"/>
      <c r="N648" s="26"/>
      <c r="O648" s="26"/>
      <c r="P648" s="49"/>
      <c r="Q648" s="52"/>
      <c r="R648" s="39"/>
      <c r="S648" s="53"/>
      <c r="T648" s="53"/>
      <c r="U648" s="54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38" t="str">
        <f>IF(NOTA[[#This Row],[CONCAT4]]="","",_xlfn.IFNA(MATCH(NOTA[[#This Row],[CONCAT4]],[2]!RAW[CONCAT_H],0),FALSE))</f>
        <v/>
      </c>
      <c r="AP648" s="174" t="str">
        <f>IF(NOTA[[#This Row],[CONCAT1]]="","",MATCH(NOTA[[#This Row],[CONCAT1]],[3]!db[NB NOTA_C],0)+1)</f>
        <v/>
      </c>
    </row>
    <row r="649" spans="1:42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51"/>
      <c r="K649" s="26"/>
      <c r="L649" s="26"/>
      <c r="M649" s="39"/>
      <c r="N649" s="26"/>
      <c r="O649" s="26"/>
      <c r="P649" s="49"/>
      <c r="Q649" s="52"/>
      <c r="R649" s="39"/>
      <c r="S649" s="53"/>
      <c r="T649" s="53"/>
      <c r="U649" s="54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38" t="str">
        <f>IF(NOTA[[#This Row],[CONCAT4]]="","",_xlfn.IFNA(MATCH(NOTA[[#This Row],[CONCAT4]],[2]!RAW[CONCAT_H],0),FALSE))</f>
        <v/>
      </c>
      <c r="AP649" s="174" t="str">
        <f>IF(NOTA[[#This Row],[CONCAT1]]="","",MATCH(NOTA[[#This Row],[CONCAT1]],[3]!db[NB NOTA_C],0)+1)</f>
        <v/>
      </c>
    </row>
    <row r="650" spans="1:42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23"/>
      <c r="F650" s="26"/>
      <c r="G650" s="26"/>
      <c r="H650" s="31"/>
      <c r="I650" s="26"/>
      <c r="J650" s="51"/>
      <c r="K650" s="26"/>
      <c r="L650" s="26"/>
      <c r="M650" s="39"/>
      <c r="N650" s="26"/>
      <c r="O650" s="26"/>
      <c r="P650" s="49"/>
      <c r="Q650" s="52"/>
      <c r="R650" s="39"/>
      <c r="S650" s="53"/>
      <c r="T650" s="53"/>
      <c r="U650" s="54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38" t="str">
        <f>IF(NOTA[[#This Row],[CONCAT4]]="","",_xlfn.IFNA(MATCH(NOTA[[#This Row],[CONCAT4]],[2]!RAW[CONCAT_H],0),FALSE))</f>
        <v/>
      </c>
      <c r="AP650" s="174" t="str">
        <f>IF(NOTA[[#This Row],[CONCAT1]]="","",MATCH(NOTA[[#This Row],[CONCAT1]],[3]!db[NB NOTA_C],0)+1)</f>
        <v/>
      </c>
    </row>
    <row r="651" spans="1:42" s="48" customFormat="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38" t="str">
        <f>IF(NOTA[[#This Row],[CONCAT4]]="","",_xlfn.IFNA(MATCH(NOTA[[#This Row],[CONCAT4]],[2]!RAW[CONCAT_H],0),FALSE))</f>
        <v/>
      </c>
      <c r="AP651" s="174" t="str">
        <f>IF(NOTA[[#This Row],[CONCAT1]]="","",MATCH(NOTA[[#This Row],[CONCAT1]],[3]!db[NB NOTA_C],0)+1)</f>
        <v/>
      </c>
    </row>
    <row r="652" spans="1:42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23"/>
      <c r="F652" s="26"/>
      <c r="G652" s="26"/>
      <c r="H652" s="31"/>
      <c r="I652" s="26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2" s="38" t="str">
        <f>IF(NOTA[[#This Row],[CONCAT4]]="","",_xlfn.IFNA(MATCH(NOTA[[#This Row],[CONCAT4]],[2]!RAW[CONCAT_H],0),FALSE))</f>
        <v/>
      </c>
      <c r="AP652" s="174" t="str">
        <f>IF(NOTA[[#This Row],[CONCAT1]]="","",MATCH(NOTA[[#This Row],[CONCAT1]],[3]!db[NB NOTA_C],0)+1)</f>
        <v/>
      </c>
    </row>
    <row r="653" spans="1:42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38" t="str">
        <f>IF(NOTA[[#This Row],[CONCAT4]]="","",_xlfn.IFNA(MATCH(NOTA[[#This Row],[CONCAT4]],[2]!RAW[CONCAT_H],0),FALSE))</f>
        <v/>
      </c>
      <c r="AP653" s="174" t="str">
        <f>IF(NOTA[[#This Row],[CONCAT1]]="","",MATCH(NOTA[[#This Row],[CONCAT1]],[3]!db[NB NOTA_C],0)+1)</f>
        <v/>
      </c>
    </row>
    <row r="654" spans="1:42" s="48" customFormat="1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32"/>
      <c r="G654" s="32"/>
      <c r="H654" s="55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4" s="38" t="str">
        <f>IF(NOTA[[#This Row],[CONCAT4]]="","",_xlfn.IFNA(MATCH(NOTA[[#This Row],[CONCAT4]],[2]!RAW[CONCAT_H],0),FALSE))</f>
        <v/>
      </c>
      <c r="AP654" s="174" t="str">
        <f>IF(NOTA[[#This Row],[CONCAT1]]="","",MATCH(NOTA[[#This Row],[CONCAT1]],[3]!db[NB NOTA_C],0)+1)</f>
        <v/>
      </c>
    </row>
    <row r="655" spans="1:42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32"/>
      <c r="G655" s="32"/>
      <c r="H655" s="31"/>
      <c r="I655" s="32"/>
      <c r="J655" s="33"/>
      <c r="K655" s="32"/>
      <c r="L655" s="26"/>
      <c r="M655" s="34"/>
      <c r="N655" s="32"/>
      <c r="O655" s="32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38" t="str">
        <f>IF(NOTA[[#This Row],[CONCAT4]]="","",_xlfn.IFNA(MATCH(NOTA[[#This Row],[CONCAT4]],[2]!RAW[CONCAT_H],0),FALSE))</f>
        <v/>
      </c>
      <c r="AP655" s="174" t="str">
        <f>IF(NOTA[[#This Row],[CONCAT1]]="","",MATCH(NOTA[[#This Row],[CONCAT1]],[3]!db[NB NOTA_C],0)+1)</f>
        <v/>
      </c>
    </row>
    <row r="656" spans="1:42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26"/>
      <c r="G656" s="26"/>
      <c r="H656" s="31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38" t="str">
        <f>IF(NOTA[[#This Row],[CONCAT4]]="","",_xlfn.IFNA(MATCH(NOTA[[#This Row],[CONCAT4]],[2]!RAW[CONCAT_H],0),FALSE))</f>
        <v/>
      </c>
      <c r="AP656" s="174" t="str">
        <f>IF(NOTA[[#This Row],[CONCAT1]]="","",MATCH(NOTA[[#This Row],[CONCAT1]],[3]!db[NB NOTA_C],0)+1)</f>
        <v/>
      </c>
    </row>
    <row r="657" spans="1:42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38" t="str">
        <f>IF(NOTA[[#This Row],[CONCAT4]]="","",_xlfn.IFNA(MATCH(NOTA[[#This Row],[CONCAT4]],[2]!RAW[CONCAT_H],0),FALSE))</f>
        <v/>
      </c>
      <c r="AP657" s="174" t="str">
        <f>IF(NOTA[[#This Row],[CONCAT1]]="","",MATCH(NOTA[[#This Row],[CONCAT1]],[3]!db[NB NOTA_C],0)+1)</f>
        <v/>
      </c>
    </row>
    <row r="658" spans="1:42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38" t="str">
        <f>IF(NOTA[[#This Row],[CONCAT4]]="","",_xlfn.IFNA(MATCH(NOTA[[#This Row],[CONCAT4]],[2]!RAW[CONCAT_H],0),FALSE))</f>
        <v/>
      </c>
      <c r="AP658" s="174" t="str">
        <f>IF(NOTA[[#This Row],[CONCAT1]]="","",MATCH(NOTA[[#This Row],[CONCAT1]],[3]!db[NB NOTA_C],0)+1)</f>
        <v/>
      </c>
    </row>
    <row r="659" spans="1:42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38" t="str">
        <f>IF(NOTA[[#This Row],[CONCAT4]]="","",_xlfn.IFNA(MATCH(NOTA[[#This Row],[CONCAT4]],[2]!RAW[CONCAT_H],0),FALSE))</f>
        <v/>
      </c>
      <c r="AP659" s="174" t="str">
        <f>IF(NOTA[[#This Row],[CONCAT1]]="","",MATCH(NOTA[[#This Row],[CONCAT1]],[3]!db[NB NOTA_C],0)+1)</f>
        <v/>
      </c>
    </row>
    <row r="660" spans="1:42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31"/>
      <c r="I660" s="32"/>
      <c r="J660" s="33"/>
      <c r="K660" s="32"/>
      <c r="L660" s="26"/>
      <c r="M660" s="34"/>
      <c r="N660" s="26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38" t="str">
        <f>IF(NOTA[[#This Row],[CONCAT4]]="","",_xlfn.IFNA(MATCH(NOTA[[#This Row],[CONCAT4]],[2]!RAW[CONCAT_H],0),FALSE))</f>
        <v/>
      </c>
      <c r="AP660" s="174" t="str">
        <f>IF(NOTA[[#This Row],[CONCAT1]]="","",MATCH(NOTA[[#This Row],[CONCAT1]],[3]!db[NB NOTA_C],0)+1)</f>
        <v/>
      </c>
    </row>
    <row r="661" spans="1:42" ht="20.100000000000001" customHeight="1" x14ac:dyDescent="0.25">
      <c r="A66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110"/>
      <c r="G661" s="110"/>
      <c r="H661" s="111"/>
      <c r="I661" s="110"/>
      <c r="J661" s="112"/>
      <c r="K661" s="110"/>
      <c r="L661" s="38"/>
      <c r="M661" s="113"/>
      <c r="N661" s="110"/>
      <c r="O661" s="38"/>
      <c r="P661" s="114"/>
      <c r="Q661" s="115"/>
      <c r="R661" s="39"/>
      <c r="S661" s="116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38" t="str">
        <f>IF(NOTA[[#This Row],[CONCAT4]]="","",_xlfn.IFNA(MATCH(NOTA[[#This Row],[CONCAT4]],[2]!RAW[CONCAT_H],0),FALSE))</f>
        <v/>
      </c>
      <c r="AP661" s="174" t="str">
        <f>IF(NOTA[[#This Row],[CONCAT1]]="","",MATCH(NOTA[[#This Row],[CONCAT1]],[3]!db[NB NOTA_C],0)+1)</f>
        <v/>
      </c>
    </row>
    <row r="662" spans="1:42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38" t="str">
        <f>IF(NOTA[[#This Row],[CONCAT4]]="","",_xlfn.IFNA(MATCH(NOTA[[#This Row],[CONCAT4]],[2]!RAW[CONCAT_H],0),FALSE))</f>
        <v/>
      </c>
      <c r="AP662" s="174" t="str">
        <f>IF(NOTA[[#This Row],[CONCAT1]]="","",MATCH(NOTA[[#This Row],[CONCAT1]],[3]!db[NB NOTA_C],0)+1)</f>
        <v/>
      </c>
    </row>
    <row r="663" spans="1:42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32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38" t="str">
        <f>IF(NOTA[[#This Row],[CONCAT4]]="","",_xlfn.IFNA(MATCH(NOTA[[#This Row],[CONCAT4]],[2]!RAW[CONCAT_H],0),FALSE))</f>
        <v/>
      </c>
      <c r="AP663" s="174" t="str">
        <f>IF(NOTA[[#This Row],[CONCAT1]]="","",MATCH(NOTA[[#This Row],[CONCAT1]],[3]!db[NB NOTA_C],0)+1)</f>
        <v/>
      </c>
    </row>
    <row r="664" spans="1:42" ht="20.100000000000001" customHeight="1" x14ac:dyDescent="0.25">
      <c r="A66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8" t="str">
        <f>IF(NOTA[[#This Row],[ID_P]]="","",MATCH(NOTA[[#This Row],[ID_P]],[1]!B_MSK[N_ID],0))</f>
        <v/>
      </c>
      <c r="D664" s="58" t="str">
        <f ca="1">IF(NOTA[[#This Row],[NAMA BARANG]]="","",INDEX(NOTA[ID],MATCH(,INDIRECT(ADDRESS(ROW(NOTA[ID]),COLUMN(NOTA[ID]))&amp;":"&amp;ADDRESS(ROW(),COLUMN(NOTA[ID]))),-1)))</f>
        <v/>
      </c>
      <c r="E664" s="61"/>
      <c r="F664" s="26"/>
      <c r="G664" s="26"/>
      <c r="H664" s="31"/>
      <c r="I664" s="62"/>
      <c r="J664" s="60"/>
      <c r="K664" s="62"/>
      <c r="L664" s="26"/>
      <c r="M664" s="34"/>
      <c r="N664" s="32"/>
      <c r="O664" s="26"/>
      <c r="P664" s="28"/>
      <c r="Q664" s="46"/>
      <c r="R664" s="39"/>
      <c r="S664" s="35"/>
      <c r="T664" s="117"/>
      <c r="U664" s="59"/>
      <c r="V664" s="37"/>
      <c r="W664" s="59" t="str">
        <f>IF(NOTA[[#This Row],[HARGA/ CTN]]="",NOTA[[#This Row],[JUMLAH_H]],NOTA[[#This Row],[HARGA/ CTN]]*IF(NOTA[[#This Row],[C]]="",0,NOTA[[#This Row],[C]]))</f>
        <v/>
      </c>
      <c r="X664" s="59" t="str">
        <f>IF(NOTA[[#This Row],[JUMLAH]]="","",NOTA[[#This Row],[JUMLAH]]*NOTA[[#This Row],[DISC 1]])</f>
        <v/>
      </c>
      <c r="Y664" s="59" t="str">
        <f>IF(NOTA[[#This Row],[JUMLAH]]="","",(NOTA[[#This Row],[JUMLAH]]-NOTA[[#This Row],[DISC 1-]])*NOTA[[#This Row],[DISC 2]])</f>
        <v/>
      </c>
      <c r="Z664" s="59" t="str">
        <f>IF(NOTA[[#This Row],[JUMLAH]]="","",NOTA[[#This Row],[DISC 1-]]+NOTA[[#This Row],[DISC 2-]])</f>
        <v/>
      </c>
      <c r="AA664" s="59" t="str">
        <f>IF(NOTA[[#This Row],[JUMLAH]]="","",NOTA[[#This Row],[JUMLAH]]-NOTA[[#This Row],[DISC]])</f>
        <v/>
      </c>
      <c r="AB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59" t="str">
        <f>IF(OR(NOTA[[#This Row],[QTY]]="",NOTA[[#This Row],[HARGA SATUAN]]="",),"",NOTA[[#This Row],[QTY]]*NOTA[[#This Row],[HARGA SATUAN]])</f>
        <v/>
      </c>
      <c r="AF664" s="60" t="str">
        <f ca="1">IF(NOTA[ID_H]="","",INDEX(NOTA[TANGGAL],MATCH(,INDIRECT(ADDRESS(ROW(NOTA[TANGGAL]),COLUMN(NOTA[TANGGAL]))&amp;":"&amp;ADDRESS(ROW(),COLUMN(NOTA[TANGGAL]))),-1)))</f>
        <v/>
      </c>
      <c r="AG664" s="57" t="str">
        <f ca="1">IF(NOTA[[#This Row],[NAMA BARANG]]="","",INDEX(NOTA[SUPPLIER],MATCH(,INDIRECT(ADDRESS(ROW(NOTA[ID]),COLUMN(NOTA[ID]))&amp;":"&amp;ADDRESS(ROW(),COLUMN(NOTA[ID]))),-1)))</f>
        <v/>
      </c>
      <c r="AH664" s="57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4" s="38" t="str">
        <f>IF(NOTA[[#This Row],[CONCAT4]]="","",_xlfn.IFNA(MATCH(NOTA[[#This Row],[CONCAT4]],[2]!RAW[CONCAT_H],0),FALSE))</f>
        <v/>
      </c>
      <c r="AP664" s="174" t="str">
        <f>IF(NOTA[[#This Row],[CONCAT1]]="","",MATCH(NOTA[[#This Row],[CONCAT1]],[3]!db[NB NOTA_C],0)+1)</f>
        <v/>
      </c>
    </row>
    <row r="665" spans="1:42" ht="20.100000000000001" customHeight="1" x14ac:dyDescent="0.25">
      <c r="A66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8" t="str">
        <f>IF(NOTA[[#This Row],[ID_P]]="","",MATCH(NOTA[[#This Row],[ID_P]],[1]!B_MSK[N_ID],0))</f>
        <v/>
      </c>
      <c r="D665" s="58" t="str">
        <f ca="1">IF(NOTA[[#This Row],[NAMA BARANG]]="","",INDEX(NOTA[ID],MATCH(,INDIRECT(ADDRESS(ROW(NOTA[ID]),COLUMN(NOTA[ID]))&amp;":"&amp;ADDRESS(ROW(),COLUMN(NOTA[ID]))),-1)))</f>
        <v/>
      </c>
      <c r="E665" s="61"/>
      <c r="F665" s="62"/>
      <c r="G665" s="62"/>
      <c r="H665" s="107"/>
      <c r="I665" s="62"/>
      <c r="J665" s="60"/>
      <c r="K665" s="62"/>
      <c r="L665" s="26"/>
      <c r="M665" s="63"/>
      <c r="N665" s="62"/>
      <c r="O665" s="26"/>
      <c r="P665" s="57"/>
      <c r="Q665" s="64"/>
      <c r="R665" s="39"/>
      <c r="S665" s="117"/>
      <c r="T665" s="117"/>
      <c r="U665" s="59"/>
      <c r="V665" s="37"/>
      <c r="W665" s="59" t="str">
        <f>IF(NOTA[[#This Row],[HARGA/ CTN]]="",NOTA[[#This Row],[JUMLAH_H]],NOTA[[#This Row],[HARGA/ CTN]]*IF(NOTA[[#This Row],[C]]="",0,NOTA[[#This Row],[C]]))</f>
        <v/>
      </c>
      <c r="X665" s="59" t="str">
        <f>IF(NOTA[[#This Row],[JUMLAH]]="","",NOTA[[#This Row],[JUMLAH]]*NOTA[[#This Row],[DISC 1]])</f>
        <v/>
      </c>
      <c r="Y665" s="59" t="str">
        <f>IF(NOTA[[#This Row],[JUMLAH]]="","",(NOTA[[#This Row],[JUMLAH]]-NOTA[[#This Row],[DISC 1-]])*NOTA[[#This Row],[DISC 2]])</f>
        <v/>
      </c>
      <c r="Z665" s="59" t="str">
        <f>IF(NOTA[[#This Row],[JUMLAH]]="","",NOTA[[#This Row],[DISC 1-]]+NOTA[[#This Row],[DISC 2-]])</f>
        <v/>
      </c>
      <c r="AA665" s="59" t="str">
        <f>IF(NOTA[[#This Row],[JUMLAH]]="","",NOTA[[#This Row],[JUMLAH]]-NOTA[[#This Row],[DISC]])</f>
        <v/>
      </c>
      <c r="AB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59" t="str">
        <f>IF(OR(NOTA[[#This Row],[QTY]]="",NOTA[[#This Row],[HARGA SATUAN]]="",),"",NOTA[[#This Row],[QTY]]*NOTA[[#This Row],[HARGA SATUAN]])</f>
        <v/>
      </c>
      <c r="AF665" s="60" t="str">
        <f ca="1">IF(NOTA[ID_H]="","",INDEX(NOTA[TANGGAL],MATCH(,INDIRECT(ADDRESS(ROW(NOTA[TANGGAL]),COLUMN(NOTA[TANGGAL]))&amp;":"&amp;ADDRESS(ROW(),COLUMN(NOTA[TANGGAL]))),-1)))</f>
        <v/>
      </c>
      <c r="AG665" s="57" t="str">
        <f ca="1">IF(NOTA[[#This Row],[NAMA BARANG]]="","",INDEX(NOTA[SUPPLIER],MATCH(,INDIRECT(ADDRESS(ROW(NOTA[ID]),COLUMN(NOTA[ID]))&amp;":"&amp;ADDRESS(ROW(),COLUMN(NOTA[ID]))),-1)))</f>
        <v/>
      </c>
      <c r="AH665" s="57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38" t="str">
        <f>IF(NOTA[[#This Row],[CONCAT4]]="","",_xlfn.IFNA(MATCH(NOTA[[#This Row],[CONCAT4]],[2]!RAW[CONCAT_H],0),FALSE))</f>
        <v/>
      </c>
      <c r="AP665" s="174" t="str">
        <f>IF(NOTA[[#This Row],[CONCAT1]]="","",MATCH(NOTA[[#This Row],[CONCAT1]],[3]!db[NB NOTA_C],0)+1)</f>
        <v/>
      </c>
    </row>
    <row r="666" spans="1:42" ht="20.100000000000001" customHeight="1" x14ac:dyDescent="0.25">
      <c r="A66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8" t="str">
        <f>IF(NOTA[[#This Row],[ID_P]]="","",MATCH(NOTA[[#This Row],[ID_P]],[1]!B_MSK[N_ID],0))</f>
        <v/>
      </c>
      <c r="D666" s="58" t="str">
        <f ca="1">IF(NOTA[[#This Row],[NAMA BARANG]]="","",INDEX(NOTA[ID],MATCH(,INDIRECT(ADDRESS(ROW(NOTA[ID]),COLUMN(NOTA[ID]))&amp;":"&amp;ADDRESS(ROW(),COLUMN(NOTA[ID]))),-1)))</f>
        <v/>
      </c>
      <c r="E666" s="61"/>
      <c r="F666" s="62"/>
      <c r="G666" s="62"/>
      <c r="H666" s="107"/>
      <c r="I666" s="62"/>
      <c r="J666" s="60"/>
      <c r="K666" s="62"/>
      <c r="L666" s="26"/>
      <c r="M666" s="63"/>
      <c r="N666" s="62"/>
      <c r="O666" s="26"/>
      <c r="P666" s="57"/>
      <c r="Q666" s="64"/>
      <c r="R666" s="39"/>
      <c r="S666" s="117"/>
      <c r="T666" s="117"/>
      <c r="U666" s="59"/>
      <c r="V666" s="37"/>
      <c r="W666" s="59" t="str">
        <f>IF(NOTA[[#This Row],[HARGA/ CTN]]="",NOTA[[#This Row],[JUMLAH_H]],NOTA[[#This Row],[HARGA/ CTN]]*IF(NOTA[[#This Row],[C]]="",0,NOTA[[#This Row],[C]]))</f>
        <v/>
      </c>
      <c r="X666" s="59" t="str">
        <f>IF(NOTA[[#This Row],[JUMLAH]]="","",NOTA[[#This Row],[JUMLAH]]*NOTA[[#This Row],[DISC 1]])</f>
        <v/>
      </c>
      <c r="Y666" s="59" t="str">
        <f>IF(NOTA[[#This Row],[JUMLAH]]="","",(NOTA[[#This Row],[JUMLAH]]-NOTA[[#This Row],[DISC 1-]])*NOTA[[#This Row],[DISC 2]])</f>
        <v/>
      </c>
      <c r="Z666" s="59" t="str">
        <f>IF(NOTA[[#This Row],[JUMLAH]]="","",NOTA[[#This Row],[DISC 1-]]+NOTA[[#This Row],[DISC 2-]])</f>
        <v/>
      </c>
      <c r="AA666" s="59" t="str">
        <f>IF(NOTA[[#This Row],[JUMLAH]]="","",NOTA[[#This Row],[JUMLAH]]-NOTA[[#This Row],[DISC]])</f>
        <v/>
      </c>
      <c r="AB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59" t="str">
        <f>IF(OR(NOTA[[#This Row],[QTY]]="",NOTA[[#This Row],[HARGA SATUAN]]="",),"",NOTA[[#This Row],[QTY]]*NOTA[[#This Row],[HARGA SATUAN]])</f>
        <v/>
      </c>
      <c r="AF666" s="60" t="str">
        <f ca="1">IF(NOTA[ID_H]="","",INDEX(NOTA[TANGGAL],MATCH(,INDIRECT(ADDRESS(ROW(NOTA[TANGGAL]),COLUMN(NOTA[TANGGAL]))&amp;":"&amp;ADDRESS(ROW(),COLUMN(NOTA[TANGGAL]))),-1)))</f>
        <v/>
      </c>
      <c r="AG666" s="57" t="str">
        <f ca="1">IF(NOTA[[#This Row],[NAMA BARANG]]="","",INDEX(NOTA[SUPPLIER],MATCH(,INDIRECT(ADDRESS(ROW(NOTA[ID]),COLUMN(NOTA[ID]))&amp;":"&amp;ADDRESS(ROW(),COLUMN(NOTA[ID]))),-1)))</f>
        <v/>
      </c>
      <c r="AH666" s="57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6" s="38" t="str">
        <f>IF(NOTA[[#This Row],[CONCAT4]]="","",_xlfn.IFNA(MATCH(NOTA[[#This Row],[CONCAT4]],[2]!RAW[CONCAT_H],0),FALSE))</f>
        <v/>
      </c>
      <c r="AP666" s="174" t="str">
        <f>IF(NOTA[[#This Row],[CONCAT1]]="","",MATCH(NOTA[[#This Row],[CONCAT1]],[3]!db[NB NOTA_C],0)+1)</f>
        <v/>
      </c>
    </row>
    <row r="667" spans="1:42" ht="20.100000000000001" customHeight="1" x14ac:dyDescent="0.25">
      <c r="A6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8" t="str">
        <f>IF(NOTA[[#This Row],[ID_P]]="","",MATCH(NOTA[[#This Row],[ID_P]],[1]!B_MSK[N_ID],0))</f>
        <v/>
      </c>
      <c r="D667" s="58" t="str">
        <f ca="1">IF(NOTA[[#This Row],[NAMA BARANG]]="","",INDEX(NOTA[ID],MATCH(,INDIRECT(ADDRESS(ROW(NOTA[ID]),COLUMN(NOTA[ID]))&amp;":"&amp;ADDRESS(ROW(),COLUMN(NOTA[ID]))),-1)))</f>
        <v/>
      </c>
      <c r="E667" s="61"/>
      <c r="F667" s="62"/>
      <c r="G667" s="62"/>
      <c r="H667" s="107"/>
      <c r="I667" s="62"/>
      <c r="J667" s="60"/>
      <c r="K667" s="62"/>
      <c r="L667" s="26"/>
      <c r="M667" s="63"/>
      <c r="N667" s="62"/>
      <c r="O667" s="26"/>
      <c r="P667" s="57"/>
      <c r="Q667" s="64"/>
      <c r="R667" s="39"/>
      <c r="S667" s="117"/>
      <c r="T667" s="117"/>
      <c r="U667" s="59"/>
      <c r="V667" s="37"/>
      <c r="W667" s="59" t="str">
        <f>IF(NOTA[[#This Row],[HARGA/ CTN]]="",NOTA[[#This Row],[JUMLAH_H]],NOTA[[#This Row],[HARGA/ CTN]]*IF(NOTA[[#This Row],[C]]="",0,NOTA[[#This Row],[C]]))</f>
        <v/>
      </c>
      <c r="X667" s="59" t="str">
        <f>IF(NOTA[[#This Row],[JUMLAH]]="","",NOTA[[#This Row],[JUMLAH]]*NOTA[[#This Row],[DISC 1]])</f>
        <v/>
      </c>
      <c r="Y667" s="59" t="str">
        <f>IF(NOTA[[#This Row],[JUMLAH]]="","",(NOTA[[#This Row],[JUMLAH]]-NOTA[[#This Row],[DISC 1-]])*NOTA[[#This Row],[DISC 2]])</f>
        <v/>
      </c>
      <c r="Z667" s="59" t="str">
        <f>IF(NOTA[[#This Row],[JUMLAH]]="","",NOTA[[#This Row],[DISC 1-]]+NOTA[[#This Row],[DISC 2-]])</f>
        <v/>
      </c>
      <c r="AA667" s="59" t="str">
        <f>IF(NOTA[[#This Row],[JUMLAH]]="","",NOTA[[#This Row],[JUMLAH]]-NOTA[[#This Row],[DISC]])</f>
        <v/>
      </c>
      <c r="AB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59" t="str">
        <f>IF(OR(NOTA[[#This Row],[QTY]]="",NOTA[[#This Row],[HARGA SATUAN]]="",),"",NOTA[[#This Row],[QTY]]*NOTA[[#This Row],[HARGA SATUAN]])</f>
        <v/>
      </c>
      <c r="AF667" s="60" t="str">
        <f ca="1">IF(NOTA[ID_H]="","",INDEX(NOTA[TANGGAL],MATCH(,INDIRECT(ADDRESS(ROW(NOTA[TANGGAL]),COLUMN(NOTA[TANGGAL]))&amp;":"&amp;ADDRESS(ROW(),COLUMN(NOTA[TANGGAL]))),-1)))</f>
        <v/>
      </c>
      <c r="AG667" s="57" t="str">
        <f ca="1">IF(NOTA[[#This Row],[NAMA BARANG]]="","",INDEX(NOTA[SUPPLIER],MATCH(,INDIRECT(ADDRESS(ROW(NOTA[ID]),COLUMN(NOTA[ID]))&amp;":"&amp;ADDRESS(ROW(),COLUMN(NOTA[ID]))),-1)))</f>
        <v/>
      </c>
      <c r="AH667" s="57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38" t="str">
        <f>IF(NOTA[[#This Row],[CONCAT4]]="","",_xlfn.IFNA(MATCH(NOTA[[#This Row],[CONCAT4]],[2]!RAW[CONCAT_H],0),FALSE))</f>
        <v/>
      </c>
      <c r="AP667" s="174" t="str">
        <f>IF(NOTA[[#This Row],[CONCAT1]]="","",MATCH(NOTA[[#This Row],[CONCAT1]],[3]!db[NB NOTA_C],0)+1)</f>
        <v/>
      </c>
    </row>
    <row r="668" spans="1:42" ht="20.100000000000001" customHeight="1" x14ac:dyDescent="0.25">
      <c r="A66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8" t="str">
        <f>IF(NOTA[[#This Row],[ID_P]]="","",MATCH(NOTA[[#This Row],[ID_P]],[1]!B_MSK[N_ID],0))</f>
        <v/>
      </c>
      <c r="D668" s="58" t="str">
        <f ca="1">IF(NOTA[[#This Row],[NAMA BARANG]]="","",INDEX(NOTA[ID],MATCH(,INDIRECT(ADDRESS(ROW(NOTA[ID]),COLUMN(NOTA[ID]))&amp;":"&amp;ADDRESS(ROW(),COLUMN(NOTA[ID]))),-1)))</f>
        <v/>
      </c>
      <c r="E668" s="61"/>
      <c r="F668" s="62"/>
      <c r="G668" s="62"/>
      <c r="H668" s="107"/>
      <c r="I668" s="62"/>
      <c r="J668" s="60"/>
      <c r="K668" s="62"/>
      <c r="L668" s="26"/>
      <c r="M668" s="63"/>
      <c r="N668" s="62"/>
      <c r="O668" s="26"/>
      <c r="P668" s="57"/>
      <c r="Q668" s="64"/>
      <c r="R668" s="39"/>
      <c r="S668" s="117"/>
      <c r="T668" s="117"/>
      <c r="U668" s="59"/>
      <c r="V668" s="37"/>
      <c r="W668" s="59" t="str">
        <f>IF(NOTA[[#This Row],[HARGA/ CTN]]="",NOTA[[#This Row],[JUMLAH_H]],NOTA[[#This Row],[HARGA/ CTN]]*IF(NOTA[[#This Row],[C]]="",0,NOTA[[#This Row],[C]]))</f>
        <v/>
      </c>
      <c r="X668" s="59" t="str">
        <f>IF(NOTA[[#This Row],[JUMLAH]]="","",NOTA[[#This Row],[JUMLAH]]*NOTA[[#This Row],[DISC 1]])</f>
        <v/>
      </c>
      <c r="Y668" s="59" t="str">
        <f>IF(NOTA[[#This Row],[JUMLAH]]="","",(NOTA[[#This Row],[JUMLAH]]-NOTA[[#This Row],[DISC 1-]])*NOTA[[#This Row],[DISC 2]])</f>
        <v/>
      </c>
      <c r="Z668" s="59" t="str">
        <f>IF(NOTA[[#This Row],[JUMLAH]]="","",NOTA[[#This Row],[DISC 1-]]+NOTA[[#This Row],[DISC 2-]])</f>
        <v/>
      </c>
      <c r="AA668" s="59" t="str">
        <f>IF(NOTA[[#This Row],[JUMLAH]]="","",NOTA[[#This Row],[JUMLAH]]-NOTA[[#This Row],[DISC]])</f>
        <v/>
      </c>
      <c r="AB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59" t="str">
        <f>IF(OR(NOTA[[#This Row],[QTY]]="",NOTA[[#This Row],[HARGA SATUAN]]="",),"",NOTA[[#This Row],[QTY]]*NOTA[[#This Row],[HARGA SATUAN]])</f>
        <v/>
      </c>
      <c r="AF668" s="60" t="str">
        <f ca="1">IF(NOTA[ID_H]="","",INDEX(NOTA[TANGGAL],MATCH(,INDIRECT(ADDRESS(ROW(NOTA[TANGGAL]),COLUMN(NOTA[TANGGAL]))&amp;":"&amp;ADDRESS(ROW(),COLUMN(NOTA[TANGGAL]))),-1)))</f>
        <v/>
      </c>
      <c r="AG668" s="57" t="str">
        <f ca="1">IF(NOTA[[#This Row],[NAMA BARANG]]="","",INDEX(NOTA[SUPPLIER],MATCH(,INDIRECT(ADDRESS(ROW(NOTA[ID]),COLUMN(NOTA[ID]))&amp;":"&amp;ADDRESS(ROW(),COLUMN(NOTA[ID]))),-1)))</f>
        <v/>
      </c>
      <c r="AH668" s="57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8" s="38" t="str">
        <f>IF(NOTA[[#This Row],[CONCAT4]]="","",_xlfn.IFNA(MATCH(NOTA[[#This Row],[CONCAT4]],[2]!RAW[CONCAT_H],0),FALSE))</f>
        <v/>
      </c>
      <c r="AP668" s="174" t="str">
        <f>IF(NOTA[[#This Row],[CONCAT1]]="","",MATCH(NOTA[[#This Row],[CONCAT1]],[3]!db[NB NOTA_C],0)+1)</f>
        <v/>
      </c>
    </row>
    <row r="669" spans="1:42" ht="20.100000000000001" customHeight="1" x14ac:dyDescent="0.25">
      <c r="A66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8" t="str">
        <f>IF(NOTA[[#This Row],[ID_P]]="","",MATCH(NOTA[[#This Row],[ID_P]],[1]!B_MSK[N_ID],0))</f>
        <v/>
      </c>
      <c r="D669" s="58" t="str">
        <f ca="1">IF(NOTA[[#This Row],[NAMA BARANG]]="","",INDEX(NOTA[ID],MATCH(,INDIRECT(ADDRESS(ROW(NOTA[ID]),COLUMN(NOTA[ID]))&amp;":"&amp;ADDRESS(ROW(),COLUMN(NOTA[ID]))),-1)))</f>
        <v/>
      </c>
      <c r="E669" s="61"/>
      <c r="F669" s="62"/>
      <c r="G669" s="62"/>
      <c r="H669" s="107"/>
      <c r="I669" s="62"/>
      <c r="J669" s="60"/>
      <c r="K669" s="62"/>
      <c r="L669" s="26"/>
      <c r="M669" s="63"/>
      <c r="N669" s="62"/>
      <c r="O669" s="26"/>
      <c r="P669" s="57"/>
      <c r="Q669" s="64"/>
      <c r="R669" s="39"/>
      <c r="S669" s="117"/>
      <c r="T669" s="117"/>
      <c r="U669" s="59"/>
      <c r="V669" s="37"/>
      <c r="W669" s="59" t="str">
        <f>IF(NOTA[[#This Row],[HARGA/ CTN]]="",NOTA[[#This Row],[JUMLAH_H]],NOTA[[#This Row],[HARGA/ CTN]]*IF(NOTA[[#This Row],[C]]="",0,NOTA[[#This Row],[C]]))</f>
        <v/>
      </c>
      <c r="X669" s="59" t="str">
        <f>IF(NOTA[[#This Row],[JUMLAH]]="","",NOTA[[#This Row],[JUMLAH]]*NOTA[[#This Row],[DISC 1]])</f>
        <v/>
      </c>
      <c r="Y669" s="59" t="str">
        <f>IF(NOTA[[#This Row],[JUMLAH]]="","",(NOTA[[#This Row],[JUMLAH]]-NOTA[[#This Row],[DISC 1-]])*NOTA[[#This Row],[DISC 2]])</f>
        <v/>
      </c>
      <c r="Z669" s="59" t="str">
        <f>IF(NOTA[[#This Row],[JUMLAH]]="","",NOTA[[#This Row],[DISC 1-]]+NOTA[[#This Row],[DISC 2-]])</f>
        <v/>
      </c>
      <c r="AA669" s="59" t="str">
        <f>IF(NOTA[[#This Row],[JUMLAH]]="","",NOTA[[#This Row],[JUMLAH]]-NOTA[[#This Row],[DISC]])</f>
        <v/>
      </c>
      <c r="AB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59" t="str">
        <f>IF(OR(NOTA[[#This Row],[QTY]]="",NOTA[[#This Row],[HARGA SATUAN]]="",),"",NOTA[[#This Row],[QTY]]*NOTA[[#This Row],[HARGA SATUAN]])</f>
        <v/>
      </c>
      <c r="AF669" s="60" t="str">
        <f ca="1">IF(NOTA[ID_H]="","",INDEX(NOTA[TANGGAL],MATCH(,INDIRECT(ADDRESS(ROW(NOTA[TANGGAL]),COLUMN(NOTA[TANGGAL]))&amp;":"&amp;ADDRESS(ROW(),COLUMN(NOTA[TANGGAL]))),-1)))</f>
        <v/>
      </c>
      <c r="AG669" s="57" t="str">
        <f ca="1">IF(NOTA[[#This Row],[NAMA BARANG]]="","",INDEX(NOTA[SUPPLIER],MATCH(,INDIRECT(ADDRESS(ROW(NOTA[ID]),COLUMN(NOTA[ID]))&amp;":"&amp;ADDRESS(ROW(),COLUMN(NOTA[ID]))),-1)))</f>
        <v/>
      </c>
      <c r="AH669" s="57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38" t="str">
        <f>IF(NOTA[[#This Row],[CONCAT4]]="","",_xlfn.IFNA(MATCH(NOTA[[#This Row],[CONCAT4]],[2]!RAW[CONCAT_H],0),FALSE))</f>
        <v/>
      </c>
      <c r="AP669" s="174" t="str">
        <f>IF(NOTA[[#This Row],[CONCAT1]]="","",MATCH(NOTA[[#This Row],[CONCAT1]],[3]!db[NB NOTA_C],0)+1)</f>
        <v/>
      </c>
    </row>
    <row r="670" spans="1:42" ht="20.100000000000001" customHeight="1" x14ac:dyDescent="0.25">
      <c r="A6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8" t="str">
        <f>IF(NOTA[[#This Row],[ID_P]]="","",MATCH(NOTA[[#This Row],[ID_P]],[1]!B_MSK[N_ID],0))</f>
        <v/>
      </c>
      <c r="D670" s="58" t="str">
        <f ca="1">IF(NOTA[[#This Row],[NAMA BARANG]]="","",INDEX(NOTA[ID],MATCH(,INDIRECT(ADDRESS(ROW(NOTA[ID]),COLUMN(NOTA[ID]))&amp;":"&amp;ADDRESS(ROW(),COLUMN(NOTA[ID]))),-1)))</f>
        <v/>
      </c>
      <c r="E670" s="61"/>
      <c r="F670" s="62"/>
      <c r="G670" s="62"/>
      <c r="H670" s="107"/>
      <c r="I670" s="62"/>
      <c r="J670" s="60"/>
      <c r="K670" s="62"/>
      <c r="L670" s="26"/>
      <c r="M670" s="63"/>
      <c r="N670" s="62"/>
      <c r="O670" s="62"/>
      <c r="P670" s="57"/>
      <c r="Q670" s="64"/>
      <c r="R670" s="39"/>
      <c r="S670" s="117"/>
      <c r="T670" s="117"/>
      <c r="U670" s="59"/>
      <c r="V670" s="37"/>
      <c r="W670" s="59" t="str">
        <f>IF(NOTA[[#This Row],[HARGA/ CTN]]="",NOTA[[#This Row],[JUMLAH_H]],NOTA[[#This Row],[HARGA/ CTN]]*IF(NOTA[[#This Row],[C]]="",0,NOTA[[#This Row],[C]]))</f>
        <v/>
      </c>
      <c r="X670" s="59" t="str">
        <f>IF(NOTA[[#This Row],[JUMLAH]]="","",NOTA[[#This Row],[JUMLAH]]*NOTA[[#This Row],[DISC 1]])</f>
        <v/>
      </c>
      <c r="Y670" s="59" t="str">
        <f>IF(NOTA[[#This Row],[JUMLAH]]="","",(NOTA[[#This Row],[JUMLAH]]-NOTA[[#This Row],[DISC 1-]])*NOTA[[#This Row],[DISC 2]])</f>
        <v/>
      </c>
      <c r="Z670" s="59" t="str">
        <f>IF(NOTA[[#This Row],[JUMLAH]]="","",NOTA[[#This Row],[DISC 1-]]+NOTA[[#This Row],[DISC 2-]])</f>
        <v/>
      </c>
      <c r="AA670" s="59" t="str">
        <f>IF(NOTA[[#This Row],[JUMLAH]]="","",NOTA[[#This Row],[JUMLAH]]-NOTA[[#This Row],[DISC]])</f>
        <v/>
      </c>
      <c r="AB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59" t="str">
        <f>IF(OR(NOTA[[#This Row],[QTY]]="",NOTA[[#This Row],[HARGA SATUAN]]="",),"",NOTA[[#This Row],[QTY]]*NOTA[[#This Row],[HARGA SATUAN]])</f>
        <v/>
      </c>
      <c r="AF670" s="60" t="str">
        <f ca="1">IF(NOTA[ID_H]="","",INDEX(NOTA[TANGGAL],MATCH(,INDIRECT(ADDRESS(ROW(NOTA[TANGGAL]),COLUMN(NOTA[TANGGAL]))&amp;":"&amp;ADDRESS(ROW(),COLUMN(NOTA[TANGGAL]))),-1)))</f>
        <v/>
      </c>
      <c r="AG670" s="57" t="str">
        <f ca="1">IF(NOTA[[#This Row],[NAMA BARANG]]="","",INDEX(NOTA[SUPPLIER],MATCH(,INDIRECT(ADDRESS(ROW(NOTA[ID]),COLUMN(NOTA[ID]))&amp;":"&amp;ADDRESS(ROW(),COLUMN(NOTA[ID]))),-1)))</f>
        <v/>
      </c>
      <c r="AH670" s="57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38" t="str">
        <f>IF(NOTA[[#This Row],[CONCAT4]]="","",_xlfn.IFNA(MATCH(NOTA[[#This Row],[CONCAT4]],[2]!RAW[CONCAT_H],0),FALSE))</f>
        <v/>
      </c>
      <c r="AP670" s="174" t="str">
        <f>IF(NOTA[[#This Row],[CONCAT1]]="","",MATCH(NOTA[[#This Row],[CONCAT1]],[3]!db[NB NOTA_C],0)+1)</f>
        <v/>
      </c>
    </row>
    <row r="671" spans="1:42" ht="20.100000000000001" customHeight="1" x14ac:dyDescent="0.25">
      <c r="A6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8" t="str">
        <f>IF(NOTA[[#This Row],[ID_P]]="","",MATCH(NOTA[[#This Row],[ID_P]],[1]!B_MSK[N_ID],0))</f>
        <v/>
      </c>
      <c r="D671" s="58" t="str">
        <f ca="1">IF(NOTA[[#This Row],[NAMA BARANG]]="","",INDEX(NOTA[ID],MATCH(,INDIRECT(ADDRESS(ROW(NOTA[ID]),COLUMN(NOTA[ID]))&amp;":"&amp;ADDRESS(ROW(),COLUMN(NOTA[ID]))),-1)))</f>
        <v/>
      </c>
      <c r="E671" s="61"/>
      <c r="F671" s="26"/>
      <c r="G671" s="26"/>
      <c r="H671" s="31"/>
      <c r="I671" s="62"/>
      <c r="J671" s="60"/>
      <c r="K671" s="62"/>
      <c r="L671" s="26"/>
      <c r="M671" s="63"/>
      <c r="N671" s="62"/>
      <c r="O671" s="26"/>
      <c r="P671" s="57"/>
      <c r="Q671" s="64"/>
      <c r="R671" s="39"/>
      <c r="S671" s="117"/>
      <c r="T671" s="117"/>
      <c r="U671" s="59"/>
      <c r="V671" s="37"/>
      <c r="W671" s="59" t="str">
        <f>IF(NOTA[[#This Row],[HARGA/ CTN]]="",NOTA[[#This Row],[JUMLAH_H]],NOTA[[#This Row],[HARGA/ CTN]]*IF(NOTA[[#This Row],[C]]="",0,NOTA[[#This Row],[C]]))</f>
        <v/>
      </c>
      <c r="X671" s="59" t="str">
        <f>IF(NOTA[[#This Row],[JUMLAH]]="","",NOTA[[#This Row],[JUMLAH]]*NOTA[[#This Row],[DISC 1]])</f>
        <v/>
      </c>
      <c r="Y671" s="59" t="str">
        <f>IF(NOTA[[#This Row],[JUMLAH]]="","",(NOTA[[#This Row],[JUMLAH]]-NOTA[[#This Row],[DISC 1-]])*NOTA[[#This Row],[DISC 2]])</f>
        <v/>
      </c>
      <c r="Z671" s="59" t="str">
        <f>IF(NOTA[[#This Row],[JUMLAH]]="","",NOTA[[#This Row],[DISC 1-]]+NOTA[[#This Row],[DISC 2-]])</f>
        <v/>
      </c>
      <c r="AA671" s="59" t="str">
        <f>IF(NOTA[[#This Row],[JUMLAH]]="","",NOTA[[#This Row],[JUMLAH]]-NOTA[[#This Row],[DISC]])</f>
        <v/>
      </c>
      <c r="AB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59" t="str">
        <f>IF(OR(NOTA[[#This Row],[QTY]]="",NOTA[[#This Row],[HARGA SATUAN]]="",),"",NOTA[[#This Row],[QTY]]*NOTA[[#This Row],[HARGA SATUAN]])</f>
        <v/>
      </c>
      <c r="AF671" s="60" t="str">
        <f ca="1">IF(NOTA[ID_H]="","",INDEX(NOTA[TANGGAL],MATCH(,INDIRECT(ADDRESS(ROW(NOTA[TANGGAL]),COLUMN(NOTA[TANGGAL]))&amp;":"&amp;ADDRESS(ROW(),COLUMN(NOTA[TANGGAL]))),-1)))</f>
        <v/>
      </c>
      <c r="AG671" s="57" t="str">
        <f ca="1">IF(NOTA[[#This Row],[NAMA BARANG]]="","",INDEX(NOTA[SUPPLIER],MATCH(,INDIRECT(ADDRESS(ROW(NOTA[ID]),COLUMN(NOTA[ID]))&amp;":"&amp;ADDRESS(ROW(),COLUMN(NOTA[ID]))),-1)))</f>
        <v/>
      </c>
      <c r="AH671" s="57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38" t="str">
        <f>IF(NOTA[[#This Row],[CONCAT4]]="","",_xlfn.IFNA(MATCH(NOTA[[#This Row],[CONCAT4]],[2]!RAW[CONCAT_H],0),FALSE))</f>
        <v/>
      </c>
      <c r="AP671" s="174" t="str">
        <f>IF(NOTA[[#This Row],[CONCAT1]]="","",MATCH(NOTA[[#This Row],[CONCAT1]],[3]!db[NB NOTA_C],0)+1)</f>
        <v/>
      </c>
    </row>
    <row r="672" spans="1:42" ht="20.100000000000001" customHeight="1" x14ac:dyDescent="0.25">
      <c r="A6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8" t="str">
        <f>IF(NOTA[[#This Row],[ID_P]]="","",MATCH(NOTA[[#This Row],[ID_P]],[1]!B_MSK[N_ID],0))</f>
        <v/>
      </c>
      <c r="D672" s="58" t="str">
        <f ca="1">IF(NOTA[[#This Row],[NAMA BARANG]]="","",INDEX(NOTA[ID],MATCH(,INDIRECT(ADDRESS(ROW(NOTA[ID]),COLUMN(NOTA[ID]))&amp;":"&amp;ADDRESS(ROW(),COLUMN(NOTA[ID]))),-1)))</f>
        <v/>
      </c>
      <c r="E672" s="61"/>
      <c r="F672" s="62"/>
      <c r="G672" s="62"/>
      <c r="H672" s="107"/>
      <c r="I672" s="62"/>
      <c r="J672" s="60"/>
      <c r="K672" s="62"/>
      <c r="L672" s="26"/>
      <c r="M672" s="63"/>
      <c r="N672" s="62"/>
      <c r="O672" s="62"/>
      <c r="P672" s="57"/>
      <c r="Q672" s="64"/>
      <c r="R672" s="39"/>
      <c r="S672" s="117"/>
      <c r="T672" s="117"/>
      <c r="U672" s="59"/>
      <c r="V672" s="37"/>
      <c r="W672" s="59" t="str">
        <f>IF(NOTA[[#This Row],[HARGA/ CTN]]="",NOTA[[#This Row],[JUMLAH_H]],NOTA[[#This Row],[HARGA/ CTN]]*IF(NOTA[[#This Row],[C]]="",0,NOTA[[#This Row],[C]]))</f>
        <v/>
      </c>
      <c r="X672" s="59" t="str">
        <f>IF(NOTA[[#This Row],[JUMLAH]]="","",NOTA[[#This Row],[JUMLAH]]*NOTA[[#This Row],[DISC 1]])</f>
        <v/>
      </c>
      <c r="Y672" s="59" t="str">
        <f>IF(NOTA[[#This Row],[JUMLAH]]="","",(NOTA[[#This Row],[JUMLAH]]-NOTA[[#This Row],[DISC 1-]])*NOTA[[#This Row],[DISC 2]])</f>
        <v/>
      </c>
      <c r="Z672" s="59" t="str">
        <f>IF(NOTA[[#This Row],[JUMLAH]]="","",NOTA[[#This Row],[DISC 1-]]+NOTA[[#This Row],[DISC 2-]])</f>
        <v/>
      </c>
      <c r="AA672" s="59" t="str">
        <f>IF(NOTA[[#This Row],[JUMLAH]]="","",NOTA[[#This Row],[JUMLAH]]-NOTA[[#This Row],[DISC]])</f>
        <v/>
      </c>
      <c r="AB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9" t="str">
        <f>IF(OR(NOTA[[#This Row],[QTY]]="",NOTA[[#This Row],[HARGA SATUAN]]="",),"",NOTA[[#This Row],[QTY]]*NOTA[[#This Row],[HARGA SATUAN]])</f>
        <v/>
      </c>
      <c r="AF672" s="60" t="str">
        <f ca="1">IF(NOTA[ID_H]="","",INDEX(NOTA[TANGGAL],MATCH(,INDIRECT(ADDRESS(ROW(NOTA[TANGGAL]),COLUMN(NOTA[TANGGAL]))&amp;":"&amp;ADDRESS(ROW(),COLUMN(NOTA[TANGGAL]))),-1)))</f>
        <v/>
      </c>
      <c r="AG672" s="57" t="str">
        <f ca="1">IF(NOTA[[#This Row],[NAMA BARANG]]="","",INDEX(NOTA[SUPPLIER],MATCH(,INDIRECT(ADDRESS(ROW(NOTA[ID]),COLUMN(NOTA[ID]))&amp;":"&amp;ADDRESS(ROW(),COLUMN(NOTA[ID]))),-1)))</f>
        <v/>
      </c>
      <c r="AH672" s="57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38" t="str">
        <f>IF(NOTA[[#This Row],[CONCAT4]]="","",_xlfn.IFNA(MATCH(NOTA[[#This Row],[CONCAT4]],[2]!RAW[CONCAT_H],0),FALSE))</f>
        <v/>
      </c>
      <c r="AP672" s="174" t="str">
        <f>IF(NOTA[[#This Row],[CONCAT1]]="","",MATCH(NOTA[[#This Row],[CONCAT1]],[3]!db[NB NOTA_C],0)+1)</f>
        <v/>
      </c>
    </row>
    <row r="673" spans="1:42" ht="20.100000000000001" customHeight="1" x14ac:dyDescent="0.25">
      <c r="A6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8" t="str">
        <f>IF(NOTA[[#This Row],[ID_P]]="","",MATCH(NOTA[[#This Row],[ID_P]],[1]!B_MSK[N_ID],0))</f>
        <v/>
      </c>
      <c r="D673" s="58" t="str">
        <f ca="1">IF(NOTA[[#This Row],[NAMA BARANG]]="","",INDEX(NOTA[ID],MATCH(,INDIRECT(ADDRESS(ROW(NOTA[ID]),COLUMN(NOTA[ID]))&amp;":"&amp;ADDRESS(ROW(),COLUMN(NOTA[ID]))),-1)))</f>
        <v/>
      </c>
      <c r="E673" s="61"/>
      <c r="F673" s="26"/>
      <c r="G673" s="26"/>
      <c r="H673" s="31"/>
      <c r="I673" s="26"/>
      <c r="J673" s="60"/>
      <c r="K673" s="62"/>
      <c r="L673" s="26"/>
      <c r="M673" s="63"/>
      <c r="N673" s="62"/>
      <c r="O673" s="26"/>
      <c r="P673" s="57"/>
      <c r="Q673" s="64"/>
      <c r="R673" s="39"/>
      <c r="S673" s="117"/>
      <c r="T673" s="117"/>
      <c r="U673" s="59"/>
      <c r="V673" s="37"/>
      <c r="W673" s="59" t="str">
        <f>IF(NOTA[[#This Row],[HARGA/ CTN]]="",NOTA[[#This Row],[JUMLAH_H]],NOTA[[#This Row],[HARGA/ CTN]]*IF(NOTA[[#This Row],[C]]="",0,NOTA[[#This Row],[C]]))</f>
        <v/>
      </c>
      <c r="X673" s="59" t="str">
        <f>IF(NOTA[[#This Row],[JUMLAH]]="","",NOTA[[#This Row],[JUMLAH]]*NOTA[[#This Row],[DISC 1]])</f>
        <v/>
      </c>
      <c r="Y673" s="59" t="str">
        <f>IF(NOTA[[#This Row],[JUMLAH]]="","",(NOTA[[#This Row],[JUMLAH]]-NOTA[[#This Row],[DISC 1-]])*NOTA[[#This Row],[DISC 2]])</f>
        <v/>
      </c>
      <c r="Z673" s="59" t="str">
        <f>IF(NOTA[[#This Row],[JUMLAH]]="","",NOTA[[#This Row],[DISC 1-]]+NOTA[[#This Row],[DISC 2-]])</f>
        <v/>
      </c>
      <c r="AA673" s="59" t="str">
        <f>IF(NOTA[[#This Row],[JUMLAH]]="","",NOTA[[#This Row],[JUMLAH]]-NOTA[[#This Row],[DISC]])</f>
        <v/>
      </c>
      <c r="AB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9" t="str">
        <f>IF(OR(NOTA[[#This Row],[QTY]]="",NOTA[[#This Row],[HARGA SATUAN]]="",),"",NOTA[[#This Row],[QTY]]*NOTA[[#This Row],[HARGA SATUAN]])</f>
        <v/>
      </c>
      <c r="AF673" s="60" t="str">
        <f ca="1">IF(NOTA[ID_H]="","",INDEX(NOTA[TANGGAL],MATCH(,INDIRECT(ADDRESS(ROW(NOTA[TANGGAL]),COLUMN(NOTA[TANGGAL]))&amp;":"&amp;ADDRESS(ROW(),COLUMN(NOTA[TANGGAL]))),-1)))</f>
        <v/>
      </c>
      <c r="AG673" s="57" t="str">
        <f ca="1">IF(NOTA[[#This Row],[NAMA BARANG]]="","",INDEX(NOTA[SUPPLIER],MATCH(,INDIRECT(ADDRESS(ROW(NOTA[ID]),COLUMN(NOTA[ID]))&amp;":"&amp;ADDRESS(ROW(),COLUMN(NOTA[ID]))),-1)))</f>
        <v/>
      </c>
      <c r="AH673" s="57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38" t="str">
        <f>IF(NOTA[[#This Row],[CONCAT4]]="","",_xlfn.IFNA(MATCH(NOTA[[#This Row],[CONCAT4]],[2]!RAW[CONCAT_H],0),FALSE))</f>
        <v/>
      </c>
      <c r="AP673" s="174" t="str">
        <f>IF(NOTA[[#This Row],[CONCAT1]]="","",MATCH(NOTA[[#This Row],[CONCAT1]],[3]!db[NB NOTA_C],0)+1)</f>
        <v/>
      </c>
    </row>
    <row r="674" spans="1:42" ht="20.100000000000001" customHeight="1" x14ac:dyDescent="0.25">
      <c r="A6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0" t="str">
        <f>IF(NOTA[[#This Row],[ID_P]]="","",MATCH(NOTA[[#This Row],[ID_P]],[1]!B_MSK[N_ID],0))</f>
        <v/>
      </c>
      <c r="D674" s="50" t="str">
        <f ca="1">IF(NOTA[[#This Row],[NAMA BARANG]]="","",INDEX(NOTA[ID],MATCH(,INDIRECT(ADDRESS(ROW(NOTA[ID]),COLUMN(NOTA[ID]))&amp;":"&amp;ADDRESS(ROW(),COLUMN(NOTA[ID]))),-1)))</f>
        <v/>
      </c>
      <c r="E674" s="23"/>
      <c r="F674" s="26"/>
      <c r="G674" s="26"/>
      <c r="H674" s="31"/>
      <c r="I674" s="26"/>
      <c r="J674" s="51"/>
      <c r="K674" s="26"/>
      <c r="L674" s="26"/>
      <c r="M674" s="39"/>
      <c r="N674" s="26"/>
      <c r="O674" s="26"/>
      <c r="P674" s="49"/>
      <c r="Q674" s="52"/>
      <c r="R674" s="39"/>
      <c r="S674" s="53"/>
      <c r="T674" s="53"/>
      <c r="U674" s="54"/>
      <c r="V674" s="37"/>
      <c r="W674" s="54" t="str">
        <f>IF(NOTA[[#This Row],[HARGA/ CTN]]="",NOTA[[#This Row],[JUMLAH_H]],NOTA[[#This Row],[HARGA/ CTN]]*IF(NOTA[[#This Row],[C]]="",0,NOTA[[#This Row],[C]]))</f>
        <v/>
      </c>
      <c r="X674" s="54" t="str">
        <f>IF(NOTA[[#This Row],[JUMLAH]]="","",NOTA[[#This Row],[JUMLAH]]*NOTA[[#This Row],[DISC 1]])</f>
        <v/>
      </c>
      <c r="Y674" s="54" t="str">
        <f>IF(NOTA[[#This Row],[JUMLAH]]="","",(NOTA[[#This Row],[JUMLAH]]-NOTA[[#This Row],[DISC 1-]])*NOTA[[#This Row],[DISC 2]])</f>
        <v/>
      </c>
      <c r="Z674" s="54" t="str">
        <f>IF(NOTA[[#This Row],[JUMLAH]]="","",NOTA[[#This Row],[DISC 1-]]+NOTA[[#This Row],[DISC 2-]])</f>
        <v/>
      </c>
      <c r="AA674" s="54" t="str">
        <f>IF(NOTA[[#This Row],[JUMLAH]]="","",NOTA[[#This Row],[JUMLAH]]-NOTA[[#This Row],[DISC]])</f>
        <v/>
      </c>
      <c r="AB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4" t="str">
        <f>IF(OR(NOTA[[#This Row],[QTY]]="",NOTA[[#This Row],[HARGA SATUAN]]="",),"",NOTA[[#This Row],[QTY]]*NOTA[[#This Row],[HARGA SATUAN]])</f>
        <v/>
      </c>
      <c r="AF674" s="51" t="str">
        <f ca="1">IF(NOTA[ID_H]="","",INDEX(NOTA[TANGGAL],MATCH(,INDIRECT(ADDRESS(ROW(NOTA[TANGGAL]),COLUMN(NOTA[TANGGAL]))&amp;":"&amp;ADDRESS(ROW(),COLUMN(NOTA[TANGGAL]))),-1)))</f>
        <v/>
      </c>
      <c r="AG674" s="49" t="str">
        <f ca="1">IF(NOTA[[#This Row],[NAMA BARANG]]="","",INDEX(NOTA[SUPPLIER],MATCH(,INDIRECT(ADDRESS(ROW(NOTA[ID]),COLUMN(NOTA[ID]))&amp;":"&amp;ADDRESS(ROW(),COLUMN(NOTA[ID]))),-1)))</f>
        <v/>
      </c>
      <c r="AH674" s="49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38" t="str">
        <f>IF(NOTA[[#This Row],[CONCAT4]]="","",_xlfn.IFNA(MATCH(NOTA[[#This Row],[CONCAT4]],[2]!RAW[CONCAT_H],0),FALSE))</f>
        <v/>
      </c>
      <c r="AP674" s="174" t="str">
        <f>IF(NOTA[[#This Row],[CONCAT1]]="","",MATCH(NOTA[[#This Row],[CONCAT1]],[3]!db[NB NOTA_C],0)+1)</f>
        <v/>
      </c>
    </row>
    <row r="675" spans="1:42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38" t="str">
        <f>IF(NOTA[[#This Row],[CONCAT4]]="","",_xlfn.IFNA(MATCH(NOTA[[#This Row],[CONCAT4]],[2]!RAW[CONCAT_H],0),FALSE))</f>
        <v/>
      </c>
      <c r="AP675" s="174" t="str">
        <f>IF(NOTA[[#This Row],[CONCAT1]]="","",MATCH(NOTA[[#This Row],[CONCAT1]],[3]!db[NB NOTA_C],0)+1)</f>
        <v/>
      </c>
    </row>
    <row r="676" spans="1:42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38" t="str">
        <f>IF(NOTA[[#This Row],[CONCAT4]]="","",_xlfn.IFNA(MATCH(NOTA[[#This Row],[CONCAT4]],[2]!RAW[CONCAT_H],0),FALSE))</f>
        <v/>
      </c>
      <c r="AP676" s="174" t="str">
        <f>IF(NOTA[[#This Row],[CONCAT1]]="","",MATCH(NOTA[[#This Row],[CONCAT1]],[3]!db[NB NOTA_C],0)+1)</f>
        <v/>
      </c>
    </row>
    <row r="677" spans="1:42" ht="20.100000000000001" customHeight="1" x14ac:dyDescent="0.25">
      <c r="A6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0" t="str">
        <f>IF(NOTA[[#This Row],[ID_P]]="","",MATCH(NOTA[[#This Row],[ID_P]],[1]!B_MSK[N_ID],0))</f>
        <v/>
      </c>
      <c r="D677" s="50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4" t="str">
        <f>IF(NOTA[[#This Row],[HARGA/ CTN]]="",NOTA[[#This Row],[JUMLAH_H]],NOTA[[#This Row],[HARGA/ CTN]]*IF(NOTA[[#This Row],[C]]="",0,NOTA[[#This Row],[C]]))</f>
        <v/>
      </c>
      <c r="X677" s="54" t="str">
        <f>IF(NOTA[[#This Row],[JUMLAH]]="","",NOTA[[#This Row],[JUMLAH]]*NOTA[[#This Row],[DISC 1]])</f>
        <v/>
      </c>
      <c r="Y677" s="54" t="str">
        <f>IF(NOTA[[#This Row],[JUMLAH]]="","",(NOTA[[#This Row],[JUMLAH]]-NOTA[[#This Row],[DISC 1-]])*NOTA[[#This Row],[DISC 2]])</f>
        <v/>
      </c>
      <c r="Z677" s="54" t="str">
        <f>IF(NOTA[[#This Row],[JUMLAH]]="","",NOTA[[#This Row],[DISC 1-]]+NOTA[[#This Row],[DISC 2-]])</f>
        <v/>
      </c>
      <c r="AA677" s="54" t="str">
        <f>IF(NOTA[[#This Row],[JUMLAH]]="","",NOTA[[#This Row],[JUMLAH]]-NOTA[[#This Row],[DISC]])</f>
        <v/>
      </c>
      <c r="AB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4" t="str">
        <f>IF(OR(NOTA[[#This Row],[QTY]]="",NOTA[[#This Row],[HARGA SATUAN]]="",),"",NOTA[[#This Row],[QTY]]*NOTA[[#This Row],[HARGA SATUAN]])</f>
        <v/>
      </c>
      <c r="AF677" s="51" t="str">
        <f ca="1">IF(NOTA[ID_H]="","",INDEX(NOTA[TANGGAL],MATCH(,INDIRECT(ADDRESS(ROW(NOTA[TANGGAL]),COLUMN(NOTA[TANGGAL]))&amp;":"&amp;ADDRESS(ROW(),COLUMN(NOTA[TANGGAL]))),-1)))</f>
        <v/>
      </c>
      <c r="AG677" s="49" t="str">
        <f ca="1">IF(NOTA[[#This Row],[NAMA BARANG]]="","",INDEX(NOTA[SUPPLIER],MATCH(,INDIRECT(ADDRESS(ROW(NOTA[ID]),COLUMN(NOTA[ID]))&amp;":"&amp;ADDRESS(ROW(),COLUMN(NOTA[ID]))),-1)))</f>
        <v/>
      </c>
      <c r="AH677" s="49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38" t="str">
        <f>IF(NOTA[[#This Row],[CONCAT4]]="","",_xlfn.IFNA(MATCH(NOTA[[#This Row],[CONCAT4]],[2]!RAW[CONCAT_H],0),FALSE))</f>
        <v/>
      </c>
      <c r="AP677" s="174" t="str">
        <f>IF(NOTA[[#This Row],[CONCAT1]]="","",MATCH(NOTA[[#This Row],[CONCAT1]],[3]!db[NB NOTA_C],0)+1)</f>
        <v/>
      </c>
    </row>
    <row r="678" spans="1:42" ht="20.100000000000001" customHeight="1" x14ac:dyDescent="0.25">
      <c r="A6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0" t="str">
        <f>IF(NOTA[[#This Row],[ID_P]]="","",MATCH(NOTA[[#This Row],[ID_P]],[1]!B_MSK[N_ID],0))</f>
        <v/>
      </c>
      <c r="D678" s="50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4" t="str">
        <f>IF(NOTA[[#This Row],[HARGA/ CTN]]="",NOTA[[#This Row],[JUMLAH_H]],NOTA[[#This Row],[HARGA/ CTN]]*IF(NOTA[[#This Row],[C]]="",0,NOTA[[#This Row],[C]]))</f>
        <v/>
      </c>
      <c r="X678" s="54" t="str">
        <f>IF(NOTA[[#This Row],[JUMLAH]]="","",NOTA[[#This Row],[JUMLAH]]*NOTA[[#This Row],[DISC 1]])</f>
        <v/>
      </c>
      <c r="Y678" s="54" t="str">
        <f>IF(NOTA[[#This Row],[JUMLAH]]="","",(NOTA[[#This Row],[JUMLAH]]-NOTA[[#This Row],[DISC 1-]])*NOTA[[#This Row],[DISC 2]])</f>
        <v/>
      </c>
      <c r="Z678" s="54" t="str">
        <f>IF(NOTA[[#This Row],[JUMLAH]]="","",NOTA[[#This Row],[DISC 1-]]+NOTA[[#This Row],[DISC 2-]])</f>
        <v/>
      </c>
      <c r="AA678" s="54" t="str">
        <f>IF(NOTA[[#This Row],[JUMLAH]]="","",NOTA[[#This Row],[JUMLAH]]-NOTA[[#This Row],[DISC]])</f>
        <v/>
      </c>
      <c r="AB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4" t="str">
        <f>IF(OR(NOTA[[#This Row],[QTY]]="",NOTA[[#This Row],[HARGA SATUAN]]="",),"",NOTA[[#This Row],[QTY]]*NOTA[[#This Row],[HARGA SATUAN]])</f>
        <v/>
      </c>
      <c r="AF678" s="51" t="str">
        <f ca="1">IF(NOTA[ID_H]="","",INDEX(NOTA[TANGGAL],MATCH(,INDIRECT(ADDRESS(ROW(NOTA[TANGGAL]),COLUMN(NOTA[TANGGAL]))&amp;":"&amp;ADDRESS(ROW(),COLUMN(NOTA[TANGGAL]))),-1)))</f>
        <v/>
      </c>
      <c r="AG678" s="49" t="str">
        <f ca="1">IF(NOTA[[#This Row],[NAMA BARANG]]="","",INDEX(NOTA[SUPPLIER],MATCH(,INDIRECT(ADDRESS(ROW(NOTA[ID]),COLUMN(NOTA[ID]))&amp;":"&amp;ADDRESS(ROW(),COLUMN(NOTA[ID]))),-1)))</f>
        <v/>
      </c>
      <c r="AH678" s="49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38" t="str">
        <f>IF(NOTA[[#This Row],[CONCAT4]]="","",_xlfn.IFNA(MATCH(NOTA[[#This Row],[CONCAT4]],[2]!RAW[CONCAT_H],0),FALSE))</f>
        <v/>
      </c>
      <c r="AP678" s="174" t="str">
        <f>IF(NOTA[[#This Row],[CONCAT1]]="","",MATCH(NOTA[[#This Row],[CONCAT1]],[3]!db[NB NOTA_C],0)+1)</f>
        <v/>
      </c>
    </row>
    <row r="679" spans="1:42" ht="20.100000000000001" customHeight="1" x14ac:dyDescent="0.25">
      <c r="A6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0" t="str">
        <f>IF(NOTA[[#This Row],[ID_P]]="","",MATCH(NOTA[[#This Row],[ID_P]],[1]!B_MSK[N_ID],0))</f>
        <v/>
      </c>
      <c r="D679" s="50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4" t="str">
        <f>IF(NOTA[[#This Row],[HARGA/ CTN]]="",NOTA[[#This Row],[JUMLAH_H]],NOTA[[#This Row],[HARGA/ CTN]]*IF(NOTA[[#This Row],[C]]="",0,NOTA[[#This Row],[C]]))</f>
        <v/>
      </c>
      <c r="X679" s="54" t="str">
        <f>IF(NOTA[[#This Row],[JUMLAH]]="","",NOTA[[#This Row],[JUMLAH]]*NOTA[[#This Row],[DISC 1]])</f>
        <v/>
      </c>
      <c r="Y679" s="54" t="str">
        <f>IF(NOTA[[#This Row],[JUMLAH]]="","",(NOTA[[#This Row],[JUMLAH]]-NOTA[[#This Row],[DISC 1-]])*NOTA[[#This Row],[DISC 2]])</f>
        <v/>
      </c>
      <c r="Z679" s="54" t="str">
        <f>IF(NOTA[[#This Row],[JUMLAH]]="","",NOTA[[#This Row],[DISC 1-]]+NOTA[[#This Row],[DISC 2-]])</f>
        <v/>
      </c>
      <c r="AA679" s="54" t="str">
        <f>IF(NOTA[[#This Row],[JUMLAH]]="","",NOTA[[#This Row],[JUMLAH]]-NOTA[[#This Row],[DISC]])</f>
        <v/>
      </c>
      <c r="AB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4" t="str">
        <f>IF(OR(NOTA[[#This Row],[QTY]]="",NOTA[[#This Row],[HARGA SATUAN]]="",),"",NOTA[[#This Row],[QTY]]*NOTA[[#This Row],[HARGA SATUAN]])</f>
        <v/>
      </c>
      <c r="AF679" s="51" t="str">
        <f ca="1">IF(NOTA[ID_H]="","",INDEX(NOTA[TANGGAL],MATCH(,INDIRECT(ADDRESS(ROW(NOTA[TANGGAL]),COLUMN(NOTA[TANGGAL]))&amp;":"&amp;ADDRESS(ROW(),COLUMN(NOTA[TANGGAL]))),-1)))</f>
        <v/>
      </c>
      <c r="AG679" s="49" t="str">
        <f ca="1">IF(NOTA[[#This Row],[NAMA BARANG]]="","",INDEX(NOTA[SUPPLIER],MATCH(,INDIRECT(ADDRESS(ROW(NOTA[ID]),COLUMN(NOTA[ID]))&amp;":"&amp;ADDRESS(ROW(),COLUMN(NOTA[ID]))),-1)))</f>
        <v/>
      </c>
      <c r="AH679" s="49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9" s="38" t="str">
        <f>IF(NOTA[[#This Row],[CONCAT4]]="","",_xlfn.IFNA(MATCH(NOTA[[#This Row],[CONCAT4]],[2]!RAW[CONCAT_H],0),FALSE))</f>
        <v/>
      </c>
      <c r="AP679" s="174" t="str">
        <f>IF(NOTA[[#This Row],[CONCAT1]]="","",MATCH(NOTA[[#This Row],[CONCAT1]],[3]!db[NB NOTA_C],0)+1)</f>
        <v/>
      </c>
    </row>
    <row r="680" spans="1:42" ht="20.100000000000001" customHeight="1" x14ac:dyDescent="0.25">
      <c r="A6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0" t="str">
        <f>IF(NOTA[[#This Row],[ID_P]]="","",MATCH(NOTA[[#This Row],[ID_P]],[1]!B_MSK[N_ID],0))</f>
        <v/>
      </c>
      <c r="D680" s="50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4" t="str">
        <f>IF(NOTA[[#This Row],[HARGA/ CTN]]="",NOTA[[#This Row],[JUMLAH_H]],NOTA[[#This Row],[HARGA/ CTN]]*IF(NOTA[[#This Row],[C]]="",0,NOTA[[#This Row],[C]]))</f>
        <v/>
      </c>
      <c r="X680" s="54" t="str">
        <f>IF(NOTA[[#This Row],[JUMLAH]]="","",NOTA[[#This Row],[JUMLAH]]*NOTA[[#This Row],[DISC 1]])</f>
        <v/>
      </c>
      <c r="Y680" s="54" t="str">
        <f>IF(NOTA[[#This Row],[JUMLAH]]="","",(NOTA[[#This Row],[JUMLAH]]-NOTA[[#This Row],[DISC 1-]])*NOTA[[#This Row],[DISC 2]])</f>
        <v/>
      </c>
      <c r="Z680" s="54" t="str">
        <f>IF(NOTA[[#This Row],[JUMLAH]]="","",NOTA[[#This Row],[DISC 1-]]+NOTA[[#This Row],[DISC 2-]])</f>
        <v/>
      </c>
      <c r="AA680" s="54" t="str">
        <f>IF(NOTA[[#This Row],[JUMLAH]]="","",NOTA[[#This Row],[JUMLAH]]-NOTA[[#This Row],[DISC]])</f>
        <v/>
      </c>
      <c r="AB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4" t="str">
        <f>IF(OR(NOTA[[#This Row],[QTY]]="",NOTA[[#This Row],[HARGA SATUAN]]="",),"",NOTA[[#This Row],[QTY]]*NOTA[[#This Row],[HARGA SATUAN]])</f>
        <v/>
      </c>
      <c r="AF680" s="51" t="str">
        <f ca="1">IF(NOTA[ID_H]="","",INDEX(NOTA[TANGGAL],MATCH(,INDIRECT(ADDRESS(ROW(NOTA[TANGGAL]),COLUMN(NOTA[TANGGAL]))&amp;":"&amp;ADDRESS(ROW(),COLUMN(NOTA[TANGGAL]))),-1)))</f>
        <v/>
      </c>
      <c r="AG680" s="49" t="str">
        <f ca="1">IF(NOTA[[#This Row],[NAMA BARANG]]="","",INDEX(NOTA[SUPPLIER],MATCH(,INDIRECT(ADDRESS(ROW(NOTA[ID]),COLUMN(NOTA[ID]))&amp;":"&amp;ADDRESS(ROW(),COLUMN(NOTA[ID]))),-1)))</f>
        <v/>
      </c>
      <c r="AH680" s="49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38" t="str">
        <f>IF(NOTA[[#This Row],[CONCAT4]]="","",_xlfn.IFNA(MATCH(NOTA[[#This Row],[CONCAT4]],[2]!RAW[CONCAT_H],0),FALSE))</f>
        <v/>
      </c>
      <c r="AP680" s="174" t="str">
        <f>IF(NOTA[[#This Row],[CONCAT1]]="","",MATCH(NOTA[[#This Row],[CONCAT1]],[3]!db[NB NOTA_C],0)+1)</f>
        <v/>
      </c>
    </row>
    <row r="681" spans="1:42" ht="20.100000000000001" customHeight="1" x14ac:dyDescent="0.25">
      <c r="A6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0" t="str">
        <f>IF(NOTA[[#This Row],[ID_P]]="","",MATCH(NOTA[[#This Row],[ID_P]],[1]!B_MSK[N_ID],0))</f>
        <v/>
      </c>
      <c r="D681" s="50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4" t="str">
        <f>IF(NOTA[[#This Row],[HARGA/ CTN]]="",NOTA[[#This Row],[JUMLAH_H]],NOTA[[#This Row],[HARGA/ CTN]]*IF(NOTA[[#This Row],[C]]="",0,NOTA[[#This Row],[C]]))</f>
        <v/>
      </c>
      <c r="X681" s="54" t="str">
        <f>IF(NOTA[[#This Row],[JUMLAH]]="","",NOTA[[#This Row],[JUMLAH]]*NOTA[[#This Row],[DISC 1]])</f>
        <v/>
      </c>
      <c r="Y681" s="54" t="str">
        <f>IF(NOTA[[#This Row],[JUMLAH]]="","",(NOTA[[#This Row],[JUMLAH]]-NOTA[[#This Row],[DISC 1-]])*NOTA[[#This Row],[DISC 2]])</f>
        <v/>
      </c>
      <c r="Z681" s="54" t="str">
        <f>IF(NOTA[[#This Row],[JUMLAH]]="","",NOTA[[#This Row],[DISC 1-]]+NOTA[[#This Row],[DISC 2-]])</f>
        <v/>
      </c>
      <c r="AA681" s="54" t="str">
        <f>IF(NOTA[[#This Row],[JUMLAH]]="","",NOTA[[#This Row],[JUMLAH]]-NOTA[[#This Row],[DISC]])</f>
        <v/>
      </c>
      <c r="AB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4" t="str">
        <f>IF(OR(NOTA[[#This Row],[QTY]]="",NOTA[[#This Row],[HARGA SATUAN]]="",),"",NOTA[[#This Row],[QTY]]*NOTA[[#This Row],[HARGA SATUAN]])</f>
        <v/>
      </c>
      <c r="AF681" s="51" t="str">
        <f ca="1">IF(NOTA[ID_H]="","",INDEX(NOTA[TANGGAL],MATCH(,INDIRECT(ADDRESS(ROW(NOTA[TANGGAL]),COLUMN(NOTA[TANGGAL]))&amp;":"&amp;ADDRESS(ROW(),COLUMN(NOTA[TANGGAL]))),-1)))</f>
        <v/>
      </c>
      <c r="AG681" s="49" t="str">
        <f ca="1">IF(NOTA[[#This Row],[NAMA BARANG]]="","",INDEX(NOTA[SUPPLIER],MATCH(,INDIRECT(ADDRESS(ROW(NOTA[ID]),COLUMN(NOTA[ID]))&amp;":"&amp;ADDRESS(ROW(),COLUMN(NOTA[ID]))),-1)))</f>
        <v/>
      </c>
      <c r="AH681" s="49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38" t="str">
        <f>IF(NOTA[[#This Row],[CONCAT4]]="","",_xlfn.IFNA(MATCH(NOTA[[#This Row],[CONCAT4]],[2]!RAW[CONCAT_H],0),FALSE))</f>
        <v/>
      </c>
      <c r="AP681" s="174" t="str">
        <f>IF(NOTA[[#This Row],[CONCAT1]]="","",MATCH(NOTA[[#This Row],[CONCAT1]],[3]!db[NB NOTA_C],0)+1)</f>
        <v/>
      </c>
    </row>
    <row r="682" spans="1:42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61"/>
      <c r="F682" s="62"/>
      <c r="G682" s="62"/>
      <c r="H682" s="107"/>
      <c r="I682" s="62"/>
      <c r="J682" s="60"/>
      <c r="K682" s="62"/>
      <c r="L682" s="26"/>
      <c r="M682" s="63"/>
      <c r="N682" s="62"/>
      <c r="O682" s="62"/>
      <c r="P682" s="57"/>
      <c r="Q682" s="64"/>
      <c r="R682" s="39"/>
      <c r="S682" s="117"/>
      <c r="T682" s="117"/>
      <c r="U682" s="59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38" t="str">
        <f>IF(NOTA[[#This Row],[CONCAT4]]="","",_xlfn.IFNA(MATCH(NOTA[[#This Row],[CONCAT4]],[2]!RAW[CONCAT_H],0),FALSE))</f>
        <v/>
      </c>
      <c r="AP682" s="174" t="str">
        <f>IF(NOTA[[#This Row],[CONCAT1]]="","",MATCH(NOTA[[#This Row],[CONCAT1]],[3]!db[NB NOTA_C],0)+1)</f>
        <v/>
      </c>
    </row>
    <row r="683" spans="1:42" ht="20.100000000000001" customHeight="1" x14ac:dyDescent="0.25">
      <c r="A68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8" t="str">
        <f>IF(NOTA[[#This Row],[ID_P]]="","",MATCH(NOTA[[#This Row],[ID_P]],[1]!B_MSK[N_ID],0))</f>
        <v/>
      </c>
      <c r="D683" s="58" t="str">
        <f ca="1">IF(NOTA[[#This Row],[NAMA BARANG]]="","",INDEX(NOTA[ID],MATCH(,INDIRECT(ADDRESS(ROW(NOTA[ID]),COLUMN(NOTA[ID]))&amp;":"&amp;ADDRESS(ROW(),COLUMN(NOTA[ID]))),-1)))</f>
        <v/>
      </c>
      <c r="E683" s="61"/>
      <c r="F683" s="26"/>
      <c r="G683" s="26"/>
      <c r="H683" s="31"/>
      <c r="I683" s="62"/>
      <c r="J683" s="60"/>
      <c r="K683" s="62"/>
      <c r="L683" s="26"/>
      <c r="M683" s="63"/>
      <c r="N683" s="62"/>
      <c r="O683" s="26"/>
      <c r="P683" s="57"/>
      <c r="Q683" s="64"/>
      <c r="R683" s="39"/>
      <c r="S683" s="117"/>
      <c r="T683" s="117"/>
      <c r="U683" s="59"/>
      <c r="V683" s="37"/>
      <c r="W683" s="59" t="str">
        <f>IF(NOTA[[#This Row],[HARGA/ CTN]]="",NOTA[[#This Row],[JUMLAH_H]],NOTA[[#This Row],[HARGA/ CTN]]*IF(NOTA[[#This Row],[C]]="",0,NOTA[[#This Row],[C]]))</f>
        <v/>
      </c>
      <c r="X683" s="59" t="str">
        <f>IF(NOTA[[#This Row],[JUMLAH]]="","",NOTA[[#This Row],[JUMLAH]]*NOTA[[#This Row],[DISC 1]])</f>
        <v/>
      </c>
      <c r="Y683" s="59" t="str">
        <f>IF(NOTA[[#This Row],[JUMLAH]]="","",(NOTA[[#This Row],[JUMLAH]]-NOTA[[#This Row],[DISC 1-]])*NOTA[[#This Row],[DISC 2]])</f>
        <v/>
      </c>
      <c r="Z683" s="59" t="str">
        <f>IF(NOTA[[#This Row],[JUMLAH]]="","",NOTA[[#This Row],[DISC 1-]]+NOTA[[#This Row],[DISC 2-]])</f>
        <v/>
      </c>
      <c r="AA683" s="59" t="str">
        <f>IF(NOTA[[#This Row],[JUMLAH]]="","",NOTA[[#This Row],[JUMLAH]]-NOTA[[#This Row],[DISC]])</f>
        <v/>
      </c>
      <c r="AB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59" t="str">
        <f>IF(OR(NOTA[[#This Row],[QTY]]="",NOTA[[#This Row],[HARGA SATUAN]]="",),"",NOTA[[#This Row],[QTY]]*NOTA[[#This Row],[HARGA SATUAN]])</f>
        <v/>
      </c>
      <c r="AF683" s="60" t="str">
        <f ca="1">IF(NOTA[ID_H]="","",INDEX(NOTA[TANGGAL],MATCH(,INDIRECT(ADDRESS(ROW(NOTA[TANGGAL]),COLUMN(NOTA[TANGGAL]))&amp;":"&amp;ADDRESS(ROW(),COLUMN(NOTA[TANGGAL]))),-1)))</f>
        <v/>
      </c>
      <c r="AG683" s="57" t="str">
        <f ca="1">IF(NOTA[[#This Row],[NAMA BARANG]]="","",INDEX(NOTA[SUPPLIER],MATCH(,INDIRECT(ADDRESS(ROW(NOTA[ID]),COLUMN(NOTA[ID]))&amp;":"&amp;ADDRESS(ROW(),COLUMN(NOTA[ID]))),-1)))</f>
        <v/>
      </c>
      <c r="AH683" s="57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38" t="str">
        <f>IF(NOTA[[#This Row],[CONCAT4]]="","",_xlfn.IFNA(MATCH(NOTA[[#This Row],[CONCAT4]],[2]!RAW[CONCAT_H],0),FALSE))</f>
        <v/>
      </c>
      <c r="AP683" s="174" t="str">
        <f>IF(NOTA[[#This Row],[CONCAT1]]="","",MATCH(NOTA[[#This Row],[CONCAT1]],[3]!db[NB NOTA_C],0)+1)</f>
        <v/>
      </c>
    </row>
    <row r="684" spans="1:42" ht="20.100000000000001" customHeight="1" x14ac:dyDescent="0.25">
      <c r="A68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8" t="str">
        <f>IF(NOTA[[#This Row],[ID_P]]="","",MATCH(NOTA[[#This Row],[ID_P]],[1]!B_MSK[N_ID],0))</f>
        <v/>
      </c>
      <c r="D684" s="58" t="str">
        <f ca="1">IF(NOTA[[#This Row],[NAMA BARANG]]="","",INDEX(NOTA[ID],MATCH(,INDIRECT(ADDRESS(ROW(NOTA[ID]),COLUMN(NOTA[ID]))&amp;":"&amp;ADDRESS(ROW(),COLUMN(NOTA[ID]))),-1)))</f>
        <v/>
      </c>
      <c r="E684" s="61"/>
      <c r="F684" s="62"/>
      <c r="G684" s="62"/>
      <c r="H684" s="107"/>
      <c r="I684" s="62"/>
      <c r="J684" s="60"/>
      <c r="K684" s="62"/>
      <c r="L684" s="26"/>
      <c r="M684" s="63"/>
      <c r="N684" s="62"/>
      <c r="O684" s="26"/>
      <c r="P684" s="57"/>
      <c r="Q684" s="64"/>
      <c r="R684" s="39"/>
      <c r="S684" s="117"/>
      <c r="T684" s="117"/>
      <c r="U684" s="59"/>
      <c r="V684" s="37"/>
      <c r="W684" s="59" t="str">
        <f>IF(NOTA[[#This Row],[HARGA/ CTN]]="",NOTA[[#This Row],[JUMLAH_H]],NOTA[[#This Row],[HARGA/ CTN]]*IF(NOTA[[#This Row],[C]]="",0,NOTA[[#This Row],[C]]))</f>
        <v/>
      </c>
      <c r="X684" s="59" t="str">
        <f>IF(NOTA[[#This Row],[JUMLAH]]="","",NOTA[[#This Row],[JUMLAH]]*NOTA[[#This Row],[DISC 1]])</f>
        <v/>
      </c>
      <c r="Y684" s="59" t="str">
        <f>IF(NOTA[[#This Row],[JUMLAH]]="","",(NOTA[[#This Row],[JUMLAH]]-NOTA[[#This Row],[DISC 1-]])*NOTA[[#This Row],[DISC 2]])</f>
        <v/>
      </c>
      <c r="Z684" s="59" t="str">
        <f>IF(NOTA[[#This Row],[JUMLAH]]="","",NOTA[[#This Row],[DISC 1-]]+NOTA[[#This Row],[DISC 2-]])</f>
        <v/>
      </c>
      <c r="AA684" s="59" t="str">
        <f>IF(NOTA[[#This Row],[JUMLAH]]="","",NOTA[[#This Row],[JUMLAH]]-NOTA[[#This Row],[DISC]])</f>
        <v/>
      </c>
      <c r="AB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59" t="str">
        <f>IF(OR(NOTA[[#This Row],[QTY]]="",NOTA[[#This Row],[HARGA SATUAN]]="",),"",NOTA[[#This Row],[QTY]]*NOTA[[#This Row],[HARGA SATUAN]])</f>
        <v/>
      </c>
      <c r="AF684" s="60" t="str">
        <f ca="1">IF(NOTA[ID_H]="","",INDEX(NOTA[TANGGAL],MATCH(,INDIRECT(ADDRESS(ROW(NOTA[TANGGAL]),COLUMN(NOTA[TANGGAL]))&amp;":"&amp;ADDRESS(ROW(),COLUMN(NOTA[TANGGAL]))),-1)))</f>
        <v/>
      </c>
      <c r="AG684" s="57" t="str">
        <f ca="1">IF(NOTA[[#This Row],[NAMA BARANG]]="","",INDEX(NOTA[SUPPLIER],MATCH(,INDIRECT(ADDRESS(ROW(NOTA[ID]),COLUMN(NOTA[ID]))&amp;":"&amp;ADDRESS(ROW(),COLUMN(NOTA[ID]))),-1)))</f>
        <v/>
      </c>
      <c r="AH684" s="57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38" t="str">
        <f>IF(NOTA[[#This Row],[CONCAT4]]="","",_xlfn.IFNA(MATCH(NOTA[[#This Row],[CONCAT4]],[2]!RAW[CONCAT_H],0),FALSE))</f>
        <v/>
      </c>
      <c r="AP684" s="174" t="str">
        <f>IF(NOTA[[#This Row],[CONCAT1]]="","",MATCH(NOTA[[#This Row],[CONCAT1]],[3]!db[NB NOTA_C],0)+1)</f>
        <v/>
      </c>
    </row>
    <row r="685" spans="1:42" ht="20.100000000000001" customHeight="1" x14ac:dyDescent="0.25">
      <c r="A68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8" t="str">
        <f>IF(NOTA[[#This Row],[ID_P]]="","",MATCH(NOTA[[#This Row],[ID_P]],[1]!B_MSK[N_ID],0))</f>
        <v/>
      </c>
      <c r="D685" s="58" t="str">
        <f ca="1">IF(NOTA[[#This Row],[NAMA BARANG]]="","",INDEX(NOTA[ID],MATCH(,INDIRECT(ADDRESS(ROW(NOTA[ID]),COLUMN(NOTA[ID]))&amp;":"&amp;ADDRESS(ROW(),COLUMN(NOTA[ID]))),-1)))</f>
        <v/>
      </c>
      <c r="E685" s="61"/>
      <c r="F685" s="26"/>
      <c r="G685" s="26"/>
      <c r="H685" s="31"/>
      <c r="I685" s="62"/>
      <c r="J685" s="60"/>
      <c r="K685" s="62"/>
      <c r="L685" s="26"/>
      <c r="M685" s="63"/>
      <c r="N685" s="62"/>
      <c r="O685" s="26"/>
      <c r="P685" s="57"/>
      <c r="Q685" s="64"/>
      <c r="R685" s="39"/>
      <c r="S685" s="117"/>
      <c r="T685" s="117"/>
      <c r="U685" s="59"/>
      <c r="V685" s="37"/>
      <c r="W685" s="59" t="str">
        <f>IF(NOTA[[#This Row],[HARGA/ CTN]]="",NOTA[[#This Row],[JUMLAH_H]],NOTA[[#This Row],[HARGA/ CTN]]*IF(NOTA[[#This Row],[C]]="",0,NOTA[[#This Row],[C]]))</f>
        <v/>
      </c>
      <c r="X685" s="59" t="str">
        <f>IF(NOTA[[#This Row],[JUMLAH]]="","",NOTA[[#This Row],[JUMLAH]]*NOTA[[#This Row],[DISC 1]])</f>
        <v/>
      </c>
      <c r="Y685" s="59" t="str">
        <f>IF(NOTA[[#This Row],[JUMLAH]]="","",(NOTA[[#This Row],[JUMLAH]]-NOTA[[#This Row],[DISC 1-]])*NOTA[[#This Row],[DISC 2]])</f>
        <v/>
      </c>
      <c r="Z685" s="59" t="str">
        <f>IF(NOTA[[#This Row],[JUMLAH]]="","",NOTA[[#This Row],[DISC 1-]]+NOTA[[#This Row],[DISC 2-]])</f>
        <v/>
      </c>
      <c r="AA685" s="59" t="str">
        <f>IF(NOTA[[#This Row],[JUMLAH]]="","",NOTA[[#This Row],[JUMLAH]]-NOTA[[#This Row],[DISC]])</f>
        <v/>
      </c>
      <c r="AB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59" t="str">
        <f>IF(OR(NOTA[[#This Row],[QTY]]="",NOTA[[#This Row],[HARGA SATUAN]]="",),"",NOTA[[#This Row],[QTY]]*NOTA[[#This Row],[HARGA SATUAN]])</f>
        <v/>
      </c>
      <c r="AF685" s="60" t="str">
        <f ca="1">IF(NOTA[ID_H]="","",INDEX(NOTA[TANGGAL],MATCH(,INDIRECT(ADDRESS(ROW(NOTA[TANGGAL]),COLUMN(NOTA[TANGGAL]))&amp;":"&amp;ADDRESS(ROW(),COLUMN(NOTA[TANGGAL]))),-1)))</f>
        <v/>
      </c>
      <c r="AG685" s="57" t="str">
        <f ca="1">IF(NOTA[[#This Row],[NAMA BARANG]]="","",INDEX(NOTA[SUPPLIER],MATCH(,INDIRECT(ADDRESS(ROW(NOTA[ID]),COLUMN(NOTA[ID]))&amp;":"&amp;ADDRESS(ROW(),COLUMN(NOTA[ID]))),-1)))</f>
        <v/>
      </c>
      <c r="AH685" s="57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38" t="str">
        <f>IF(NOTA[[#This Row],[CONCAT4]]="","",_xlfn.IFNA(MATCH(NOTA[[#This Row],[CONCAT4]],[2]!RAW[CONCAT_H],0),FALSE))</f>
        <v/>
      </c>
      <c r="AP685" s="174" t="str">
        <f>IF(NOTA[[#This Row],[CONCAT1]]="","",MATCH(NOTA[[#This Row],[CONCAT1]],[3]!db[NB NOTA_C],0)+1)</f>
        <v/>
      </c>
    </row>
    <row r="686" spans="1:42" ht="20.100000000000001" customHeight="1" x14ac:dyDescent="0.25">
      <c r="A68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8" t="str">
        <f>IF(NOTA[[#This Row],[ID_P]]="","",MATCH(NOTA[[#This Row],[ID_P]],[1]!B_MSK[N_ID],0))</f>
        <v/>
      </c>
      <c r="D686" s="58" t="str">
        <f ca="1">IF(NOTA[[#This Row],[NAMA BARANG]]="","",INDEX(NOTA[ID],MATCH(,INDIRECT(ADDRESS(ROW(NOTA[ID]),COLUMN(NOTA[ID]))&amp;":"&amp;ADDRESS(ROW(),COLUMN(NOTA[ID]))),-1)))</f>
        <v/>
      </c>
      <c r="E686" s="61"/>
      <c r="F686" s="62"/>
      <c r="G686" s="62"/>
      <c r="H686" s="107"/>
      <c r="I686" s="62"/>
      <c r="J686" s="60"/>
      <c r="K686" s="62"/>
      <c r="L686" s="26"/>
      <c r="M686" s="63"/>
      <c r="N686" s="62"/>
      <c r="O686" s="26"/>
      <c r="P686" s="57"/>
      <c r="Q686" s="64"/>
      <c r="R686" s="39"/>
      <c r="S686" s="117"/>
      <c r="T686" s="117"/>
      <c r="U686" s="59"/>
      <c r="V686" s="37"/>
      <c r="W686" s="59" t="str">
        <f>IF(NOTA[[#This Row],[HARGA/ CTN]]="",NOTA[[#This Row],[JUMLAH_H]],NOTA[[#This Row],[HARGA/ CTN]]*IF(NOTA[[#This Row],[C]]="",0,NOTA[[#This Row],[C]]))</f>
        <v/>
      </c>
      <c r="X686" s="59" t="str">
        <f>IF(NOTA[[#This Row],[JUMLAH]]="","",NOTA[[#This Row],[JUMLAH]]*NOTA[[#This Row],[DISC 1]])</f>
        <v/>
      </c>
      <c r="Y686" s="59" t="str">
        <f>IF(NOTA[[#This Row],[JUMLAH]]="","",(NOTA[[#This Row],[JUMLAH]]-NOTA[[#This Row],[DISC 1-]])*NOTA[[#This Row],[DISC 2]])</f>
        <v/>
      </c>
      <c r="Z686" s="59" t="str">
        <f>IF(NOTA[[#This Row],[JUMLAH]]="","",NOTA[[#This Row],[DISC 1-]]+NOTA[[#This Row],[DISC 2-]])</f>
        <v/>
      </c>
      <c r="AA686" s="59" t="str">
        <f>IF(NOTA[[#This Row],[JUMLAH]]="","",NOTA[[#This Row],[JUMLAH]]-NOTA[[#This Row],[DISC]])</f>
        <v/>
      </c>
      <c r="AB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9" t="str">
        <f>IF(OR(NOTA[[#This Row],[QTY]]="",NOTA[[#This Row],[HARGA SATUAN]]="",),"",NOTA[[#This Row],[QTY]]*NOTA[[#This Row],[HARGA SATUAN]])</f>
        <v/>
      </c>
      <c r="AF686" s="60" t="str">
        <f ca="1">IF(NOTA[ID_H]="","",INDEX(NOTA[TANGGAL],MATCH(,INDIRECT(ADDRESS(ROW(NOTA[TANGGAL]),COLUMN(NOTA[TANGGAL]))&amp;":"&amp;ADDRESS(ROW(),COLUMN(NOTA[TANGGAL]))),-1)))</f>
        <v/>
      </c>
      <c r="AG686" s="57" t="str">
        <f ca="1">IF(NOTA[[#This Row],[NAMA BARANG]]="","",INDEX(NOTA[SUPPLIER],MATCH(,INDIRECT(ADDRESS(ROW(NOTA[ID]),COLUMN(NOTA[ID]))&amp;":"&amp;ADDRESS(ROW(),COLUMN(NOTA[ID]))),-1)))</f>
        <v/>
      </c>
      <c r="AH686" s="57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38" t="str">
        <f>IF(NOTA[[#This Row],[CONCAT4]]="","",_xlfn.IFNA(MATCH(NOTA[[#This Row],[CONCAT4]],[2]!RAW[CONCAT_H],0),FALSE))</f>
        <v/>
      </c>
      <c r="AP686" s="174" t="str">
        <f>IF(NOTA[[#This Row],[CONCAT1]]="","",MATCH(NOTA[[#This Row],[CONCAT1]],[3]!db[NB NOTA_C],0)+1)</f>
        <v/>
      </c>
    </row>
    <row r="687" spans="1:42" ht="20.100000000000001" customHeight="1" x14ac:dyDescent="0.25">
      <c r="A68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8" t="str">
        <f>IF(NOTA[[#This Row],[ID_P]]="","",MATCH(NOTA[[#This Row],[ID_P]],[1]!B_MSK[N_ID],0))</f>
        <v/>
      </c>
      <c r="D687" s="58" t="str">
        <f ca="1">IF(NOTA[[#This Row],[NAMA BARANG]]="","",INDEX(NOTA[ID],MATCH(,INDIRECT(ADDRESS(ROW(NOTA[ID]),COLUMN(NOTA[ID]))&amp;":"&amp;ADDRESS(ROW(),COLUMN(NOTA[ID]))),-1)))</f>
        <v/>
      </c>
      <c r="E687" s="61"/>
      <c r="F687" s="62"/>
      <c r="G687" s="62"/>
      <c r="H687" s="107"/>
      <c r="I687" s="62"/>
      <c r="J687" s="60"/>
      <c r="K687" s="62"/>
      <c r="L687" s="26"/>
      <c r="M687" s="63"/>
      <c r="N687" s="62"/>
      <c r="O687" s="26"/>
      <c r="P687" s="57"/>
      <c r="Q687" s="64"/>
      <c r="R687" s="39"/>
      <c r="S687" s="117"/>
      <c r="T687" s="117"/>
      <c r="U687" s="59"/>
      <c r="V687" s="37"/>
      <c r="W687" s="59" t="str">
        <f>IF(NOTA[[#This Row],[HARGA/ CTN]]="",NOTA[[#This Row],[JUMLAH_H]],NOTA[[#This Row],[HARGA/ CTN]]*IF(NOTA[[#This Row],[C]]="",0,NOTA[[#This Row],[C]]))</f>
        <v/>
      </c>
      <c r="X687" s="59" t="str">
        <f>IF(NOTA[[#This Row],[JUMLAH]]="","",NOTA[[#This Row],[JUMLAH]]*NOTA[[#This Row],[DISC 1]])</f>
        <v/>
      </c>
      <c r="Y687" s="59" t="str">
        <f>IF(NOTA[[#This Row],[JUMLAH]]="","",(NOTA[[#This Row],[JUMLAH]]-NOTA[[#This Row],[DISC 1-]])*NOTA[[#This Row],[DISC 2]])</f>
        <v/>
      </c>
      <c r="Z687" s="59" t="str">
        <f>IF(NOTA[[#This Row],[JUMLAH]]="","",NOTA[[#This Row],[DISC 1-]]+NOTA[[#This Row],[DISC 2-]])</f>
        <v/>
      </c>
      <c r="AA687" s="59" t="str">
        <f>IF(NOTA[[#This Row],[JUMLAH]]="","",NOTA[[#This Row],[JUMLAH]]-NOTA[[#This Row],[DISC]])</f>
        <v/>
      </c>
      <c r="AB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59" t="str">
        <f>IF(OR(NOTA[[#This Row],[QTY]]="",NOTA[[#This Row],[HARGA SATUAN]]="",),"",NOTA[[#This Row],[QTY]]*NOTA[[#This Row],[HARGA SATUAN]])</f>
        <v/>
      </c>
      <c r="AF687" s="60" t="str">
        <f ca="1">IF(NOTA[ID_H]="","",INDEX(NOTA[TANGGAL],MATCH(,INDIRECT(ADDRESS(ROW(NOTA[TANGGAL]),COLUMN(NOTA[TANGGAL]))&amp;":"&amp;ADDRESS(ROW(),COLUMN(NOTA[TANGGAL]))),-1)))</f>
        <v/>
      </c>
      <c r="AG687" s="57" t="str">
        <f ca="1">IF(NOTA[[#This Row],[NAMA BARANG]]="","",INDEX(NOTA[SUPPLIER],MATCH(,INDIRECT(ADDRESS(ROW(NOTA[ID]),COLUMN(NOTA[ID]))&amp;":"&amp;ADDRESS(ROW(),COLUMN(NOTA[ID]))),-1)))</f>
        <v/>
      </c>
      <c r="AH687" s="57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38" t="str">
        <f>IF(NOTA[[#This Row],[CONCAT4]]="","",_xlfn.IFNA(MATCH(NOTA[[#This Row],[CONCAT4]],[2]!RAW[CONCAT_H],0),FALSE))</f>
        <v/>
      </c>
      <c r="AP687" s="174" t="str">
        <f>IF(NOTA[[#This Row],[CONCAT1]]="","",MATCH(NOTA[[#This Row],[CONCAT1]],[3]!db[NB NOTA_C],0)+1)</f>
        <v/>
      </c>
    </row>
    <row r="688" spans="1:42" ht="20.100000000000001" customHeight="1" x14ac:dyDescent="0.25">
      <c r="A68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8" t="str">
        <f>IF(NOTA[[#This Row],[ID_P]]="","",MATCH(NOTA[[#This Row],[ID_P]],[1]!B_MSK[N_ID],0))</f>
        <v/>
      </c>
      <c r="D688" s="58" t="str">
        <f ca="1">IF(NOTA[[#This Row],[NAMA BARANG]]="","",INDEX(NOTA[ID],MATCH(,INDIRECT(ADDRESS(ROW(NOTA[ID]),COLUMN(NOTA[ID]))&amp;":"&amp;ADDRESS(ROW(),COLUMN(NOTA[ID]))),-1)))</f>
        <v/>
      </c>
      <c r="E688" s="61"/>
      <c r="F688" s="26"/>
      <c r="G688" s="26"/>
      <c r="H688" s="31"/>
      <c r="I688" s="62"/>
      <c r="J688" s="60"/>
      <c r="K688" s="62"/>
      <c r="L688" s="26"/>
      <c r="M688" s="63"/>
      <c r="N688" s="62"/>
      <c r="O688" s="26"/>
      <c r="P688" s="57"/>
      <c r="Q688" s="64"/>
      <c r="R688" s="39"/>
      <c r="S688" s="117"/>
      <c r="T688" s="117"/>
      <c r="U688" s="59"/>
      <c r="V688" s="37"/>
      <c r="W688" s="59" t="str">
        <f>IF(NOTA[[#This Row],[HARGA/ CTN]]="",NOTA[[#This Row],[JUMLAH_H]],NOTA[[#This Row],[HARGA/ CTN]]*IF(NOTA[[#This Row],[C]]="",0,NOTA[[#This Row],[C]]))</f>
        <v/>
      </c>
      <c r="X688" s="59" t="str">
        <f>IF(NOTA[[#This Row],[JUMLAH]]="","",NOTA[[#This Row],[JUMLAH]]*NOTA[[#This Row],[DISC 1]])</f>
        <v/>
      </c>
      <c r="Y688" s="59" t="str">
        <f>IF(NOTA[[#This Row],[JUMLAH]]="","",(NOTA[[#This Row],[JUMLAH]]-NOTA[[#This Row],[DISC 1-]])*NOTA[[#This Row],[DISC 2]])</f>
        <v/>
      </c>
      <c r="Z688" s="59" t="str">
        <f>IF(NOTA[[#This Row],[JUMLAH]]="","",NOTA[[#This Row],[DISC 1-]]+NOTA[[#This Row],[DISC 2-]])</f>
        <v/>
      </c>
      <c r="AA688" s="59" t="str">
        <f>IF(NOTA[[#This Row],[JUMLAH]]="","",NOTA[[#This Row],[JUMLAH]]-NOTA[[#This Row],[DISC]])</f>
        <v/>
      </c>
      <c r="AB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59" t="str">
        <f>IF(OR(NOTA[[#This Row],[QTY]]="",NOTA[[#This Row],[HARGA SATUAN]]="",),"",NOTA[[#This Row],[QTY]]*NOTA[[#This Row],[HARGA SATUAN]])</f>
        <v/>
      </c>
      <c r="AF688" s="60" t="str">
        <f ca="1">IF(NOTA[ID_H]="","",INDEX(NOTA[TANGGAL],MATCH(,INDIRECT(ADDRESS(ROW(NOTA[TANGGAL]),COLUMN(NOTA[TANGGAL]))&amp;":"&amp;ADDRESS(ROW(),COLUMN(NOTA[TANGGAL]))),-1)))</f>
        <v/>
      </c>
      <c r="AG688" s="57" t="str">
        <f ca="1">IF(NOTA[[#This Row],[NAMA BARANG]]="","",INDEX(NOTA[SUPPLIER],MATCH(,INDIRECT(ADDRESS(ROW(NOTA[ID]),COLUMN(NOTA[ID]))&amp;":"&amp;ADDRESS(ROW(),COLUMN(NOTA[ID]))),-1)))</f>
        <v/>
      </c>
      <c r="AH688" s="57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38" t="str">
        <f>IF(NOTA[[#This Row],[CONCAT4]]="","",_xlfn.IFNA(MATCH(NOTA[[#This Row],[CONCAT4]],[2]!RAW[CONCAT_H],0),FALSE))</f>
        <v/>
      </c>
      <c r="AP688" s="174" t="str">
        <f>IF(NOTA[[#This Row],[CONCAT1]]="","",MATCH(NOTA[[#This Row],[CONCAT1]],[3]!db[NB NOTA_C],0)+1)</f>
        <v/>
      </c>
    </row>
    <row r="689" spans="1:42" ht="20.100000000000001" customHeight="1" x14ac:dyDescent="0.25">
      <c r="A6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8" t="str">
        <f>IF(NOTA[[#This Row],[ID_P]]="","",MATCH(NOTA[[#This Row],[ID_P]],[1]!B_MSK[N_ID],0))</f>
        <v/>
      </c>
      <c r="D689" s="58" t="str">
        <f ca="1">IF(NOTA[[#This Row],[NAMA BARANG]]="","",INDEX(NOTA[ID],MATCH(,INDIRECT(ADDRESS(ROW(NOTA[ID]),COLUMN(NOTA[ID]))&amp;":"&amp;ADDRESS(ROW(),COLUMN(NOTA[ID]))),-1)))</f>
        <v/>
      </c>
      <c r="E689" s="61"/>
      <c r="F689" s="62"/>
      <c r="G689" s="62"/>
      <c r="H689" s="107"/>
      <c r="I689" s="62"/>
      <c r="J689" s="60"/>
      <c r="K689" s="62"/>
      <c r="L689" s="26"/>
      <c r="M689" s="63"/>
      <c r="N689" s="62"/>
      <c r="O689" s="26"/>
      <c r="P689" s="57"/>
      <c r="Q689" s="64"/>
      <c r="R689" s="39"/>
      <c r="S689" s="117"/>
      <c r="T689" s="117"/>
      <c r="U689" s="59"/>
      <c r="V689" s="37"/>
      <c r="W689" s="59" t="str">
        <f>IF(NOTA[[#This Row],[HARGA/ CTN]]="",NOTA[[#This Row],[JUMLAH_H]],NOTA[[#This Row],[HARGA/ CTN]]*IF(NOTA[[#This Row],[C]]="",0,NOTA[[#This Row],[C]]))</f>
        <v/>
      </c>
      <c r="X689" s="59" t="str">
        <f>IF(NOTA[[#This Row],[JUMLAH]]="","",NOTA[[#This Row],[JUMLAH]]*NOTA[[#This Row],[DISC 1]])</f>
        <v/>
      </c>
      <c r="Y689" s="59" t="str">
        <f>IF(NOTA[[#This Row],[JUMLAH]]="","",(NOTA[[#This Row],[JUMLAH]]-NOTA[[#This Row],[DISC 1-]])*NOTA[[#This Row],[DISC 2]])</f>
        <v/>
      </c>
      <c r="Z689" s="59" t="str">
        <f>IF(NOTA[[#This Row],[JUMLAH]]="","",NOTA[[#This Row],[DISC 1-]]+NOTA[[#This Row],[DISC 2-]])</f>
        <v/>
      </c>
      <c r="AA689" s="59" t="str">
        <f>IF(NOTA[[#This Row],[JUMLAH]]="","",NOTA[[#This Row],[JUMLAH]]-NOTA[[#This Row],[DISC]])</f>
        <v/>
      </c>
      <c r="AB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59" t="str">
        <f>IF(OR(NOTA[[#This Row],[QTY]]="",NOTA[[#This Row],[HARGA SATUAN]]="",),"",NOTA[[#This Row],[QTY]]*NOTA[[#This Row],[HARGA SATUAN]])</f>
        <v/>
      </c>
      <c r="AF689" s="60" t="str">
        <f ca="1">IF(NOTA[ID_H]="","",INDEX(NOTA[TANGGAL],MATCH(,INDIRECT(ADDRESS(ROW(NOTA[TANGGAL]),COLUMN(NOTA[TANGGAL]))&amp;":"&amp;ADDRESS(ROW(),COLUMN(NOTA[TANGGAL]))),-1)))</f>
        <v/>
      </c>
      <c r="AG689" s="57" t="str">
        <f ca="1">IF(NOTA[[#This Row],[NAMA BARANG]]="","",INDEX(NOTA[SUPPLIER],MATCH(,INDIRECT(ADDRESS(ROW(NOTA[ID]),COLUMN(NOTA[ID]))&amp;":"&amp;ADDRESS(ROW(),COLUMN(NOTA[ID]))),-1)))</f>
        <v/>
      </c>
      <c r="AH689" s="57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38" t="str">
        <f>IF(NOTA[[#This Row],[CONCAT4]]="","",_xlfn.IFNA(MATCH(NOTA[[#This Row],[CONCAT4]],[2]!RAW[CONCAT_H],0),FALSE))</f>
        <v/>
      </c>
      <c r="AP689" s="174" t="str">
        <f>IF(NOTA[[#This Row],[CONCAT1]]="","",MATCH(NOTA[[#This Row],[CONCAT1]],[3]!db[NB NOTA_C],0)+1)</f>
        <v/>
      </c>
    </row>
    <row r="690" spans="1:42" ht="20.100000000000001" customHeight="1" x14ac:dyDescent="0.25">
      <c r="A69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8" t="str">
        <f>IF(NOTA[[#This Row],[ID_P]]="","",MATCH(NOTA[[#This Row],[ID_P]],[1]!B_MSK[N_ID],0))</f>
        <v/>
      </c>
      <c r="D690" s="58" t="str">
        <f ca="1">IF(NOTA[[#This Row],[NAMA BARANG]]="","",INDEX(NOTA[ID],MATCH(,INDIRECT(ADDRESS(ROW(NOTA[ID]),COLUMN(NOTA[ID]))&amp;":"&amp;ADDRESS(ROW(),COLUMN(NOTA[ID]))),-1)))</f>
        <v/>
      </c>
      <c r="E690" s="61"/>
      <c r="F690" s="62"/>
      <c r="G690" s="62"/>
      <c r="H690" s="107"/>
      <c r="I690" s="62"/>
      <c r="J690" s="60"/>
      <c r="K690" s="62"/>
      <c r="L690" s="26"/>
      <c r="M690" s="63"/>
      <c r="N690" s="62"/>
      <c r="O690" s="26"/>
      <c r="P690" s="57"/>
      <c r="Q690" s="64"/>
      <c r="R690" s="39"/>
      <c r="S690" s="117"/>
      <c r="T690" s="117"/>
      <c r="U690" s="59"/>
      <c r="V690" s="37"/>
      <c r="W690" s="59" t="str">
        <f>IF(NOTA[[#This Row],[HARGA/ CTN]]="",NOTA[[#This Row],[JUMLAH_H]],NOTA[[#This Row],[HARGA/ CTN]]*IF(NOTA[[#This Row],[C]]="",0,NOTA[[#This Row],[C]]))</f>
        <v/>
      </c>
      <c r="X690" s="59" t="str">
        <f>IF(NOTA[[#This Row],[JUMLAH]]="","",NOTA[[#This Row],[JUMLAH]]*NOTA[[#This Row],[DISC 1]])</f>
        <v/>
      </c>
      <c r="Y690" s="59" t="str">
        <f>IF(NOTA[[#This Row],[JUMLAH]]="","",(NOTA[[#This Row],[JUMLAH]]-NOTA[[#This Row],[DISC 1-]])*NOTA[[#This Row],[DISC 2]])</f>
        <v/>
      </c>
      <c r="Z690" s="59" t="str">
        <f>IF(NOTA[[#This Row],[JUMLAH]]="","",NOTA[[#This Row],[DISC 1-]]+NOTA[[#This Row],[DISC 2-]])</f>
        <v/>
      </c>
      <c r="AA690" s="59" t="str">
        <f>IF(NOTA[[#This Row],[JUMLAH]]="","",NOTA[[#This Row],[JUMLAH]]-NOTA[[#This Row],[DISC]])</f>
        <v/>
      </c>
      <c r="AB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59" t="str">
        <f>IF(OR(NOTA[[#This Row],[QTY]]="",NOTA[[#This Row],[HARGA SATUAN]]="",),"",NOTA[[#This Row],[QTY]]*NOTA[[#This Row],[HARGA SATUAN]])</f>
        <v/>
      </c>
      <c r="AF690" s="60" t="str">
        <f ca="1">IF(NOTA[ID_H]="","",INDEX(NOTA[TANGGAL],MATCH(,INDIRECT(ADDRESS(ROW(NOTA[TANGGAL]),COLUMN(NOTA[TANGGAL]))&amp;":"&amp;ADDRESS(ROW(),COLUMN(NOTA[TANGGAL]))),-1)))</f>
        <v/>
      </c>
      <c r="AG690" s="57" t="str">
        <f ca="1">IF(NOTA[[#This Row],[NAMA BARANG]]="","",INDEX(NOTA[SUPPLIER],MATCH(,INDIRECT(ADDRESS(ROW(NOTA[ID]),COLUMN(NOTA[ID]))&amp;":"&amp;ADDRESS(ROW(),COLUMN(NOTA[ID]))),-1)))</f>
        <v/>
      </c>
      <c r="AH690" s="57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38" t="str">
        <f>IF(NOTA[[#This Row],[CONCAT4]]="","",_xlfn.IFNA(MATCH(NOTA[[#This Row],[CONCAT4]],[2]!RAW[CONCAT_H],0),FALSE))</f>
        <v/>
      </c>
      <c r="AP690" s="174" t="str">
        <f>IF(NOTA[[#This Row],[CONCAT1]]="","",MATCH(NOTA[[#This Row],[CONCAT1]],[3]!db[NB NOTA_C],0)+1)</f>
        <v/>
      </c>
    </row>
    <row r="691" spans="1:42" ht="20.100000000000001" customHeight="1" x14ac:dyDescent="0.25">
      <c r="A69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8" t="str">
        <f>IF(NOTA[[#This Row],[ID_P]]="","",MATCH(NOTA[[#This Row],[ID_P]],[1]!B_MSK[N_ID],0))</f>
        <v/>
      </c>
      <c r="D691" s="58" t="str">
        <f ca="1">IF(NOTA[[#This Row],[NAMA BARANG]]="","",INDEX(NOTA[ID],MATCH(,INDIRECT(ADDRESS(ROW(NOTA[ID]),COLUMN(NOTA[ID]))&amp;":"&amp;ADDRESS(ROW(),COLUMN(NOTA[ID]))),-1)))</f>
        <v/>
      </c>
      <c r="E691" s="61"/>
      <c r="F691" s="26"/>
      <c r="G691" s="26"/>
      <c r="H691" s="31"/>
      <c r="I691" s="62"/>
      <c r="J691" s="60"/>
      <c r="K691" s="62"/>
      <c r="L691" s="26"/>
      <c r="M691" s="63"/>
      <c r="N691" s="62"/>
      <c r="O691" s="26"/>
      <c r="P691" s="57"/>
      <c r="Q691" s="64"/>
      <c r="R691" s="39"/>
      <c r="S691" s="117"/>
      <c r="T691" s="117"/>
      <c r="U691" s="59"/>
      <c r="V691" s="37"/>
      <c r="W691" s="59" t="str">
        <f>IF(NOTA[[#This Row],[HARGA/ CTN]]="",NOTA[[#This Row],[JUMLAH_H]],NOTA[[#This Row],[HARGA/ CTN]]*IF(NOTA[[#This Row],[C]]="",0,NOTA[[#This Row],[C]]))</f>
        <v/>
      </c>
      <c r="X691" s="59" t="str">
        <f>IF(NOTA[[#This Row],[JUMLAH]]="","",NOTA[[#This Row],[JUMLAH]]*NOTA[[#This Row],[DISC 1]])</f>
        <v/>
      </c>
      <c r="Y691" s="59" t="str">
        <f>IF(NOTA[[#This Row],[JUMLAH]]="","",(NOTA[[#This Row],[JUMLAH]]-NOTA[[#This Row],[DISC 1-]])*NOTA[[#This Row],[DISC 2]])</f>
        <v/>
      </c>
      <c r="Z691" s="59" t="str">
        <f>IF(NOTA[[#This Row],[JUMLAH]]="","",NOTA[[#This Row],[DISC 1-]]+NOTA[[#This Row],[DISC 2-]])</f>
        <v/>
      </c>
      <c r="AA691" s="59" t="str">
        <f>IF(NOTA[[#This Row],[JUMLAH]]="","",NOTA[[#This Row],[JUMLAH]]-NOTA[[#This Row],[DISC]])</f>
        <v/>
      </c>
      <c r="AB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59" t="str">
        <f>IF(OR(NOTA[[#This Row],[QTY]]="",NOTA[[#This Row],[HARGA SATUAN]]="",),"",NOTA[[#This Row],[QTY]]*NOTA[[#This Row],[HARGA SATUAN]])</f>
        <v/>
      </c>
      <c r="AF691" s="60" t="str">
        <f ca="1">IF(NOTA[ID_H]="","",INDEX(NOTA[TANGGAL],MATCH(,INDIRECT(ADDRESS(ROW(NOTA[TANGGAL]),COLUMN(NOTA[TANGGAL]))&amp;":"&amp;ADDRESS(ROW(),COLUMN(NOTA[TANGGAL]))),-1)))</f>
        <v/>
      </c>
      <c r="AG691" s="57" t="str">
        <f ca="1">IF(NOTA[[#This Row],[NAMA BARANG]]="","",INDEX(NOTA[SUPPLIER],MATCH(,INDIRECT(ADDRESS(ROW(NOTA[ID]),COLUMN(NOTA[ID]))&amp;":"&amp;ADDRESS(ROW(),COLUMN(NOTA[ID]))),-1)))</f>
        <v/>
      </c>
      <c r="AH691" s="57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1" s="38" t="str">
        <f>IF(NOTA[[#This Row],[CONCAT4]]="","",_xlfn.IFNA(MATCH(NOTA[[#This Row],[CONCAT4]],[2]!RAW[CONCAT_H],0),FALSE))</f>
        <v/>
      </c>
      <c r="AP691" s="174" t="str">
        <f>IF(NOTA[[#This Row],[CONCAT1]]="","",MATCH(NOTA[[#This Row],[CONCAT1]],[3]!db[NB NOTA_C],0)+1)</f>
        <v/>
      </c>
    </row>
    <row r="692" spans="1:42" ht="20.100000000000001" customHeight="1" x14ac:dyDescent="0.25">
      <c r="A69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8" t="str">
        <f>IF(NOTA[[#This Row],[ID_P]]="","",MATCH(NOTA[[#This Row],[ID_P]],[1]!B_MSK[N_ID],0))</f>
        <v/>
      </c>
      <c r="D692" s="58" t="str">
        <f ca="1">IF(NOTA[[#This Row],[NAMA BARANG]]="","",INDEX(NOTA[ID],MATCH(,INDIRECT(ADDRESS(ROW(NOTA[ID]),COLUMN(NOTA[ID]))&amp;":"&amp;ADDRESS(ROW(),COLUMN(NOTA[ID]))),-1)))</f>
        <v/>
      </c>
      <c r="E692" s="61"/>
      <c r="F692" s="62"/>
      <c r="G692" s="62"/>
      <c r="H692" s="107"/>
      <c r="I692" s="62"/>
      <c r="J692" s="60"/>
      <c r="K692" s="62"/>
      <c r="L692" s="26"/>
      <c r="M692" s="63"/>
      <c r="N692" s="62"/>
      <c r="O692" s="26"/>
      <c r="P692" s="57"/>
      <c r="Q692" s="64"/>
      <c r="R692" s="39"/>
      <c r="S692" s="117"/>
      <c r="T692" s="117"/>
      <c r="U692" s="59"/>
      <c r="V692" s="37"/>
      <c r="W692" s="59" t="str">
        <f>IF(NOTA[[#This Row],[HARGA/ CTN]]="",NOTA[[#This Row],[JUMLAH_H]],NOTA[[#This Row],[HARGA/ CTN]]*IF(NOTA[[#This Row],[C]]="",0,NOTA[[#This Row],[C]]))</f>
        <v/>
      </c>
      <c r="X692" s="59" t="str">
        <f>IF(NOTA[[#This Row],[JUMLAH]]="","",NOTA[[#This Row],[JUMLAH]]*NOTA[[#This Row],[DISC 1]])</f>
        <v/>
      </c>
      <c r="Y692" s="59" t="str">
        <f>IF(NOTA[[#This Row],[JUMLAH]]="","",(NOTA[[#This Row],[JUMLAH]]-NOTA[[#This Row],[DISC 1-]])*NOTA[[#This Row],[DISC 2]])</f>
        <v/>
      </c>
      <c r="Z692" s="59" t="str">
        <f>IF(NOTA[[#This Row],[JUMLAH]]="","",NOTA[[#This Row],[DISC 1-]]+NOTA[[#This Row],[DISC 2-]])</f>
        <v/>
      </c>
      <c r="AA692" s="59" t="str">
        <f>IF(NOTA[[#This Row],[JUMLAH]]="","",NOTA[[#This Row],[JUMLAH]]-NOTA[[#This Row],[DISC]])</f>
        <v/>
      </c>
      <c r="AB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59" t="str">
        <f>IF(OR(NOTA[[#This Row],[QTY]]="",NOTA[[#This Row],[HARGA SATUAN]]="",),"",NOTA[[#This Row],[QTY]]*NOTA[[#This Row],[HARGA SATUAN]])</f>
        <v/>
      </c>
      <c r="AF692" s="60" t="str">
        <f ca="1">IF(NOTA[ID_H]="","",INDEX(NOTA[TANGGAL],MATCH(,INDIRECT(ADDRESS(ROW(NOTA[TANGGAL]),COLUMN(NOTA[TANGGAL]))&amp;":"&amp;ADDRESS(ROW(),COLUMN(NOTA[TANGGAL]))),-1)))</f>
        <v/>
      </c>
      <c r="AG692" s="57" t="str">
        <f ca="1">IF(NOTA[[#This Row],[NAMA BARANG]]="","",INDEX(NOTA[SUPPLIER],MATCH(,INDIRECT(ADDRESS(ROW(NOTA[ID]),COLUMN(NOTA[ID]))&amp;":"&amp;ADDRESS(ROW(),COLUMN(NOTA[ID]))),-1)))</f>
        <v/>
      </c>
      <c r="AH692" s="57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38" t="str">
        <f>IF(NOTA[[#This Row],[CONCAT4]]="","",_xlfn.IFNA(MATCH(NOTA[[#This Row],[CONCAT4]],[2]!RAW[CONCAT_H],0),FALSE))</f>
        <v/>
      </c>
      <c r="AP692" s="174" t="str">
        <f>IF(NOTA[[#This Row],[CONCAT1]]="","",MATCH(NOTA[[#This Row],[CONCAT1]],[3]!db[NB NOTA_C],0)+1)</f>
        <v/>
      </c>
    </row>
    <row r="693" spans="1:42" ht="20.100000000000001" customHeight="1" x14ac:dyDescent="0.25">
      <c r="A69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8" t="str">
        <f>IF(NOTA[[#This Row],[ID_P]]="","",MATCH(NOTA[[#This Row],[ID_P]],[1]!B_MSK[N_ID],0))</f>
        <v/>
      </c>
      <c r="D693" s="58" t="str">
        <f ca="1">IF(NOTA[[#This Row],[NAMA BARANG]]="","",INDEX(NOTA[ID],MATCH(,INDIRECT(ADDRESS(ROW(NOTA[ID]),COLUMN(NOTA[ID]))&amp;":"&amp;ADDRESS(ROW(),COLUMN(NOTA[ID]))),-1)))</f>
        <v/>
      </c>
      <c r="E693" s="61"/>
      <c r="F693" s="62"/>
      <c r="G693" s="62"/>
      <c r="H693" s="107"/>
      <c r="I693" s="62"/>
      <c r="J693" s="60"/>
      <c r="K693" s="62"/>
      <c r="L693" s="26"/>
      <c r="M693" s="63"/>
      <c r="N693" s="62"/>
      <c r="O693" s="26"/>
      <c r="P693" s="57"/>
      <c r="Q693" s="64"/>
      <c r="R693" s="39"/>
      <c r="S693" s="117"/>
      <c r="T693" s="117"/>
      <c r="U693" s="59"/>
      <c r="V693" s="37"/>
      <c r="W693" s="59" t="str">
        <f>IF(NOTA[[#This Row],[HARGA/ CTN]]="",NOTA[[#This Row],[JUMLAH_H]],NOTA[[#This Row],[HARGA/ CTN]]*IF(NOTA[[#This Row],[C]]="",0,NOTA[[#This Row],[C]]))</f>
        <v/>
      </c>
      <c r="X693" s="59" t="str">
        <f>IF(NOTA[[#This Row],[JUMLAH]]="","",NOTA[[#This Row],[JUMLAH]]*NOTA[[#This Row],[DISC 1]])</f>
        <v/>
      </c>
      <c r="Y693" s="59" t="str">
        <f>IF(NOTA[[#This Row],[JUMLAH]]="","",(NOTA[[#This Row],[JUMLAH]]-NOTA[[#This Row],[DISC 1-]])*NOTA[[#This Row],[DISC 2]])</f>
        <v/>
      </c>
      <c r="Z693" s="59" t="str">
        <f>IF(NOTA[[#This Row],[JUMLAH]]="","",NOTA[[#This Row],[DISC 1-]]+NOTA[[#This Row],[DISC 2-]])</f>
        <v/>
      </c>
      <c r="AA693" s="59" t="str">
        <f>IF(NOTA[[#This Row],[JUMLAH]]="","",NOTA[[#This Row],[JUMLAH]]-NOTA[[#This Row],[DISC]])</f>
        <v/>
      </c>
      <c r="AB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59" t="str">
        <f>IF(OR(NOTA[[#This Row],[QTY]]="",NOTA[[#This Row],[HARGA SATUAN]]="",),"",NOTA[[#This Row],[QTY]]*NOTA[[#This Row],[HARGA SATUAN]])</f>
        <v/>
      </c>
      <c r="AF693" s="60" t="str">
        <f ca="1">IF(NOTA[ID_H]="","",INDEX(NOTA[TANGGAL],MATCH(,INDIRECT(ADDRESS(ROW(NOTA[TANGGAL]),COLUMN(NOTA[TANGGAL]))&amp;":"&amp;ADDRESS(ROW(),COLUMN(NOTA[TANGGAL]))),-1)))</f>
        <v/>
      </c>
      <c r="AG693" s="57" t="str">
        <f ca="1">IF(NOTA[[#This Row],[NAMA BARANG]]="","",INDEX(NOTA[SUPPLIER],MATCH(,INDIRECT(ADDRESS(ROW(NOTA[ID]),COLUMN(NOTA[ID]))&amp;":"&amp;ADDRESS(ROW(),COLUMN(NOTA[ID]))),-1)))</f>
        <v/>
      </c>
      <c r="AH693" s="57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3" s="38" t="str">
        <f>IF(NOTA[[#This Row],[CONCAT4]]="","",_xlfn.IFNA(MATCH(NOTA[[#This Row],[CONCAT4]],[2]!RAW[CONCAT_H],0),FALSE))</f>
        <v/>
      </c>
      <c r="AP693" s="174" t="str">
        <f>IF(NOTA[[#This Row],[CONCAT1]]="","",MATCH(NOTA[[#This Row],[CONCAT1]],[3]!db[NB NOTA_C],0)+1)</f>
        <v/>
      </c>
    </row>
    <row r="694" spans="1:42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8" t="str">
        <f>IF(NOTA[[#This Row],[ID_P]]="","",MATCH(NOTA[[#This Row],[ID_P]],[1]!B_MSK[N_ID],0))</f>
        <v/>
      </c>
      <c r="D694" s="58" t="str">
        <f ca="1">IF(NOTA[[#This Row],[NAMA BARANG]]="","",INDEX(NOTA[ID],MATCH(,INDIRECT(ADDRESS(ROW(NOTA[ID]),COLUMN(NOTA[ID]))&amp;":"&amp;ADDRESS(ROW(),COLUMN(NOTA[ID]))),-1)))</f>
        <v/>
      </c>
      <c r="E694" s="61"/>
      <c r="F694" s="26"/>
      <c r="G694" s="26"/>
      <c r="H694" s="31"/>
      <c r="I694" s="62"/>
      <c r="J694" s="60"/>
      <c r="K694" s="62"/>
      <c r="L694" s="26"/>
      <c r="M694" s="63"/>
      <c r="N694" s="62"/>
      <c r="O694" s="26"/>
      <c r="P694" s="57"/>
      <c r="Q694" s="64"/>
      <c r="R694" s="39"/>
      <c r="S694" s="117"/>
      <c r="T694" s="117"/>
      <c r="U694" s="59"/>
      <c r="V694" s="37"/>
      <c r="W694" s="59" t="str">
        <f>IF(NOTA[[#This Row],[HARGA/ CTN]]="",NOTA[[#This Row],[JUMLAH_H]],NOTA[[#This Row],[HARGA/ CTN]]*IF(NOTA[[#This Row],[C]]="",0,NOTA[[#This Row],[C]]))</f>
        <v/>
      </c>
      <c r="X694" s="59" t="str">
        <f>IF(NOTA[[#This Row],[JUMLAH]]="","",NOTA[[#This Row],[JUMLAH]]*NOTA[[#This Row],[DISC 1]])</f>
        <v/>
      </c>
      <c r="Y694" s="59" t="str">
        <f>IF(NOTA[[#This Row],[JUMLAH]]="","",(NOTA[[#This Row],[JUMLAH]]-NOTA[[#This Row],[DISC 1-]])*NOTA[[#This Row],[DISC 2]])</f>
        <v/>
      </c>
      <c r="Z694" s="59" t="str">
        <f>IF(NOTA[[#This Row],[JUMLAH]]="","",NOTA[[#This Row],[DISC 1-]]+NOTA[[#This Row],[DISC 2-]])</f>
        <v/>
      </c>
      <c r="AA694" s="59" t="str">
        <f>IF(NOTA[[#This Row],[JUMLAH]]="","",NOTA[[#This Row],[JUMLAH]]-NOTA[[#This Row],[DISC]])</f>
        <v/>
      </c>
      <c r="AB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59" t="str">
        <f>IF(OR(NOTA[[#This Row],[QTY]]="",NOTA[[#This Row],[HARGA SATUAN]]="",),"",NOTA[[#This Row],[QTY]]*NOTA[[#This Row],[HARGA SATUAN]])</f>
        <v/>
      </c>
      <c r="AF694" s="60" t="str">
        <f ca="1">IF(NOTA[ID_H]="","",INDEX(NOTA[TANGGAL],MATCH(,INDIRECT(ADDRESS(ROW(NOTA[TANGGAL]),COLUMN(NOTA[TANGGAL]))&amp;":"&amp;ADDRESS(ROW(),COLUMN(NOTA[TANGGAL]))),-1)))</f>
        <v/>
      </c>
      <c r="AG694" s="57" t="str">
        <f ca="1">IF(NOTA[[#This Row],[NAMA BARANG]]="","",INDEX(NOTA[SUPPLIER],MATCH(,INDIRECT(ADDRESS(ROW(NOTA[ID]),COLUMN(NOTA[ID]))&amp;":"&amp;ADDRESS(ROW(),COLUMN(NOTA[ID]))),-1)))</f>
        <v/>
      </c>
      <c r="AH694" s="57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38" t="str">
        <f>IF(NOTA[[#This Row],[CONCAT4]]="","",_xlfn.IFNA(MATCH(NOTA[[#This Row],[CONCAT4]],[2]!RAW[CONCAT_H],0),FALSE))</f>
        <v/>
      </c>
      <c r="AP694" s="174" t="str">
        <f>IF(NOTA[[#This Row],[CONCAT1]]="","",MATCH(NOTA[[#This Row],[CONCAT1]],[3]!db[NB NOTA_C],0)+1)</f>
        <v/>
      </c>
    </row>
    <row r="695" spans="1:42" ht="20.100000000000001" customHeight="1" x14ac:dyDescent="0.25">
      <c r="A69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8" t="str">
        <f>IF(NOTA[[#This Row],[ID_P]]="","",MATCH(NOTA[[#This Row],[ID_P]],[1]!B_MSK[N_ID],0))</f>
        <v/>
      </c>
      <c r="D695" s="58" t="str">
        <f ca="1">IF(NOTA[[#This Row],[NAMA BARANG]]="","",INDEX(NOTA[ID],MATCH(,INDIRECT(ADDRESS(ROW(NOTA[ID]),COLUMN(NOTA[ID]))&amp;":"&amp;ADDRESS(ROW(),COLUMN(NOTA[ID]))),-1)))</f>
        <v/>
      </c>
      <c r="E695" s="61"/>
      <c r="F695" s="26"/>
      <c r="G695" s="26"/>
      <c r="H695" s="31"/>
      <c r="I695" s="62"/>
      <c r="J695" s="60"/>
      <c r="K695" s="62"/>
      <c r="L695" s="26"/>
      <c r="M695" s="63"/>
      <c r="N695" s="62"/>
      <c r="O695" s="26"/>
      <c r="P695" s="57"/>
      <c r="Q695" s="64"/>
      <c r="R695" s="39"/>
      <c r="S695" s="117"/>
      <c r="T695" s="117"/>
      <c r="U695" s="59"/>
      <c r="V695" s="37"/>
      <c r="W695" s="59" t="str">
        <f>IF(NOTA[[#This Row],[HARGA/ CTN]]="",NOTA[[#This Row],[JUMLAH_H]],NOTA[[#This Row],[HARGA/ CTN]]*IF(NOTA[[#This Row],[C]]="",0,NOTA[[#This Row],[C]]))</f>
        <v/>
      </c>
      <c r="X695" s="59" t="str">
        <f>IF(NOTA[[#This Row],[JUMLAH]]="","",NOTA[[#This Row],[JUMLAH]]*NOTA[[#This Row],[DISC 1]])</f>
        <v/>
      </c>
      <c r="Y695" s="59" t="str">
        <f>IF(NOTA[[#This Row],[JUMLAH]]="","",(NOTA[[#This Row],[JUMLAH]]-NOTA[[#This Row],[DISC 1-]])*NOTA[[#This Row],[DISC 2]])</f>
        <v/>
      </c>
      <c r="Z695" s="59" t="str">
        <f>IF(NOTA[[#This Row],[JUMLAH]]="","",NOTA[[#This Row],[DISC 1-]]+NOTA[[#This Row],[DISC 2-]])</f>
        <v/>
      </c>
      <c r="AA695" s="59" t="str">
        <f>IF(NOTA[[#This Row],[JUMLAH]]="","",NOTA[[#This Row],[JUMLAH]]-NOTA[[#This Row],[DISC]])</f>
        <v/>
      </c>
      <c r="AB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59" t="str">
        <f>IF(OR(NOTA[[#This Row],[QTY]]="",NOTA[[#This Row],[HARGA SATUAN]]="",),"",NOTA[[#This Row],[QTY]]*NOTA[[#This Row],[HARGA SATUAN]])</f>
        <v/>
      </c>
      <c r="AF695" s="60" t="str">
        <f ca="1">IF(NOTA[ID_H]="","",INDEX(NOTA[TANGGAL],MATCH(,INDIRECT(ADDRESS(ROW(NOTA[TANGGAL]),COLUMN(NOTA[TANGGAL]))&amp;":"&amp;ADDRESS(ROW(),COLUMN(NOTA[TANGGAL]))),-1)))</f>
        <v/>
      </c>
      <c r="AG695" s="57" t="str">
        <f ca="1">IF(NOTA[[#This Row],[NAMA BARANG]]="","",INDEX(NOTA[SUPPLIER],MATCH(,INDIRECT(ADDRESS(ROW(NOTA[ID]),COLUMN(NOTA[ID]))&amp;":"&amp;ADDRESS(ROW(),COLUMN(NOTA[ID]))),-1)))</f>
        <v/>
      </c>
      <c r="AH695" s="57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38" t="str">
        <f>IF(NOTA[[#This Row],[CONCAT4]]="","",_xlfn.IFNA(MATCH(NOTA[[#This Row],[CONCAT4]],[2]!RAW[CONCAT_H],0),FALSE))</f>
        <v/>
      </c>
      <c r="AP695" s="174" t="str">
        <f>IF(NOTA[[#This Row],[CONCAT1]]="","",MATCH(NOTA[[#This Row],[CONCAT1]],[3]!db[NB NOTA_C],0)+1)</f>
        <v/>
      </c>
    </row>
    <row r="696" spans="1:42" ht="20.100000000000001" customHeight="1" x14ac:dyDescent="0.25">
      <c r="A6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0" t="str">
        <f>IF(NOTA[[#This Row],[ID_P]]="","",MATCH(NOTA[[#This Row],[ID_P]],[1]!B_MSK[N_ID],0))</f>
        <v/>
      </c>
      <c r="D696" s="50" t="str">
        <f ca="1">IF(NOTA[[#This Row],[NAMA BARANG]]="","",INDEX(NOTA[ID],MATCH(,INDIRECT(ADDRESS(ROW(NOTA[ID]),COLUMN(NOTA[ID]))&amp;":"&amp;ADDRESS(ROW(),COLUMN(NOTA[ID]))),-1)))</f>
        <v/>
      </c>
      <c r="E696" s="23"/>
      <c r="F696" s="26"/>
      <c r="G696" s="26"/>
      <c r="H696" s="31"/>
      <c r="I696" s="26"/>
      <c r="J696" s="51"/>
      <c r="K696" s="26"/>
      <c r="L696" s="26"/>
      <c r="M696" s="63"/>
      <c r="N696" s="62"/>
      <c r="O696" s="26"/>
      <c r="P696" s="57"/>
      <c r="Q696" s="52"/>
      <c r="R696" s="39"/>
      <c r="S696" s="53"/>
      <c r="T696" s="53"/>
      <c r="U696" s="54"/>
      <c r="V696" s="37"/>
      <c r="W696" s="54" t="str">
        <f>IF(NOTA[[#This Row],[HARGA/ CTN]]="",NOTA[[#This Row],[JUMLAH_H]],NOTA[[#This Row],[HARGA/ CTN]]*IF(NOTA[[#This Row],[C]]="",0,NOTA[[#This Row],[C]]))</f>
        <v/>
      </c>
      <c r="X696" s="54" t="str">
        <f>IF(NOTA[[#This Row],[JUMLAH]]="","",NOTA[[#This Row],[JUMLAH]]*NOTA[[#This Row],[DISC 1]])</f>
        <v/>
      </c>
      <c r="Y696" s="54" t="str">
        <f>IF(NOTA[[#This Row],[JUMLAH]]="","",(NOTA[[#This Row],[JUMLAH]]-NOTA[[#This Row],[DISC 1-]])*NOTA[[#This Row],[DISC 2]])</f>
        <v/>
      </c>
      <c r="Z696" s="54" t="str">
        <f>IF(NOTA[[#This Row],[JUMLAH]]="","",NOTA[[#This Row],[DISC 1-]]+NOTA[[#This Row],[DISC 2-]])</f>
        <v/>
      </c>
      <c r="AA696" s="54" t="str">
        <f>IF(NOTA[[#This Row],[JUMLAH]]="","",NOTA[[#This Row],[JUMLAH]]-NOTA[[#This Row],[DISC]])</f>
        <v/>
      </c>
      <c r="AB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54" t="str">
        <f>IF(OR(NOTA[[#This Row],[QTY]]="",NOTA[[#This Row],[HARGA SATUAN]]="",),"",NOTA[[#This Row],[QTY]]*NOTA[[#This Row],[HARGA SATUAN]])</f>
        <v/>
      </c>
      <c r="AF696" s="51" t="str">
        <f ca="1">IF(NOTA[ID_H]="","",INDEX(NOTA[TANGGAL],MATCH(,INDIRECT(ADDRESS(ROW(NOTA[TANGGAL]),COLUMN(NOTA[TANGGAL]))&amp;":"&amp;ADDRESS(ROW(),COLUMN(NOTA[TANGGAL]))),-1)))</f>
        <v/>
      </c>
      <c r="AG696" s="49" t="str">
        <f ca="1">IF(NOTA[[#This Row],[NAMA BARANG]]="","",INDEX(NOTA[SUPPLIER],MATCH(,INDIRECT(ADDRESS(ROW(NOTA[ID]),COLUMN(NOTA[ID]))&amp;":"&amp;ADDRESS(ROW(),COLUMN(NOTA[ID]))),-1)))</f>
        <v/>
      </c>
      <c r="AH696" s="49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6" s="38" t="str">
        <f>IF(NOTA[[#This Row],[CONCAT4]]="","",_xlfn.IFNA(MATCH(NOTA[[#This Row],[CONCAT4]],[2]!RAW[CONCAT_H],0),FALSE))</f>
        <v/>
      </c>
      <c r="AP696" s="174" t="str">
        <f>IF(NOTA[[#This Row],[CONCAT1]]="","",MATCH(NOTA[[#This Row],[CONCAT1]],[3]!db[NB NOTA_C],0)+1)</f>
        <v/>
      </c>
    </row>
    <row r="697" spans="1:42" ht="20.100000000000001" customHeight="1" x14ac:dyDescent="0.25">
      <c r="A6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0" t="str">
        <f>IF(NOTA[[#This Row],[ID_P]]="","",MATCH(NOTA[[#This Row],[ID_P]],[1]!B_MSK[N_ID],0))</f>
        <v/>
      </c>
      <c r="D697" s="50" t="str">
        <f ca="1">IF(NOTA[[#This Row],[NAMA BARANG]]="","",INDEX(NOTA[ID],MATCH(,INDIRECT(ADDRESS(ROW(NOTA[ID]),COLUMN(NOTA[ID]))&amp;":"&amp;ADDRESS(ROW(),COLUMN(NOTA[ID]))),-1)))</f>
        <v/>
      </c>
      <c r="E697" s="23"/>
      <c r="F697" s="26"/>
      <c r="G697" s="26"/>
      <c r="H697" s="31"/>
      <c r="I697" s="26"/>
      <c r="J697" s="51"/>
      <c r="K697" s="26"/>
      <c r="L697" s="26"/>
      <c r="M697" s="63"/>
      <c r="N697" s="62"/>
      <c r="O697" s="26"/>
      <c r="P697" s="57"/>
      <c r="Q697" s="52"/>
      <c r="R697" s="39"/>
      <c r="S697" s="53"/>
      <c r="T697" s="53"/>
      <c r="U697" s="54"/>
      <c r="V697" s="37"/>
      <c r="W697" s="54" t="str">
        <f>IF(NOTA[[#This Row],[HARGA/ CTN]]="",NOTA[[#This Row],[JUMLAH_H]],NOTA[[#This Row],[HARGA/ CTN]]*IF(NOTA[[#This Row],[C]]="",0,NOTA[[#This Row],[C]]))</f>
        <v/>
      </c>
      <c r="X697" s="54" t="str">
        <f>IF(NOTA[[#This Row],[JUMLAH]]="","",NOTA[[#This Row],[JUMLAH]]*NOTA[[#This Row],[DISC 1]])</f>
        <v/>
      </c>
      <c r="Y697" s="54" t="str">
        <f>IF(NOTA[[#This Row],[JUMLAH]]="","",(NOTA[[#This Row],[JUMLAH]]-NOTA[[#This Row],[DISC 1-]])*NOTA[[#This Row],[DISC 2]])</f>
        <v/>
      </c>
      <c r="Z697" s="54" t="str">
        <f>IF(NOTA[[#This Row],[JUMLAH]]="","",NOTA[[#This Row],[DISC 1-]]+NOTA[[#This Row],[DISC 2-]])</f>
        <v/>
      </c>
      <c r="AA697" s="54" t="str">
        <f>IF(NOTA[[#This Row],[JUMLAH]]="","",NOTA[[#This Row],[JUMLAH]]-NOTA[[#This Row],[DISC]])</f>
        <v/>
      </c>
      <c r="AB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4" t="str">
        <f>IF(OR(NOTA[[#This Row],[QTY]]="",NOTA[[#This Row],[HARGA SATUAN]]="",),"",NOTA[[#This Row],[QTY]]*NOTA[[#This Row],[HARGA SATUAN]])</f>
        <v/>
      </c>
      <c r="AF697" s="51" t="str">
        <f ca="1">IF(NOTA[ID_H]="","",INDEX(NOTA[TANGGAL],MATCH(,INDIRECT(ADDRESS(ROW(NOTA[TANGGAL]),COLUMN(NOTA[TANGGAL]))&amp;":"&amp;ADDRESS(ROW(),COLUMN(NOTA[TANGGAL]))),-1)))</f>
        <v/>
      </c>
      <c r="AG697" s="49" t="str">
        <f ca="1">IF(NOTA[[#This Row],[NAMA BARANG]]="","",INDEX(NOTA[SUPPLIER],MATCH(,INDIRECT(ADDRESS(ROW(NOTA[ID]),COLUMN(NOTA[ID]))&amp;":"&amp;ADDRESS(ROW(),COLUMN(NOTA[ID]))),-1)))</f>
        <v/>
      </c>
      <c r="AH697" s="49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38" t="str">
        <f>IF(NOTA[[#This Row],[CONCAT4]]="","",_xlfn.IFNA(MATCH(NOTA[[#This Row],[CONCAT4]],[2]!RAW[CONCAT_H],0),FALSE))</f>
        <v/>
      </c>
      <c r="AP697" s="174" t="str">
        <f>IF(NOTA[[#This Row],[CONCAT1]]="","",MATCH(NOTA[[#This Row],[CONCAT1]],[3]!db[NB NOTA_C],0)+1)</f>
        <v/>
      </c>
    </row>
    <row r="698" spans="1:42" ht="20.100000000000001" customHeight="1" x14ac:dyDescent="0.25">
      <c r="A6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0" t="str">
        <f>IF(NOTA[[#This Row],[ID_P]]="","",MATCH(NOTA[[#This Row],[ID_P]],[1]!B_MSK[N_ID],0))</f>
        <v/>
      </c>
      <c r="D698" s="50" t="str">
        <f ca="1">IF(NOTA[[#This Row],[NAMA BARANG]]="","",INDEX(NOTA[ID],MATCH(,INDIRECT(ADDRESS(ROW(NOTA[ID]),COLUMN(NOTA[ID]))&amp;":"&amp;ADDRESS(ROW(),COLUMN(NOTA[ID]))),-1)))</f>
        <v/>
      </c>
      <c r="E698" s="23"/>
      <c r="F698" s="26"/>
      <c r="G698" s="26"/>
      <c r="H698" s="31"/>
      <c r="I698" s="26"/>
      <c r="J698" s="51"/>
      <c r="K698" s="26"/>
      <c r="L698" s="26"/>
      <c r="M698" s="63"/>
      <c r="N698" s="62"/>
      <c r="O698" s="26"/>
      <c r="P698" s="57"/>
      <c r="Q698" s="52"/>
      <c r="R698" s="39"/>
      <c r="S698" s="53"/>
      <c r="T698" s="53"/>
      <c r="U698" s="54"/>
      <c r="V698" s="37"/>
      <c r="W698" s="54" t="str">
        <f>IF(NOTA[[#This Row],[HARGA/ CTN]]="",NOTA[[#This Row],[JUMLAH_H]],NOTA[[#This Row],[HARGA/ CTN]]*IF(NOTA[[#This Row],[C]]="",0,NOTA[[#This Row],[C]]))</f>
        <v/>
      </c>
      <c r="X698" s="54" t="str">
        <f>IF(NOTA[[#This Row],[JUMLAH]]="","",NOTA[[#This Row],[JUMLAH]]*NOTA[[#This Row],[DISC 1]])</f>
        <v/>
      </c>
      <c r="Y698" s="54" t="str">
        <f>IF(NOTA[[#This Row],[JUMLAH]]="","",(NOTA[[#This Row],[JUMLAH]]-NOTA[[#This Row],[DISC 1-]])*NOTA[[#This Row],[DISC 2]])</f>
        <v/>
      </c>
      <c r="Z698" s="54" t="str">
        <f>IF(NOTA[[#This Row],[JUMLAH]]="","",NOTA[[#This Row],[DISC 1-]]+NOTA[[#This Row],[DISC 2-]])</f>
        <v/>
      </c>
      <c r="AA698" s="54" t="str">
        <f>IF(NOTA[[#This Row],[JUMLAH]]="","",NOTA[[#This Row],[JUMLAH]]-NOTA[[#This Row],[DISC]])</f>
        <v/>
      </c>
      <c r="AB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4" t="str">
        <f>IF(OR(NOTA[[#This Row],[QTY]]="",NOTA[[#This Row],[HARGA SATUAN]]="",),"",NOTA[[#This Row],[QTY]]*NOTA[[#This Row],[HARGA SATUAN]])</f>
        <v/>
      </c>
      <c r="AF698" s="51" t="str">
        <f ca="1">IF(NOTA[ID_H]="","",INDEX(NOTA[TANGGAL],MATCH(,INDIRECT(ADDRESS(ROW(NOTA[TANGGAL]),COLUMN(NOTA[TANGGAL]))&amp;":"&amp;ADDRESS(ROW(),COLUMN(NOTA[TANGGAL]))),-1)))</f>
        <v/>
      </c>
      <c r="AG698" s="49" t="str">
        <f ca="1">IF(NOTA[[#This Row],[NAMA BARANG]]="","",INDEX(NOTA[SUPPLIER],MATCH(,INDIRECT(ADDRESS(ROW(NOTA[ID]),COLUMN(NOTA[ID]))&amp;":"&amp;ADDRESS(ROW(),COLUMN(NOTA[ID]))),-1)))</f>
        <v/>
      </c>
      <c r="AH698" s="49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8" s="38" t="str">
        <f>IF(NOTA[[#This Row],[CONCAT4]]="","",_xlfn.IFNA(MATCH(NOTA[[#This Row],[CONCAT4]],[2]!RAW[CONCAT_H],0),FALSE))</f>
        <v/>
      </c>
      <c r="AP698" s="174" t="str">
        <f>IF(NOTA[[#This Row],[CONCAT1]]="","",MATCH(NOTA[[#This Row],[CONCAT1]],[3]!db[NB NOTA_C],0)+1)</f>
        <v/>
      </c>
    </row>
    <row r="699" spans="1:42" ht="20.100000000000001" customHeight="1" x14ac:dyDescent="0.25">
      <c r="A6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0" t="str">
        <f>IF(NOTA[[#This Row],[ID_P]]="","",MATCH(NOTA[[#This Row],[ID_P]],[1]!B_MSK[N_ID],0))</f>
        <v/>
      </c>
      <c r="D699" s="50" t="str">
        <f ca="1">IF(NOTA[[#This Row],[NAMA BARANG]]="","",INDEX(NOTA[ID],MATCH(,INDIRECT(ADDRESS(ROW(NOTA[ID]),COLUMN(NOTA[ID]))&amp;":"&amp;ADDRESS(ROW(),COLUMN(NOTA[ID]))),-1)))</f>
        <v/>
      </c>
      <c r="E699" s="23"/>
      <c r="F699" s="26"/>
      <c r="G699" s="26"/>
      <c r="H699" s="31"/>
      <c r="I699" s="26"/>
      <c r="J699" s="51"/>
      <c r="K699" s="26"/>
      <c r="L699" s="26"/>
      <c r="M699" s="63"/>
      <c r="N699" s="62"/>
      <c r="O699" s="26"/>
      <c r="P699" s="57"/>
      <c r="Q699" s="52"/>
      <c r="R699" s="39"/>
      <c r="S699" s="53"/>
      <c r="T699" s="53"/>
      <c r="U699" s="54"/>
      <c r="V699" s="37"/>
      <c r="W699" s="54" t="str">
        <f>IF(NOTA[[#This Row],[HARGA/ CTN]]="",NOTA[[#This Row],[JUMLAH_H]],NOTA[[#This Row],[HARGA/ CTN]]*IF(NOTA[[#This Row],[C]]="",0,NOTA[[#This Row],[C]]))</f>
        <v/>
      </c>
      <c r="X699" s="54" t="str">
        <f>IF(NOTA[[#This Row],[JUMLAH]]="","",NOTA[[#This Row],[JUMLAH]]*NOTA[[#This Row],[DISC 1]])</f>
        <v/>
      </c>
      <c r="Y699" s="54" t="str">
        <f>IF(NOTA[[#This Row],[JUMLAH]]="","",(NOTA[[#This Row],[JUMLAH]]-NOTA[[#This Row],[DISC 1-]])*NOTA[[#This Row],[DISC 2]])</f>
        <v/>
      </c>
      <c r="Z699" s="54" t="str">
        <f>IF(NOTA[[#This Row],[JUMLAH]]="","",NOTA[[#This Row],[DISC 1-]]+NOTA[[#This Row],[DISC 2-]])</f>
        <v/>
      </c>
      <c r="AA699" s="54" t="str">
        <f>IF(NOTA[[#This Row],[JUMLAH]]="","",NOTA[[#This Row],[JUMLAH]]-NOTA[[#This Row],[DISC]])</f>
        <v/>
      </c>
      <c r="AB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4" t="str">
        <f>IF(OR(NOTA[[#This Row],[QTY]]="",NOTA[[#This Row],[HARGA SATUAN]]="",),"",NOTA[[#This Row],[QTY]]*NOTA[[#This Row],[HARGA SATUAN]])</f>
        <v/>
      </c>
      <c r="AF699" s="51" t="str">
        <f ca="1">IF(NOTA[ID_H]="","",INDEX(NOTA[TANGGAL],MATCH(,INDIRECT(ADDRESS(ROW(NOTA[TANGGAL]),COLUMN(NOTA[TANGGAL]))&amp;":"&amp;ADDRESS(ROW(),COLUMN(NOTA[TANGGAL]))),-1)))</f>
        <v/>
      </c>
      <c r="AG699" s="49" t="str">
        <f ca="1">IF(NOTA[[#This Row],[NAMA BARANG]]="","",INDEX(NOTA[SUPPLIER],MATCH(,INDIRECT(ADDRESS(ROW(NOTA[ID]),COLUMN(NOTA[ID]))&amp;":"&amp;ADDRESS(ROW(),COLUMN(NOTA[ID]))),-1)))</f>
        <v/>
      </c>
      <c r="AH699" s="49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38" t="str">
        <f>IF(NOTA[[#This Row],[CONCAT4]]="","",_xlfn.IFNA(MATCH(NOTA[[#This Row],[CONCAT4]],[2]!RAW[CONCAT_H],0),FALSE))</f>
        <v/>
      </c>
      <c r="AP699" s="174" t="str">
        <f>IF(NOTA[[#This Row],[CONCAT1]]="","",MATCH(NOTA[[#This Row],[CONCAT1]],[3]!db[NB NOTA_C],0)+1)</f>
        <v/>
      </c>
    </row>
    <row r="700" spans="1:42" ht="20.100000000000001" customHeight="1" x14ac:dyDescent="0.25">
      <c r="A7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0" t="str">
        <f>IF(NOTA[[#This Row],[ID_P]]="","",MATCH(NOTA[[#This Row],[ID_P]],[1]!B_MSK[N_ID],0))</f>
        <v/>
      </c>
      <c r="D700" s="50" t="str">
        <f ca="1">IF(NOTA[[#This Row],[NAMA BARANG]]="","",INDEX(NOTA[ID],MATCH(,INDIRECT(ADDRESS(ROW(NOTA[ID]),COLUMN(NOTA[ID]))&amp;":"&amp;ADDRESS(ROW(),COLUMN(NOTA[ID]))),-1)))</f>
        <v/>
      </c>
      <c r="E700" s="23"/>
      <c r="F700" s="26"/>
      <c r="G700" s="26"/>
      <c r="H700" s="31"/>
      <c r="I700" s="26"/>
      <c r="J700" s="51"/>
      <c r="K700" s="26"/>
      <c r="L700" s="26"/>
      <c r="M700" s="39"/>
      <c r="N700" s="62"/>
      <c r="O700" s="26"/>
      <c r="P700" s="57"/>
      <c r="Q700" s="52"/>
      <c r="R700" s="39"/>
      <c r="S700" s="53"/>
      <c r="T700" s="53"/>
      <c r="U700" s="54"/>
      <c r="V700" s="37"/>
      <c r="W700" s="54" t="str">
        <f>IF(NOTA[[#This Row],[HARGA/ CTN]]="",NOTA[[#This Row],[JUMLAH_H]],NOTA[[#This Row],[HARGA/ CTN]]*IF(NOTA[[#This Row],[C]]="",0,NOTA[[#This Row],[C]]))</f>
        <v/>
      </c>
      <c r="X700" s="54" t="str">
        <f>IF(NOTA[[#This Row],[JUMLAH]]="","",NOTA[[#This Row],[JUMLAH]]*NOTA[[#This Row],[DISC 1]])</f>
        <v/>
      </c>
      <c r="Y700" s="54" t="str">
        <f>IF(NOTA[[#This Row],[JUMLAH]]="","",(NOTA[[#This Row],[JUMLAH]]-NOTA[[#This Row],[DISC 1-]])*NOTA[[#This Row],[DISC 2]])</f>
        <v/>
      </c>
      <c r="Z700" s="54" t="str">
        <f>IF(NOTA[[#This Row],[JUMLAH]]="","",NOTA[[#This Row],[DISC 1-]]+NOTA[[#This Row],[DISC 2-]])</f>
        <v/>
      </c>
      <c r="AA700" s="54" t="str">
        <f>IF(NOTA[[#This Row],[JUMLAH]]="","",NOTA[[#This Row],[JUMLAH]]-NOTA[[#This Row],[DISC]])</f>
        <v/>
      </c>
      <c r="AB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4" t="str">
        <f>IF(OR(NOTA[[#This Row],[QTY]]="",NOTA[[#This Row],[HARGA SATUAN]]="",),"",NOTA[[#This Row],[QTY]]*NOTA[[#This Row],[HARGA SATUAN]])</f>
        <v/>
      </c>
      <c r="AF700" s="51" t="str">
        <f ca="1">IF(NOTA[ID_H]="","",INDEX(NOTA[TANGGAL],MATCH(,INDIRECT(ADDRESS(ROW(NOTA[TANGGAL]),COLUMN(NOTA[TANGGAL]))&amp;":"&amp;ADDRESS(ROW(),COLUMN(NOTA[TANGGAL]))),-1)))</f>
        <v/>
      </c>
      <c r="AG700" s="49" t="str">
        <f ca="1">IF(NOTA[[#This Row],[NAMA BARANG]]="","",INDEX(NOTA[SUPPLIER],MATCH(,INDIRECT(ADDRESS(ROW(NOTA[ID]),COLUMN(NOTA[ID]))&amp;":"&amp;ADDRESS(ROW(),COLUMN(NOTA[ID]))),-1)))</f>
        <v/>
      </c>
      <c r="AH700" s="49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0" s="38" t="str">
        <f>IF(NOTA[[#This Row],[CONCAT4]]="","",_xlfn.IFNA(MATCH(NOTA[[#This Row],[CONCAT4]],[2]!RAW[CONCAT_H],0),FALSE))</f>
        <v/>
      </c>
      <c r="AP700" s="174" t="str">
        <f>IF(NOTA[[#This Row],[CONCAT1]]="","",MATCH(NOTA[[#This Row],[CONCAT1]],[3]!db[NB NOTA_C],0)+1)</f>
        <v/>
      </c>
    </row>
    <row r="701" spans="1:42" ht="20.100000000000001" customHeight="1" x14ac:dyDescent="0.25">
      <c r="A7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0" t="str">
        <f>IF(NOTA[[#This Row],[ID_P]]="","",MATCH(NOTA[[#This Row],[ID_P]],[1]!B_MSK[N_ID],0))</f>
        <v/>
      </c>
      <c r="D701" s="50" t="str">
        <f ca="1">IF(NOTA[[#This Row],[NAMA BARANG]]="","",INDEX(NOTA[ID],MATCH(,INDIRECT(ADDRESS(ROW(NOTA[ID]),COLUMN(NOTA[ID]))&amp;":"&amp;ADDRESS(ROW(),COLUMN(NOTA[ID]))),-1)))</f>
        <v/>
      </c>
      <c r="E701" s="23"/>
      <c r="F701" s="26"/>
      <c r="G701" s="26"/>
      <c r="H701" s="31"/>
      <c r="I701" s="26"/>
      <c r="J701" s="51"/>
      <c r="K701" s="26"/>
      <c r="L701" s="26"/>
      <c r="M701" s="39"/>
      <c r="N701" s="26"/>
      <c r="O701" s="26"/>
      <c r="P701" s="49"/>
      <c r="Q701" s="52"/>
      <c r="R701" s="39"/>
      <c r="S701" s="53"/>
      <c r="T701" s="53"/>
      <c r="U701" s="54"/>
      <c r="V701" s="37"/>
      <c r="W701" s="54" t="str">
        <f>IF(NOTA[[#This Row],[HARGA/ CTN]]="",NOTA[[#This Row],[JUMLAH_H]],NOTA[[#This Row],[HARGA/ CTN]]*IF(NOTA[[#This Row],[C]]="",0,NOTA[[#This Row],[C]]))</f>
        <v/>
      </c>
      <c r="X701" s="54" t="str">
        <f>IF(NOTA[[#This Row],[JUMLAH]]="","",NOTA[[#This Row],[JUMLAH]]*NOTA[[#This Row],[DISC 1]])</f>
        <v/>
      </c>
      <c r="Y701" s="54" t="str">
        <f>IF(NOTA[[#This Row],[JUMLAH]]="","",(NOTA[[#This Row],[JUMLAH]]-NOTA[[#This Row],[DISC 1-]])*NOTA[[#This Row],[DISC 2]])</f>
        <v/>
      </c>
      <c r="Z701" s="54" t="str">
        <f>IF(NOTA[[#This Row],[JUMLAH]]="","",NOTA[[#This Row],[DISC 1-]]+NOTA[[#This Row],[DISC 2-]])</f>
        <v/>
      </c>
      <c r="AA701" s="54" t="str">
        <f>IF(NOTA[[#This Row],[JUMLAH]]="","",NOTA[[#This Row],[JUMLAH]]-NOTA[[#This Row],[DISC]])</f>
        <v/>
      </c>
      <c r="AB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4" t="str">
        <f>IF(OR(NOTA[[#This Row],[QTY]]="",NOTA[[#This Row],[HARGA SATUAN]]="",),"",NOTA[[#This Row],[QTY]]*NOTA[[#This Row],[HARGA SATUAN]])</f>
        <v/>
      </c>
      <c r="AF701" s="51" t="str">
        <f ca="1">IF(NOTA[ID_H]="","",INDEX(NOTA[TANGGAL],MATCH(,INDIRECT(ADDRESS(ROW(NOTA[TANGGAL]),COLUMN(NOTA[TANGGAL]))&amp;":"&amp;ADDRESS(ROW(),COLUMN(NOTA[TANGGAL]))),-1)))</f>
        <v/>
      </c>
      <c r="AG701" s="49" t="str">
        <f ca="1">IF(NOTA[[#This Row],[NAMA BARANG]]="","",INDEX(NOTA[SUPPLIER],MATCH(,INDIRECT(ADDRESS(ROW(NOTA[ID]),COLUMN(NOTA[ID]))&amp;":"&amp;ADDRESS(ROW(),COLUMN(NOTA[ID]))),-1)))</f>
        <v/>
      </c>
      <c r="AH701" s="49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38" t="str">
        <f>IF(NOTA[[#This Row],[CONCAT4]]="","",_xlfn.IFNA(MATCH(NOTA[[#This Row],[CONCAT4]],[2]!RAW[CONCAT_H],0),FALSE))</f>
        <v/>
      </c>
      <c r="AP701" s="174" t="str">
        <f>IF(NOTA[[#This Row],[CONCAT1]]="","",MATCH(NOTA[[#This Row],[CONCAT1]],[3]!db[NB NOTA_C],0)+1)</f>
        <v/>
      </c>
    </row>
    <row r="702" spans="1:42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23"/>
      <c r="F702" s="26"/>
      <c r="G702" s="26"/>
      <c r="H702" s="31"/>
      <c r="I702" s="26"/>
      <c r="J702" s="51"/>
      <c r="K702" s="26"/>
      <c r="L702" s="26"/>
      <c r="M702" s="39"/>
      <c r="N702" s="26"/>
      <c r="O702" s="26"/>
      <c r="P702" s="49"/>
      <c r="Q702" s="52"/>
      <c r="R702" s="39"/>
      <c r="S702" s="53"/>
      <c r="T702" s="53"/>
      <c r="U702" s="54"/>
      <c r="V702" s="37"/>
      <c r="W702" s="54" t="str">
        <f>IF(NOTA[[#This Row],[HARGA/ CTN]]="",NOTA[[#This Row],[JUMLAH_H]],NOTA[[#This Row],[HARGA/ CTN]]*IF(NOTA[[#This Row],[C]]="",0,NOTA[[#This Row],[C]]))</f>
        <v/>
      </c>
      <c r="X702" s="54" t="str">
        <f>IF(NOTA[[#This Row],[JUMLAH]]="","",NOTA[[#This Row],[JUMLAH]]*NOTA[[#This Row],[DISC 1]])</f>
        <v/>
      </c>
      <c r="Y702" s="54" t="str">
        <f>IF(NOTA[[#This Row],[JUMLAH]]="","",(NOTA[[#This Row],[JUMLAH]]-NOTA[[#This Row],[DISC 1-]])*NOTA[[#This Row],[DISC 2]])</f>
        <v/>
      </c>
      <c r="Z702" s="54" t="str">
        <f>IF(NOTA[[#This Row],[JUMLAH]]="","",NOTA[[#This Row],[DISC 1-]]+NOTA[[#This Row],[DISC 2-]])</f>
        <v/>
      </c>
      <c r="AA702" s="54" t="str">
        <f>IF(NOTA[[#This Row],[JUMLAH]]="","",NOTA[[#This Row],[JUMLAH]]-NOTA[[#This Row],[DISC]])</f>
        <v/>
      </c>
      <c r="AB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4" t="str">
        <f>IF(OR(NOTA[[#This Row],[QTY]]="",NOTA[[#This Row],[HARGA SATUAN]]="",),"",NOTA[[#This Row],[QTY]]*NOTA[[#This Row],[HARGA SATUAN]])</f>
        <v/>
      </c>
      <c r="AF702" s="51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49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38" t="str">
        <f>IF(NOTA[[#This Row],[CONCAT4]]="","",_xlfn.IFNA(MATCH(NOTA[[#This Row],[CONCAT4]],[2]!RAW[CONCAT_H],0),FALSE))</f>
        <v/>
      </c>
      <c r="AP702" s="174" t="str">
        <f>IF(NOTA[[#This Row],[CONCAT1]]="","",MATCH(NOTA[[#This Row],[CONCAT1]],[3]!db[NB NOTA_C],0)+1)</f>
        <v/>
      </c>
    </row>
    <row r="703" spans="1:42" ht="20.100000000000001" customHeight="1" x14ac:dyDescent="0.25">
      <c r="A7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0" t="str">
        <f>IF(NOTA[[#This Row],[ID_P]]="","",MATCH(NOTA[[#This Row],[ID_P]],[1]!B_MSK[N_ID],0))</f>
        <v/>
      </c>
      <c r="D703" s="50" t="str">
        <f ca="1">IF(NOTA[[#This Row],[NAMA BARANG]]="","",INDEX(NOTA[ID],MATCH(,INDIRECT(ADDRESS(ROW(NOTA[ID]),COLUMN(NOTA[ID]))&amp;":"&amp;ADDRESS(ROW(),COLUMN(NOTA[ID]))),-1)))</f>
        <v/>
      </c>
      <c r="E703" s="23"/>
      <c r="F703" s="26"/>
      <c r="G703" s="26"/>
      <c r="H703" s="31"/>
      <c r="I703" s="26"/>
      <c r="J703" s="51"/>
      <c r="K703" s="26"/>
      <c r="L703" s="26"/>
      <c r="M703" s="39"/>
      <c r="N703" s="26"/>
      <c r="O703" s="26"/>
      <c r="P703" s="49"/>
      <c r="Q703" s="52"/>
      <c r="R703" s="39"/>
      <c r="S703" s="53"/>
      <c r="T703" s="53"/>
      <c r="U703" s="54"/>
      <c r="V703" s="37"/>
      <c r="W703" s="54" t="str">
        <f>IF(NOTA[[#This Row],[HARGA/ CTN]]="",NOTA[[#This Row],[JUMLAH_H]],NOTA[[#This Row],[HARGA/ CTN]]*IF(NOTA[[#This Row],[C]]="",0,NOTA[[#This Row],[C]]))</f>
        <v/>
      </c>
      <c r="X703" s="54" t="str">
        <f>IF(NOTA[[#This Row],[JUMLAH]]="","",NOTA[[#This Row],[JUMLAH]]*NOTA[[#This Row],[DISC 1]])</f>
        <v/>
      </c>
      <c r="Y703" s="54" t="str">
        <f>IF(NOTA[[#This Row],[JUMLAH]]="","",(NOTA[[#This Row],[JUMLAH]]-NOTA[[#This Row],[DISC 1-]])*NOTA[[#This Row],[DISC 2]])</f>
        <v/>
      </c>
      <c r="Z703" s="54" t="str">
        <f>IF(NOTA[[#This Row],[JUMLAH]]="","",NOTA[[#This Row],[DISC 1-]]+NOTA[[#This Row],[DISC 2-]])</f>
        <v/>
      </c>
      <c r="AA703" s="54" t="str">
        <f>IF(NOTA[[#This Row],[JUMLAH]]="","",NOTA[[#This Row],[JUMLAH]]-NOTA[[#This Row],[DISC]])</f>
        <v/>
      </c>
      <c r="AB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4" t="str">
        <f>IF(OR(NOTA[[#This Row],[QTY]]="",NOTA[[#This Row],[HARGA SATUAN]]="",),"",NOTA[[#This Row],[QTY]]*NOTA[[#This Row],[HARGA SATUAN]])</f>
        <v/>
      </c>
      <c r="AF703" s="51" t="str">
        <f ca="1">IF(NOTA[ID_H]="","",INDEX(NOTA[TANGGAL],MATCH(,INDIRECT(ADDRESS(ROW(NOTA[TANGGAL]),COLUMN(NOTA[TANGGAL]))&amp;":"&amp;ADDRESS(ROW(),COLUMN(NOTA[TANGGAL]))),-1)))</f>
        <v/>
      </c>
      <c r="AG703" s="49" t="str">
        <f ca="1">IF(NOTA[[#This Row],[NAMA BARANG]]="","",INDEX(NOTA[SUPPLIER],MATCH(,INDIRECT(ADDRESS(ROW(NOTA[ID]),COLUMN(NOTA[ID]))&amp;":"&amp;ADDRESS(ROW(),COLUMN(NOTA[ID]))),-1)))</f>
        <v/>
      </c>
      <c r="AH703" s="49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38" t="str">
        <f>IF(NOTA[[#This Row],[CONCAT4]]="","",_xlfn.IFNA(MATCH(NOTA[[#This Row],[CONCAT4]],[2]!RAW[CONCAT_H],0),FALSE))</f>
        <v/>
      </c>
      <c r="AP703" s="174" t="str">
        <f>IF(NOTA[[#This Row],[CONCAT1]]="","",MATCH(NOTA[[#This Row],[CONCAT1]],[3]!db[NB NOTA_C],0)+1)</f>
        <v/>
      </c>
    </row>
    <row r="704" spans="1:42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 t="str">
        <f ca="1">IF(NOTA[[#This Row],[NAMA BARANG]]="","",INDEX(NOTA[ID],MATCH(,INDIRECT(ADDRESS(ROW(NOTA[ID]),COLUMN(NOTA[ID]))&amp;":"&amp;ADDRESS(ROW(),COLUMN(NOTA[ID]))),-1)))</f>
        <v/>
      </c>
      <c r="E704" s="23"/>
      <c r="F704" s="26"/>
      <c r="G704" s="26"/>
      <c r="H704" s="31"/>
      <c r="I704" s="26"/>
      <c r="J704" s="51"/>
      <c r="K704" s="26"/>
      <c r="L704" s="26"/>
      <c r="M704" s="39"/>
      <c r="N704" s="26"/>
      <c r="O704" s="26"/>
      <c r="P704" s="49"/>
      <c r="Q704" s="52"/>
      <c r="R704" s="39"/>
      <c r="S704" s="53"/>
      <c r="T704" s="53"/>
      <c r="U704" s="54"/>
      <c r="V704" s="37"/>
      <c r="W704" s="54" t="str">
        <f>IF(NOTA[[#This Row],[HARGA/ CTN]]="",NOTA[[#This Row],[JUMLAH_H]],NOTA[[#This Row],[HARGA/ CTN]]*IF(NOTA[[#This Row],[C]]="",0,NOTA[[#This Row],[C]]))</f>
        <v/>
      </c>
      <c r="X704" s="54" t="str">
        <f>IF(NOTA[[#This Row],[JUMLAH]]="","",NOTA[[#This Row],[JUMLAH]]*NOTA[[#This Row],[DISC 1]])</f>
        <v/>
      </c>
      <c r="Y704" s="54" t="str">
        <f>IF(NOTA[[#This Row],[JUMLAH]]="","",(NOTA[[#This Row],[JUMLAH]]-NOTA[[#This Row],[DISC 1-]])*NOTA[[#This Row],[DISC 2]])</f>
        <v/>
      </c>
      <c r="Z704" s="54" t="str">
        <f>IF(NOTA[[#This Row],[JUMLAH]]="","",NOTA[[#This Row],[DISC 1-]]+NOTA[[#This Row],[DISC 2-]])</f>
        <v/>
      </c>
      <c r="AA704" s="54" t="str">
        <f>IF(NOTA[[#This Row],[JUMLAH]]="","",NOTA[[#This Row],[JUMLAH]]-NOTA[[#This Row],[DISC]])</f>
        <v/>
      </c>
      <c r="AB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4" t="str">
        <f>IF(OR(NOTA[[#This Row],[QTY]]="",NOTA[[#This Row],[HARGA SATUAN]]="",),"",NOTA[[#This Row],[QTY]]*NOTA[[#This Row],[HARGA SATUAN]])</f>
        <v/>
      </c>
      <c r="AF704" s="51" t="str">
        <f ca="1">IF(NOTA[ID_H]="","",INDEX(NOTA[TANGGAL],MATCH(,INDIRECT(ADDRESS(ROW(NOTA[TANGGAL]),COLUMN(NOTA[TANGGAL]))&amp;":"&amp;ADDRESS(ROW(),COLUMN(NOTA[TANGGAL]))),-1)))</f>
        <v/>
      </c>
      <c r="AG704" s="49" t="str">
        <f ca="1">IF(NOTA[[#This Row],[NAMA BARANG]]="","",INDEX(NOTA[SUPPLIER],MATCH(,INDIRECT(ADDRESS(ROW(NOTA[ID]),COLUMN(NOTA[ID]))&amp;":"&amp;ADDRESS(ROW(),COLUMN(NOTA[ID]))),-1)))</f>
        <v/>
      </c>
      <c r="AH704" s="49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38" t="str">
        <f>IF(NOTA[[#This Row],[CONCAT4]]="","",_xlfn.IFNA(MATCH(NOTA[[#This Row],[CONCAT4]],[2]!RAW[CONCAT_H],0),FALSE))</f>
        <v/>
      </c>
      <c r="AP704" s="174" t="str">
        <f>IF(NOTA[[#This Row],[CONCAT1]]="","",MATCH(NOTA[[#This Row],[CONCAT1]],[3]!db[NB NOTA_C],0)+1)</f>
        <v/>
      </c>
    </row>
    <row r="705" spans="1:42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 t="str">
        <f ca="1">IF(NOTA[[#This Row],[NAMA BARANG]]="","",INDEX(NOTA[ID],MATCH(,INDIRECT(ADDRESS(ROW(NOTA[ID]),COLUMN(NOTA[ID]))&amp;":"&amp;ADDRESS(ROW(),COLUMN(NOTA[ID]))),-1)))</f>
        <v/>
      </c>
      <c r="E705" s="23"/>
      <c r="F705" s="26"/>
      <c r="G705" s="26"/>
      <c r="H705" s="31"/>
      <c r="I705" s="26"/>
      <c r="J705" s="51"/>
      <c r="K705" s="26"/>
      <c r="L705" s="26"/>
      <c r="M705" s="39"/>
      <c r="N705" s="26"/>
      <c r="O705" s="26"/>
      <c r="P705" s="118"/>
      <c r="Q705" s="52"/>
      <c r="R705" s="39"/>
      <c r="S705" s="53"/>
      <c r="T705" s="53"/>
      <c r="U705" s="54"/>
      <c r="V705" s="37"/>
      <c r="W705" s="54" t="str">
        <f>IF(NOTA[[#This Row],[HARGA/ CTN]]="",NOTA[[#This Row],[JUMLAH_H]],NOTA[[#This Row],[HARGA/ CTN]]*IF(NOTA[[#This Row],[C]]="",0,NOTA[[#This Row],[C]]))</f>
        <v/>
      </c>
      <c r="X705" s="54" t="str">
        <f>IF(NOTA[[#This Row],[JUMLAH]]="","",NOTA[[#This Row],[JUMLAH]]*NOTA[[#This Row],[DISC 1]])</f>
        <v/>
      </c>
      <c r="Y705" s="54" t="str">
        <f>IF(NOTA[[#This Row],[JUMLAH]]="","",(NOTA[[#This Row],[JUMLAH]]-NOTA[[#This Row],[DISC 1-]])*NOTA[[#This Row],[DISC 2]])</f>
        <v/>
      </c>
      <c r="Z705" s="54" t="str">
        <f>IF(NOTA[[#This Row],[JUMLAH]]="","",NOTA[[#This Row],[DISC 1-]]+NOTA[[#This Row],[DISC 2-]])</f>
        <v/>
      </c>
      <c r="AA705" s="54" t="str">
        <f>IF(NOTA[[#This Row],[JUMLAH]]="","",NOTA[[#This Row],[JUMLAH]]-NOTA[[#This Row],[DISC]])</f>
        <v/>
      </c>
      <c r="AB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4" t="str">
        <f>IF(OR(NOTA[[#This Row],[QTY]]="",NOTA[[#This Row],[HARGA SATUAN]]="",),"",NOTA[[#This Row],[QTY]]*NOTA[[#This Row],[HARGA SATUAN]])</f>
        <v/>
      </c>
      <c r="AF705" s="51" t="str">
        <f ca="1">IF(NOTA[ID_H]="","",INDEX(NOTA[TANGGAL],MATCH(,INDIRECT(ADDRESS(ROW(NOTA[TANGGAL]),COLUMN(NOTA[TANGGAL]))&amp;":"&amp;ADDRESS(ROW(),COLUMN(NOTA[TANGGAL]))),-1)))</f>
        <v/>
      </c>
      <c r="AG705" s="49" t="str">
        <f ca="1">IF(NOTA[[#This Row],[NAMA BARANG]]="","",INDEX(NOTA[SUPPLIER],MATCH(,INDIRECT(ADDRESS(ROW(NOTA[ID]),COLUMN(NOTA[ID]))&amp;":"&amp;ADDRESS(ROW(),COLUMN(NOTA[ID]))),-1)))</f>
        <v/>
      </c>
      <c r="AH705" s="49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38" t="str">
        <f>IF(NOTA[[#This Row],[CONCAT4]]="","",_xlfn.IFNA(MATCH(NOTA[[#This Row],[CONCAT4]],[2]!RAW[CONCAT_H],0),FALSE))</f>
        <v/>
      </c>
      <c r="AP705" s="174" t="str">
        <f>IF(NOTA[[#This Row],[CONCAT1]]="","",MATCH(NOTA[[#This Row],[CONCAT1]],[3]!db[NB NOTA_C],0)+1)</f>
        <v/>
      </c>
    </row>
    <row r="706" spans="1:42" ht="20.100000000000001" customHeight="1" x14ac:dyDescent="0.25">
      <c r="A7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 t="str">
        <f ca="1">IF(NOTA[[#This Row],[NAMA BARANG]]="","",INDEX(NOTA[ID],MATCH(,INDIRECT(ADDRESS(ROW(NOTA[ID]),COLUMN(NOTA[ID]))&amp;":"&amp;ADDRESS(ROW(),COLUMN(NOTA[ID]))),-1)))</f>
        <v/>
      </c>
      <c r="E706" s="23"/>
      <c r="F706" s="26"/>
      <c r="G706" s="26"/>
      <c r="H706" s="31"/>
      <c r="I706" s="26"/>
      <c r="J706" s="51"/>
      <c r="K706" s="26"/>
      <c r="L706" s="26"/>
      <c r="M706" s="39"/>
      <c r="N706" s="26"/>
      <c r="O706" s="26"/>
      <c r="P706" s="49"/>
      <c r="Q706" s="52"/>
      <c r="R706" s="39"/>
      <c r="S706" s="53"/>
      <c r="T706" s="53"/>
      <c r="U706" s="54"/>
      <c r="V706" s="37"/>
      <c r="W706" s="54" t="str">
        <f>IF(NOTA[[#This Row],[HARGA/ CTN]]="",NOTA[[#This Row],[JUMLAH_H]],NOTA[[#This Row],[HARGA/ CTN]]*IF(NOTA[[#This Row],[C]]="",0,NOTA[[#This Row],[C]]))</f>
        <v/>
      </c>
      <c r="X706" s="54" t="str">
        <f>IF(NOTA[[#This Row],[JUMLAH]]="","",NOTA[[#This Row],[JUMLAH]]*NOTA[[#This Row],[DISC 1]])</f>
        <v/>
      </c>
      <c r="Y706" s="54" t="str">
        <f>IF(NOTA[[#This Row],[JUMLAH]]="","",(NOTA[[#This Row],[JUMLAH]]-NOTA[[#This Row],[DISC 1-]])*NOTA[[#This Row],[DISC 2]])</f>
        <v/>
      </c>
      <c r="Z706" s="54" t="str">
        <f>IF(NOTA[[#This Row],[JUMLAH]]="","",NOTA[[#This Row],[DISC 1-]]+NOTA[[#This Row],[DISC 2-]])</f>
        <v/>
      </c>
      <c r="AA706" s="54" t="str">
        <f>IF(NOTA[[#This Row],[JUMLAH]]="","",NOTA[[#This Row],[JUMLAH]]-NOTA[[#This Row],[DISC]])</f>
        <v/>
      </c>
      <c r="AB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4" t="str">
        <f>IF(OR(NOTA[[#This Row],[QTY]]="",NOTA[[#This Row],[HARGA SATUAN]]="",),"",NOTA[[#This Row],[QTY]]*NOTA[[#This Row],[HARGA SATUAN]])</f>
        <v/>
      </c>
      <c r="AF706" s="51" t="str">
        <f ca="1">IF(NOTA[ID_H]="","",INDEX(NOTA[TANGGAL],MATCH(,INDIRECT(ADDRESS(ROW(NOTA[TANGGAL]),COLUMN(NOTA[TANGGAL]))&amp;":"&amp;ADDRESS(ROW(),COLUMN(NOTA[TANGGAL]))),-1)))</f>
        <v/>
      </c>
      <c r="AG706" s="49" t="str">
        <f ca="1">IF(NOTA[[#This Row],[NAMA BARANG]]="","",INDEX(NOTA[SUPPLIER],MATCH(,INDIRECT(ADDRESS(ROW(NOTA[ID]),COLUMN(NOTA[ID]))&amp;":"&amp;ADDRESS(ROW(),COLUMN(NOTA[ID]))),-1)))</f>
        <v/>
      </c>
      <c r="AH706" s="49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38" t="str">
        <f>IF(NOTA[[#This Row],[CONCAT4]]="","",_xlfn.IFNA(MATCH(NOTA[[#This Row],[CONCAT4]],[2]!RAW[CONCAT_H],0),FALSE))</f>
        <v/>
      </c>
      <c r="AP706" s="174" t="str">
        <f>IF(NOTA[[#This Row],[CONCAT1]]="","",MATCH(NOTA[[#This Row],[CONCAT1]],[3]!db[NB NOTA_C],0)+1)</f>
        <v/>
      </c>
    </row>
    <row r="707" spans="1:42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7" s="38" t="str">
        <f>IF(NOTA[[#This Row],[CONCAT4]]="","",_xlfn.IFNA(MATCH(NOTA[[#This Row],[CONCAT4]],[2]!RAW[CONCAT_H],0),FALSE))</f>
        <v/>
      </c>
      <c r="AP707" s="174" t="str">
        <f>IF(NOTA[[#This Row],[CONCAT1]]="","",MATCH(NOTA[[#This Row],[CONCAT1]],[3]!db[NB NOTA_C],0)+1)</f>
        <v/>
      </c>
    </row>
    <row r="708" spans="1:42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38" t="str">
        <f>IF(NOTA[[#This Row],[CONCAT4]]="","",_xlfn.IFNA(MATCH(NOTA[[#This Row],[CONCAT4]],[2]!RAW[CONCAT_H],0),FALSE))</f>
        <v/>
      </c>
      <c r="AP708" s="174" t="str">
        <f>IF(NOTA[[#This Row],[CONCAT1]]="","",MATCH(NOTA[[#This Row],[CONCAT1]],[3]!db[NB NOTA_C],0)+1)</f>
        <v/>
      </c>
    </row>
    <row r="709" spans="1:42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38" t="str">
        <f>IF(NOTA[[#This Row],[CONCAT4]]="","",_xlfn.IFNA(MATCH(NOTA[[#This Row],[CONCAT4]],[2]!RAW[CONCAT_H],0),FALSE))</f>
        <v/>
      </c>
      <c r="AP709" s="174" t="str">
        <f>IF(NOTA[[#This Row],[CONCAT1]]="","",MATCH(NOTA[[#This Row],[CONCAT1]],[3]!db[NB NOTA_C],0)+1)</f>
        <v/>
      </c>
    </row>
    <row r="710" spans="1:42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38" t="str">
        <f>IF(NOTA[[#This Row],[CONCAT4]]="","",_xlfn.IFNA(MATCH(NOTA[[#This Row],[CONCAT4]],[2]!RAW[CONCAT_H],0),FALSE))</f>
        <v/>
      </c>
      <c r="AP710" s="174" t="str">
        <f>IF(NOTA[[#This Row],[CONCAT1]]="","",MATCH(NOTA[[#This Row],[CONCAT1]],[3]!db[NB NOTA_C],0)+1)</f>
        <v/>
      </c>
    </row>
    <row r="711" spans="1:42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38" t="str">
        <f>IF(NOTA[[#This Row],[CONCAT4]]="","",_xlfn.IFNA(MATCH(NOTA[[#This Row],[CONCAT4]],[2]!RAW[CONCAT_H],0),FALSE))</f>
        <v/>
      </c>
      <c r="AP711" s="174" t="str">
        <f>IF(NOTA[[#This Row],[CONCAT1]]="","",MATCH(NOTA[[#This Row],[CONCAT1]],[3]!db[NB NOTA_C],0)+1)</f>
        <v/>
      </c>
    </row>
    <row r="712" spans="1:42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38" t="str">
        <f>IF(NOTA[[#This Row],[CONCAT4]]="","",_xlfn.IFNA(MATCH(NOTA[[#This Row],[CONCAT4]],[2]!RAW[CONCAT_H],0),FALSE))</f>
        <v/>
      </c>
      <c r="AP712" s="174" t="str">
        <f>IF(NOTA[[#This Row],[CONCAT1]]="","",MATCH(NOTA[[#This Row],[CONCAT1]],[3]!db[NB NOTA_C],0)+1)</f>
        <v/>
      </c>
    </row>
    <row r="713" spans="1:42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38" t="str">
        <f>IF(NOTA[[#This Row],[CONCAT4]]="","",_xlfn.IFNA(MATCH(NOTA[[#This Row],[CONCAT4]],[2]!RAW[CONCAT_H],0),FALSE))</f>
        <v/>
      </c>
      <c r="AP713" s="174" t="str">
        <f>IF(NOTA[[#This Row],[CONCAT1]]="","",MATCH(NOTA[[#This Row],[CONCAT1]],[3]!db[NB NOTA_C],0)+1)</f>
        <v/>
      </c>
    </row>
    <row r="714" spans="1:42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155"/>
      <c r="G714" s="155"/>
      <c r="H714" s="156"/>
      <c r="I714" s="155"/>
      <c r="J714" s="157"/>
      <c r="K714" s="155"/>
      <c r="L714" s="26"/>
      <c r="M714" s="158"/>
      <c r="N714" s="155"/>
      <c r="O714" s="26"/>
      <c r="P714" s="159"/>
      <c r="Q714" s="160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38" t="str">
        <f>IF(NOTA[[#This Row],[CONCAT4]]="","",_xlfn.IFNA(MATCH(NOTA[[#This Row],[CONCAT4]],[2]!RAW[CONCAT_H],0),FALSE))</f>
        <v/>
      </c>
      <c r="AP714" s="174" t="str">
        <f>IF(NOTA[[#This Row],[CONCAT1]]="","",MATCH(NOTA[[#This Row],[CONCAT1]],[3]!db[NB NOTA_C],0)+1)</f>
        <v/>
      </c>
    </row>
    <row r="715" spans="1:42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38" t="str">
        <f>IF(NOTA[[#This Row],[CONCAT4]]="","",_xlfn.IFNA(MATCH(NOTA[[#This Row],[CONCAT4]],[2]!RAW[CONCAT_H],0),FALSE))</f>
        <v/>
      </c>
      <c r="AP715" s="174" t="str">
        <f>IF(NOTA[[#This Row],[CONCAT1]]="","",MATCH(NOTA[[#This Row],[CONCAT1]],[3]!db[NB NOTA_C],0)+1)</f>
        <v/>
      </c>
    </row>
    <row r="716" spans="1:42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38" t="str">
        <f>IF(NOTA[[#This Row],[CONCAT4]]="","",_xlfn.IFNA(MATCH(NOTA[[#This Row],[CONCAT4]],[2]!RAW[CONCAT_H],0),FALSE))</f>
        <v/>
      </c>
      <c r="AP716" s="174" t="str">
        <f>IF(NOTA[[#This Row],[CONCAT1]]="","",MATCH(NOTA[[#This Row],[CONCAT1]],[3]!db[NB NOTA_C],0)+1)</f>
        <v/>
      </c>
    </row>
    <row r="717" spans="1:42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7" s="38" t="str">
        <f>IF(NOTA[[#This Row],[CONCAT4]]="","",_xlfn.IFNA(MATCH(NOTA[[#This Row],[CONCAT4]],[2]!RAW[CONCAT_H],0),FALSE))</f>
        <v/>
      </c>
      <c r="AP717" s="174" t="str">
        <f>IF(NOTA[[#This Row],[CONCAT1]]="","",MATCH(NOTA[[#This Row],[CONCAT1]],[3]!db[NB NOTA_C],0)+1)</f>
        <v/>
      </c>
    </row>
    <row r="718" spans="1:42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38" t="str">
        <f>IF(NOTA[[#This Row],[CONCAT4]]="","",_xlfn.IFNA(MATCH(NOTA[[#This Row],[CONCAT4]],[2]!RAW[CONCAT_H],0),FALSE))</f>
        <v/>
      </c>
      <c r="AP718" s="174" t="str">
        <f>IF(NOTA[[#This Row],[CONCAT1]]="","",MATCH(NOTA[[#This Row],[CONCAT1]],[3]!db[NB NOTA_C],0)+1)</f>
        <v/>
      </c>
    </row>
    <row r="719" spans="1:42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38" t="str">
        <f>IF(NOTA[[#This Row],[CONCAT4]]="","",_xlfn.IFNA(MATCH(NOTA[[#This Row],[CONCAT4]],[2]!RAW[CONCAT_H],0),FALSE))</f>
        <v/>
      </c>
      <c r="AP719" s="174" t="str">
        <f>IF(NOTA[[#This Row],[CONCAT1]]="","",MATCH(NOTA[[#This Row],[CONCAT1]],[3]!db[NB NOTA_C],0)+1)</f>
        <v/>
      </c>
    </row>
    <row r="720" spans="1:42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26"/>
      <c r="G720" s="26"/>
      <c r="H720" s="31"/>
      <c r="I720" s="26"/>
      <c r="J720" s="51"/>
      <c r="K720" s="26"/>
      <c r="L720" s="26"/>
      <c r="M720" s="39"/>
      <c r="N720" s="26"/>
      <c r="O720" s="26"/>
      <c r="P720" s="49"/>
      <c r="Q720" s="52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38" t="str">
        <f>IF(NOTA[[#This Row],[CONCAT4]]="","",_xlfn.IFNA(MATCH(NOTA[[#This Row],[CONCAT4]],[2]!RAW[CONCAT_H],0),FALSE))</f>
        <v/>
      </c>
      <c r="AP720" s="174" t="str">
        <f>IF(NOTA[[#This Row],[CONCAT1]]="","",MATCH(NOTA[[#This Row],[CONCAT1]],[3]!db[NB NOTA_C],0)+1)</f>
        <v/>
      </c>
    </row>
    <row r="721" spans="1:42" ht="20.100000000000001" customHeight="1" x14ac:dyDescent="0.25">
      <c r="A7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0" t="str">
        <f>IF(NOTA[[#This Row],[ID_P]]="","",MATCH(NOTA[[#This Row],[ID_P]],[1]!B_MSK[N_ID],0))</f>
        <v/>
      </c>
      <c r="D721" s="50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4" t="str">
        <f>IF(NOTA[[#This Row],[HARGA/ CTN]]="",NOTA[[#This Row],[JUMLAH_H]],NOTA[[#This Row],[HARGA/ CTN]]*IF(NOTA[[#This Row],[C]]="",0,NOTA[[#This Row],[C]]))</f>
        <v/>
      </c>
      <c r="X721" s="54" t="str">
        <f>IF(NOTA[[#This Row],[JUMLAH]]="","",NOTA[[#This Row],[JUMLAH]]*NOTA[[#This Row],[DISC 1]])</f>
        <v/>
      </c>
      <c r="Y721" s="54" t="str">
        <f>IF(NOTA[[#This Row],[JUMLAH]]="","",(NOTA[[#This Row],[JUMLAH]]-NOTA[[#This Row],[DISC 1-]])*NOTA[[#This Row],[DISC 2]])</f>
        <v/>
      </c>
      <c r="Z721" s="54" t="str">
        <f>IF(NOTA[[#This Row],[JUMLAH]]="","",NOTA[[#This Row],[DISC 1-]]+NOTA[[#This Row],[DISC 2-]])</f>
        <v/>
      </c>
      <c r="AA721" s="54" t="str">
        <f>IF(NOTA[[#This Row],[JUMLAH]]="","",NOTA[[#This Row],[JUMLAH]]-NOTA[[#This Row],[DISC]])</f>
        <v/>
      </c>
      <c r="AB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4" t="str">
        <f>IF(OR(NOTA[[#This Row],[QTY]]="",NOTA[[#This Row],[HARGA SATUAN]]="",),"",NOTA[[#This Row],[QTY]]*NOTA[[#This Row],[HARGA SATUAN]])</f>
        <v/>
      </c>
      <c r="AF721" s="51" t="str">
        <f ca="1">IF(NOTA[ID_H]="","",INDEX(NOTA[TANGGAL],MATCH(,INDIRECT(ADDRESS(ROW(NOTA[TANGGAL]),COLUMN(NOTA[TANGGAL]))&amp;":"&amp;ADDRESS(ROW(),COLUMN(NOTA[TANGGAL]))),-1)))</f>
        <v/>
      </c>
      <c r="AG721" s="49" t="str">
        <f ca="1">IF(NOTA[[#This Row],[NAMA BARANG]]="","",INDEX(NOTA[SUPPLIER],MATCH(,INDIRECT(ADDRESS(ROW(NOTA[ID]),COLUMN(NOTA[ID]))&amp;":"&amp;ADDRESS(ROW(),COLUMN(NOTA[ID]))),-1)))</f>
        <v/>
      </c>
      <c r="AH721" s="49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1" s="38" t="str">
        <f>IF(NOTA[[#This Row],[CONCAT4]]="","",_xlfn.IFNA(MATCH(NOTA[[#This Row],[CONCAT4]],[2]!RAW[CONCAT_H],0),FALSE))</f>
        <v/>
      </c>
      <c r="AP721" s="174" t="str">
        <f>IF(NOTA[[#This Row],[CONCAT1]]="","",MATCH(NOTA[[#This Row],[CONCAT1]],[3]!db[NB NOTA_C],0)+1)</f>
        <v/>
      </c>
    </row>
    <row r="722" spans="1:42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Row],[ID_P]]="","",MATCH(NOTA[[#This Row],[ID_P]],[1]!B_MSK[N_ID],0))</f>
        <v/>
      </c>
      <c r="D722" s="50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4" t="str">
        <f>IF(NOTA[[#This Row],[HARGA/ CTN]]="",NOTA[[#This Row],[JUMLAH_H]],NOTA[[#This Row],[HARGA/ CTN]]*IF(NOTA[[#This Row],[C]]="",0,NOTA[[#This Row],[C]]))</f>
        <v/>
      </c>
      <c r="X722" s="54" t="str">
        <f>IF(NOTA[[#This Row],[JUMLAH]]="","",NOTA[[#This Row],[JUMLAH]]*NOTA[[#This Row],[DISC 1]])</f>
        <v/>
      </c>
      <c r="Y722" s="54" t="str">
        <f>IF(NOTA[[#This Row],[JUMLAH]]="","",(NOTA[[#This Row],[JUMLAH]]-NOTA[[#This Row],[DISC 1-]])*NOTA[[#This Row],[DISC 2]])</f>
        <v/>
      </c>
      <c r="Z722" s="54" t="str">
        <f>IF(NOTA[[#This Row],[JUMLAH]]="","",NOTA[[#This Row],[DISC 1-]]+NOTA[[#This Row],[DISC 2-]])</f>
        <v/>
      </c>
      <c r="AA722" s="54" t="str">
        <f>IF(NOTA[[#This Row],[JUMLAH]]="","",NOTA[[#This Row],[JUMLAH]]-NOTA[[#This Row],[DISC]])</f>
        <v/>
      </c>
      <c r="AB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4" t="str">
        <f>IF(OR(NOTA[[#This Row],[QTY]]="",NOTA[[#This Row],[HARGA SATUAN]]="",),"",NOTA[[#This Row],[QTY]]*NOTA[[#This Row],[HARGA SATUAN]])</f>
        <v/>
      </c>
      <c r="AF722" s="51" t="str">
        <f ca="1">IF(NOTA[ID_H]="","",INDEX(NOTA[TANGGAL],MATCH(,INDIRECT(ADDRESS(ROW(NOTA[TANGGAL]),COLUMN(NOTA[TANGGAL]))&amp;":"&amp;ADDRESS(ROW(),COLUMN(NOTA[TANGGAL]))),-1)))</f>
        <v/>
      </c>
      <c r="AG722" s="49" t="str">
        <f ca="1">IF(NOTA[[#This Row],[NAMA BARANG]]="","",INDEX(NOTA[SUPPLIER],MATCH(,INDIRECT(ADDRESS(ROW(NOTA[ID]),COLUMN(NOTA[ID]))&amp;":"&amp;ADDRESS(ROW(),COLUMN(NOTA[ID]))),-1)))</f>
        <v/>
      </c>
      <c r="AH722" s="49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38" t="str">
        <f>IF(NOTA[[#This Row],[CONCAT4]]="","",_xlfn.IFNA(MATCH(NOTA[[#This Row],[CONCAT4]],[2]!RAW[CONCAT_H],0),FALSE))</f>
        <v/>
      </c>
      <c r="AP722" s="174" t="str">
        <f>IF(NOTA[[#This Row],[CONCAT1]]="","",MATCH(NOTA[[#This Row],[CONCAT1]],[3]!db[NB NOTA_C],0)+1)</f>
        <v/>
      </c>
    </row>
    <row r="723" spans="1:42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Row],[ID_P]]="","",MATCH(NOTA[[#This Row],[ID_P]],[1]!B_MSK[N_ID],0))</f>
        <v/>
      </c>
      <c r="D723" s="50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4" t="str">
        <f>IF(NOTA[[#This Row],[HARGA/ CTN]]="",NOTA[[#This Row],[JUMLAH_H]],NOTA[[#This Row],[HARGA/ CTN]]*IF(NOTA[[#This Row],[C]]="",0,NOTA[[#This Row],[C]]))</f>
        <v/>
      </c>
      <c r="X723" s="54" t="str">
        <f>IF(NOTA[[#This Row],[JUMLAH]]="","",NOTA[[#This Row],[JUMLAH]]*NOTA[[#This Row],[DISC 1]])</f>
        <v/>
      </c>
      <c r="Y723" s="54" t="str">
        <f>IF(NOTA[[#This Row],[JUMLAH]]="","",(NOTA[[#This Row],[JUMLAH]]-NOTA[[#This Row],[DISC 1-]])*NOTA[[#This Row],[DISC 2]])</f>
        <v/>
      </c>
      <c r="Z723" s="54" t="str">
        <f>IF(NOTA[[#This Row],[JUMLAH]]="","",NOTA[[#This Row],[DISC 1-]]+NOTA[[#This Row],[DISC 2-]])</f>
        <v/>
      </c>
      <c r="AA723" s="54" t="str">
        <f>IF(NOTA[[#This Row],[JUMLAH]]="","",NOTA[[#This Row],[JUMLAH]]-NOTA[[#This Row],[DISC]])</f>
        <v/>
      </c>
      <c r="AB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4" t="str">
        <f>IF(OR(NOTA[[#This Row],[QTY]]="",NOTA[[#This Row],[HARGA SATUAN]]="",),"",NOTA[[#This Row],[QTY]]*NOTA[[#This Row],[HARGA SATUAN]])</f>
        <v/>
      </c>
      <c r="AF723" s="51" t="str">
        <f ca="1">IF(NOTA[ID_H]="","",INDEX(NOTA[TANGGAL],MATCH(,INDIRECT(ADDRESS(ROW(NOTA[TANGGAL]),COLUMN(NOTA[TANGGAL]))&amp;":"&amp;ADDRESS(ROW(),COLUMN(NOTA[TANGGAL]))),-1)))</f>
        <v/>
      </c>
      <c r="AG723" s="49" t="str">
        <f ca="1">IF(NOTA[[#This Row],[NAMA BARANG]]="","",INDEX(NOTA[SUPPLIER],MATCH(,INDIRECT(ADDRESS(ROW(NOTA[ID]),COLUMN(NOTA[ID]))&amp;":"&amp;ADDRESS(ROW(),COLUMN(NOTA[ID]))),-1)))</f>
        <v/>
      </c>
      <c r="AH723" s="49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38" t="str">
        <f>IF(NOTA[[#This Row],[CONCAT4]]="","",_xlfn.IFNA(MATCH(NOTA[[#This Row],[CONCAT4]],[2]!RAW[CONCAT_H],0),FALSE))</f>
        <v/>
      </c>
      <c r="AP723" s="174" t="str">
        <f>IF(NOTA[[#This Row],[CONCAT1]]="","",MATCH(NOTA[[#This Row],[CONCAT1]],[3]!db[NB NOTA_C],0)+1)</f>
        <v/>
      </c>
    </row>
    <row r="724" spans="1:42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Row],[ID_P]]="","",MATCH(NOTA[[#This Row],[ID_P]],[1]!B_MSK[N_ID],0))</f>
        <v/>
      </c>
      <c r="D724" s="50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4" t="str">
        <f>IF(NOTA[[#This Row],[HARGA/ CTN]]="",NOTA[[#This Row],[JUMLAH_H]],NOTA[[#This Row],[HARGA/ CTN]]*IF(NOTA[[#This Row],[C]]="",0,NOTA[[#This Row],[C]]))</f>
        <v/>
      </c>
      <c r="X724" s="54" t="str">
        <f>IF(NOTA[[#This Row],[JUMLAH]]="","",NOTA[[#This Row],[JUMLAH]]*NOTA[[#This Row],[DISC 1]])</f>
        <v/>
      </c>
      <c r="Y724" s="54" t="str">
        <f>IF(NOTA[[#This Row],[JUMLAH]]="","",(NOTA[[#This Row],[JUMLAH]]-NOTA[[#This Row],[DISC 1-]])*NOTA[[#This Row],[DISC 2]])</f>
        <v/>
      </c>
      <c r="Z724" s="54" t="str">
        <f>IF(NOTA[[#This Row],[JUMLAH]]="","",NOTA[[#This Row],[DISC 1-]]+NOTA[[#This Row],[DISC 2-]])</f>
        <v/>
      </c>
      <c r="AA724" s="54" t="str">
        <f>IF(NOTA[[#This Row],[JUMLAH]]="","",NOTA[[#This Row],[JUMLAH]]-NOTA[[#This Row],[DISC]])</f>
        <v/>
      </c>
      <c r="AB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4" t="str">
        <f>IF(OR(NOTA[[#This Row],[QTY]]="",NOTA[[#This Row],[HARGA SATUAN]]="",),"",NOTA[[#This Row],[QTY]]*NOTA[[#This Row],[HARGA SATUAN]])</f>
        <v/>
      </c>
      <c r="AF724" s="51" t="str">
        <f ca="1">IF(NOTA[ID_H]="","",INDEX(NOTA[TANGGAL],MATCH(,INDIRECT(ADDRESS(ROW(NOTA[TANGGAL]),COLUMN(NOTA[TANGGAL]))&amp;":"&amp;ADDRESS(ROW(),COLUMN(NOTA[TANGGAL]))),-1)))</f>
        <v/>
      </c>
      <c r="AG724" s="49" t="str">
        <f ca="1">IF(NOTA[[#This Row],[NAMA BARANG]]="","",INDEX(NOTA[SUPPLIER],MATCH(,INDIRECT(ADDRESS(ROW(NOTA[ID]),COLUMN(NOTA[ID]))&amp;":"&amp;ADDRESS(ROW(),COLUMN(NOTA[ID]))),-1)))</f>
        <v/>
      </c>
      <c r="AH724" s="49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38" t="str">
        <f>IF(NOTA[[#This Row],[CONCAT4]]="","",_xlfn.IFNA(MATCH(NOTA[[#This Row],[CONCAT4]],[2]!RAW[CONCAT_H],0),FALSE))</f>
        <v/>
      </c>
      <c r="AP724" s="174" t="str">
        <f>IF(NOTA[[#This Row],[CONCAT1]]="","",MATCH(NOTA[[#This Row],[CONCAT1]],[3]!db[NB NOTA_C],0)+1)</f>
        <v/>
      </c>
    </row>
    <row r="725" spans="1:42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0" t="str">
        <f>IF(NOTA[[#This Row],[ID_P]]="","",MATCH(NOTA[[#This Row],[ID_P]],[1]!B_MSK[N_ID],0))</f>
        <v/>
      </c>
      <c r="D725" s="50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4" t="str">
        <f>IF(NOTA[[#This Row],[HARGA/ CTN]]="",NOTA[[#This Row],[JUMLAH_H]],NOTA[[#This Row],[HARGA/ CTN]]*IF(NOTA[[#This Row],[C]]="",0,NOTA[[#This Row],[C]]))</f>
        <v/>
      </c>
      <c r="X725" s="54" t="str">
        <f>IF(NOTA[[#This Row],[JUMLAH]]="","",NOTA[[#This Row],[JUMLAH]]*NOTA[[#This Row],[DISC 1]])</f>
        <v/>
      </c>
      <c r="Y725" s="54" t="str">
        <f>IF(NOTA[[#This Row],[JUMLAH]]="","",(NOTA[[#This Row],[JUMLAH]]-NOTA[[#This Row],[DISC 1-]])*NOTA[[#This Row],[DISC 2]])</f>
        <v/>
      </c>
      <c r="Z725" s="54" t="str">
        <f>IF(NOTA[[#This Row],[JUMLAH]]="","",NOTA[[#This Row],[DISC 1-]]+NOTA[[#This Row],[DISC 2-]])</f>
        <v/>
      </c>
      <c r="AA725" s="54" t="str">
        <f>IF(NOTA[[#This Row],[JUMLAH]]="","",NOTA[[#This Row],[JUMLAH]]-NOTA[[#This Row],[DISC]])</f>
        <v/>
      </c>
      <c r="AB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4" t="str">
        <f>IF(OR(NOTA[[#This Row],[QTY]]="",NOTA[[#This Row],[HARGA SATUAN]]="",),"",NOTA[[#This Row],[QTY]]*NOTA[[#This Row],[HARGA SATUAN]])</f>
        <v/>
      </c>
      <c r="AF725" s="51" t="str">
        <f ca="1">IF(NOTA[ID_H]="","",INDEX(NOTA[TANGGAL],MATCH(,INDIRECT(ADDRESS(ROW(NOTA[TANGGAL]),COLUMN(NOTA[TANGGAL]))&amp;":"&amp;ADDRESS(ROW(),COLUMN(NOTA[TANGGAL]))),-1)))</f>
        <v/>
      </c>
      <c r="AG725" s="49" t="str">
        <f ca="1">IF(NOTA[[#This Row],[NAMA BARANG]]="","",INDEX(NOTA[SUPPLIER],MATCH(,INDIRECT(ADDRESS(ROW(NOTA[ID]),COLUMN(NOTA[ID]))&amp;":"&amp;ADDRESS(ROW(),COLUMN(NOTA[ID]))),-1)))</f>
        <v/>
      </c>
      <c r="AH725" s="49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5" s="38" t="str">
        <f>IF(NOTA[[#This Row],[CONCAT4]]="","",_xlfn.IFNA(MATCH(NOTA[[#This Row],[CONCAT4]],[2]!RAW[CONCAT_H],0),FALSE))</f>
        <v/>
      </c>
      <c r="AP725" s="174" t="str">
        <f>IF(NOTA[[#This Row],[CONCAT1]]="","",MATCH(NOTA[[#This Row],[CONCAT1]],[3]!db[NB NOTA_C],0)+1)</f>
        <v/>
      </c>
    </row>
    <row r="726" spans="1:42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Row],[ID_P]]="","",MATCH(NOTA[[#This Row],[ID_P]],[1]!B_MSK[N_ID],0))</f>
        <v/>
      </c>
      <c r="D726" s="50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54" t="str">
        <f>IF(NOTA[[#This Row],[HARGA/ CTN]]="",NOTA[[#This Row],[JUMLAH_H]],NOTA[[#This Row],[HARGA/ CTN]]*IF(NOTA[[#This Row],[C]]="",0,NOTA[[#This Row],[C]]))</f>
        <v/>
      </c>
      <c r="X726" s="54" t="str">
        <f>IF(NOTA[[#This Row],[JUMLAH]]="","",NOTA[[#This Row],[JUMLAH]]*NOTA[[#This Row],[DISC 1]])</f>
        <v/>
      </c>
      <c r="Y726" s="54" t="str">
        <f>IF(NOTA[[#This Row],[JUMLAH]]="","",(NOTA[[#This Row],[JUMLAH]]-NOTA[[#This Row],[DISC 1-]])*NOTA[[#This Row],[DISC 2]])</f>
        <v/>
      </c>
      <c r="Z726" s="54" t="str">
        <f>IF(NOTA[[#This Row],[JUMLAH]]="","",NOTA[[#This Row],[DISC 1-]]+NOTA[[#This Row],[DISC 2-]])</f>
        <v/>
      </c>
      <c r="AA726" s="54" t="str">
        <f>IF(NOTA[[#This Row],[JUMLAH]]="","",NOTA[[#This Row],[JUMLAH]]-NOTA[[#This Row],[DISC]])</f>
        <v/>
      </c>
      <c r="AB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4" t="str">
        <f>IF(OR(NOTA[[#This Row],[QTY]]="",NOTA[[#This Row],[HARGA SATUAN]]="",),"",NOTA[[#This Row],[QTY]]*NOTA[[#This Row],[HARGA SATUAN]])</f>
        <v/>
      </c>
      <c r="AF726" s="51" t="str">
        <f ca="1">IF(NOTA[ID_H]="","",INDEX(NOTA[TANGGAL],MATCH(,INDIRECT(ADDRESS(ROW(NOTA[TANGGAL]),COLUMN(NOTA[TANGGAL]))&amp;":"&amp;ADDRESS(ROW(),COLUMN(NOTA[TANGGAL]))),-1)))</f>
        <v/>
      </c>
      <c r="AG726" s="49" t="str">
        <f ca="1">IF(NOTA[[#This Row],[NAMA BARANG]]="","",INDEX(NOTA[SUPPLIER],MATCH(,INDIRECT(ADDRESS(ROW(NOTA[ID]),COLUMN(NOTA[ID]))&amp;":"&amp;ADDRESS(ROW(),COLUMN(NOTA[ID]))),-1)))</f>
        <v/>
      </c>
      <c r="AH726" s="49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38" t="str">
        <f>IF(NOTA[[#This Row],[CONCAT4]]="","",_xlfn.IFNA(MATCH(NOTA[[#This Row],[CONCAT4]],[2]!RAW[CONCAT_H],0),FALSE))</f>
        <v/>
      </c>
      <c r="AP726" s="174" t="str">
        <f>IF(NOTA[[#This Row],[CONCAT1]]="","",MATCH(NOTA[[#This Row],[CONCAT1]],[3]!db[NB NOTA_C],0)+1)</f>
        <v/>
      </c>
    </row>
    <row r="727" spans="1:42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Row],[ID_P]]="","",MATCH(NOTA[[#This Row],[ID_P]],[1]!B_MSK[N_ID],0))</f>
        <v/>
      </c>
      <c r="D727" s="50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54" t="str">
        <f>IF(NOTA[[#This Row],[HARGA/ CTN]]="",NOTA[[#This Row],[JUMLAH_H]],NOTA[[#This Row],[HARGA/ CTN]]*IF(NOTA[[#This Row],[C]]="",0,NOTA[[#This Row],[C]]))</f>
        <v/>
      </c>
      <c r="X727" s="54" t="str">
        <f>IF(NOTA[[#This Row],[JUMLAH]]="","",NOTA[[#This Row],[JUMLAH]]*NOTA[[#This Row],[DISC 1]])</f>
        <v/>
      </c>
      <c r="Y727" s="54" t="str">
        <f>IF(NOTA[[#This Row],[JUMLAH]]="","",(NOTA[[#This Row],[JUMLAH]]-NOTA[[#This Row],[DISC 1-]])*NOTA[[#This Row],[DISC 2]])</f>
        <v/>
      </c>
      <c r="Z727" s="54" t="str">
        <f>IF(NOTA[[#This Row],[JUMLAH]]="","",NOTA[[#This Row],[DISC 1-]]+NOTA[[#This Row],[DISC 2-]])</f>
        <v/>
      </c>
      <c r="AA727" s="54" t="str">
        <f>IF(NOTA[[#This Row],[JUMLAH]]="","",NOTA[[#This Row],[JUMLAH]]-NOTA[[#This Row],[DISC]])</f>
        <v/>
      </c>
      <c r="AB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4" t="str">
        <f>IF(OR(NOTA[[#This Row],[QTY]]="",NOTA[[#This Row],[HARGA SATUAN]]="",),"",NOTA[[#This Row],[QTY]]*NOTA[[#This Row],[HARGA SATUAN]])</f>
        <v/>
      </c>
      <c r="AF727" s="51" t="str">
        <f ca="1">IF(NOTA[ID_H]="","",INDEX(NOTA[TANGGAL],MATCH(,INDIRECT(ADDRESS(ROW(NOTA[TANGGAL]),COLUMN(NOTA[TANGGAL]))&amp;":"&amp;ADDRESS(ROW(),COLUMN(NOTA[TANGGAL]))),-1)))</f>
        <v/>
      </c>
      <c r="AG727" s="49" t="str">
        <f ca="1">IF(NOTA[[#This Row],[NAMA BARANG]]="","",INDEX(NOTA[SUPPLIER],MATCH(,INDIRECT(ADDRESS(ROW(NOTA[ID]),COLUMN(NOTA[ID]))&amp;":"&amp;ADDRESS(ROW(),COLUMN(NOTA[ID]))),-1)))</f>
        <v/>
      </c>
      <c r="AH727" s="49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38" t="str">
        <f>IF(NOTA[[#This Row],[CONCAT4]]="","",_xlfn.IFNA(MATCH(NOTA[[#This Row],[CONCAT4]],[2]!RAW[CONCAT_H],0),FALSE))</f>
        <v/>
      </c>
      <c r="AP727" s="174" t="str">
        <f>IF(NOTA[[#This Row],[CONCAT1]]="","",MATCH(NOTA[[#This Row],[CONCAT1]],[3]!db[NB NOTA_C],0)+1)</f>
        <v/>
      </c>
    </row>
    <row r="728" spans="1:42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Row],[ID_P]]="","",MATCH(NOTA[[#This Row],[ID_P]],[1]!B_MSK[N_ID],0))</f>
        <v/>
      </c>
      <c r="D728" s="50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54" t="str">
        <f>IF(NOTA[[#This Row],[HARGA/ CTN]]="",NOTA[[#This Row],[JUMLAH_H]],NOTA[[#This Row],[HARGA/ CTN]]*IF(NOTA[[#This Row],[C]]="",0,NOTA[[#This Row],[C]]))</f>
        <v/>
      </c>
      <c r="X728" s="54" t="str">
        <f>IF(NOTA[[#This Row],[JUMLAH]]="","",NOTA[[#This Row],[JUMLAH]]*NOTA[[#This Row],[DISC 1]])</f>
        <v/>
      </c>
      <c r="Y728" s="54" t="str">
        <f>IF(NOTA[[#This Row],[JUMLAH]]="","",(NOTA[[#This Row],[JUMLAH]]-NOTA[[#This Row],[DISC 1-]])*NOTA[[#This Row],[DISC 2]])</f>
        <v/>
      </c>
      <c r="Z728" s="54" t="str">
        <f>IF(NOTA[[#This Row],[JUMLAH]]="","",NOTA[[#This Row],[DISC 1-]]+NOTA[[#This Row],[DISC 2-]])</f>
        <v/>
      </c>
      <c r="AA728" s="54" t="str">
        <f>IF(NOTA[[#This Row],[JUMLAH]]="","",NOTA[[#This Row],[JUMLAH]]-NOTA[[#This Row],[DISC]])</f>
        <v/>
      </c>
      <c r="AB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4" t="str">
        <f>IF(OR(NOTA[[#This Row],[QTY]]="",NOTA[[#This Row],[HARGA SATUAN]]="",),"",NOTA[[#This Row],[QTY]]*NOTA[[#This Row],[HARGA SATUAN]])</f>
        <v/>
      </c>
      <c r="AF728" s="51" t="str">
        <f ca="1">IF(NOTA[ID_H]="","",INDEX(NOTA[TANGGAL],MATCH(,INDIRECT(ADDRESS(ROW(NOTA[TANGGAL]),COLUMN(NOTA[TANGGAL]))&amp;":"&amp;ADDRESS(ROW(),COLUMN(NOTA[TANGGAL]))),-1)))</f>
        <v/>
      </c>
      <c r="AG728" s="49" t="str">
        <f ca="1">IF(NOTA[[#This Row],[NAMA BARANG]]="","",INDEX(NOTA[SUPPLIER],MATCH(,INDIRECT(ADDRESS(ROW(NOTA[ID]),COLUMN(NOTA[ID]))&amp;":"&amp;ADDRESS(ROW(),COLUMN(NOTA[ID]))),-1)))</f>
        <v/>
      </c>
      <c r="AH728" s="49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38" t="str">
        <f>IF(NOTA[[#This Row],[CONCAT4]]="","",_xlfn.IFNA(MATCH(NOTA[[#This Row],[CONCAT4]],[2]!RAW[CONCAT_H],0),FALSE))</f>
        <v/>
      </c>
      <c r="AP728" s="174" t="str">
        <f>IF(NOTA[[#This Row],[CONCAT1]]="","",MATCH(NOTA[[#This Row],[CONCAT1]],[3]!db[NB NOTA_C],0)+1)</f>
        <v/>
      </c>
    </row>
    <row r="729" spans="1:42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38" t="str">
        <f>IF(NOTA[[#This Row],[CONCAT4]]="","",_xlfn.IFNA(MATCH(NOTA[[#This Row],[CONCAT4]],[2]!RAW[CONCAT_H],0),FALSE))</f>
        <v/>
      </c>
      <c r="AP729" s="174" t="str">
        <f>IF(NOTA[[#This Row],[CONCAT1]]="","",MATCH(NOTA[[#This Row],[CONCAT1]],[3]!db[NB NOTA_C],0)+1)</f>
        <v/>
      </c>
    </row>
    <row r="730" spans="1:42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39"/>
      <c r="N730" s="26"/>
      <c r="O730" s="26"/>
      <c r="P730" s="49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38" t="str">
        <f>IF(NOTA[[#This Row],[CONCAT4]]="","",_xlfn.IFNA(MATCH(NOTA[[#This Row],[CONCAT4]],[2]!RAW[CONCAT_H],0),FALSE))</f>
        <v/>
      </c>
      <c r="AP730" s="174" t="str">
        <f>IF(NOTA[[#This Row],[CONCAT1]]="","",MATCH(NOTA[[#This Row],[CONCAT1]],[3]!db[NB NOTA_C],0)+1)</f>
        <v/>
      </c>
    </row>
    <row r="731" spans="1:42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39"/>
      <c r="N731" s="26"/>
      <c r="O731" s="26"/>
      <c r="P731" s="49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38" t="str">
        <f>IF(NOTA[[#This Row],[CONCAT4]]="","",_xlfn.IFNA(MATCH(NOTA[[#This Row],[CONCAT4]],[2]!RAW[CONCAT_H],0),FALSE))</f>
        <v/>
      </c>
      <c r="AP731" s="174" t="str">
        <f>IF(NOTA[[#This Row],[CONCAT1]]="","",MATCH(NOTA[[#This Row],[CONCAT1]],[3]!db[NB NOTA_C],0)+1)</f>
        <v/>
      </c>
    </row>
    <row r="732" spans="1:42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39"/>
      <c r="N732" s="26"/>
      <c r="O732" s="26"/>
      <c r="P732" s="49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38" t="str">
        <f>IF(NOTA[[#This Row],[CONCAT4]]="","",_xlfn.IFNA(MATCH(NOTA[[#This Row],[CONCAT4]],[2]!RAW[CONCAT_H],0),FALSE))</f>
        <v/>
      </c>
      <c r="AP732" s="174" t="str">
        <f>IF(NOTA[[#This Row],[CONCAT1]]="","",MATCH(NOTA[[#This Row],[CONCAT1]],[3]!db[NB NOTA_C],0)+1)</f>
        <v/>
      </c>
    </row>
    <row r="733" spans="1:42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26"/>
      <c r="O733" s="26"/>
      <c r="P733" s="49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38" t="str">
        <f>IF(NOTA[[#This Row],[CONCAT4]]="","",_xlfn.IFNA(MATCH(NOTA[[#This Row],[CONCAT4]],[2]!RAW[CONCAT_H],0),FALSE))</f>
        <v/>
      </c>
      <c r="AP733" s="174" t="str">
        <f>IF(NOTA[[#This Row],[CONCAT1]]="","",MATCH(NOTA[[#This Row],[CONCAT1]],[3]!db[NB NOTA_C],0)+1)</f>
        <v/>
      </c>
    </row>
    <row r="734" spans="1:42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38" t="str">
        <f>IF(NOTA[[#This Row],[CONCAT4]]="","",_xlfn.IFNA(MATCH(NOTA[[#This Row],[CONCAT4]],[2]!RAW[CONCAT_H],0),FALSE))</f>
        <v/>
      </c>
      <c r="AP734" s="174" t="str">
        <f>IF(NOTA[[#This Row],[CONCAT1]]="","",MATCH(NOTA[[#This Row],[CONCAT1]],[3]!db[NB NOTA_C],0)+1)</f>
        <v/>
      </c>
    </row>
    <row r="735" spans="1:42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5" s="38" t="str">
        <f>IF(NOTA[[#This Row],[CONCAT4]]="","",_xlfn.IFNA(MATCH(NOTA[[#This Row],[CONCAT4]],[2]!RAW[CONCAT_H],0),FALSE))</f>
        <v/>
      </c>
      <c r="AP735" s="174" t="str">
        <f>IF(NOTA[[#This Row],[CONCAT1]]="","",MATCH(NOTA[[#This Row],[CONCAT1]],[3]!db[NB NOTA_C],0)+1)</f>
        <v/>
      </c>
    </row>
    <row r="736" spans="1:42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38" t="str">
        <f>IF(NOTA[[#This Row],[CONCAT4]]="","",_xlfn.IFNA(MATCH(NOTA[[#This Row],[CONCAT4]],[2]!RAW[CONCAT_H],0),FALSE))</f>
        <v/>
      </c>
      <c r="AP736" s="174" t="str">
        <f>IF(NOTA[[#This Row],[CONCAT1]]="","",MATCH(NOTA[[#This Row],[CONCAT1]],[3]!db[NB NOTA_C],0)+1)</f>
        <v/>
      </c>
    </row>
    <row r="737" spans="1:42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38" t="str">
        <f>IF(NOTA[[#This Row],[CONCAT4]]="","",_xlfn.IFNA(MATCH(NOTA[[#This Row],[CONCAT4]],[2]!RAW[CONCAT_H],0),FALSE))</f>
        <v/>
      </c>
      <c r="AP737" s="174" t="str">
        <f>IF(NOTA[[#This Row],[CONCAT1]]="","",MATCH(NOTA[[#This Row],[CONCAT1]],[3]!db[NB NOTA_C],0)+1)</f>
        <v/>
      </c>
    </row>
    <row r="738" spans="1:42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156"/>
      <c r="I738" s="155"/>
      <c r="J738" s="157"/>
      <c r="K738" s="26"/>
      <c r="L738" s="26"/>
      <c r="M738" s="158"/>
      <c r="N738" s="155"/>
      <c r="O738" s="26"/>
      <c r="P738" s="159"/>
      <c r="Q738" s="160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38" t="str">
        <f>IF(NOTA[[#This Row],[CONCAT4]]="","",_xlfn.IFNA(MATCH(NOTA[[#This Row],[CONCAT4]],[2]!RAW[CONCAT_H],0),FALSE))</f>
        <v/>
      </c>
      <c r="AP738" s="174" t="str">
        <f>IF(NOTA[[#This Row],[CONCAT1]]="","",MATCH(NOTA[[#This Row],[CONCAT1]],[3]!db[NB NOTA_C],0)+1)</f>
        <v/>
      </c>
    </row>
    <row r="739" spans="1:42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155"/>
      <c r="G739" s="155"/>
      <c r="H739" s="156"/>
      <c r="I739" s="155"/>
      <c r="J739" s="157"/>
      <c r="K739" s="155"/>
      <c r="L739" s="155"/>
      <c r="M739" s="158"/>
      <c r="N739" s="155"/>
      <c r="O739" s="155"/>
      <c r="P739" s="159"/>
      <c r="Q739" s="160"/>
      <c r="R739" s="158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38" t="str">
        <f>IF(NOTA[[#This Row],[CONCAT4]]="","",_xlfn.IFNA(MATCH(NOTA[[#This Row],[CONCAT4]],[2]!RAW[CONCAT_H],0),FALSE))</f>
        <v/>
      </c>
      <c r="AP739" s="174" t="str">
        <f>IF(NOTA[[#This Row],[CONCAT1]]="","",MATCH(NOTA[[#This Row],[CONCAT1]],[3]!db[NB NOTA_C],0)+1)</f>
        <v/>
      </c>
    </row>
    <row r="740" spans="1:42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38" t="str">
        <f>IF(NOTA[[#This Row],[CONCAT4]]="","",_xlfn.IFNA(MATCH(NOTA[[#This Row],[CONCAT4]],[2]!RAW[CONCAT_H],0),FALSE))</f>
        <v/>
      </c>
      <c r="AP740" s="174" t="str">
        <f>IF(NOTA[[#This Row],[CONCAT1]]="","",MATCH(NOTA[[#This Row],[CONCAT1]],[3]!db[NB NOTA_C],0)+1)</f>
        <v/>
      </c>
    </row>
    <row r="741" spans="1:42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38" t="str">
        <f>IF(NOTA[[#This Row],[CONCAT4]]="","",_xlfn.IFNA(MATCH(NOTA[[#This Row],[CONCAT4]],[2]!RAW[CONCAT_H],0),FALSE))</f>
        <v/>
      </c>
      <c r="AP741" s="174" t="str">
        <f>IF(NOTA[[#This Row],[CONCAT1]]="","",MATCH(NOTA[[#This Row],[CONCAT1]],[3]!db[NB NOTA_C],0)+1)</f>
        <v/>
      </c>
    </row>
    <row r="742" spans="1:42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38" t="str">
        <f>IF(NOTA[[#This Row],[CONCAT4]]="","",_xlfn.IFNA(MATCH(NOTA[[#This Row],[CONCAT4]],[2]!RAW[CONCAT_H],0),FALSE))</f>
        <v/>
      </c>
      <c r="AP742" s="174" t="str">
        <f>IF(NOTA[[#This Row],[CONCAT1]]="","",MATCH(NOTA[[#This Row],[CONCAT1]],[3]!db[NB NOTA_C],0)+1)</f>
        <v/>
      </c>
    </row>
    <row r="743" spans="1:42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38" t="str">
        <f>IF(NOTA[[#This Row],[CONCAT4]]="","",_xlfn.IFNA(MATCH(NOTA[[#This Row],[CONCAT4]],[2]!RAW[CONCAT_H],0),FALSE))</f>
        <v/>
      </c>
      <c r="AP743" s="174" t="str">
        <f>IF(NOTA[[#This Row],[CONCAT1]]="","",MATCH(NOTA[[#This Row],[CONCAT1]],[3]!db[NB NOTA_C],0)+1)</f>
        <v/>
      </c>
    </row>
    <row r="744" spans="1:42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4" s="38" t="str">
        <f>IF(NOTA[[#This Row],[CONCAT4]]="","",_xlfn.IFNA(MATCH(NOTA[[#This Row],[CONCAT4]],[2]!RAW[CONCAT_H],0),FALSE))</f>
        <v/>
      </c>
      <c r="AP744" s="174" t="str">
        <f>IF(NOTA[[#This Row],[CONCAT1]]="","",MATCH(NOTA[[#This Row],[CONCAT1]],[3]!db[NB NOTA_C],0)+1)</f>
        <v/>
      </c>
    </row>
    <row r="745" spans="1:42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38" t="str">
        <f>IF(NOTA[[#This Row],[CONCAT4]]="","",_xlfn.IFNA(MATCH(NOTA[[#This Row],[CONCAT4]],[2]!RAW[CONCAT_H],0),FALSE))</f>
        <v/>
      </c>
      <c r="AP745" s="174" t="str">
        <f>IF(NOTA[[#This Row],[CONCAT1]]="","",MATCH(NOTA[[#This Row],[CONCAT1]],[3]!db[NB NOTA_C],0)+1)</f>
        <v/>
      </c>
    </row>
    <row r="746" spans="1:42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6" s="38" t="str">
        <f>IF(NOTA[[#This Row],[CONCAT4]]="","",_xlfn.IFNA(MATCH(NOTA[[#This Row],[CONCAT4]],[2]!RAW[CONCAT_H],0),FALSE))</f>
        <v/>
      </c>
      <c r="AP746" s="174" t="str">
        <f>IF(NOTA[[#This Row],[CONCAT1]]="","",MATCH(NOTA[[#This Row],[CONCAT1]],[3]!db[NB NOTA_C],0)+1)</f>
        <v/>
      </c>
    </row>
    <row r="747" spans="1:42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38" t="str">
        <f>IF(NOTA[[#This Row],[CONCAT4]]="","",_xlfn.IFNA(MATCH(NOTA[[#This Row],[CONCAT4]],[2]!RAW[CONCAT_H],0),FALSE))</f>
        <v/>
      </c>
      <c r="AP747" s="174" t="str">
        <f>IF(NOTA[[#This Row],[CONCAT1]]="","",MATCH(NOTA[[#This Row],[CONCAT1]],[3]!db[NB NOTA_C],0)+1)</f>
        <v/>
      </c>
    </row>
    <row r="748" spans="1:42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38" t="str">
        <f>IF(NOTA[[#This Row],[CONCAT4]]="","",_xlfn.IFNA(MATCH(NOTA[[#This Row],[CONCAT4]],[2]!RAW[CONCAT_H],0),FALSE))</f>
        <v/>
      </c>
      <c r="AP748" s="174" t="str">
        <f>IF(NOTA[[#This Row],[CONCAT1]]="","",MATCH(NOTA[[#This Row],[CONCAT1]],[3]!db[NB NOTA_C],0)+1)</f>
        <v/>
      </c>
    </row>
    <row r="749" spans="1:42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38" t="str">
        <f>IF(NOTA[[#This Row],[CONCAT4]]="","",_xlfn.IFNA(MATCH(NOTA[[#This Row],[CONCAT4]],[2]!RAW[CONCAT_H],0),FALSE))</f>
        <v/>
      </c>
      <c r="AP749" s="174" t="str">
        <f>IF(NOTA[[#This Row],[CONCAT1]]="","",MATCH(NOTA[[#This Row],[CONCAT1]],[3]!db[NB NOTA_C],0)+1)</f>
        <v/>
      </c>
    </row>
    <row r="750" spans="1:42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38" t="str">
        <f>IF(NOTA[[#This Row],[CONCAT4]]="","",_xlfn.IFNA(MATCH(NOTA[[#This Row],[CONCAT4]],[2]!RAW[CONCAT_H],0),FALSE))</f>
        <v/>
      </c>
      <c r="AP750" s="174" t="str">
        <f>IF(NOTA[[#This Row],[CONCAT1]]="","",MATCH(NOTA[[#This Row],[CONCAT1]],[3]!db[NB NOTA_C],0)+1)</f>
        <v/>
      </c>
    </row>
    <row r="751" spans="1:42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155"/>
      <c r="G751" s="155"/>
      <c r="H751" s="156"/>
      <c r="I751" s="155"/>
      <c r="J751" s="157"/>
      <c r="K751" s="155"/>
      <c r="L751" s="26"/>
      <c r="M751" s="158"/>
      <c r="N751" s="155"/>
      <c r="O751" s="26"/>
      <c r="P751" s="159"/>
      <c r="Q751" s="160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38" t="str">
        <f>IF(NOTA[[#This Row],[CONCAT4]]="","",_xlfn.IFNA(MATCH(NOTA[[#This Row],[CONCAT4]],[2]!RAW[CONCAT_H],0),FALSE))</f>
        <v/>
      </c>
      <c r="AP751" s="174" t="str">
        <f>IF(NOTA[[#This Row],[CONCAT1]]="","",MATCH(NOTA[[#This Row],[CONCAT1]],[3]!db[NB NOTA_C],0)+1)</f>
        <v/>
      </c>
    </row>
    <row r="752" spans="1:42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155"/>
      <c r="G752" s="155"/>
      <c r="H752" s="156"/>
      <c r="I752" s="155"/>
      <c r="J752" s="157"/>
      <c r="K752" s="155"/>
      <c r="L752" s="26"/>
      <c r="M752" s="158"/>
      <c r="N752" s="155"/>
      <c r="O752" s="26"/>
      <c r="P752" s="159"/>
      <c r="Q752" s="160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38" t="str">
        <f>IF(NOTA[[#This Row],[CONCAT4]]="","",_xlfn.IFNA(MATCH(NOTA[[#This Row],[CONCAT4]],[2]!RAW[CONCAT_H],0),FALSE))</f>
        <v/>
      </c>
      <c r="AP752" s="174" t="str">
        <f>IF(NOTA[[#This Row],[CONCAT1]]="","",MATCH(NOTA[[#This Row],[CONCAT1]],[3]!db[NB NOTA_C],0)+1)</f>
        <v/>
      </c>
    </row>
    <row r="753" spans="1:42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155"/>
      <c r="G753" s="155"/>
      <c r="H753" s="156"/>
      <c r="I753" s="155"/>
      <c r="J753" s="157"/>
      <c r="K753" s="155"/>
      <c r="L753" s="26"/>
      <c r="M753" s="158"/>
      <c r="N753" s="155"/>
      <c r="O753" s="26"/>
      <c r="P753" s="159"/>
      <c r="Q753" s="160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38" t="str">
        <f>IF(NOTA[[#This Row],[CONCAT4]]="","",_xlfn.IFNA(MATCH(NOTA[[#This Row],[CONCAT4]],[2]!RAW[CONCAT_H],0),FALSE))</f>
        <v/>
      </c>
      <c r="AP753" s="174" t="str">
        <f>IF(NOTA[[#This Row],[CONCAT1]]="","",MATCH(NOTA[[#This Row],[CONCAT1]],[3]!db[NB NOTA_C],0)+1)</f>
        <v/>
      </c>
    </row>
    <row r="754" spans="1:42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38" t="str">
        <f>IF(NOTA[[#This Row],[CONCAT4]]="","",_xlfn.IFNA(MATCH(NOTA[[#This Row],[CONCAT4]],[2]!RAW[CONCAT_H],0),FALSE))</f>
        <v/>
      </c>
      <c r="AP754" s="174" t="str">
        <f>IF(NOTA[[#This Row],[CONCAT1]]="","",MATCH(NOTA[[#This Row],[CONCAT1]],[3]!db[NB NOTA_C],0)+1)</f>
        <v/>
      </c>
    </row>
    <row r="755" spans="1:42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38" t="str">
        <f>IF(NOTA[[#This Row],[CONCAT4]]="","",_xlfn.IFNA(MATCH(NOTA[[#This Row],[CONCAT4]],[2]!RAW[CONCAT_H],0),FALSE))</f>
        <v/>
      </c>
      <c r="AP755" s="174" t="str">
        <f>IF(NOTA[[#This Row],[CONCAT1]]="","",MATCH(NOTA[[#This Row],[CONCAT1]],[3]!db[NB NOTA_C],0)+1)</f>
        <v/>
      </c>
    </row>
    <row r="756" spans="1:42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38" t="str">
        <f>IF(NOTA[[#This Row],[CONCAT4]]="","",_xlfn.IFNA(MATCH(NOTA[[#This Row],[CONCAT4]],[2]!RAW[CONCAT_H],0),FALSE))</f>
        <v/>
      </c>
      <c r="AP756" s="174" t="str">
        <f>IF(NOTA[[#This Row],[CONCAT1]]="","",MATCH(NOTA[[#This Row],[CONCAT1]],[3]!db[NB NOTA_C],0)+1)</f>
        <v/>
      </c>
    </row>
    <row r="757" spans="1:42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38" t="str">
        <f>IF(NOTA[[#This Row],[CONCAT4]]="","",_xlfn.IFNA(MATCH(NOTA[[#This Row],[CONCAT4]],[2]!RAW[CONCAT_H],0),FALSE))</f>
        <v/>
      </c>
      <c r="AP757" s="174" t="str">
        <f>IF(NOTA[[#This Row],[CONCAT1]]="","",MATCH(NOTA[[#This Row],[CONCAT1]],[3]!db[NB NOTA_C],0)+1)</f>
        <v/>
      </c>
    </row>
    <row r="758" spans="1:42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38" t="str">
        <f>IF(NOTA[[#This Row],[CONCAT4]]="","",_xlfn.IFNA(MATCH(NOTA[[#This Row],[CONCAT4]],[2]!RAW[CONCAT_H],0),FALSE))</f>
        <v/>
      </c>
      <c r="AP758" s="174" t="str">
        <f>IF(NOTA[[#This Row],[CONCAT1]]="","",MATCH(NOTA[[#This Row],[CONCAT1]],[3]!db[NB NOTA_C],0)+1)</f>
        <v/>
      </c>
    </row>
    <row r="759" spans="1:42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38" t="str">
        <f>IF(NOTA[[#This Row],[CONCAT4]]="","",_xlfn.IFNA(MATCH(NOTA[[#This Row],[CONCAT4]],[2]!RAW[CONCAT_H],0),FALSE))</f>
        <v/>
      </c>
      <c r="AP759" s="174" t="str">
        <f>IF(NOTA[[#This Row],[CONCAT1]]="","",MATCH(NOTA[[#This Row],[CONCAT1]],[3]!db[NB NOTA_C],0)+1)</f>
        <v/>
      </c>
    </row>
    <row r="760" spans="1:42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38" t="str">
        <f>IF(NOTA[[#This Row],[CONCAT4]]="","",_xlfn.IFNA(MATCH(NOTA[[#This Row],[CONCAT4]],[2]!RAW[CONCAT_H],0),FALSE))</f>
        <v/>
      </c>
      <c r="AP760" s="174" t="str">
        <f>IF(NOTA[[#This Row],[CONCAT1]]="","",MATCH(NOTA[[#This Row],[CONCAT1]],[3]!db[NB NOTA_C],0)+1)</f>
        <v/>
      </c>
    </row>
    <row r="761" spans="1:42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38" t="str">
        <f>IF(NOTA[[#This Row],[CONCAT4]]="","",_xlfn.IFNA(MATCH(NOTA[[#This Row],[CONCAT4]],[2]!RAW[CONCAT_H],0),FALSE))</f>
        <v/>
      </c>
      <c r="AP761" s="174" t="str">
        <f>IF(NOTA[[#This Row],[CONCAT1]]="","",MATCH(NOTA[[#This Row],[CONCAT1]],[3]!db[NB NOTA_C],0)+1)</f>
        <v/>
      </c>
    </row>
    <row r="762" spans="1:42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38" t="str">
        <f>IF(NOTA[[#This Row],[CONCAT4]]="","",_xlfn.IFNA(MATCH(NOTA[[#This Row],[CONCAT4]],[2]!RAW[CONCAT_H],0),FALSE))</f>
        <v/>
      </c>
      <c r="AP762" s="174" t="str">
        <f>IF(NOTA[[#This Row],[CONCAT1]]="","",MATCH(NOTA[[#This Row],[CONCAT1]],[3]!db[NB NOTA_C],0)+1)</f>
        <v/>
      </c>
    </row>
    <row r="763" spans="1:42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38" t="str">
        <f>IF(NOTA[[#This Row],[CONCAT4]]="","",_xlfn.IFNA(MATCH(NOTA[[#This Row],[CONCAT4]],[2]!RAW[CONCAT_H],0),FALSE))</f>
        <v/>
      </c>
      <c r="AP763" s="174" t="str">
        <f>IF(NOTA[[#This Row],[CONCAT1]]="","",MATCH(NOTA[[#This Row],[CONCAT1]],[3]!db[NB NOTA_C],0)+1)</f>
        <v/>
      </c>
    </row>
    <row r="764" spans="1:42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38" t="str">
        <f>IF(NOTA[[#This Row],[CONCAT4]]="","",_xlfn.IFNA(MATCH(NOTA[[#This Row],[CONCAT4]],[2]!RAW[CONCAT_H],0),FALSE))</f>
        <v/>
      </c>
      <c r="AP764" s="174" t="str">
        <f>IF(NOTA[[#This Row],[CONCAT1]]="","",MATCH(NOTA[[#This Row],[CONCAT1]],[3]!db[NB NOTA_C],0)+1)</f>
        <v/>
      </c>
    </row>
    <row r="765" spans="1:42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38" t="str">
        <f>IF(NOTA[[#This Row],[CONCAT4]]="","",_xlfn.IFNA(MATCH(NOTA[[#This Row],[CONCAT4]],[2]!RAW[CONCAT_H],0),FALSE))</f>
        <v/>
      </c>
      <c r="AP765" s="174" t="str">
        <f>IF(NOTA[[#This Row],[CONCAT1]]="","",MATCH(NOTA[[#This Row],[CONCAT1]],[3]!db[NB NOTA_C],0)+1)</f>
        <v/>
      </c>
    </row>
    <row r="766" spans="1:42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38" t="str">
        <f>IF(NOTA[[#This Row],[CONCAT4]]="","",_xlfn.IFNA(MATCH(NOTA[[#This Row],[CONCAT4]],[2]!RAW[CONCAT_H],0),FALSE))</f>
        <v/>
      </c>
      <c r="AP766" s="174" t="str">
        <f>IF(NOTA[[#This Row],[CONCAT1]]="","",MATCH(NOTA[[#This Row],[CONCAT1]],[3]!db[NB NOTA_C],0)+1)</f>
        <v/>
      </c>
    </row>
    <row r="767" spans="1:42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38" t="str">
        <f>IF(NOTA[[#This Row],[CONCAT4]]="","",_xlfn.IFNA(MATCH(NOTA[[#This Row],[CONCAT4]],[2]!RAW[CONCAT_H],0),FALSE))</f>
        <v/>
      </c>
      <c r="AP767" s="174" t="str">
        <f>IF(NOTA[[#This Row],[CONCAT1]]="","",MATCH(NOTA[[#This Row],[CONCAT1]],[3]!db[NB NOTA_C],0)+1)</f>
        <v/>
      </c>
    </row>
    <row r="768" spans="1:42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38" t="str">
        <f>IF(NOTA[[#This Row],[CONCAT4]]="","",_xlfn.IFNA(MATCH(NOTA[[#This Row],[CONCAT4]],[2]!RAW[CONCAT_H],0),FALSE))</f>
        <v/>
      </c>
      <c r="AP768" s="174" t="str">
        <f>IF(NOTA[[#This Row],[CONCAT1]]="","",MATCH(NOTA[[#This Row],[CONCAT1]],[3]!db[NB NOTA_C],0)+1)</f>
        <v/>
      </c>
    </row>
    <row r="769" spans="1:42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38" t="str">
        <f>IF(NOTA[[#This Row],[CONCAT4]]="","",_xlfn.IFNA(MATCH(NOTA[[#This Row],[CONCAT4]],[2]!RAW[CONCAT_H],0),FALSE))</f>
        <v/>
      </c>
      <c r="AP769" s="174" t="str">
        <f>IF(NOTA[[#This Row],[CONCAT1]]="","",MATCH(NOTA[[#This Row],[CONCAT1]],[3]!db[NB NOTA_C],0)+1)</f>
        <v/>
      </c>
    </row>
    <row r="770" spans="1:42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38" t="str">
        <f>IF(NOTA[[#This Row],[CONCAT4]]="","",_xlfn.IFNA(MATCH(NOTA[[#This Row],[CONCAT4]],[2]!RAW[CONCAT_H],0),FALSE))</f>
        <v/>
      </c>
      <c r="AP770" s="174" t="str">
        <f>IF(NOTA[[#This Row],[CONCAT1]]="","",MATCH(NOTA[[#This Row],[CONCAT1]],[3]!db[NB NOTA_C],0)+1)</f>
        <v/>
      </c>
    </row>
    <row r="771" spans="1:42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38" t="str">
        <f>IF(NOTA[[#This Row],[CONCAT4]]="","",_xlfn.IFNA(MATCH(NOTA[[#This Row],[CONCAT4]],[2]!RAW[CONCAT_H],0),FALSE))</f>
        <v/>
      </c>
      <c r="AP771" s="174" t="str">
        <f>IF(NOTA[[#This Row],[CONCAT1]]="","",MATCH(NOTA[[#This Row],[CONCAT1]],[3]!db[NB NOTA_C],0)+1)</f>
        <v/>
      </c>
    </row>
    <row r="772" spans="1:42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38" t="str">
        <f>IF(NOTA[[#This Row],[CONCAT4]]="","",_xlfn.IFNA(MATCH(NOTA[[#This Row],[CONCAT4]],[2]!RAW[CONCAT_H],0),FALSE))</f>
        <v/>
      </c>
      <c r="AP772" s="174" t="str">
        <f>IF(NOTA[[#This Row],[CONCAT1]]="","",MATCH(NOTA[[#This Row],[CONCAT1]],[3]!db[NB NOTA_C],0)+1)</f>
        <v/>
      </c>
    </row>
    <row r="773" spans="1:42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38" t="str">
        <f>IF(NOTA[[#This Row],[CONCAT4]]="","",_xlfn.IFNA(MATCH(NOTA[[#This Row],[CONCAT4]],[2]!RAW[CONCAT_H],0),FALSE))</f>
        <v/>
      </c>
      <c r="AP773" s="174" t="str">
        <f>IF(NOTA[[#This Row],[CONCAT1]]="","",MATCH(NOTA[[#This Row],[CONCAT1]],[3]!db[NB NOTA_C],0)+1)</f>
        <v/>
      </c>
    </row>
    <row r="774" spans="1:42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38" t="str">
        <f>IF(NOTA[[#This Row],[CONCAT4]]="","",_xlfn.IFNA(MATCH(NOTA[[#This Row],[CONCAT4]],[2]!RAW[CONCAT_H],0),FALSE))</f>
        <v/>
      </c>
      <c r="AP774" s="174" t="str">
        <f>IF(NOTA[[#This Row],[CONCAT1]]="","",MATCH(NOTA[[#This Row],[CONCAT1]],[3]!db[NB NOTA_C],0)+1)</f>
        <v/>
      </c>
    </row>
    <row r="775" spans="1:42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38" t="str">
        <f>IF(NOTA[[#This Row],[CONCAT4]]="","",_xlfn.IFNA(MATCH(NOTA[[#This Row],[CONCAT4]],[2]!RAW[CONCAT_H],0),FALSE))</f>
        <v/>
      </c>
      <c r="AP775" s="174" t="str">
        <f>IF(NOTA[[#This Row],[CONCAT1]]="","",MATCH(NOTA[[#This Row],[CONCAT1]],[3]!db[NB NOTA_C],0)+1)</f>
        <v/>
      </c>
    </row>
    <row r="776" spans="1:42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38" t="str">
        <f>IF(NOTA[[#This Row],[CONCAT4]]="","",_xlfn.IFNA(MATCH(NOTA[[#This Row],[CONCAT4]],[2]!RAW[CONCAT_H],0),FALSE))</f>
        <v/>
      </c>
      <c r="AP776" s="174" t="str">
        <f>IF(NOTA[[#This Row],[CONCAT1]]="","",MATCH(NOTA[[#This Row],[CONCAT1]],[3]!db[NB NOTA_C],0)+1)</f>
        <v/>
      </c>
    </row>
    <row r="777" spans="1:42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38" t="str">
        <f>IF(NOTA[[#This Row],[CONCAT4]]="","",_xlfn.IFNA(MATCH(NOTA[[#This Row],[CONCAT4]],[2]!RAW[CONCAT_H],0),FALSE))</f>
        <v/>
      </c>
      <c r="AP777" s="174" t="str">
        <f>IF(NOTA[[#This Row],[CONCAT1]]="","",MATCH(NOTA[[#This Row],[CONCAT1]],[3]!db[NB NOTA_C],0)+1)</f>
        <v/>
      </c>
    </row>
    <row r="778" spans="1:42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38" t="str">
        <f>IF(NOTA[[#This Row],[CONCAT4]]="","",_xlfn.IFNA(MATCH(NOTA[[#This Row],[CONCAT4]],[2]!RAW[CONCAT_H],0),FALSE))</f>
        <v/>
      </c>
      <c r="AP778" s="174" t="str">
        <f>IF(NOTA[[#This Row],[CONCAT1]]="","",MATCH(NOTA[[#This Row],[CONCAT1]],[3]!db[NB NOTA_C],0)+1)</f>
        <v/>
      </c>
    </row>
    <row r="779" spans="1:42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38" t="str">
        <f>IF(NOTA[[#This Row],[CONCAT4]]="","",_xlfn.IFNA(MATCH(NOTA[[#This Row],[CONCAT4]],[2]!RAW[CONCAT_H],0),FALSE))</f>
        <v/>
      </c>
      <c r="AP779" s="174" t="str">
        <f>IF(NOTA[[#This Row],[CONCAT1]]="","",MATCH(NOTA[[#This Row],[CONCAT1]],[3]!db[NB NOTA_C],0)+1)</f>
        <v/>
      </c>
    </row>
    <row r="780" spans="1:42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38" t="str">
        <f>IF(NOTA[[#This Row],[CONCAT4]]="","",_xlfn.IFNA(MATCH(NOTA[[#This Row],[CONCAT4]],[2]!RAW[CONCAT_H],0),FALSE))</f>
        <v/>
      </c>
      <c r="AP780" s="174" t="str">
        <f>IF(NOTA[[#This Row],[CONCAT1]]="","",MATCH(NOTA[[#This Row],[CONCAT1]],[3]!db[NB NOTA_C],0)+1)</f>
        <v/>
      </c>
    </row>
    <row r="781" spans="1:42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38" t="str">
        <f>IF(NOTA[[#This Row],[CONCAT4]]="","",_xlfn.IFNA(MATCH(NOTA[[#This Row],[CONCAT4]],[2]!RAW[CONCAT_H],0),FALSE))</f>
        <v/>
      </c>
      <c r="AP781" s="174" t="str">
        <f>IF(NOTA[[#This Row],[CONCAT1]]="","",MATCH(NOTA[[#This Row],[CONCAT1]],[3]!db[NB NOTA_C],0)+1)</f>
        <v/>
      </c>
    </row>
    <row r="782" spans="1:42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38" t="str">
        <f>IF(NOTA[[#This Row],[CONCAT4]]="","",_xlfn.IFNA(MATCH(NOTA[[#This Row],[CONCAT4]],[2]!RAW[CONCAT_H],0),FALSE))</f>
        <v/>
      </c>
      <c r="AP782" s="174" t="str">
        <f>IF(NOTA[[#This Row],[CONCAT1]]="","",MATCH(NOTA[[#This Row],[CONCAT1]],[3]!db[NB NOTA_C],0)+1)</f>
        <v/>
      </c>
    </row>
    <row r="783" spans="1:42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38" t="str">
        <f>IF(NOTA[[#This Row],[CONCAT4]]="","",_xlfn.IFNA(MATCH(NOTA[[#This Row],[CONCAT4]],[2]!RAW[CONCAT_H],0),FALSE))</f>
        <v/>
      </c>
      <c r="AP783" s="174" t="str">
        <f>IF(NOTA[[#This Row],[CONCAT1]]="","",MATCH(NOTA[[#This Row],[CONCAT1]],[3]!db[NB NOTA_C],0)+1)</f>
        <v/>
      </c>
    </row>
    <row r="784" spans="1:42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38" t="str">
        <f>IF(NOTA[[#This Row],[CONCAT4]]="","",_xlfn.IFNA(MATCH(NOTA[[#This Row],[CONCAT4]],[2]!RAW[CONCAT_H],0),FALSE))</f>
        <v/>
      </c>
      <c r="AP784" s="174" t="str">
        <f>IF(NOTA[[#This Row],[CONCAT1]]="","",MATCH(NOTA[[#This Row],[CONCAT1]],[3]!db[NB NOTA_C],0)+1)</f>
        <v/>
      </c>
    </row>
    <row r="785" spans="1:42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38" t="str">
        <f>IF(NOTA[[#This Row],[CONCAT4]]="","",_xlfn.IFNA(MATCH(NOTA[[#This Row],[CONCAT4]],[2]!RAW[CONCAT_H],0),FALSE))</f>
        <v/>
      </c>
      <c r="AP785" s="174" t="str">
        <f>IF(NOTA[[#This Row],[CONCAT1]]="","",MATCH(NOTA[[#This Row],[CONCAT1]],[3]!db[NB NOTA_C],0)+1)</f>
        <v/>
      </c>
    </row>
    <row r="786" spans="1:42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38" t="str">
        <f>IF(NOTA[[#This Row],[CONCAT4]]="","",_xlfn.IFNA(MATCH(NOTA[[#This Row],[CONCAT4]],[2]!RAW[CONCAT_H],0),FALSE))</f>
        <v/>
      </c>
      <c r="AP786" s="174" t="str">
        <f>IF(NOTA[[#This Row],[CONCAT1]]="","",MATCH(NOTA[[#This Row],[CONCAT1]],[3]!db[NB NOTA_C],0)+1)</f>
        <v/>
      </c>
    </row>
    <row r="787" spans="1:42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38" t="str">
        <f>IF(NOTA[[#This Row],[CONCAT4]]="","",_xlfn.IFNA(MATCH(NOTA[[#This Row],[CONCAT4]],[2]!RAW[CONCAT_H],0),FALSE))</f>
        <v/>
      </c>
      <c r="AP787" s="174" t="str">
        <f>IF(NOTA[[#This Row],[CONCAT1]]="","",MATCH(NOTA[[#This Row],[CONCAT1]],[3]!db[NB NOTA_C],0)+1)</f>
        <v/>
      </c>
    </row>
    <row r="788" spans="1:42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38" t="str">
        <f>IF(NOTA[[#This Row],[CONCAT4]]="","",_xlfn.IFNA(MATCH(NOTA[[#This Row],[CONCAT4]],[2]!RAW[CONCAT_H],0),FALSE))</f>
        <v/>
      </c>
      <c r="AP788" s="174" t="str">
        <f>IF(NOTA[[#This Row],[CONCAT1]]="","",MATCH(NOTA[[#This Row],[CONCAT1]],[3]!db[NB NOTA_C],0)+1)</f>
        <v/>
      </c>
    </row>
    <row r="789" spans="1:42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38" t="str">
        <f>IF(NOTA[[#This Row],[CONCAT4]]="","",_xlfn.IFNA(MATCH(NOTA[[#This Row],[CONCAT4]],[2]!RAW[CONCAT_H],0),FALSE))</f>
        <v/>
      </c>
      <c r="AP789" s="174" t="str">
        <f>IF(NOTA[[#This Row],[CONCAT1]]="","",MATCH(NOTA[[#This Row],[CONCAT1]],[3]!db[NB NOTA_C],0)+1)</f>
        <v/>
      </c>
    </row>
    <row r="790" spans="1:42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38" t="str">
        <f>IF(NOTA[[#This Row],[CONCAT4]]="","",_xlfn.IFNA(MATCH(NOTA[[#This Row],[CONCAT4]],[2]!RAW[CONCAT_H],0),FALSE))</f>
        <v/>
      </c>
      <c r="AP790" s="174" t="str">
        <f>IF(NOTA[[#This Row],[CONCAT1]]="","",MATCH(NOTA[[#This Row],[CONCAT1]],[3]!db[NB NOTA_C],0)+1)</f>
        <v/>
      </c>
    </row>
    <row r="791" spans="1:42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38" t="str">
        <f>IF(NOTA[[#This Row],[CONCAT4]]="","",_xlfn.IFNA(MATCH(NOTA[[#This Row],[CONCAT4]],[2]!RAW[CONCAT_H],0),FALSE))</f>
        <v/>
      </c>
      <c r="AP791" s="174" t="str">
        <f>IF(NOTA[[#This Row],[CONCAT1]]="","",MATCH(NOTA[[#This Row],[CONCAT1]],[3]!db[NB NOTA_C],0)+1)</f>
        <v/>
      </c>
    </row>
    <row r="792" spans="1:42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38" t="str">
        <f>IF(NOTA[[#This Row],[CONCAT4]]="","",_xlfn.IFNA(MATCH(NOTA[[#This Row],[CONCAT4]],[2]!RAW[CONCAT_H],0),FALSE))</f>
        <v/>
      </c>
      <c r="AP792" s="174" t="str">
        <f>IF(NOTA[[#This Row],[CONCAT1]]="","",MATCH(NOTA[[#This Row],[CONCAT1]],[3]!db[NB NOTA_C],0)+1)</f>
        <v/>
      </c>
    </row>
    <row r="793" spans="1:42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38" t="str">
        <f>IF(NOTA[[#This Row],[CONCAT4]]="","",_xlfn.IFNA(MATCH(NOTA[[#This Row],[CONCAT4]],[2]!RAW[CONCAT_H],0),FALSE))</f>
        <v/>
      </c>
      <c r="AP793" s="174" t="str">
        <f>IF(NOTA[[#This Row],[CONCAT1]]="","",MATCH(NOTA[[#This Row],[CONCAT1]],[3]!db[NB NOTA_C],0)+1)</f>
        <v/>
      </c>
    </row>
    <row r="794" spans="1:42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38" t="str">
        <f>IF(NOTA[[#This Row],[CONCAT4]]="","",_xlfn.IFNA(MATCH(NOTA[[#This Row],[CONCAT4]],[2]!RAW[CONCAT_H],0),FALSE))</f>
        <v/>
      </c>
      <c r="AP794" s="174" t="str">
        <f>IF(NOTA[[#This Row],[CONCAT1]]="","",MATCH(NOTA[[#This Row],[CONCAT1]],[3]!db[NB NOTA_C],0)+1)</f>
        <v/>
      </c>
    </row>
    <row r="795" spans="1:42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38" t="str">
        <f>IF(NOTA[[#This Row],[CONCAT4]]="","",_xlfn.IFNA(MATCH(NOTA[[#This Row],[CONCAT4]],[2]!RAW[CONCAT_H],0),FALSE))</f>
        <v/>
      </c>
      <c r="AP795" s="174" t="str">
        <f>IF(NOTA[[#This Row],[CONCAT1]]="","",MATCH(NOTA[[#This Row],[CONCAT1]],[3]!db[NB NOTA_C],0)+1)</f>
        <v/>
      </c>
    </row>
    <row r="796" spans="1:42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38" t="str">
        <f>IF(NOTA[[#This Row],[CONCAT4]]="","",_xlfn.IFNA(MATCH(NOTA[[#This Row],[CONCAT4]],[2]!RAW[CONCAT_H],0),FALSE))</f>
        <v/>
      </c>
      <c r="AP796" s="174" t="str">
        <f>IF(NOTA[[#This Row],[CONCAT1]]="","",MATCH(NOTA[[#This Row],[CONCAT1]],[3]!db[NB NOTA_C],0)+1)</f>
        <v/>
      </c>
    </row>
    <row r="797" spans="1:42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72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38" t="str">
        <f>IF(NOTA[[#This Row],[CONCAT4]]="","",_xlfn.IFNA(MATCH(NOTA[[#This Row],[CONCAT4]],[2]!RAW[CONCAT_H],0),FALSE))</f>
        <v/>
      </c>
      <c r="AP797" s="174" t="str">
        <f>IF(NOTA[[#This Row],[CONCAT1]]="","",MATCH(NOTA[[#This Row],[CONCAT1]],[3]!db[NB NOTA_C],0)+1)</f>
        <v/>
      </c>
    </row>
    <row r="798" spans="1:42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38" t="str">
        <f>IF(NOTA[[#This Row],[CONCAT4]]="","",_xlfn.IFNA(MATCH(NOTA[[#This Row],[CONCAT4]],[2]!RAW[CONCAT_H],0),FALSE))</f>
        <v/>
      </c>
      <c r="AP798" s="174" t="str">
        <f>IF(NOTA[[#This Row],[CONCAT1]]="","",MATCH(NOTA[[#This Row],[CONCAT1]],[3]!db[NB NOTA_C],0)+1)</f>
        <v/>
      </c>
    </row>
    <row r="799" spans="1:42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38" t="str">
        <f>IF(NOTA[[#This Row],[CONCAT4]]="","",_xlfn.IFNA(MATCH(NOTA[[#This Row],[CONCAT4]],[2]!RAW[CONCAT_H],0),FALSE))</f>
        <v/>
      </c>
      <c r="AP799" s="174" t="str">
        <f>IF(NOTA[[#This Row],[CONCAT1]]="","",MATCH(NOTA[[#This Row],[CONCAT1]],[3]!db[NB NOTA_C],0)+1)</f>
        <v/>
      </c>
    </row>
    <row r="800" spans="1:42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38" t="str">
        <f>IF(NOTA[[#This Row],[CONCAT4]]="","",_xlfn.IFNA(MATCH(NOTA[[#This Row],[CONCAT4]],[2]!RAW[CONCAT_H],0),FALSE))</f>
        <v/>
      </c>
      <c r="AP800" s="174" t="str">
        <f>IF(NOTA[[#This Row],[CONCAT1]]="","",MATCH(NOTA[[#This Row],[CONCAT1]],[3]!db[NB NOTA_C],0)+1)</f>
        <v/>
      </c>
    </row>
    <row r="801" spans="1:42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38" t="str">
        <f>IF(NOTA[[#This Row],[CONCAT4]]="","",_xlfn.IFNA(MATCH(NOTA[[#This Row],[CONCAT4]],[2]!RAW[CONCAT_H],0),FALSE))</f>
        <v/>
      </c>
      <c r="AP801" s="174" t="str">
        <f>IF(NOTA[[#This Row],[CONCAT1]]="","",MATCH(NOTA[[#This Row],[CONCAT1]],[3]!db[NB NOTA_C],0)+1)</f>
        <v/>
      </c>
    </row>
    <row r="802" spans="1:42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50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38" t="str">
        <f>IF(NOTA[[#This Row],[CONCAT4]]="","",_xlfn.IFNA(MATCH(NOTA[[#This Row],[CONCAT4]],[2]!RAW[CONCAT_H],0),FALSE))</f>
        <v/>
      </c>
      <c r="AP802" s="174" t="str">
        <f>IF(NOTA[[#This Row],[CONCAT1]]="","",MATCH(NOTA[[#This Row],[CONCAT1]],[3]!db[NB NOTA_C],0)+1)</f>
        <v/>
      </c>
    </row>
    <row r="803" spans="1:42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50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38" t="str">
        <f>IF(NOTA[[#This Row],[CONCAT4]]="","",_xlfn.IFNA(MATCH(NOTA[[#This Row],[CONCAT4]],[2]!RAW[CONCAT_H],0),FALSE))</f>
        <v/>
      </c>
      <c r="AP803" s="174" t="str">
        <f>IF(NOTA[[#This Row],[CONCAT1]]="","",MATCH(NOTA[[#This Row],[CONCAT1]],[3]!db[NB NOTA_C],0)+1)</f>
        <v/>
      </c>
    </row>
    <row r="804" spans="1:42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50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38" t="str">
        <f>IF(NOTA[[#This Row],[CONCAT4]]="","",_xlfn.IFNA(MATCH(NOTA[[#This Row],[CONCAT4]],[2]!RAW[CONCAT_H],0),FALSE))</f>
        <v/>
      </c>
      <c r="AP804" s="174" t="str">
        <f>IF(NOTA[[#This Row],[CONCAT1]]="","",MATCH(NOTA[[#This Row],[CONCAT1]],[3]!db[NB NOTA_C],0)+1)</f>
        <v/>
      </c>
    </row>
    <row r="805" spans="1:42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50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38" t="str">
        <f>IF(NOTA[[#This Row],[CONCAT4]]="","",_xlfn.IFNA(MATCH(NOTA[[#This Row],[CONCAT4]],[2]!RAW[CONCAT_H],0),FALSE))</f>
        <v/>
      </c>
      <c r="AP805" s="174" t="str">
        <f>IF(NOTA[[#This Row],[CONCAT1]]="","",MATCH(NOTA[[#This Row],[CONCAT1]],[3]!db[NB NOTA_C],0)+1)</f>
        <v/>
      </c>
    </row>
    <row r="806" spans="1:42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50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38" t="str">
        <f>IF(NOTA[[#This Row],[CONCAT4]]="","",_xlfn.IFNA(MATCH(NOTA[[#This Row],[CONCAT4]],[2]!RAW[CONCAT_H],0),FALSE))</f>
        <v/>
      </c>
      <c r="AP806" s="174" t="str">
        <f>IF(NOTA[[#This Row],[CONCAT1]]="","",MATCH(NOTA[[#This Row],[CONCAT1]],[3]!db[NB NOTA_C],0)+1)</f>
        <v/>
      </c>
    </row>
    <row r="807" spans="1:42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50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38" t="str">
        <f>IF(NOTA[[#This Row],[CONCAT4]]="","",_xlfn.IFNA(MATCH(NOTA[[#This Row],[CONCAT4]],[2]!RAW[CONCAT_H],0),FALSE))</f>
        <v/>
      </c>
      <c r="AP807" s="174" t="str">
        <f>IF(NOTA[[#This Row],[CONCAT1]]="","",MATCH(NOTA[[#This Row],[CONCAT1]],[3]!db[NB NOTA_C],0)+1)</f>
        <v/>
      </c>
    </row>
    <row r="808" spans="1:42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50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38" t="str">
        <f>IF(NOTA[[#This Row],[CONCAT4]]="","",_xlfn.IFNA(MATCH(NOTA[[#This Row],[CONCAT4]],[2]!RAW[CONCAT_H],0),FALSE))</f>
        <v/>
      </c>
      <c r="AP808" s="174" t="str">
        <f>IF(NOTA[[#This Row],[CONCAT1]]="","",MATCH(NOTA[[#This Row],[CONCAT1]],[3]!db[NB NOTA_C],0)+1)</f>
        <v/>
      </c>
    </row>
    <row r="809" spans="1:42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50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38" t="str">
        <f>IF(NOTA[[#This Row],[CONCAT4]]="","",_xlfn.IFNA(MATCH(NOTA[[#This Row],[CONCAT4]],[2]!RAW[CONCAT_H],0),FALSE))</f>
        <v/>
      </c>
      <c r="AP809" s="174" t="str">
        <f>IF(NOTA[[#This Row],[CONCAT1]]="","",MATCH(NOTA[[#This Row],[CONCAT1]],[3]!db[NB NOTA_C],0)+1)</f>
        <v/>
      </c>
    </row>
    <row r="810" spans="1:42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50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38" t="str">
        <f>IF(NOTA[[#This Row],[CONCAT4]]="","",_xlfn.IFNA(MATCH(NOTA[[#This Row],[CONCAT4]],[2]!RAW[CONCAT_H],0),FALSE))</f>
        <v/>
      </c>
      <c r="AP810" s="174" t="str">
        <f>IF(NOTA[[#This Row],[CONCAT1]]="","",MATCH(NOTA[[#This Row],[CONCAT1]],[3]!db[NB NOTA_C],0)+1)</f>
        <v/>
      </c>
    </row>
    <row r="811" spans="1:42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50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38" t="str">
        <f>IF(NOTA[[#This Row],[CONCAT4]]="","",_xlfn.IFNA(MATCH(NOTA[[#This Row],[CONCAT4]],[2]!RAW[CONCAT_H],0),FALSE))</f>
        <v/>
      </c>
      <c r="AP811" s="174" t="str">
        <f>IF(NOTA[[#This Row],[CONCAT1]]="","",MATCH(NOTA[[#This Row],[CONCAT1]],[3]!db[NB NOTA_C],0)+1)</f>
        <v/>
      </c>
    </row>
    <row r="812" spans="1:42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50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38" t="str">
        <f>IF(NOTA[[#This Row],[CONCAT4]]="","",_xlfn.IFNA(MATCH(NOTA[[#This Row],[CONCAT4]],[2]!RAW[CONCAT_H],0),FALSE))</f>
        <v/>
      </c>
      <c r="AP812" s="174" t="str">
        <f>IF(NOTA[[#This Row],[CONCAT1]]="","",MATCH(NOTA[[#This Row],[CONCAT1]],[3]!db[NB NOTA_C],0)+1)</f>
        <v/>
      </c>
    </row>
    <row r="813" spans="1:42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50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38" t="str">
        <f>IF(NOTA[[#This Row],[CONCAT4]]="","",_xlfn.IFNA(MATCH(NOTA[[#This Row],[CONCAT4]],[2]!RAW[CONCAT_H],0),FALSE))</f>
        <v/>
      </c>
      <c r="AP813" s="174" t="str">
        <f>IF(NOTA[[#This Row],[CONCAT1]]="","",MATCH(NOTA[[#This Row],[CONCAT1]],[3]!db[NB NOTA_C],0)+1)</f>
        <v/>
      </c>
    </row>
    <row r="814" spans="1:42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50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38" t="str">
        <f>IF(NOTA[[#This Row],[CONCAT4]]="","",_xlfn.IFNA(MATCH(NOTA[[#This Row],[CONCAT4]],[2]!RAW[CONCAT_H],0),FALSE))</f>
        <v/>
      </c>
      <c r="AP814" s="174" t="str">
        <f>IF(NOTA[[#This Row],[CONCAT1]]="","",MATCH(NOTA[[#This Row],[CONCAT1]],[3]!db[NB NOTA_C],0)+1)</f>
        <v/>
      </c>
    </row>
    <row r="815" spans="1:42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50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38" t="str">
        <f>IF(NOTA[[#This Row],[CONCAT4]]="","",_xlfn.IFNA(MATCH(NOTA[[#This Row],[CONCAT4]],[2]!RAW[CONCAT_H],0),FALSE))</f>
        <v/>
      </c>
      <c r="AP815" s="174" t="str">
        <f>IF(NOTA[[#This Row],[CONCAT1]]="","",MATCH(NOTA[[#This Row],[CONCAT1]],[3]!db[NB NOTA_C],0)+1)</f>
        <v/>
      </c>
    </row>
    <row r="816" spans="1:42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50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38" t="str">
        <f>IF(NOTA[[#This Row],[CONCAT4]]="","",_xlfn.IFNA(MATCH(NOTA[[#This Row],[CONCAT4]],[2]!RAW[CONCAT_H],0),FALSE))</f>
        <v/>
      </c>
      <c r="AP816" s="174" t="str">
        <f>IF(NOTA[[#This Row],[CONCAT1]]="","",MATCH(NOTA[[#This Row],[CONCAT1]],[3]!db[NB NOTA_C],0)+1)</f>
        <v/>
      </c>
    </row>
    <row r="817" spans="1:42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50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38" t="str">
        <f>IF(NOTA[[#This Row],[CONCAT4]]="","",_xlfn.IFNA(MATCH(NOTA[[#This Row],[CONCAT4]],[2]!RAW[CONCAT_H],0),FALSE))</f>
        <v/>
      </c>
      <c r="AP817" s="174" t="str">
        <f>IF(NOTA[[#This Row],[CONCAT1]]="","",MATCH(NOTA[[#This Row],[CONCAT1]],[3]!db[NB NOTA_C],0)+1)</f>
        <v/>
      </c>
    </row>
    <row r="818" spans="1:42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50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38" t="str">
        <f>IF(NOTA[[#This Row],[CONCAT4]]="","",_xlfn.IFNA(MATCH(NOTA[[#This Row],[CONCAT4]],[2]!RAW[CONCAT_H],0),FALSE))</f>
        <v/>
      </c>
      <c r="AP818" s="174" t="str">
        <f>IF(NOTA[[#This Row],[CONCAT1]]="","",MATCH(NOTA[[#This Row],[CONCAT1]],[3]!db[NB NOTA_C],0)+1)</f>
        <v/>
      </c>
    </row>
    <row r="819" spans="1:42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50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38" t="str">
        <f>IF(NOTA[[#This Row],[CONCAT4]]="","",_xlfn.IFNA(MATCH(NOTA[[#This Row],[CONCAT4]],[2]!RAW[CONCAT_H],0),FALSE))</f>
        <v/>
      </c>
      <c r="AP819" s="174" t="str">
        <f>IF(NOTA[[#This Row],[CONCAT1]]="","",MATCH(NOTA[[#This Row],[CONCAT1]],[3]!db[NB NOTA_C],0)+1)</f>
        <v/>
      </c>
    </row>
    <row r="820" spans="1:42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38" t="str">
        <f>IF(NOTA[[#This Row],[CONCAT4]]="","",_xlfn.IFNA(MATCH(NOTA[[#This Row],[CONCAT4]],[2]!RAW[CONCAT_H],0),FALSE))</f>
        <v/>
      </c>
      <c r="AP820" s="174" t="str">
        <f>IF(NOTA[[#This Row],[CONCAT1]]="","",MATCH(NOTA[[#This Row],[CONCAT1]],[3]!db[NB NOTA_C],0)+1)</f>
        <v/>
      </c>
    </row>
    <row r="821" spans="1:42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38" t="str">
        <f>IF(NOTA[[#This Row],[CONCAT4]]="","",_xlfn.IFNA(MATCH(NOTA[[#This Row],[CONCAT4]],[2]!RAW[CONCAT_H],0),FALSE))</f>
        <v/>
      </c>
      <c r="AP821" s="174" t="str">
        <f>IF(NOTA[[#This Row],[CONCAT1]]="","",MATCH(NOTA[[#This Row],[CONCAT1]],[3]!db[NB NOTA_C],0)+1)</f>
        <v/>
      </c>
    </row>
    <row r="822" spans="1:42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38" t="str">
        <f>IF(NOTA[[#This Row],[CONCAT4]]="","",_xlfn.IFNA(MATCH(NOTA[[#This Row],[CONCAT4]],[2]!RAW[CONCAT_H],0),FALSE))</f>
        <v/>
      </c>
      <c r="AP822" s="174" t="str">
        <f>IF(NOTA[[#This Row],[CONCAT1]]="","",MATCH(NOTA[[#This Row],[CONCAT1]],[3]!db[NB NOTA_C],0)+1)</f>
        <v/>
      </c>
    </row>
    <row r="823" spans="1:42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38" t="str">
        <f>IF(NOTA[[#This Row],[CONCAT4]]="","",_xlfn.IFNA(MATCH(NOTA[[#This Row],[CONCAT4]],[2]!RAW[CONCAT_H],0),FALSE))</f>
        <v/>
      </c>
      <c r="AP823" s="174" t="str">
        <f>IF(NOTA[[#This Row],[CONCAT1]]="","",MATCH(NOTA[[#This Row],[CONCAT1]],[3]!db[NB NOTA_C],0)+1)</f>
        <v/>
      </c>
    </row>
    <row r="824" spans="1:42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>
        <v>1</v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38" t="str">
        <f>IF(NOTA[[#This Row],[CONCAT4]]="","",_xlfn.IFNA(MATCH(NOTA[[#This Row],[CONCAT4]],[2]!RAW[CONCAT_H],0),FALSE))</f>
        <v/>
      </c>
      <c r="AP824" s="174" t="str">
        <f>IF(NOTA[[#This Row],[CONCAT1]]="","",MATCH(NOTA[[#This Row],[CONCAT1]],[3]!db[NB NOTA_C],0)+1)</f>
        <v/>
      </c>
    </row>
    <row r="825" spans="1:42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38" t="str">
        <f>IF(NOTA[[#This Row],[CONCAT4]]="","",_xlfn.IFNA(MATCH(NOTA[[#This Row],[CONCAT4]],[2]!RAW[CONCAT_H],0),FALSE))</f>
        <v/>
      </c>
      <c r="AP825" s="174" t="str">
        <f>IF(NOTA[[#This Row],[CONCAT1]]="","",MATCH(NOTA[[#This Row],[CONCAT1]],[3]!db[NB NOTA_C],0)+1)</f>
        <v/>
      </c>
    </row>
    <row r="826" spans="1:42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38" t="str">
        <f>IF(NOTA[[#This Row],[CONCAT4]]="","",_xlfn.IFNA(MATCH(NOTA[[#This Row],[CONCAT4]],[2]!RAW[CONCAT_H],0),FALSE))</f>
        <v/>
      </c>
      <c r="AP826" s="174" t="str">
        <f>IF(NOTA[[#This Row],[CONCAT1]]="","",MATCH(NOTA[[#This Row],[CONCAT1]],[3]!db[NB NOTA_C],0)+1)</f>
        <v/>
      </c>
    </row>
    <row r="827" spans="1:42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38" t="str">
        <f>IF(NOTA[[#This Row],[CONCAT4]]="","",_xlfn.IFNA(MATCH(NOTA[[#This Row],[CONCAT4]],[2]!RAW[CONCAT_H],0),FALSE))</f>
        <v/>
      </c>
      <c r="AP827" s="174" t="str">
        <f>IF(NOTA[[#This Row],[CONCAT1]]="","",MATCH(NOTA[[#This Row],[CONCAT1]],[3]!db[NB NOTA_C],0)+1)</f>
        <v/>
      </c>
    </row>
    <row r="828" spans="1:42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38" t="str">
        <f>IF(NOTA[[#This Row],[CONCAT4]]="","",_xlfn.IFNA(MATCH(NOTA[[#This Row],[CONCAT4]],[2]!RAW[CONCAT_H],0),FALSE))</f>
        <v/>
      </c>
      <c r="AP828" s="174" t="str">
        <f>IF(NOTA[[#This Row],[CONCAT1]]="","",MATCH(NOTA[[#This Row],[CONCAT1]],[3]!db[NB NOTA_C],0)+1)</f>
        <v/>
      </c>
    </row>
    <row r="829" spans="1:42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38" t="str">
        <f>IF(NOTA[[#This Row],[CONCAT4]]="","",_xlfn.IFNA(MATCH(NOTA[[#This Row],[CONCAT4]],[2]!RAW[CONCAT_H],0),FALSE))</f>
        <v/>
      </c>
      <c r="AP829" s="174" t="str">
        <f>IF(NOTA[[#This Row],[CONCAT1]]="","",MATCH(NOTA[[#This Row],[CONCAT1]],[3]!db[NB NOTA_C],0)+1)</f>
        <v/>
      </c>
    </row>
    <row r="830" spans="1:42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38" t="str">
        <f>IF(NOTA[[#This Row],[CONCAT4]]="","",_xlfn.IFNA(MATCH(NOTA[[#This Row],[CONCAT4]],[2]!RAW[CONCAT_H],0),FALSE))</f>
        <v/>
      </c>
      <c r="AP830" s="174" t="str">
        <f>IF(NOTA[[#This Row],[CONCAT1]]="","",MATCH(NOTA[[#This Row],[CONCAT1]],[3]!db[NB NOTA_C],0)+1)</f>
        <v/>
      </c>
    </row>
    <row r="831" spans="1:42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38" t="str">
        <f>IF(NOTA[[#This Row],[CONCAT4]]="","",_xlfn.IFNA(MATCH(NOTA[[#This Row],[CONCAT4]],[2]!RAW[CONCAT_H],0),FALSE))</f>
        <v/>
      </c>
      <c r="AP831" s="174" t="str">
        <f>IF(NOTA[[#This Row],[CONCAT1]]="","",MATCH(NOTA[[#This Row],[CONCAT1]],[3]!db[NB NOTA_C],0)+1)</f>
        <v/>
      </c>
    </row>
    <row r="832" spans="1:42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38" t="str">
        <f>IF(NOTA[[#This Row],[CONCAT4]]="","",_xlfn.IFNA(MATCH(NOTA[[#This Row],[CONCAT4]],[2]!RAW[CONCAT_H],0),FALSE))</f>
        <v/>
      </c>
      <c r="AP832" s="174" t="str">
        <f>IF(NOTA[[#This Row],[CONCAT1]]="","",MATCH(NOTA[[#This Row],[CONCAT1]],[3]!db[NB NOTA_C],0)+1)</f>
        <v/>
      </c>
    </row>
    <row r="833" spans="1:42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38" t="str">
        <f>IF(NOTA[[#This Row],[CONCAT4]]="","",_xlfn.IFNA(MATCH(NOTA[[#This Row],[CONCAT4]],[2]!RAW[CONCAT_H],0),FALSE))</f>
        <v/>
      </c>
      <c r="AP833" s="174" t="str">
        <f>IF(NOTA[[#This Row],[CONCAT1]]="","",MATCH(NOTA[[#This Row],[CONCAT1]],[3]!db[NB NOTA_C],0)+1)</f>
        <v/>
      </c>
    </row>
    <row r="834" spans="1:42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38" t="str">
        <f>IF(NOTA[[#This Row],[CONCAT4]]="","",_xlfn.IFNA(MATCH(NOTA[[#This Row],[CONCAT4]],[2]!RAW[CONCAT_H],0),FALSE))</f>
        <v/>
      </c>
      <c r="AP834" s="174" t="str">
        <f>IF(NOTA[[#This Row],[CONCAT1]]="","",MATCH(NOTA[[#This Row],[CONCAT1]],[3]!db[NB NOTA_C],0)+1)</f>
        <v/>
      </c>
    </row>
    <row r="835" spans="1:42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38" t="str">
        <f>IF(NOTA[[#This Row],[CONCAT4]]="","",_xlfn.IFNA(MATCH(NOTA[[#This Row],[CONCAT4]],[2]!RAW[CONCAT_H],0),FALSE))</f>
        <v/>
      </c>
      <c r="AP835" s="174" t="str">
        <f>IF(NOTA[[#This Row],[CONCAT1]]="","",MATCH(NOTA[[#This Row],[CONCAT1]],[3]!db[NB NOTA_C],0)+1)</f>
        <v/>
      </c>
    </row>
    <row r="836" spans="1:42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38" t="str">
        <f>IF(NOTA[[#This Row],[CONCAT4]]="","",_xlfn.IFNA(MATCH(NOTA[[#This Row],[CONCAT4]],[2]!RAW[CONCAT_H],0),FALSE))</f>
        <v/>
      </c>
      <c r="AP836" s="174" t="str">
        <f>IF(NOTA[[#This Row],[CONCAT1]]="","",MATCH(NOTA[[#This Row],[CONCAT1]],[3]!db[NB NOTA_C],0)+1)</f>
        <v/>
      </c>
    </row>
    <row r="837" spans="1:42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38" t="str">
        <f>IF(NOTA[[#This Row],[CONCAT4]]="","",_xlfn.IFNA(MATCH(NOTA[[#This Row],[CONCAT4]],[2]!RAW[CONCAT_H],0),FALSE))</f>
        <v/>
      </c>
      <c r="AP837" s="174" t="str">
        <f>IF(NOTA[[#This Row],[CONCAT1]]="","",MATCH(NOTA[[#This Row],[CONCAT1]],[3]!db[NB NOTA_C],0)+1)</f>
        <v/>
      </c>
    </row>
    <row r="838" spans="1:42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38" t="str">
        <f>IF(NOTA[[#This Row],[CONCAT4]]="","",_xlfn.IFNA(MATCH(NOTA[[#This Row],[CONCAT4]],[2]!RAW[CONCAT_H],0),FALSE))</f>
        <v/>
      </c>
      <c r="AP838" s="174" t="str">
        <f>IF(NOTA[[#This Row],[CONCAT1]]="","",MATCH(NOTA[[#This Row],[CONCAT1]],[3]!db[NB NOTA_C],0)+1)</f>
        <v/>
      </c>
    </row>
    <row r="839" spans="1:42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38" t="str">
        <f>IF(NOTA[[#This Row],[CONCAT4]]="","",_xlfn.IFNA(MATCH(NOTA[[#This Row],[CONCAT4]],[2]!RAW[CONCAT_H],0),FALSE))</f>
        <v/>
      </c>
      <c r="AP839" s="174" t="str">
        <f>IF(NOTA[[#This Row],[CONCAT1]]="","",MATCH(NOTA[[#This Row],[CONCAT1]],[3]!db[NB NOTA_C],0)+1)</f>
        <v/>
      </c>
    </row>
    <row r="840" spans="1:42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38" t="str">
        <f>IF(NOTA[[#This Row],[CONCAT4]]="","",_xlfn.IFNA(MATCH(NOTA[[#This Row],[CONCAT4]],[2]!RAW[CONCAT_H],0),FALSE))</f>
        <v/>
      </c>
      <c r="AP840" s="174" t="str">
        <f>IF(NOTA[[#This Row],[CONCAT1]]="","",MATCH(NOTA[[#This Row],[CONCAT1]],[3]!db[NB NOTA_C],0)+1)</f>
        <v/>
      </c>
    </row>
    <row r="841" spans="1:42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38" t="str">
        <f>IF(NOTA[[#This Row],[CONCAT4]]="","",_xlfn.IFNA(MATCH(NOTA[[#This Row],[CONCAT4]],[2]!RAW[CONCAT_H],0),FALSE))</f>
        <v/>
      </c>
      <c r="AP841" s="174" t="str">
        <f>IF(NOTA[[#This Row],[CONCAT1]]="","",MATCH(NOTA[[#This Row],[CONCAT1]],[3]!db[NB NOTA_C],0)+1)</f>
        <v/>
      </c>
    </row>
    <row r="842" spans="1:42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38" t="str">
        <f>IF(NOTA[[#This Row],[CONCAT4]]="","",_xlfn.IFNA(MATCH(NOTA[[#This Row],[CONCAT4]],[2]!RAW[CONCAT_H],0),FALSE))</f>
        <v/>
      </c>
      <c r="AP842" s="174" t="str">
        <f>IF(NOTA[[#This Row],[CONCAT1]]="","",MATCH(NOTA[[#This Row],[CONCAT1]],[3]!db[NB NOTA_C],0)+1)</f>
        <v/>
      </c>
    </row>
    <row r="843" spans="1:42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38" t="str">
        <f>IF(NOTA[[#This Row],[CONCAT4]]="","",_xlfn.IFNA(MATCH(NOTA[[#This Row],[CONCAT4]],[2]!RAW[CONCAT_H],0),FALSE))</f>
        <v/>
      </c>
      <c r="AP843" s="174" t="str">
        <f>IF(NOTA[[#This Row],[CONCAT1]]="","",MATCH(NOTA[[#This Row],[CONCAT1]],[3]!db[NB NOTA_C],0)+1)</f>
        <v/>
      </c>
    </row>
    <row r="844" spans="1:42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119"/>
      <c r="F844" s="120"/>
      <c r="G844" s="120"/>
      <c r="H844" s="121"/>
      <c r="I844" s="122"/>
      <c r="J844" s="122"/>
      <c r="K844" s="120"/>
      <c r="L844" s="120"/>
      <c r="M844" s="123"/>
      <c r="N844" s="120"/>
      <c r="O844" s="120"/>
      <c r="P844" s="124"/>
      <c r="Q844" s="125"/>
      <c r="R844" s="123"/>
      <c r="S844" s="126"/>
      <c r="T844" s="126"/>
      <c r="U844" s="127"/>
      <c r="V844" s="128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38" t="str">
        <f>IF(NOTA[[#This Row],[CONCAT4]]="","",_xlfn.IFNA(MATCH(NOTA[[#This Row],[CONCAT4]],[2]!RAW[CONCAT_H],0),FALSE))</f>
        <v/>
      </c>
      <c r="AP844" s="174" t="str">
        <f>IF(NOTA[[#This Row],[CONCAT1]]="","",MATCH(NOTA[[#This Row],[CONCAT1]],[3]!db[NB NOTA_C],0)+1)</f>
        <v/>
      </c>
    </row>
    <row r="845" spans="1:42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119"/>
      <c r="F845" s="120"/>
      <c r="G845" s="120"/>
      <c r="H845" s="121"/>
      <c r="I845" s="120"/>
      <c r="J845" s="122"/>
      <c r="K845" s="120"/>
      <c r="L845" s="120"/>
      <c r="M845" s="123"/>
      <c r="N845" s="120"/>
      <c r="O845" s="120"/>
      <c r="P845" s="124"/>
      <c r="Q845" s="125"/>
      <c r="R845" s="123"/>
      <c r="S845" s="126"/>
      <c r="T845" s="126"/>
      <c r="U845" s="127"/>
      <c r="V845" s="128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38" t="str">
        <f>IF(NOTA[[#This Row],[CONCAT4]]="","",_xlfn.IFNA(MATCH(NOTA[[#This Row],[CONCAT4]],[2]!RAW[CONCAT_H],0),FALSE))</f>
        <v/>
      </c>
      <c r="AP845" s="174" t="str">
        <f>IF(NOTA[[#This Row],[CONCAT1]]="","",MATCH(NOTA[[#This Row],[CONCAT1]],[3]!db[NB NOTA_C],0)+1)</f>
        <v/>
      </c>
    </row>
    <row r="846" spans="1:42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119"/>
      <c r="F846" s="120"/>
      <c r="G846" s="120"/>
      <c r="H846" s="121"/>
      <c r="I846" s="120"/>
      <c r="J846" s="122"/>
      <c r="K846" s="120"/>
      <c r="L846" s="120"/>
      <c r="M846" s="123"/>
      <c r="N846" s="120"/>
      <c r="O846" s="120"/>
      <c r="P846" s="124"/>
      <c r="Q846" s="125"/>
      <c r="R846" s="123"/>
      <c r="S846" s="126"/>
      <c r="T846" s="126"/>
      <c r="U846" s="127"/>
      <c r="V846" s="128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38" t="str">
        <f>IF(NOTA[[#This Row],[CONCAT4]]="","",_xlfn.IFNA(MATCH(NOTA[[#This Row],[CONCAT4]],[2]!RAW[CONCAT_H],0),FALSE))</f>
        <v/>
      </c>
      <c r="AP846" s="174" t="str">
        <f>IF(NOTA[[#This Row],[CONCAT1]]="","",MATCH(NOTA[[#This Row],[CONCAT1]],[3]!db[NB NOTA_C],0)+1)</f>
        <v/>
      </c>
    </row>
    <row r="847" spans="1:42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119"/>
      <c r="F847" s="120"/>
      <c r="G847" s="120"/>
      <c r="H847" s="121"/>
      <c r="I847" s="120"/>
      <c r="J847" s="122"/>
      <c r="K847" s="120"/>
      <c r="L847" s="120"/>
      <c r="M847" s="123"/>
      <c r="N847" s="120"/>
      <c r="O847" s="120"/>
      <c r="P847" s="124"/>
      <c r="Q847" s="125"/>
      <c r="R847" s="123"/>
      <c r="S847" s="126"/>
      <c r="T847" s="126"/>
      <c r="U847" s="127"/>
      <c r="V847" s="128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38" t="str">
        <f>IF(NOTA[[#This Row],[CONCAT4]]="","",_xlfn.IFNA(MATCH(NOTA[[#This Row],[CONCAT4]],[2]!RAW[CONCAT_H],0),FALSE))</f>
        <v/>
      </c>
      <c r="AP847" s="174" t="str">
        <f>IF(NOTA[[#This Row],[CONCAT1]]="","",MATCH(NOTA[[#This Row],[CONCAT1]],[3]!db[NB NOTA_C],0)+1)</f>
        <v/>
      </c>
    </row>
    <row r="848" spans="1:42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119"/>
      <c r="F848" s="120"/>
      <c r="G848" s="120"/>
      <c r="H848" s="121"/>
      <c r="I848" s="120"/>
      <c r="J848" s="122"/>
      <c r="K848" s="120"/>
      <c r="L848" s="120"/>
      <c r="M848" s="123"/>
      <c r="N848" s="120"/>
      <c r="O848" s="120"/>
      <c r="P848" s="124"/>
      <c r="Q848" s="125"/>
      <c r="R848" s="123"/>
      <c r="S848" s="126"/>
      <c r="T848" s="126"/>
      <c r="U848" s="127"/>
      <c r="V848" s="128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38" t="str">
        <f>IF(NOTA[[#This Row],[CONCAT4]]="","",_xlfn.IFNA(MATCH(NOTA[[#This Row],[CONCAT4]],[2]!RAW[CONCAT_H],0),FALSE))</f>
        <v/>
      </c>
      <c r="AP848" s="174" t="str">
        <f>IF(NOTA[[#This Row],[CONCAT1]]="","",MATCH(NOTA[[#This Row],[CONCAT1]],[3]!db[NB NOTA_C],0)+1)</f>
        <v/>
      </c>
    </row>
    <row r="849" spans="1:42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119"/>
      <c r="F849" s="120"/>
      <c r="G849" s="120"/>
      <c r="H849" s="121"/>
      <c r="I849" s="120"/>
      <c r="J849" s="122"/>
      <c r="K849" s="120"/>
      <c r="L849" s="120"/>
      <c r="M849" s="123"/>
      <c r="N849" s="120"/>
      <c r="O849" s="120"/>
      <c r="P849" s="124"/>
      <c r="Q849" s="125"/>
      <c r="R849" s="123"/>
      <c r="S849" s="126"/>
      <c r="T849" s="126"/>
      <c r="U849" s="127"/>
      <c r="V849" s="128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38" t="str">
        <f>IF(NOTA[[#This Row],[CONCAT4]]="","",_xlfn.IFNA(MATCH(NOTA[[#This Row],[CONCAT4]],[2]!RAW[CONCAT_H],0),FALSE))</f>
        <v/>
      </c>
      <c r="AP849" s="174" t="str">
        <f>IF(NOTA[[#This Row],[CONCAT1]]="","",MATCH(NOTA[[#This Row],[CONCAT1]],[3]!db[NB NOTA_C],0)+1)</f>
        <v/>
      </c>
    </row>
    <row r="850" spans="1:42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119"/>
      <c r="F850" s="120"/>
      <c r="G850" s="120"/>
      <c r="H850" s="121"/>
      <c r="I850" s="120"/>
      <c r="J850" s="122"/>
      <c r="K850" s="120"/>
      <c r="L850" s="120"/>
      <c r="M850" s="123"/>
      <c r="N850" s="120"/>
      <c r="O850" s="120"/>
      <c r="P850" s="124"/>
      <c r="Q850" s="125"/>
      <c r="R850" s="123"/>
      <c r="S850" s="126"/>
      <c r="T850" s="126"/>
      <c r="U850" s="127"/>
      <c r="V850" s="128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38" t="str">
        <f>IF(NOTA[[#This Row],[CONCAT4]]="","",_xlfn.IFNA(MATCH(NOTA[[#This Row],[CONCAT4]],[2]!RAW[CONCAT_H],0),FALSE))</f>
        <v/>
      </c>
      <c r="AP850" s="174" t="str">
        <f>IF(NOTA[[#This Row],[CONCAT1]]="","",MATCH(NOTA[[#This Row],[CONCAT1]],[3]!db[NB NOTA_C],0)+1)</f>
        <v/>
      </c>
    </row>
    <row r="851" spans="1:42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119"/>
      <c r="F851" s="120"/>
      <c r="G851" s="120"/>
      <c r="H851" s="121"/>
      <c r="I851" s="120"/>
      <c r="J851" s="122"/>
      <c r="K851" s="120"/>
      <c r="L851" s="120"/>
      <c r="M851" s="123"/>
      <c r="N851" s="120"/>
      <c r="O851" s="120"/>
      <c r="P851" s="124"/>
      <c r="Q851" s="125"/>
      <c r="R851" s="123"/>
      <c r="S851" s="126"/>
      <c r="T851" s="126"/>
      <c r="U851" s="127"/>
      <c r="V851" s="128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38" t="str">
        <f>IF(NOTA[[#This Row],[CONCAT4]]="","",_xlfn.IFNA(MATCH(NOTA[[#This Row],[CONCAT4]],[2]!RAW[CONCAT_H],0),FALSE))</f>
        <v/>
      </c>
      <c r="AP851" s="174" t="str">
        <f>IF(NOTA[[#This Row],[CONCAT1]]="","",MATCH(NOTA[[#This Row],[CONCAT1]],[3]!db[NB NOTA_C],0)+1)</f>
        <v/>
      </c>
    </row>
    <row r="852" spans="1:42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119"/>
      <c r="F852" s="120"/>
      <c r="G852" s="120"/>
      <c r="H852" s="121"/>
      <c r="I852" s="120"/>
      <c r="J852" s="122"/>
      <c r="K852" s="120"/>
      <c r="L852" s="120"/>
      <c r="M852" s="123"/>
      <c r="N852" s="120"/>
      <c r="O852" s="120"/>
      <c r="P852" s="124"/>
      <c r="Q852" s="125"/>
      <c r="R852" s="123"/>
      <c r="S852" s="126"/>
      <c r="T852" s="126"/>
      <c r="U852" s="127"/>
      <c r="V852" s="128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38" t="str">
        <f>IF(NOTA[[#This Row],[CONCAT4]]="","",_xlfn.IFNA(MATCH(NOTA[[#This Row],[CONCAT4]],[2]!RAW[CONCAT_H],0),FALSE))</f>
        <v/>
      </c>
      <c r="AP852" s="174" t="str">
        <f>IF(NOTA[[#This Row],[CONCAT1]]="","",MATCH(NOTA[[#This Row],[CONCAT1]],[3]!db[NB NOTA_C],0)+1)</f>
        <v/>
      </c>
    </row>
    <row r="853" spans="1:42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119"/>
      <c r="F853" s="120"/>
      <c r="G853" s="120"/>
      <c r="H853" s="121"/>
      <c r="I853" s="120"/>
      <c r="J853" s="122"/>
      <c r="K853" s="120"/>
      <c r="L853" s="120"/>
      <c r="M853" s="123"/>
      <c r="N853" s="120"/>
      <c r="O853" s="120"/>
      <c r="P853" s="124"/>
      <c r="Q853" s="125"/>
      <c r="R853" s="123"/>
      <c r="S853" s="126"/>
      <c r="T853" s="126"/>
      <c r="U853" s="127"/>
      <c r="V853" s="128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38" t="str">
        <f>IF(NOTA[[#This Row],[CONCAT4]]="","",_xlfn.IFNA(MATCH(NOTA[[#This Row],[CONCAT4]],[2]!RAW[CONCAT_H],0),FALSE))</f>
        <v/>
      </c>
      <c r="AP853" s="174" t="str">
        <f>IF(NOTA[[#This Row],[CONCAT1]]="","",MATCH(NOTA[[#This Row],[CONCAT1]],[3]!db[NB NOTA_C],0)+1)</f>
        <v/>
      </c>
    </row>
    <row r="854" spans="1:42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119"/>
      <c r="F854" s="120"/>
      <c r="G854" s="120"/>
      <c r="H854" s="121"/>
      <c r="I854" s="120"/>
      <c r="J854" s="122"/>
      <c r="K854" s="120"/>
      <c r="L854" s="120"/>
      <c r="M854" s="123"/>
      <c r="N854" s="120"/>
      <c r="O854" s="120"/>
      <c r="P854" s="124"/>
      <c r="Q854" s="125"/>
      <c r="R854" s="123"/>
      <c r="S854" s="126"/>
      <c r="T854" s="126"/>
      <c r="U854" s="127"/>
      <c r="V854" s="128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38" t="str">
        <f>IF(NOTA[[#This Row],[CONCAT4]]="","",_xlfn.IFNA(MATCH(NOTA[[#This Row],[CONCAT4]],[2]!RAW[CONCAT_H],0),FALSE))</f>
        <v/>
      </c>
      <c r="AP854" s="174" t="str">
        <f>IF(NOTA[[#This Row],[CONCAT1]]="","",MATCH(NOTA[[#This Row],[CONCAT1]],[3]!db[NB NOTA_C],0)+1)</f>
        <v/>
      </c>
    </row>
    <row r="855" spans="1:42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119"/>
      <c r="F855" s="120"/>
      <c r="G855" s="120"/>
      <c r="H855" s="121"/>
      <c r="I855" s="120"/>
      <c r="J855" s="122"/>
      <c r="K855" s="120"/>
      <c r="L855" s="120"/>
      <c r="M855" s="123"/>
      <c r="N855" s="120"/>
      <c r="O855" s="120"/>
      <c r="P855" s="124"/>
      <c r="Q855" s="125"/>
      <c r="R855" s="123"/>
      <c r="S855" s="126"/>
      <c r="T855" s="126"/>
      <c r="U855" s="127"/>
      <c r="V855" s="128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38" t="str">
        <f>IF(NOTA[[#This Row],[CONCAT4]]="","",_xlfn.IFNA(MATCH(NOTA[[#This Row],[CONCAT4]],[2]!RAW[CONCAT_H],0),FALSE))</f>
        <v/>
      </c>
      <c r="AP855" s="174" t="str">
        <f>IF(NOTA[[#This Row],[CONCAT1]]="","",MATCH(NOTA[[#This Row],[CONCAT1]],[3]!db[NB NOTA_C],0)+1)</f>
        <v/>
      </c>
    </row>
    <row r="856" spans="1:42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119"/>
      <c r="F856" s="120"/>
      <c r="G856" s="120"/>
      <c r="H856" s="121"/>
      <c r="I856" s="120"/>
      <c r="J856" s="122"/>
      <c r="K856" s="120"/>
      <c r="L856" s="120"/>
      <c r="M856" s="123"/>
      <c r="N856" s="120"/>
      <c r="O856" s="120"/>
      <c r="P856" s="124"/>
      <c r="Q856" s="125"/>
      <c r="R856" s="123"/>
      <c r="S856" s="126"/>
      <c r="T856" s="126"/>
      <c r="U856" s="127"/>
      <c r="V856" s="128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38" t="str">
        <f>IF(NOTA[[#This Row],[CONCAT4]]="","",_xlfn.IFNA(MATCH(NOTA[[#This Row],[CONCAT4]],[2]!RAW[CONCAT_H],0),FALSE))</f>
        <v/>
      </c>
      <c r="AP856" s="174" t="str">
        <f>IF(NOTA[[#This Row],[CONCAT1]]="","",MATCH(NOTA[[#This Row],[CONCAT1]],[3]!db[NB NOTA_C],0)+1)</f>
        <v/>
      </c>
    </row>
    <row r="857" spans="1:42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119"/>
      <c r="F857" s="120"/>
      <c r="G857" s="120"/>
      <c r="H857" s="121"/>
      <c r="I857" s="120"/>
      <c r="J857" s="122"/>
      <c r="K857" s="120"/>
      <c r="L857" s="120"/>
      <c r="M857" s="123"/>
      <c r="N857" s="120"/>
      <c r="O857" s="120"/>
      <c r="P857" s="124"/>
      <c r="Q857" s="125"/>
      <c r="R857" s="123"/>
      <c r="S857" s="126"/>
      <c r="T857" s="126"/>
      <c r="U857" s="127"/>
      <c r="V857" s="128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38" t="str">
        <f>IF(NOTA[[#This Row],[CONCAT4]]="","",_xlfn.IFNA(MATCH(NOTA[[#This Row],[CONCAT4]],[2]!RAW[CONCAT_H],0),FALSE))</f>
        <v/>
      </c>
      <c r="AP857" s="174" t="str">
        <f>IF(NOTA[[#This Row],[CONCAT1]]="","",MATCH(NOTA[[#This Row],[CONCAT1]],[3]!db[NB NOTA_C],0)+1)</f>
        <v/>
      </c>
    </row>
    <row r="858" spans="1:42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119"/>
      <c r="F858" s="120"/>
      <c r="G858" s="120"/>
      <c r="H858" s="121"/>
      <c r="I858" s="120"/>
      <c r="J858" s="122"/>
      <c r="K858" s="120"/>
      <c r="L858" s="120"/>
      <c r="M858" s="123"/>
      <c r="N858" s="120"/>
      <c r="O858" s="120"/>
      <c r="P858" s="124"/>
      <c r="Q858" s="125"/>
      <c r="R858" s="123"/>
      <c r="S858" s="126"/>
      <c r="T858" s="126"/>
      <c r="U858" s="127"/>
      <c r="V858" s="128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38" t="str">
        <f>IF(NOTA[[#This Row],[CONCAT4]]="","",_xlfn.IFNA(MATCH(NOTA[[#This Row],[CONCAT4]],[2]!RAW[CONCAT_H],0),FALSE))</f>
        <v/>
      </c>
      <c r="AP858" s="174" t="str">
        <f>IF(NOTA[[#This Row],[CONCAT1]]="","",MATCH(NOTA[[#This Row],[CONCAT1]],[3]!db[NB NOTA_C],0)+1)</f>
        <v/>
      </c>
    </row>
    <row r="859" spans="1:42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119"/>
      <c r="F859" s="120"/>
      <c r="G859" s="120"/>
      <c r="H859" s="121"/>
      <c r="I859" s="120"/>
      <c r="J859" s="122"/>
      <c r="K859" s="120"/>
      <c r="L859" s="120"/>
      <c r="M859" s="123"/>
      <c r="N859" s="120"/>
      <c r="O859" s="120"/>
      <c r="P859" s="124"/>
      <c r="Q859" s="125"/>
      <c r="R859" s="123"/>
      <c r="S859" s="126"/>
      <c r="T859" s="126"/>
      <c r="U859" s="127"/>
      <c r="V859" s="128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38" t="str">
        <f>IF(NOTA[[#This Row],[CONCAT4]]="","",_xlfn.IFNA(MATCH(NOTA[[#This Row],[CONCAT4]],[2]!RAW[CONCAT_H],0),FALSE))</f>
        <v/>
      </c>
      <c r="AP859" s="174" t="str">
        <f>IF(NOTA[[#This Row],[CONCAT1]]="","",MATCH(NOTA[[#This Row],[CONCAT1]],[3]!db[NB NOTA_C],0)+1)</f>
        <v/>
      </c>
    </row>
    <row r="860" spans="1:42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119"/>
      <c r="F860" s="120"/>
      <c r="G860" s="120"/>
      <c r="H860" s="121"/>
      <c r="I860" s="120"/>
      <c r="J860" s="122"/>
      <c r="K860" s="120"/>
      <c r="L860" s="120"/>
      <c r="M860" s="123"/>
      <c r="N860" s="120"/>
      <c r="O860" s="120"/>
      <c r="P860" s="124"/>
      <c r="Q860" s="125"/>
      <c r="R860" s="123"/>
      <c r="S860" s="126"/>
      <c r="T860" s="126"/>
      <c r="U860" s="127"/>
      <c r="V860" s="128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38" t="str">
        <f>IF(NOTA[[#This Row],[CONCAT4]]="","",_xlfn.IFNA(MATCH(NOTA[[#This Row],[CONCAT4]],[2]!RAW[CONCAT_H],0),FALSE))</f>
        <v/>
      </c>
      <c r="AP860" s="174" t="str">
        <f>IF(NOTA[[#This Row],[CONCAT1]]="","",MATCH(NOTA[[#This Row],[CONCAT1]],[3]!db[NB NOTA_C],0)+1)</f>
        <v/>
      </c>
    </row>
    <row r="861" spans="1:42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38" t="str">
        <f>IF(NOTA[[#This Row],[CONCAT4]]="","",_xlfn.IFNA(MATCH(NOTA[[#This Row],[CONCAT4]],[2]!RAW[CONCAT_H],0),FALSE))</f>
        <v/>
      </c>
      <c r="AP861" s="174" t="str">
        <f>IF(NOTA[[#This Row],[CONCAT1]]="","",MATCH(NOTA[[#This Row],[CONCAT1]],[3]!db[NB NOTA_C],0)+1)</f>
        <v/>
      </c>
    </row>
    <row r="862" spans="1:42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38" t="str">
        <f>IF(NOTA[[#This Row],[CONCAT4]]="","",_xlfn.IFNA(MATCH(NOTA[[#This Row],[CONCAT4]],[2]!RAW[CONCAT_H],0),FALSE))</f>
        <v/>
      </c>
      <c r="AP862" s="174" t="str">
        <f>IF(NOTA[[#This Row],[CONCAT1]]="","",MATCH(NOTA[[#This Row],[CONCAT1]],[3]!db[NB NOTA_C],0)+1)</f>
        <v/>
      </c>
    </row>
    <row r="863" spans="1:42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38" t="str">
        <f>IF(NOTA[[#This Row],[CONCAT4]]="","",_xlfn.IFNA(MATCH(NOTA[[#This Row],[CONCAT4]],[2]!RAW[CONCAT_H],0),FALSE))</f>
        <v/>
      </c>
      <c r="AP863" s="174" t="str">
        <f>IF(NOTA[[#This Row],[CONCAT1]]="","",MATCH(NOTA[[#This Row],[CONCAT1]],[3]!db[NB NOTA_C],0)+1)</f>
        <v/>
      </c>
    </row>
    <row r="864" spans="1:42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38" t="str">
        <f>IF(NOTA[[#This Row],[CONCAT4]]="","",_xlfn.IFNA(MATCH(NOTA[[#This Row],[CONCAT4]],[2]!RAW[CONCAT_H],0),FALSE))</f>
        <v/>
      </c>
      <c r="AP864" s="174" t="str">
        <f>IF(NOTA[[#This Row],[CONCAT1]]="","",MATCH(NOTA[[#This Row],[CONCAT1]],[3]!db[NB NOTA_C],0)+1)</f>
        <v/>
      </c>
    </row>
    <row r="865" spans="1:42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38" t="str">
        <f>IF(NOTA[[#This Row],[CONCAT4]]="","",_xlfn.IFNA(MATCH(NOTA[[#This Row],[CONCAT4]],[2]!RAW[CONCAT_H],0),FALSE))</f>
        <v/>
      </c>
      <c r="AP865" s="174" t="str">
        <f>IF(NOTA[[#This Row],[CONCAT1]]="","",MATCH(NOTA[[#This Row],[CONCAT1]],[3]!db[NB NOTA_C],0)+1)</f>
        <v/>
      </c>
    </row>
    <row r="866" spans="1:42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38" t="str">
        <f>IF(NOTA[[#This Row],[CONCAT4]]="","",_xlfn.IFNA(MATCH(NOTA[[#This Row],[CONCAT4]],[2]!RAW[CONCAT_H],0),FALSE))</f>
        <v/>
      </c>
      <c r="AP866" s="174" t="str">
        <f>IF(NOTA[[#This Row],[CONCAT1]]="","",MATCH(NOTA[[#This Row],[CONCAT1]],[3]!db[NB NOTA_C],0)+1)</f>
        <v/>
      </c>
    </row>
    <row r="867" spans="1:42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38" t="str">
        <f>IF(NOTA[[#This Row],[CONCAT4]]="","",_xlfn.IFNA(MATCH(NOTA[[#This Row],[CONCAT4]],[2]!RAW[CONCAT_H],0),FALSE))</f>
        <v/>
      </c>
      <c r="AP867" s="174" t="str">
        <f>IF(NOTA[[#This Row],[CONCAT1]]="","",MATCH(NOTA[[#This Row],[CONCAT1]],[3]!db[NB NOTA_C],0)+1)</f>
        <v/>
      </c>
    </row>
    <row r="868" spans="1:42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38" t="str">
        <f>IF(NOTA[[#This Row],[CONCAT4]]="","",_xlfn.IFNA(MATCH(NOTA[[#This Row],[CONCAT4]],[2]!RAW[CONCAT_H],0),FALSE))</f>
        <v/>
      </c>
      <c r="AP868" s="174" t="str">
        <f>IF(NOTA[[#This Row],[CONCAT1]]="","",MATCH(NOTA[[#This Row],[CONCAT1]],[3]!db[NB NOTA_C],0)+1)</f>
        <v/>
      </c>
    </row>
    <row r="869" spans="1:42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38" t="str">
        <f>IF(NOTA[[#This Row],[CONCAT4]]="","",_xlfn.IFNA(MATCH(NOTA[[#This Row],[CONCAT4]],[2]!RAW[CONCAT_H],0),FALSE))</f>
        <v/>
      </c>
      <c r="AP869" s="174" t="str">
        <f>IF(NOTA[[#This Row],[CONCAT1]]="","",MATCH(NOTA[[#This Row],[CONCAT1]],[3]!db[NB NOTA_C],0)+1)</f>
        <v/>
      </c>
    </row>
    <row r="870" spans="1:42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38" t="str">
        <f>IF(NOTA[[#This Row],[CONCAT4]]="","",_xlfn.IFNA(MATCH(NOTA[[#This Row],[CONCAT4]],[2]!RAW[CONCAT_H],0),FALSE))</f>
        <v/>
      </c>
      <c r="AP870" s="174" t="str">
        <f>IF(NOTA[[#This Row],[CONCAT1]]="","",MATCH(NOTA[[#This Row],[CONCAT1]],[3]!db[NB NOTA_C],0)+1)</f>
        <v/>
      </c>
    </row>
    <row r="871" spans="1:42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119"/>
      <c r="F871" s="120"/>
      <c r="G871" s="120"/>
      <c r="H871" s="121"/>
      <c r="I871" s="120"/>
      <c r="J871" s="122"/>
      <c r="K871" s="120"/>
      <c r="L871" s="120"/>
      <c r="M871" s="123"/>
      <c r="N871" s="120"/>
      <c r="O871" s="120"/>
      <c r="P871" s="124"/>
      <c r="Q871" s="125"/>
      <c r="R871" s="123"/>
      <c r="S871" s="126"/>
      <c r="T871" s="126"/>
      <c r="U871" s="127"/>
      <c r="V871" s="128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38" t="str">
        <f>IF(NOTA[[#This Row],[CONCAT4]]="","",_xlfn.IFNA(MATCH(NOTA[[#This Row],[CONCAT4]],[2]!RAW[CONCAT_H],0),FALSE))</f>
        <v/>
      </c>
      <c r="AP871" s="174" t="str">
        <f>IF(NOTA[[#This Row],[CONCAT1]]="","",MATCH(NOTA[[#This Row],[CONCAT1]],[3]!db[NB NOTA_C],0)+1)</f>
        <v/>
      </c>
    </row>
    <row r="872" spans="1:42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119"/>
      <c r="F872" s="120"/>
      <c r="G872" s="120"/>
      <c r="H872" s="121"/>
      <c r="I872" s="120"/>
      <c r="J872" s="122"/>
      <c r="K872" s="120"/>
      <c r="L872" s="120"/>
      <c r="M872" s="123"/>
      <c r="N872" s="120"/>
      <c r="O872" s="120"/>
      <c r="P872" s="124"/>
      <c r="Q872" s="125"/>
      <c r="R872" s="123"/>
      <c r="S872" s="126"/>
      <c r="T872" s="126"/>
      <c r="U872" s="127"/>
      <c r="V872" s="128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38" t="str">
        <f>IF(NOTA[[#This Row],[CONCAT4]]="","",_xlfn.IFNA(MATCH(NOTA[[#This Row],[CONCAT4]],[2]!RAW[CONCAT_H],0),FALSE))</f>
        <v/>
      </c>
      <c r="AP872" s="174" t="str">
        <f>IF(NOTA[[#This Row],[CONCAT1]]="","",MATCH(NOTA[[#This Row],[CONCAT1]],[3]!db[NB NOTA_C],0)+1)</f>
        <v/>
      </c>
    </row>
    <row r="873" spans="1:42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119"/>
      <c r="F873" s="120"/>
      <c r="G873" s="120"/>
      <c r="H873" s="121"/>
      <c r="I873" s="120"/>
      <c r="J873" s="122"/>
      <c r="K873" s="120"/>
      <c r="L873" s="120"/>
      <c r="M873" s="123"/>
      <c r="N873" s="120"/>
      <c r="O873" s="120"/>
      <c r="P873" s="124"/>
      <c r="Q873" s="125"/>
      <c r="R873" s="123"/>
      <c r="S873" s="126"/>
      <c r="T873" s="126"/>
      <c r="U873" s="127"/>
      <c r="V873" s="128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38" t="str">
        <f>IF(NOTA[[#This Row],[CONCAT4]]="","",_xlfn.IFNA(MATCH(NOTA[[#This Row],[CONCAT4]],[2]!RAW[CONCAT_H],0),FALSE))</f>
        <v/>
      </c>
      <c r="AP873" s="174" t="str">
        <f>IF(NOTA[[#This Row],[CONCAT1]]="","",MATCH(NOTA[[#This Row],[CONCAT1]],[3]!db[NB NOTA_C],0)+1)</f>
        <v/>
      </c>
    </row>
    <row r="874" spans="1:42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38" t="str">
        <f>IF(NOTA[[#This Row],[CONCAT4]]="","",_xlfn.IFNA(MATCH(NOTA[[#This Row],[CONCAT4]],[2]!RAW[CONCAT_H],0),FALSE))</f>
        <v/>
      </c>
      <c r="AP874" s="174" t="str">
        <f>IF(NOTA[[#This Row],[CONCAT1]]="","",MATCH(NOTA[[#This Row],[CONCAT1]],[3]!db[NB NOTA_C],0)+1)</f>
        <v/>
      </c>
    </row>
    <row r="875" spans="1:42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38" t="str">
        <f>IF(NOTA[[#This Row],[CONCAT4]]="","",_xlfn.IFNA(MATCH(NOTA[[#This Row],[CONCAT4]],[2]!RAW[CONCAT_H],0),FALSE))</f>
        <v/>
      </c>
      <c r="AP875" s="174" t="str">
        <f>IF(NOTA[[#This Row],[CONCAT1]]="","",MATCH(NOTA[[#This Row],[CONCAT1]],[3]!db[NB NOTA_C],0)+1)</f>
        <v/>
      </c>
    </row>
    <row r="876" spans="1:42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38" t="str">
        <f>IF(NOTA[[#This Row],[CONCAT4]]="","",_xlfn.IFNA(MATCH(NOTA[[#This Row],[CONCAT4]],[2]!RAW[CONCAT_H],0),FALSE))</f>
        <v/>
      </c>
      <c r="AP876" s="174" t="str">
        <f>IF(NOTA[[#This Row],[CONCAT1]]="","",MATCH(NOTA[[#This Row],[CONCAT1]],[3]!db[NB NOTA_C],0)+1)</f>
        <v/>
      </c>
    </row>
    <row r="877" spans="1:42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38" t="str">
        <f>IF(NOTA[[#This Row],[CONCAT4]]="","",_xlfn.IFNA(MATCH(NOTA[[#This Row],[CONCAT4]],[2]!RAW[CONCAT_H],0),FALSE))</f>
        <v/>
      </c>
      <c r="AP877" s="174" t="str">
        <f>IF(NOTA[[#This Row],[CONCAT1]]="","",MATCH(NOTA[[#This Row],[CONCAT1]],[3]!db[NB NOTA_C],0)+1)</f>
        <v/>
      </c>
    </row>
    <row r="878" spans="1:42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38" t="str">
        <f>IF(NOTA[[#This Row],[CONCAT4]]="","",_xlfn.IFNA(MATCH(NOTA[[#This Row],[CONCAT4]],[2]!RAW[CONCAT_H],0),FALSE))</f>
        <v/>
      </c>
      <c r="AP878" s="174" t="str">
        <f>IF(NOTA[[#This Row],[CONCAT1]]="","",MATCH(NOTA[[#This Row],[CONCAT1]],[3]!db[NB NOTA_C],0)+1)</f>
        <v/>
      </c>
    </row>
    <row r="879" spans="1:42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38" t="str">
        <f>IF(NOTA[[#This Row],[CONCAT4]]="","",_xlfn.IFNA(MATCH(NOTA[[#This Row],[CONCAT4]],[2]!RAW[CONCAT_H],0),FALSE))</f>
        <v/>
      </c>
      <c r="AP879" s="174" t="str">
        <f>IF(NOTA[[#This Row],[CONCAT1]]="","",MATCH(NOTA[[#This Row],[CONCAT1]],[3]!db[NB NOTA_C],0)+1)</f>
        <v/>
      </c>
    </row>
    <row r="880" spans="1:42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23"/>
      <c r="F880" s="26"/>
      <c r="G880" s="26"/>
      <c r="H880" s="31"/>
      <c r="I880" s="26"/>
      <c r="J880" s="51"/>
      <c r="K880" s="26"/>
      <c r="L880" s="26"/>
      <c r="M880" s="39"/>
      <c r="N880" s="26"/>
      <c r="O880" s="26"/>
      <c r="P880" s="49"/>
      <c r="Q880" s="52"/>
      <c r="R880" s="39"/>
      <c r="S880" s="53"/>
      <c r="T880" s="53"/>
      <c r="U880" s="54"/>
      <c r="V880" s="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38" t="str">
        <f>IF(NOTA[[#This Row],[CONCAT4]]="","",_xlfn.IFNA(MATCH(NOTA[[#This Row],[CONCAT4]],[2]!RAW[CONCAT_H],0),FALSE))</f>
        <v/>
      </c>
      <c r="AP880" s="174" t="str">
        <f>IF(NOTA[[#This Row],[CONCAT1]]="","",MATCH(NOTA[[#This Row],[CONCAT1]],[3]!db[NB NOTA_C],0)+1)</f>
        <v/>
      </c>
    </row>
    <row r="881" spans="1:42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38" t="str">
        <f>IF(NOTA[[#This Row],[CONCAT4]]="","",_xlfn.IFNA(MATCH(NOTA[[#This Row],[CONCAT4]],[2]!RAW[CONCAT_H],0),FALSE))</f>
        <v/>
      </c>
      <c r="AP881" s="174" t="str">
        <f>IF(NOTA[[#This Row],[CONCAT1]]="","",MATCH(NOTA[[#This Row],[CONCAT1]],[3]!db[NB NOTA_C],0)+1)</f>
        <v/>
      </c>
    </row>
    <row r="882" spans="1:42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23"/>
      <c r="F882" s="26"/>
      <c r="G882" s="26"/>
      <c r="H882" s="31"/>
      <c r="I882" s="26"/>
      <c r="J882" s="51"/>
      <c r="K882" s="26"/>
      <c r="L882" s="26"/>
      <c r="M882" s="39"/>
      <c r="N882" s="26"/>
      <c r="O882" s="26"/>
      <c r="P882" s="49"/>
      <c r="Q882" s="52"/>
      <c r="R882" s="39"/>
      <c r="S882" s="53"/>
      <c r="T882" s="53"/>
      <c r="U882" s="54"/>
      <c r="V882" s="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38" t="str">
        <f>IF(NOTA[[#This Row],[CONCAT4]]="","",_xlfn.IFNA(MATCH(NOTA[[#This Row],[CONCAT4]],[2]!RAW[CONCAT_H],0),FALSE))</f>
        <v/>
      </c>
      <c r="AP882" s="174" t="str">
        <f>IF(NOTA[[#This Row],[CONCAT1]]="","",MATCH(NOTA[[#This Row],[CONCAT1]],[3]!db[NB NOTA_C],0)+1)</f>
        <v/>
      </c>
    </row>
    <row r="883" spans="1:42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38" t="str">
        <f>IF(NOTA[[#This Row],[CONCAT4]]="","",_xlfn.IFNA(MATCH(NOTA[[#This Row],[CONCAT4]],[2]!RAW[CONCAT_H],0),FALSE))</f>
        <v/>
      </c>
      <c r="AP883" s="174" t="str">
        <f>IF(NOTA[[#This Row],[CONCAT1]]="","",MATCH(NOTA[[#This Row],[CONCAT1]],[3]!db[NB NOTA_C],0)+1)</f>
        <v/>
      </c>
    </row>
    <row r="884" spans="1:42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23"/>
      <c r="F884" s="26"/>
      <c r="G884" s="26"/>
      <c r="H884" s="31"/>
      <c r="I884" s="26"/>
      <c r="J884" s="51"/>
      <c r="K884" s="26"/>
      <c r="L884" s="26"/>
      <c r="M884" s="39"/>
      <c r="N884" s="26"/>
      <c r="O884" s="26"/>
      <c r="P884" s="49"/>
      <c r="Q884" s="52"/>
      <c r="R884" s="39"/>
      <c r="S884" s="53"/>
      <c r="T884" s="53"/>
      <c r="U884" s="54"/>
      <c r="V884" s="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38" t="str">
        <f>IF(NOTA[[#This Row],[CONCAT4]]="","",_xlfn.IFNA(MATCH(NOTA[[#This Row],[CONCAT4]],[2]!RAW[CONCAT_H],0),FALSE))</f>
        <v/>
      </c>
      <c r="AP884" s="174" t="str">
        <f>IF(NOTA[[#This Row],[CONCAT1]]="","",MATCH(NOTA[[#This Row],[CONCAT1]],[3]!db[NB NOTA_C],0)+1)</f>
        <v/>
      </c>
    </row>
    <row r="885" spans="1:42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38" t="str">
        <f>IF(NOTA[[#This Row],[CONCAT4]]="","",_xlfn.IFNA(MATCH(NOTA[[#This Row],[CONCAT4]],[2]!RAW[CONCAT_H],0),FALSE))</f>
        <v/>
      </c>
      <c r="AP885" s="174" t="str">
        <f>IF(NOTA[[#This Row],[CONCAT1]]="","",MATCH(NOTA[[#This Row],[CONCAT1]],[3]!db[NB NOTA_C],0)+1)</f>
        <v/>
      </c>
    </row>
    <row r="886" spans="1:42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38" t="str">
        <f>IF(NOTA[[#This Row],[CONCAT4]]="","",_xlfn.IFNA(MATCH(NOTA[[#This Row],[CONCAT4]],[2]!RAW[CONCAT_H],0),FALSE))</f>
        <v/>
      </c>
      <c r="AP886" s="174" t="str">
        <f>IF(NOTA[[#This Row],[CONCAT1]]="","",MATCH(NOTA[[#This Row],[CONCAT1]],[3]!db[NB NOTA_C],0)+1)</f>
        <v/>
      </c>
    </row>
    <row r="887" spans="1:42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38" t="str">
        <f>IF(NOTA[[#This Row],[CONCAT4]]="","",_xlfn.IFNA(MATCH(NOTA[[#This Row],[CONCAT4]],[2]!RAW[CONCAT_H],0),FALSE))</f>
        <v/>
      </c>
      <c r="AP887" s="174" t="str">
        <f>IF(NOTA[[#This Row],[CONCAT1]]="","",MATCH(NOTA[[#This Row],[CONCAT1]],[3]!db[NB NOTA_C],0)+1)</f>
        <v/>
      </c>
    </row>
    <row r="888" spans="1:42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8" s="38" t="str">
        <f>IF(NOTA[[#This Row],[CONCAT4]]="","",_xlfn.IFNA(MATCH(NOTA[[#This Row],[CONCAT4]],[2]!RAW[CONCAT_H],0),FALSE))</f>
        <v/>
      </c>
      <c r="AP888" s="174" t="str">
        <f>IF(NOTA[[#This Row],[CONCAT1]]="","",MATCH(NOTA[[#This Row],[CONCAT1]],[3]!db[NB NOTA_C],0)+1)</f>
        <v/>
      </c>
    </row>
    <row r="889" spans="1:42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9" s="38" t="str">
        <f>IF(NOTA[[#This Row],[CONCAT4]]="","",_xlfn.IFNA(MATCH(NOTA[[#This Row],[CONCAT4]],[2]!RAW[CONCAT_H],0),FALSE))</f>
        <v/>
      </c>
      <c r="AP889" s="174" t="str">
        <f>IF(NOTA[[#This Row],[CONCAT1]]="","",MATCH(NOTA[[#This Row],[CONCAT1]],[3]!db[NB NOTA_C],0)+1)</f>
        <v/>
      </c>
    </row>
    <row r="890" spans="1:42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0" s="38" t="str">
        <f>IF(NOTA[[#This Row],[CONCAT4]]="","",_xlfn.IFNA(MATCH(NOTA[[#This Row],[CONCAT4]],[2]!RAW[CONCAT_H],0),FALSE))</f>
        <v/>
      </c>
      <c r="AP890" s="174" t="str">
        <f>IF(NOTA[[#This Row],[CONCAT1]]="","",MATCH(NOTA[[#This Row],[CONCAT1]],[3]!db[NB NOTA_C],0)+1)</f>
        <v/>
      </c>
    </row>
    <row r="891" spans="1:42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1" s="38" t="str">
        <f>IF(NOTA[[#This Row],[CONCAT4]]="","",_xlfn.IFNA(MATCH(NOTA[[#This Row],[CONCAT4]],[2]!RAW[CONCAT_H],0),FALSE))</f>
        <v/>
      </c>
      <c r="AP891" s="174" t="str">
        <f>IF(NOTA[[#This Row],[CONCAT1]]="","",MATCH(NOTA[[#This Row],[CONCAT1]],[3]!db[NB NOTA_C],0)+1)</f>
        <v/>
      </c>
    </row>
    <row r="892" spans="1:42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23"/>
      <c r="F892" s="26"/>
      <c r="G892" s="26"/>
      <c r="H892" s="31"/>
      <c r="I892" s="26"/>
      <c r="J892" s="51"/>
      <c r="K892" s="26"/>
      <c r="L892" s="26"/>
      <c r="M892" s="39"/>
      <c r="N892" s="26"/>
      <c r="O892" s="26"/>
      <c r="P892" s="49"/>
      <c r="Q892" s="52"/>
      <c r="R892" s="39"/>
      <c r="S892" s="53"/>
      <c r="T892" s="53"/>
      <c r="U892" s="54"/>
      <c r="V892" s="37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2" s="38" t="str">
        <f>IF(NOTA[[#This Row],[CONCAT4]]="","",_xlfn.IFNA(MATCH(NOTA[[#This Row],[CONCAT4]],[2]!RAW[CONCAT_H],0),FALSE))</f>
        <v/>
      </c>
      <c r="AP892" s="174" t="str">
        <f>IF(NOTA[[#This Row],[CONCAT1]]="","",MATCH(NOTA[[#This Row],[CONCAT1]],[3]!db[NB NOTA_C],0)+1)</f>
        <v/>
      </c>
    </row>
    <row r="893" spans="1:42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23"/>
      <c r="F893" s="26"/>
      <c r="G893" s="26"/>
      <c r="H893" s="31"/>
      <c r="I893" s="26"/>
      <c r="J893" s="51"/>
      <c r="K893" s="26"/>
      <c r="L893" s="26"/>
      <c r="M893" s="39"/>
      <c r="N893" s="26"/>
      <c r="O893" s="26"/>
      <c r="P893" s="49"/>
      <c r="Q893" s="52"/>
      <c r="R893" s="39"/>
      <c r="S893" s="53"/>
      <c r="T893" s="53"/>
      <c r="U893" s="54"/>
      <c r="V893" s="37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3" s="38" t="str">
        <f>IF(NOTA[[#This Row],[CONCAT4]]="","",_xlfn.IFNA(MATCH(NOTA[[#This Row],[CONCAT4]],[2]!RAW[CONCAT_H],0),FALSE))</f>
        <v/>
      </c>
      <c r="AP893" s="174" t="str">
        <f>IF(NOTA[[#This Row],[CONCAT1]]="","",MATCH(NOTA[[#This Row],[CONCAT1]],[3]!db[NB NOTA_C],0)+1)</f>
        <v/>
      </c>
    </row>
    <row r="894" spans="1:42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4" s="38" t="str">
        <f>IF(NOTA[[#This Row],[CONCAT4]]="","",_xlfn.IFNA(MATCH(NOTA[[#This Row],[CONCAT4]],[2]!RAW[CONCAT_H],0),FALSE))</f>
        <v/>
      </c>
      <c r="AP894" s="174" t="str">
        <f>IF(NOTA[[#This Row],[CONCAT1]]="","",MATCH(NOTA[[#This Row],[CONCAT1]],[3]!db[NB NOTA_C],0)+1)</f>
        <v/>
      </c>
    </row>
    <row r="895" spans="1:42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5" s="38" t="str">
        <f>IF(NOTA[[#This Row],[CONCAT4]]="","",_xlfn.IFNA(MATCH(NOTA[[#This Row],[CONCAT4]],[2]!RAW[CONCAT_H],0),FALSE))</f>
        <v/>
      </c>
      <c r="AP895" s="174" t="str">
        <f>IF(NOTA[[#This Row],[CONCAT1]]="","",MATCH(NOTA[[#This Row],[CONCAT1]],[3]!db[NB NOTA_C],0)+1)</f>
        <v/>
      </c>
    </row>
    <row r="896" spans="1:42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6" s="38" t="str">
        <f>IF(NOTA[[#This Row],[CONCAT4]]="","",_xlfn.IFNA(MATCH(NOTA[[#This Row],[CONCAT4]],[2]!RAW[CONCAT_H],0),FALSE))</f>
        <v/>
      </c>
      <c r="AP896" s="174" t="str">
        <f>IF(NOTA[[#This Row],[CONCAT1]]="","",MATCH(NOTA[[#This Row],[CONCAT1]],[3]!db[NB NOTA_C],0)+1)</f>
        <v/>
      </c>
    </row>
    <row r="897" spans="1:42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7" s="38" t="str">
        <f>IF(NOTA[[#This Row],[CONCAT4]]="","",_xlfn.IFNA(MATCH(NOTA[[#This Row],[CONCAT4]],[2]!RAW[CONCAT_H],0),FALSE))</f>
        <v/>
      </c>
      <c r="AP897" s="174" t="str">
        <f>IF(NOTA[[#This Row],[CONCAT1]]="","",MATCH(NOTA[[#This Row],[CONCAT1]],[3]!db[NB NOTA_C],0)+1)</f>
        <v/>
      </c>
    </row>
    <row r="898" spans="1:42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8" s="38" t="str">
        <f>IF(NOTA[[#This Row],[CONCAT4]]="","",_xlfn.IFNA(MATCH(NOTA[[#This Row],[CONCAT4]],[2]!RAW[CONCAT_H],0),FALSE))</f>
        <v/>
      </c>
      <c r="AP898" s="174" t="str">
        <f>IF(NOTA[[#This Row],[CONCAT1]]="","",MATCH(NOTA[[#This Row],[CONCAT1]],[3]!db[NB NOTA_C],0)+1)</f>
        <v/>
      </c>
    </row>
    <row r="899" spans="1:42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9" s="38" t="str">
        <f>IF(NOTA[[#This Row],[CONCAT4]]="","",_xlfn.IFNA(MATCH(NOTA[[#This Row],[CONCAT4]],[2]!RAW[CONCAT_H],0),FALSE))</f>
        <v/>
      </c>
      <c r="AP899" s="174" t="str">
        <f>IF(NOTA[[#This Row],[CONCAT1]]="","",MATCH(NOTA[[#This Row],[CONCAT1]],[3]!db[NB NOTA_C],0)+1)</f>
        <v/>
      </c>
    </row>
    <row r="900" spans="1:42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30" t="str">
        <f>IF(NOTA[[#This Row],[ID_P]]="","",MATCH(NOTA[[#This Row],[ID_P]],[1]!B_MSK[N_ID],0))</f>
        <v/>
      </c>
      <c r="D900" s="130" t="str">
        <f ca="1">IF(NOTA[[#This Row],[NAMA BARANG]]="","",INDEX(NOTA[ID],MATCH(,INDIRECT(ADDRESS(ROW(NOTA[ID]),COLUMN(NOTA[ID]))&amp;":"&amp;ADDRESS(ROW(),COLUMN(NOTA[ID]))),-1)))</f>
        <v/>
      </c>
      <c r="E900" s="131"/>
      <c r="F900" s="132"/>
      <c r="G900" s="132"/>
      <c r="H900" s="133"/>
      <c r="I900" s="132"/>
      <c r="J900" s="134"/>
      <c r="K900" s="132"/>
      <c r="L900" s="132"/>
      <c r="M900" s="135"/>
      <c r="N900" s="132"/>
      <c r="O900" s="132"/>
      <c r="P900" s="129"/>
      <c r="Q900" s="136"/>
      <c r="R900" s="135"/>
      <c r="S900" s="137"/>
      <c r="T900" s="137"/>
      <c r="U900" s="138"/>
      <c r="V900" s="37"/>
      <c r="W900" s="138" t="str">
        <f>IF(NOTA[[#This Row],[HARGA/ CTN]]="",NOTA[[#This Row],[JUMLAH_H]],NOTA[[#This Row],[HARGA/ CTN]]*IF(NOTA[[#This Row],[C]]="",0,NOTA[[#This Row],[C]]))</f>
        <v/>
      </c>
      <c r="X900" s="138" t="str">
        <f>IF(NOTA[[#This Row],[JUMLAH]]="","",NOTA[[#This Row],[JUMLAH]]*NOTA[[#This Row],[DISC 1]])</f>
        <v/>
      </c>
      <c r="Y900" s="138" t="str">
        <f>IF(NOTA[[#This Row],[JUMLAH]]="","",(NOTA[[#This Row],[JUMLAH]]-NOTA[[#This Row],[DISC 1-]])*NOTA[[#This Row],[DISC 2]])</f>
        <v/>
      </c>
      <c r="Z900" s="138" t="str">
        <f>IF(NOTA[[#This Row],[JUMLAH]]="","",NOTA[[#This Row],[DISC 1-]]+NOTA[[#This Row],[DISC 2-]])</f>
        <v/>
      </c>
      <c r="AA900" s="138" t="str">
        <f>IF(NOTA[[#This Row],[JUMLAH]]="","",NOTA[[#This Row],[JUMLAH]]-NOTA[[#This Row],[DISC]])</f>
        <v/>
      </c>
      <c r="AB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138" t="str">
        <f>IF(OR(NOTA[[#This Row],[QTY]]="",NOTA[[#This Row],[HARGA SATUAN]]="",),"",NOTA[[#This Row],[QTY]]*NOTA[[#This Row],[HARGA SATUAN]])</f>
        <v/>
      </c>
      <c r="AF900" s="134" t="str">
        <f ca="1">IF(NOTA[ID_H]="","",INDEX(NOTA[TANGGAL],MATCH(,INDIRECT(ADDRESS(ROW(NOTA[TANGGAL]),COLUMN(NOTA[TANGGAL]))&amp;":"&amp;ADDRESS(ROW(),COLUMN(NOTA[TANGGAL]))),-1)))</f>
        <v/>
      </c>
      <c r="AG900" s="129" t="str">
        <f ca="1">IF(NOTA[[#This Row],[NAMA BARANG]]="","",INDEX(NOTA[SUPPLIER],MATCH(,INDIRECT(ADDRESS(ROW(NOTA[ID]),COLUMN(NOTA[ID]))&amp;":"&amp;ADDRESS(ROW(),COLUMN(NOTA[ID]))),-1)))</f>
        <v/>
      </c>
      <c r="AH900" s="12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0" s="38" t="str">
        <f>IF(NOTA[[#This Row],[CONCAT4]]="","",_xlfn.IFNA(MATCH(NOTA[[#This Row],[CONCAT4]],[2]!RAW[CONCAT_H],0),FALSE))</f>
        <v/>
      </c>
      <c r="AP900" s="174" t="str">
        <f>IF(NOTA[[#This Row],[CONCAT1]]="","",MATCH(NOTA[[#This Row],[CONCAT1]],[3]!db[NB NOTA_C],0)+1)</f>
        <v/>
      </c>
    </row>
    <row r="901" spans="1:42" ht="20.100000000000001" customHeight="1" x14ac:dyDescent="0.25">
      <c r="A90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30" t="str">
        <f>IF(NOTA[[#This Row],[ID_P]]="","",MATCH(NOTA[[#This Row],[ID_P]],[1]!B_MSK[N_ID],0))</f>
        <v/>
      </c>
      <c r="D901" s="130" t="str">
        <f ca="1">IF(NOTA[[#This Row],[NAMA BARANG]]="","",INDEX(NOTA[ID],MATCH(,INDIRECT(ADDRESS(ROW(NOTA[ID]),COLUMN(NOTA[ID]))&amp;":"&amp;ADDRESS(ROW(),COLUMN(NOTA[ID]))),-1)))</f>
        <v/>
      </c>
      <c r="E901" s="131"/>
      <c r="F901" s="132"/>
      <c r="G901" s="132"/>
      <c r="H901" s="133"/>
      <c r="I901" s="132"/>
      <c r="J901" s="134"/>
      <c r="K901" s="132"/>
      <c r="L901" s="132"/>
      <c r="M901" s="135"/>
      <c r="N901" s="132"/>
      <c r="O901" s="132"/>
      <c r="P901" s="129"/>
      <c r="Q901" s="136"/>
      <c r="R901" s="135"/>
      <c r="S901" s="137"/>
      <c r="T901" s="137"/>
      <c r="U901" s="138"/>
      <c r="V901" s="37"/>
      <c r="W901" s="138" t="str">
        <f>IF(NOTA[[#This Row],[HARGA/ CTN]]="",NOTA[[#This Row],[JUMLAH_H]],NOTA[[#This Row],[HARGA/ CTN]]*IF(NOTA[[#This Row],[C]]="",0,NOTA[[#This Row],[C]]))</f>
        <v/>
      </c>
      <c r="X901" s="138" t="str">
        <f>IF(NOTA[[#This Row],[JUMLAH]]="","",NOTA[[#This Row],[JUMLAH]]*NOTA[[#This Row],[DISC 1]])</f>
        <v/>
      </c>
      <c r="Y901" s="138" t="str">
        <f>IF(NOTA[[#This Row],[JUMLAH]]="","",(NOTA[[#This Row],[JUMLAH]]-NOTA[[#This Row],[DISC 1-]])*NOTA[[#This Row],[DISC 2]])</f>
        <v/>
      </c>
      <c r="Z901" s="138" t="str">
        <f>IF(NOTA[[#This Row],[JUMLAH]]="","",NOTA[[#This Row],[DISC 1-]]+NOTA[[#This Row],[DISC 2-]])</f>
        <v/>
      </c>
      <c r="AA901" s="138" t="str">
        <f>IF(NOTA[[#This Row],[JUMLAH]]="","",NOTA[[#This Row],[JUMLAH]]-NOTA[[#This Row],[DISC]])</f>
        <v/>
      </c>
      <c r="AB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138" t="str">
        <f>IF(OR(NOTA[[#This Row],[QTY]]="",NOTA[[#This Row],[HARGA SATUAN]]="",),"",NOTA[[#This Row],[QTY]]*NOTA[[#This Row],[HARGA SATUAN]])</f>
        <v/>
      </c>
      <c r="AF901" s="134" t="str">
        <f ca="1">IF(NOTA[ID_H]="","",INDEX(NOTA[TANGGAL],MATCH(,INDIRECT(ADDRESS(ROW(NOTA[TANGGAL]),COLUMN(NOTA[TANGGAL]))&amp;":"&amp;ADDRESS(ROW(),COLUMN(NOTA[TANGGAL]))),-1)))</f>
        <v/>
      </c>
      <c r="AG901" s="129" t="str">
        <f ca="1">IF(NOTA[[#This Row],[NAMA BARANG]]="","",INDEX(NOTA[SUPPLIER],MATCH(,INDIRECT(ADDRESS(ROW(NOTA[ID]),COLUMN(NOTA[ID]))&amp;":"&amp;ADDRESS(ROW(),COLUMN(NOTA[ID]))),-1)))</f>
        <v/>
      </c>
      <c r="AH901" s="12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1" s="38" t="str">
        <f>IF(NOTA[[#This Row],[CONCAT4]]="","",_xlfn.IFNA(MATCH(NOTA[[#This Row],[CONCAT4]],[2]!RAW[CONCAT_H],0),FALSE))</f>
        <v/>
      </c>
      <c r="AP901" s="174" t="str">
        <f>IF(NOTA[[#This Row],[CONCAT1]]="","",MATCH(NOTA[[#This Row],[CONCAT1]],[3]!db[NB NOTA_C],0)+1)</f>
        <v/>
      </c>
    </row>
    <row r="902" spans="1:42" ht="20.100000000000001" customHeight="1" x14ac:dyDescent="0.25">
      <c r="A90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30" t="str">
        <f>IF(NOTA[[#This Row],[ID_P]]="","",MATCH(NOTA[[#This Row],[ID_P]],[1]!B_MSK[N_ID],0))</f>
        <v/>
      </c>
      <c r="D902" s="130" t="str">
        <f ca="1">IF(NOTA[[#This Row],[NAMA BARANG]]="","",INDEX(NOTA[ID],MATCH(,INDIRECT(ADDRESS(ROW(NOTA[ID]),COLUMN(NOTA[ID]))&amp;":"&amp;ADDRESS(ROW(),COLUMN(NOTA[ID]))),-1)))</f>
        <v/>
      </c>
      <c r="E902" s="131"/>
      <c r="F902" s="132"/>
      <c r="G902" s="132"/>
      <c r="H902" s="133"/>
      <c r="I902" s="132"/>
      <c r="J902" s="134"/>
      <c r="K902" s="132"/>
      <c r="L902" s="132"/>
      <c r="M902" s="135"/>
      <c r="N902" s="132"/>
      <c r="O902" s="132"/>
      <c r="P902" s="129"/>
      <c r="Q902" s="136"/>
      <c r="R902" s="135"/>
      <c r="S902" s="137"/>
      <c r="T902" s="137"/>
      <c r="U902" s="138"/>
      <c r="V902" s="37"/>
      <c r="W902" s="138" t="str">
        <f>IF(NOTA[[#This Row],[HARGA/ CTN]]="",NOTA[[#This Row],[JUMLAH_H]],NOTA[[#This Row],[HARGA/ CTN]]*IF(NOTA[[#This Row],[C]]="",0,NOTA[[#This Row],[C]]))</f>
        <v/>
      </c>
      <c r="X902" s="138" t="str">
        <f>IF(NOTA[[#This Row],[JUMLAH]]="","",NOTA[[#This Row],[JUMLAH]]*NOTA[[#This Row],[DISC 1]])</f>
        <v/>
      </c>
      <c r="Y902" s="138" t="str">
        <f>IF(NOTA[[#This Row],[JUMLAH]]="","",(NOTA[[#This Row],[JUMLAH]]-NOTA[[#This Row],[DISC 1-]])*NOTA[[#This Row],[DISC 2]])</f>
        <v/>
      </c>
      <c r="Z902" s="138" t="str">
        <f>IF(NOTA[[#This Row],[JUMLAH]]="","",NOTA[[#This Row],[DISC 1-]]+NOTA[[#This Row],[DISC 2-]])</f>
        <v/>
      </c>
      <c r="AA902" s="138" t="str">
        <f>IF(NOTA[[#This Row],[JUMLAH]]="","",NOTA[[#This Row],[JUMLAH]]-NOTA[[#This Row],[DISC]])</f>
        <v/>
      </c>
      <c r="AB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138" t="str">
        <f>IF(OR(NOTA[[#This Row],[QTY]]="",NOTA[[#This Row],[HARGA SATUAN]]="",),"",NOTA[[#This Row],[QTY]]*NOTA[[#This Row],[HARGA SATUAN]])</f>
        <v/>
      </c>
      <c r="AF902" s="134" t="str">
        <f ca="1">IF(NOTA[ID_H]="","",INDEX(NOTA[TANGGAL],MATCH(,INDIRECT(ADDRESS(ROW(NOTA[TANGGAL]),COLUMN(NOTA[TANGGAL]))&amp;":"&amp;ADDRESS(ROW(),COLUMN(NOTA[TANGGAL]))),-1)))</f>
        <v/>
      </c>
      <c r="AG902" s="129" t="str">
        <f ca="1">IF(NOTA[[#This Row],[NAMA BARANG]]="","",INDEX(NOTA[SUPPLIER],MATCH(,INDIRECT(ADDRESS(ROW(NOTA[ID]),COLUMN(NOTA[ID]))&amp;":"&amp;ADDRESS(ROW(),COLUMN(NOTA[ID]))),-1)))</f>
        <v/>
      </c>
      <c r="AH902" s="12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2" s="38" t="str">
        <f>IF(NOTA[[#This Row],[CONCAT4]]="","",_xlfn.IFNA(MATCH(NOTA[[#This Row],[CONCAT4]],[2]!RAW[CONCAT_H],0),FALSE))</f>
        <v/>
      </c>
      <c r="AP902" s="174" t="str">
        <f>IF(NOTA[[#This Row],[CONCAT1]]="","",MATCH(NOTA[[#This Row],[CONCAT1]],[3]!db[NB NOTA_C],0)+1)</f>
        <v/>
      </c>
    </row>
    <row r="903" spans="1:42" ht="20.100000000000001" customHeight="1" x14ac:dyDescent="0.25">
      <c r="A90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30" t="str">
        <f>IF(NOTA[[#This Row],[ID_P]]="","",MATCH(NOTA[[#This Row],[ID_P]],[1]!B_MSK[N_ID],0))</f>
        <v/>
      </c>
      <c r="D903" s="130" t="str">
        <f ca="1">IF(NOTA[[#This Row],[NAMA BARANG]]="","",INDEX(NOTA[ID],MATCH(,INDIRECT(ADDRESS(ROW(NOTA[ID]),COLUMN(NOTA[ID]))&amp;":"&amp;ADDRESS(ROW(),COLUMN(NOTA[ID]))),-1)))</f>
        <v/>
      </c>
      <c r="E903" s="131"/>
      <c r="F903" s="132"/>
      <c r="G903" s="132"/>
      <c r="H903" s="133"/>
      <c r="I903" s="132"/>
      <c r="J903" s="134"/>
      <c r="K903" s="132"/>
      <c r="L903" s="132"/>
      <c r="M903" s="135"/>
      <c r="N903" s="132"/>
      <c r="O903" s="132"/>
      <c r="P903" s="129"/>
      <c r="Q903" s="136"/>
      <c r="R903" s="135"/>
      <c r="S903" s="137"/>
      <c r="T903" s="137"/>
      <c r="U903" s="138"/>
      <c r="V903" s="37"/>
      <c r="W903" s="138" t="str">
        <f>IF(NOTA[[#This Row],[HARGA/ CTN]]="",NOTA[[#This Row],[JUMLAH_H]],NOTA[[#This Row],[HARGA/ CTN]]*IF(NOTA[[#This Row],[C]]="",0,NOTA[[#This Row],[C]]))</f>
        <v/>
      </c>
      <c r="X903" s="138" t="str">
        <f>IF(NOTA[[#This Row],[JUMLAH]]="","",NOTA[[#This Row],[JUMLAH]]*NOTA[[#This Row],[DISC 1]])</f>
        <v/>
      </c>
      <c r="Y903" s="138" t="str">
        <f>IF(NOTA[[#This Row],[JUMLAH]]="","",(NOTA[[#This Row],[JUMLAH]]-NOTA[[#This Row],[DISC 1-]])*NOTA[[#This Row],[DISC 2]])</f>
        <v/>
      </c>
      <c r="Z903" s="138" t="str">
        <f>IF(NOTA[[#This Row],[JUMLAH]]="","",NOTA[[#This Row],[DISC 1-]]+NOTA[[#This Row],[DISC 2-]])</f>
        <v/>
      </c>
      <c r="AA903" s="138" t="str">
        <f>IF(NOTA[[#This Row],[JUMLAH]]="","",NOTA[[#This Row],[JUMLAH]]-NOTA[[#This Row],[DISC]])</f>
        <v/>
      </c>
      <c r="AB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138" t="str">
        <f>IF(OR(NOTA[[#This Row],[QTY]]="",NOTA[[#This Row],[HARGA SATUAN]]="",),"",NOTA[[#This Row],[QTY]]*NOTA[[#This Row],[HARGA SATUAN]])</f>
        <v/>
      </c>
      <c r="AF903" s="134" t="str">
        <f ca="1">IF(NOTA[ID_H]="","",INDEX(NOTA[TANGGAL],MATCH(,INDIRECT(ADDRESS(ROW(NOTA[TANGGAL]),COLUMN(NOTA[TANGGAL]))&amp;":"&amp;ADDRESS(ROW(),COLUMN(NOTA[TANGGAL]))),-1)))</f>
        <v/>
      </c>
      <c r="AG903" s="129" t="str">
        <f ca="1">IF(NOTA[[#This Row],[NAMA BARANG]]="","",INDEX(NOTA[SUPPLIER],MATCH(,INDIRECT(ADDRESS(ROW(NOTA[ID]),COLUMN(NOTA[ID]))&amp;":"&amp;ADDRESS(ROW(),COLUMN(NOTA[ID]))),-1)))</f>
        <v/>
      </c>
      <c r="AH903" s="12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3" s="38" t="str">
        <f>IF(NOTA[[#This Row],[CONCAT4]]="","",_xlfn.IFNA(MATCH(NOTA[[#This Row],[CONCAT4]],[2]!RAW[CONCAT_H],0),FALSE))</f>
        <v/>
      </c>
      <c r="AP903" s="174" t="str">
        <f>IF(NOTA[[#This Row],[CONCAT1]]="","",MATCH(NOTA[[#This Row],[CONCAT1]],[3]!db[NB NOTA_C],0)+1)</f>
        <v/>
      </c>
    </row>
    <row r="904" spans="1:42" ht="20.100000000000001" customHeight="1" x14ac:dyDescent="0.25">
      <c r="A90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30" t="str">
        <f>IF(NOTA[[#This Row],[ID_P]]="","",MATCH(NOTA[[#This Row],[ID_P]],[1]!B_MSK[N_ID],0))</f>
        <v/>
      </c>
      <c r="D904" s="130" t="str">
        <f ca="1">IF(NOTA[[#This Row],[NAMA BARANG]]="","",INDEX(NOTA[ID],MATCH(,INDIRECT(ADDRESS(ROW(NOTA[ID]),COLUMN(NOTA[ID]))&amp;":"&amp;ADDRESS(ROW(),COLUMN(NOTA[ID]))),-1)))</f>
        <v/>
      </c>
      <c r="E904" s="131"/>
      <c r="F904" s="132"/>
      <c r="G904" s="132"/>
      <c r="H904" s="133"/>
      <c r="I904" s="132"/>
      <c r="J904" s="134"/>
      <c r="K904" s="132"/>
      <c r="L904" s="132"/>
      <c r="M904" s="135"/>
      <c r="N904" s="132"/>
      <c r="O904" s="132"/>
      <c r="P904" s="129"/>
      <c r="Q904" s="136"/>
      <c r="R904" s="135"/>
      <c r="S904" s="137"/>
      <c r="T904" s="137"/>
      <c r="U904" s="138"/>
      <c r="V904" s="37"/>
      <c r="W904" s="138" t="str">
        <f>IF(NOTA[[#This Row],[HARGA/ CTN]]="",NOTA[[#This Row],[JUMLAH_H]],NOTA[[#This Row],[HARGA/ CTN]]*IF(NOTA[[#This Row],[C]]="",0,NOTA[[#This Row],[C]]))</f>
        <v/>
      </c>
      <c r="X904" s="138" t="str">
        <f>IF(NOTA[[#This Row],[JUMLAH]]="","",NOTA[[#This Row],[JUMLAH]]*NOTA[[#This Row],[DISC 1]])</f>
        <v/>
      </c>
      <c r="Y904" s="138" t="str">
        <f>IF(NOTA[[#This Row],[JUMLAH]]="","",(NOTA[[#This Row],[JUMLAH]]-NOTA[[#This Row],[DISC 1-]])*NOTA[[#This Row],[DISC 2]])</f>
        <v/>
      </c>
      <c r="Z904" s="138" t="str">
        <f>IF(NOTA[[#This Row],[JUMLAH]]="","",NOTA[[#This Row],[DISC 1-]]+NOTA[[#This Row],[DISC 2-]])</f>
        <v/>
      </c>
      <c r="AA904" s="138" t="str">
        <f>IF(NOTA[[#This Row],[JUMLAH]]="","",NOTA[[#This Row],[JUMLAH]]-NOTA[[#This Row],[DISC]])</f>
        <v/>
      </c>
      <c r="AB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138" t="str">
        <f>IF(OR(NOTA[[#This Row],[QTY]]="",NOTA[[#This Row],[HARGA SATUAN]]="",),"",NOTA[[#This Row],[QTY]]*NOTA[[#This Row],[HARGA SATUAN]])</f>
        <v/>
      </c>
      <c r="AF904" s="134" t="str">
        <f ca="1">IF(NOTA[ID_H]="","",INDEX(NOTA[TANGGAL],MATCH(,INDIRECT(ADDRESS(ROW(NOTA[TANGGAL]),COLUMN(NOTA[TANGGAL]))&amp;":"&amp;ADDRESS(ROW(),COLUMN(NOTA[TANGGAL]))),-1)))</f>
        <v/>
      </c>
      <c r="AG904" s="129" t="str">
        <f ca="1">IF(NOTA[[#This Row],[NAMA BARANG]]="","",INDEX(NOTA[SUPPLIER],MATCH(,INDIRECT(ADDRESS(ROW(NOTA[ID]),COLUMN(NOTA[ID]))&amp;":"&amp;ADDRESS(ROW(),COLUMN(NOTA[ID]))),-1)))</f>
        <v/>
      </c>
      <c r="AH904" s="12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4" s="38" t="str">
        <f>IF(NOTA[[#This Row],[CONCAT4]]="","",_xlfn.IFNA(MATCH(NOTA[[#This Row],[CONCAT4]],[2]!RAW[CONCAT_H],0),FALSE))</f>
        <v/>
      </c>
      <c r="AP904" s="174" t="str">
        <f>IF(NOTA[[#This Row],[CONCAT1]]="","",MATCH(NOTA[[#This Row],[CONCAT1]],[3]!db[NB NOTA_C],0)+1)</f>
        <v/>
      </c>
    </row>
    <row r="905" spans="1:42" ht="20.100000000000001" customHeight="1" x14ac:dyDescent="0.25">
      <c r="A90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30" t="str">
        <f>IF(NOTA[[#This Row],[ID_P]]="","",MATCH(NOTA[[#This Row],[ID_P]],[1]!B_MSK[N_ID],0))</f>
        <v/>
      </c>
      <c r="D905" s="130" t="str">
        <f ca="1">IF(NOTA[[#This Row],[NAMA BARANG]]="","",INDEX(NOTA[ID],MATCH(,INDIRECT(ADDRESS(ROW(NOTA[ID]),COLUMN(NOTA[ID]))&amp;":"&amp;ADDRESS(ROW(),COLUMN(NOTA[ID]))),-1)))</f>
        <v/>
      </c>
      <c r="E905" s="131"/>
      <c r="F905" s="132"/>
      <c r="G905" s="132"/>
      <c r="H905" s="133"/>
      <c r="I905" s="132"/>
      <c r="J905" s="134"/>
      <c r="K905" s="132"/>
      <c r="L905" s="132"/>
      <c r="M905" s="135"/>
      <c r="N905" s="132"/>
      <c r="O905" s="132"/>
      <c r="P905" s="129"/>
      <c r="Q905" s="136"/>
      <c r="R905" s="135"/>
      <c r="S905" s="137"/>
      <c r="T905" s="137"/>
      <c r="U905" s="138"/>
      <c r="V905" s="37"/>
      <c r="W905" s="138" t="str">
        <f>IF(NOTA[[#This Row],[HARGA/ CTN]]="",NOTA[[#This Row],[JUMLAH_H]],NOTA[[#This Row],[HARGA/ CTN]]*IF(NOTA[[#This Row],[C]]="",0,NOTA[[#This Row],[C]]))</f>
        <v/>
      </c>
      <c r="X905" s="138" t="str">
        <f>IF(NOTA[[#This Row],[JUMLAH]]="","",NOTA[[#This Row],[JUMLAH]]*NOTA[[#This Row],[DISC 1]])</f>
        <v/>
      </c>
      <c r="Y905" s="138" t="str">
        <f>IF(NOTA[[#This Row],[JUMLAH]]="","",(NOTA[[#This Row],[JUMLAH]]-NOTA[[#This Row],[DISC 1-]])*NOTA[[#This Row],[DISC 2]])</f>
        <v/>
      </c>
      <c r="Z905" s="138" t="str">
        <f>IF(NOTA[[#This Row],[JUMLAH]]="","",NOTA[[#This Row],[DISC 1-]]+NOTA[[#This Row],[DISC 2-]])</f>
        <v/>
      </c>
      <c r="AA905" s="138" t="str">
        <f>IF(NOTA[[#This Row],[JUMLAH]]="","",NOTA[[#This Row],[JUMLAH]]-NOTA[[#This Row],[DISC]])</f>
        <v/>
      </c>
      <c r="AB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138" t="str">
        <f>IF(OR(NOTA[[#This Row],[QTY]]="",NOTA[[#This Row],[HARGA SATUAN]]="",),"",NOTA[[#This Row],[QTY]]*NOTA[[#This Row],[HARGA SATUAN]])</f>
        <v/>
      </c>
      <c r="AF905" s="134" t="str">
        <f ca="1">IF(NOTA[ID_H]="","",INDEX(NOTA[TANGGAL],MATCH(,INDIRECT(ADDRESS(ROW(NOTA[TANGGAL]),COLUMN(NOTA[TANGGAL]))&amp;":"&amp;ADDRESS(ROW(),COLUMN(NOTA[TANGGAL]))),-1)))</f>
        <v/>
      </c>
      <c r="AG905" s="129" t="str">
        <f ca="1">IF(NOTA[[#This Row],[NAMA BARANG]]="","",INDEX(NOTA[SUPPLIER],MATCH(,INDIRECT(ADDRESS(ROW(NOTA[ID]),COLUMN(NOTA[ID]))&amp;":"&amp;ADDRESS(ROW(),COLUMN(NOTA[ID]))),-1)))</f>
        <v/>
      </c>
      <c r="AH905" s="12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5" s="38" t="str">
        <f>IF(NOTA[[#This Row],[CONCAT4]]="","",_xlfn.IFNA(MATCH(NOTA[[#This Row],[CONCAT4]],[2]!RAW[CONCAT_H],0),FALSE))</f>
        <v/>
      </c>
      <c r="AP905" s="174" t="str">
        <f>IF(NOTA[[#This Row],[CONCAT1]]="","",MATCH(NOTA[[#This Row],[CONCAT1]],[3]!db[NB NOTA_C],0)+1)</f>
        <v/>
      </c>
    </row>
    <row r="906" spans="1:42" ht="20.100000000000001" customHeight="1" x14ac:dyDescent="0.25">
      <c r="A90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30" t="str">
        <f>IF(NOTA[[#This Row],[ID_P]]="","",MATCH(NOTA[[#This Row],[ID_P]],[1]!B_MSK[N_ID],0))</f>
        <v/>
      </c>
      <c r="D906" s="130" t="str">
        <f ca="1">IF(NOTA[[#This Row],[NAMA BARANG]]="","",INDEX(NOTA[ID],MATCH(,INDIRECT(ADDRESS(ROW(NOTA[ID]),COLUMN(NOTA[ID]))&amp;":"&amp;ADDRESS(ROW(),COLUMN(NOTA[ID]))),-1)))</f>
        <v/>
      </c>
      <c r="E906" s="131"/>
      <c r="F906" s="132"/>
      <c r="G906" s="132"/>
      <c r="H906" s="133"/>
      <c r="I906" s="132"/>
      <c r="J906" s="134"/>
      <c r="K906" s="132"/>
      <c r="L906" s="132"/>
      <c r="M906" s="135"/>
      <c r="N906" s="132"/>
      <c r="O906" s="132"/>
      <c r="P906" s="129"/>
      <c r="Q906" s="136"/>
      <c r="R906" s="135"/>
      <c r="S906" s="137"/>
      <c r="T906" s="137"/>
      <c r="U906" s="138"/>
      <c r="V906" s="37"/>
      <c r="W906" s="138" t="str">
        <f>IF(NOTA[[#This Row],[HARGA/ CTN]]="",NOTA[[#This Row],[JUMLAH_H]],NOTA[[#This Row],[HARGA/ CTN]]*IF(NOTA[[#This Row],[C]]="",0,NOTA[[#This Row],[C]]))</f>
        <v/>
      </c>
      <c r="X906" s="138" t="str">
        <f>IF(NOTA[[#This Row],[JUMLAH]]="","",NOTA[[#This Row],[JUMLAH]]*NOTA[[#This Row],[DISC 1]])</f>
        <v/>
      </c>
      <c r="Y906" s="138" t="str">
        <f>IF(NOTA[[#This Row],[JUMLAH]]="","",(NOTA[[#This Row],[JUMLAH]]-NOTA[[#This Row],[DISC 1-]])*NOTA[[#This Row],[DISC 2]])</f>
        <v/>
      </c>
      <c r="Z906" s="138" t="str">
        <f>IF(NOTA[[#This Row],[JUMLAH]]="","",NOTA[[#This Row],[DISC 1-]]+NOTA[[#This Row],[DISC 2-]])</f>
        <v/>
      </c>
      <c r="AA906" s="138" t="str">
        <f>IF(NOTA[[#This Row],[JUMLAH]]="","",NOTA[[#This Row],[JUMLAH]]-NOTA[[#This Row],[DISC]])</f>
        <v/>
      </c>
      <c r="AB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138" t="str">
        <f>IF(OR(NOTA[[#This Row],[QTY]]="",NOTA[[#This Row],[HARGA SATUAN]]="",),"",NOTA[[#This Row],[QTY]]*NOTA[[#This Row],[HARGA SATUAN]])</f>
        <v/>
      </c>
      <c r="AF906" s="134" t="str">
        <f ca="1">IF(NOTA[ID_H]="","",INDEX(NOTA[TANGGAL],MATCH(,INDIRECT(ADDRESS(ROW(NOTA[TANGGAL]),COLUMN(NOTA[TANGGAL]))&amp;":"&amp;ADDRESS(ROW(),COLUMN(NOTA[TANGGAL]))),-1)))</f>
        <v/>
      </c>
      <c r="AG906" s="129" t="str">
        <f ca="1">IF(NOTA[[#This Row],[NAMA BARANG]]="","",INDEX(NOTA[SUPPLIER],MATCH(,INDIRECT(ADDRESS(ROW(NOTA[ID]),COLUMN(NOTA[ID]))&amp;":"&amp;ADDRESS(ROW(),COLUMN(NOTA[ID]))),-1)))</f>
        <v/>
      </c>
      <c r="AH906" s="12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6" s="38" t="str">
        <f>IF(NOTA[[#This Row],[CONCAT4]]="","",_xlfn.IFNA(MATCH(NOTA[[#This Row],[CONCAT4]],[2]!RAW[CONCAT_H],0),FALSE))</f>
        <v/>
      </c>
      <c r="AP906" s="174" t="str">
        <f>IF(NOTA[[#This Row],[CONCAT1]]="","",MATCH(NOTA[[#This Row],[CONCAT1]],[3]!db[NB NOTA_C],0)+1)</f>
        <v/>
      </c>
    </row>
    <row r="907" spans="1:42" ht="20.100000000000001" customHeight="1" x14ac:dyDescent="0.25">
      <c r="A90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30" t="str">
        <f>IF(NOTA[[#This Row],[ID_P]]="","",MATCH(NOTA[[#This Row],[ID_P]],[1]!B_MSK[N_ID],0))</f>
        <v/>
      </c>
      <c r="D907" s="130" t="str">
        <f ca="1">IF(NOTA[[#This Row],[NAMA BARANG]]="","",INDEX(NOTA[ID],MATCH(,INDIRECT(ADDRESS(ROW(NOTA[ID]),COLUMN(NOTA[ID]))&amp;":"&amp;ADDRESS(ROW(),COLUMN(NOTA[ID]))),-1)))</f>
        <v/>
      </c>
      <c r="E907" s="131"/>
      <c r="F907" s="132"/>
      <c r="G907" s="132"/>
      <c r="H907" s="133"/>
      <c r="I907" s="132"/>
      <c r="J907" s="134"/>
      <c r="K907" s="132"/>
      <c r="L907" s="132"/>
      <c r="M907" s="135"/>
      <c r="N907" s="132"/>
      <c r="O907" s="132"/>
      <c r="P907" s="129"/>
      <c r="Q907" s="136"/>
      <c r="R907" s="135"/>
      <c r="S907" s="137"/>
      <c r="T907" s="137"/>
      <c r="U907" s="138"/>
      <c r="V907" s="37"/>
      <c r="W907" s="138" t="str">
        <f>IF(NOTA[[#This Row],[HARGA/ CTN]]="",NOTA[[#This Row],[JUMLAH_H]],NOTA[[#This Row],[HARGA/ CTN]]*IF(NOTA[[#This Row],[C]]="",0,NOTA[[#This Row],[C]]))</f>
        <v/>
      </c>
      <c r="X907" s="138" t="str">
        <f>IF(NOTA[[#This Row],[JUMLAH]]="","",NOTA[[#This Row],[JUMLAH]]*NOTA[[#This Row],[DISC 1]])</f>
        <v/>
      </c>
      <c r="Y907" s="138" t="str">
        <f>IF(NOTA[[#This Row],[JUMLAH]]="","",(NOTA[[#This Row],[JUMLAH]]-NOTA[[#This Row],[DISC 1-]])*NOTA[[#This Row],[DISC 2]])</f>
        <v/>
      </c>
      <c r="Z907" s="138" t="str">
        <f>IF(NOTA[[#This Row],[JUMLAH]]="","",NOTA[[#This Row],[DISC 1-]]+NOTA[[#This Row],[DISC 2-]])</f>
        <v/>
      </c>
      <c r="AA907" s="138" t="str">
        <f>IF(NOTA[[#This Row],[JUMLAH]]="","",NOTA[[#This Row],[JUMLAH]]-NOTA[[#This Row],[DISC]])</f>
        <v/>
      </c>
      <c r="AB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138" t="str">
        <f>IF(OR(NOTA[[#This Row],[QTY]]="",NOTA[[#This Row],[HARGA SATUAN]]="",),"",NOTA[[#This Row],[QTY]]*NOTA[[#This Row],[HARGA SATUAN]])</f>
        <v/>
      </c>
      <c r="AF907" s="134" t="str">
        <f ca="1">IF(NOTA[ID_H]="","",INDEX(NOTA[TANGGAL],MATCH(,INDIRECT(ADDRESS(ROW(NOTA[TANGGAL]),COLUMN(NOTA[TANGGAL]))&amp;":"&amp;ADDRESS(ROW(),COLUMN(NOTA[TANGGAL]))),-1)))</f>
        <v/>
      </c>
      <c r="AG907" s="129" t="str">
        <f ca="1">IF(NOTA[[#This Row],[NAMA BARANG]]="","",INDEX(NOTA[SUPPLIER],MATCH(,INDIRECT(ADDRESS(ROW(NOTA[ID]),COLUMN(NOTA[ID]))&amp;":"&amp;ADDRESS(ROW(),COLUMN(NOTA[ID]))),-1)))</f>
        <v/>
      </c>
      <c r="AH907" s="12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7" s="38" t="str">
        <f>IF(NOTA[[#This Row],[CONCAT4]]="","",_xlfn.IFNA(MATCH(NOTA[[#This Row],[CONCAT4]],[2]!RAW[CONCAT_H],0),FALSE))</f>
        <v/>
      </c>
      <c r="AP907" s="174" t="str">
        <f>IF(NOTA[[#This Row],[CONCAT1]]="","",MATCH(NOTA[[#This Row],[CONCAT1]],[3]!db[NB NOTA_C],0)+1)</f>
        <v/>
      </c>
    </row>
    <row r="908" spans="1:42" ht="20.100000000000001" customHeight="1" x14ac:dyDescent="0.25">
      <c r="A90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130" t="str">
        <f>IF(NOTA[[#This Row],[ID_P]]="","",MATCH(NOTA[[#This Row],[ID_P]],[1]!B_MSK[N_ID],0))</f>
        <v/>
      </c>
      <c r="D908" s="130" t="str">
        <f ca="1">IF(NOTA[[#This Row],[NAMA BARANG]]="","",INDEX(NOTA[ID],MATCH(,INDIRECT(ADDRESS(ROW(NOTA[ID]),COLUMN(NOTA[ID]))&amp;":"&amp;ADDRESS(ROW(),COLUMN(NOTA[ID]))),-1)))</f>
        <v/>
      </c>
      <c r="E908" s="131"/>
      <c r="F908" s="132"/>
      <c r="G908" s="132"/>
      <c r="H908" s="133"/>
      <c r="I908" s="132"/>
      <c r="J908" s="134"/>
      <c r="K908" s="132"/>
      <c r="L908" s="132"/>
      <c r="M908" s="135"/>
      <c r="N908" s="132"/>
      <c r="O908" s="132"/>
      <c r="P908" s="129"/>
      <c r="Q908" s="136"/>
      <c r="R908" s="135"/>
      <c r="S908" s="137"/>
      <c r="T908" s="137"/>
      <c r="U908" s="138"/>
      <c r="V908" s="37"/>
      <c r="W908" s="138" t="str">
        <f>IF(NOTA[[#This Row],[HARGA/ CTN]]="",NOTA[[#This Row],[JUMLAH_H]],NOTA[[#This Row],[HARGA/ CTN]]*IF(NOTA[[#This Row],[C]]="",0,NOTA[[#This Row],[C]]))</f>
        <v/>
      </c>
      <c r="X908" s="138" t="str">
        <f>IF(NOTA[[#This Row],[JUMLAH]]="","",NOTA[[#This Row],[JUMLAH]]*NOTA[[#This Row],[DISC 1]])</f>
        <v/>
      </c>
      <c r="Y908" s="138" t="str">
        <f>IF(NOTA[[#This Row],[JUMLAH]]="","",(NOTA[[#This Row],[JUMLAH]]-NOTA[[#This Row],[DISC 1-]])*NOTA[[#This Row],[DISC 2]])</f>
        <v/>
      </c>
      <c r="Z908" s="138" t="str">
        <f>IF(NOTA[[#This Row],[JUMLAH]]="","",NOTA[[#This Row],[DISC 1-]]+NOTA[[#This Row],[DISC 2-]])</f>
        <v/>
      </c>
      <c r="AA908" s="138" t="str">
        <f>IF(NOTA[[#This Row],[JUMLAH]]="","",NOTA[[#This Row],[JUMLAH]]-NOTA[[#This Row],[DISC]])</f>
        <v/>
      </c>
      <c r="AB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138" t="str">
        <f>IF(OR(NOTA[[#This Row],[QTY]]="",NOTA[[#This Row],[HARGA SATUAN]]="",),"",NOTA[[#This Row],[QTY]]*NOTA[[#This Row],[HARGA SATUAN]])</f>
        <v/>
      </c>
      <c r="AF908" s="134" t="str">
        <f ca="1">IF(NOTA[ID_H]="","",INDEX(NOTA[TANGGAL],MATCH(,INDIRECT(ADDRESS(ROW(NOTA[TANGGAL]),COLUMN(NOTA[TANGGAL]))&amp;":"&amp;ADDRESS(ROW(),COLUMN(NOTA[TANGGAL]))),-1)))</f>
        <v/>
      </c>
      <c r="AG908" s="129" t="str">
        <f ca="1">IF(NOTA[[#This Row],[NAMA BARANG]]="","",INDEX(NOTA[SUPPLIER],MATCH(,INDIRECT(ADDRESS(ROW(NOTA[ID]),COLUMN(NOTA[ID]))&amp;":"&amp;ADDRESS(ROW(),COLUMN(NOTA[ID]))),-1)))</f>
        <v/>
      </c>
      <c r="AH908" s="12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8" s="38" t="str">
        <f>IF(NOTA[[#This Row],[CONCAT4]]="","",_xlfn.IFNA(MATCH(NOTA[[#This Row],[CONCAT4]],[2]!RAW[CONCAT_H],0),FALSE))</f>
        <v/>
      </c>
      <c r="AP908" s="174" t="str">
        <f>IF(NOTA[[#This Row],[CONCAT1]]="","",MATCH(NOTA[[#This Row],[CONCAT1]],[3]!db[NB NOTA_C],0)+1)</f>
        <v/>
      </c>
    </row>
    <row r="909" spans="1:42" ht="20.100000000000001" customHeight="1" x14ac:dyDescent="0.25">
      <c r="A90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130" t="str">
        <f>IF(NOTA[[#This Row],[ID_P]]="","",MATCH(NOTA[[#This Row],[ID_P]],[1]!B_MSK[N_ID],0))</f>
        <v/>
      </c>
      <c r="D909" s="130" t="str">
        <f ca="1">IF(NOTA[[#This Row],[NAMA BARANG]]="","",INDEX(NOTA[ID],MATCH(,INDIRECT(ADDRESS(ROW(NOTA[ID]),COLUMN(NOTA[ID]))&amp;":"&amp;ADDRESS(ROW(),COLUMN(NOTA[ID]))),-1)))</f>
        <v/>
      </c>
      <c r="E909" s="131"/>
      <c r="F909" s="132"/>
      <c r="G909" s="132"/>
      <c r="H909" s="133"/>
      <c r="I909" s="132"/>
      <c r="J909" s="134"/>
      <c r="K909" s="132"/>
      <c r="L909" s="132"/>
      <c r="M909" s="135"/>
      <c r="N909" s="132"/>
      <c r="O909" s="132"/>
      <c r="P909" s="129"/>
      <c r="Q909" s="136"/>
      <c r="R909" s="135"/>
      <c r="S909" s="137"/>
      <c r="T909" s="137"/>
      <c r="U909" s="138"/>
      <c r="V909" s="37"/>
      <c r="W909" s="138" t="str">
        <f>IF(NOTA[[#This Row],[HARGA/ CTN]]="",NOTA[[#This Row],[JUMLAH_H]],NOTA[[#This Row],[HARGA/ CTN]]*IF(NOTA[[#This Row],[C]]="",0,NOTA[[#This Row],[C]]))</f>
        <v/>
      </c>
      <c r="X909" s="138" t="str">
        <f>IF(NOTA[[#This Row],[JUMLAH]]="","",NOTA[[#This Row],[JUMLAH]]*NOTA[[#This Row],[DISC 1]])</f>
        <v/>
      </c>
      <c r="Y909" s="138" t="str">
        <f>IF(NOTA[[#This Row],[JUMLAH]]="","",(NOTA[[#This Row],[JUMLAH]]-NOTA[[#This Row],[DISC 1-]])*NOTA[[#This Row],[DISC 2]])</f>
        <v/>
      </c>
      <c r="Z909" s="138" t="str">
        <f>IF(NOTA[[#This Row],[JUMLAH]]="","",NOTA[[#This Row],[DISC 1-]]+NOTA[[#This Row],[DISC 2-]])</f>
        <v/>
      </c>
      <c r="AA909" s="138" t="str">
        <f>IF(NOTA[[#This Row],[JUMLAH]]="","",NOTA[[#This Row],[JUMLAH]]-NOTA[[#This Row],[DISC]])</f>
        <v/>
      </c>
      <c r="AB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138" t="str">
        <f>IF(OR(NOTA[[#This Row],[QTY]]="",NOTA[[#This Row],[HARGA SATUAN]]="",),"",NOTA[[#This Row],[QTY]]*NOTA[[#This Row],[HARGA SATUAN]])</f>
        <v/>
      </c>
      <c r="AF909" s="134" t="str">
        <f ca="1">IF(NOTA[ID_H]="","",INDEX(NOTA[TANGGAL],MATCH(,INDIRECT(ADDRESS(ROW(NOTA[TANGGAL]),COLUMN(NOTA[TANGGAL]))&amp;":"&amp;ADDRESS(ROW(),COLUMN(NOTA[TANGGAL]))),-1)))</f>
        <v/>
      </c>
      <c r="AG909" s="129" t="str">
        <f ca="1">IF(NOTA[[#This Row],[NAMA BARANG]]="","",INDEX(NOTA[SUPPLIER],MATCH(,INDIRECT(ADDRESS(ROW(NOTA[ID]),COLUMN(NOTA[ID]))&amp;":"&amp;ADDRESS(ROW(),COLUMN(NOTA[ID]))),-1)))</f>
        <v/>
      </c>
      <c r="AH909" s="12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9" s="38" t="str">
        <f>IF(NOTA[[#This Row],[CONCAT4]]="","",_xlfn.IFNA(MATCH(NOTA[[#This Row],[CONCAT4]],[2]!RAW[CONCAT_H],0),FALSE))</f>
        <v/>
      </c>
      <c r="AP909" s="174" t="str">
        <f>IF(NOTA[[#This Row],[CONCAT1]]="","",MATCH(NOTA[[#This Row],[CONCAT1]],[3]!db[NB NOTA_C],0)+1)</f>
        <v/>
      </c>
    </row>
    <row r="910" spans="1:42" ht="20.100000000000001" customHeight="1" x14ac:dyDescent="0.25">
      <c r="A91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130" t="str">
        <f>IF(NOTA[[#This Row],[ID_P]]="","",MATCH(NOTA[[#This Row],[ID_P]],[1]!B_MSK[N_ID],0))</f>
        <v/>
      </c>
      <c r="D910" s="130" t="str">
        <f ca="1">IF(NOTA[[#This Row],[NAMA BARANG]]="","",INDEX(NOTA[ID],MATCH(,INDIRECT(ADDRESS(ROW(NOTA[ID]),COLUMN(NOTA[ID]))&amp;":"&amp;ADDRESS(ROW(),COLUMN(NOTA[ID]))),-1)))</f>
        <v/>
      </c>
      <c r="E910" s="131"/>
      <c r="F910" s="132"/>
      <c r="G910" s="132"/>
      <c r="H910" s="133"/>
      <c r="I910" s="132"/>
      <c r="J910" s="134"/>
      <c r="K910" s="132"/>
      <c r="L910" s="132"/>
      <c r="M910" s="135"/>
      <c r="N910" s="132"/>
      <c r="O910" s="132"/>
      <c r="P910" s="129"/>
      <c r="Q910" s="136"/>
      <c r="R910" s="135"/>
      <c r="S910" s="137"/>
      <c r="T910" s="137"/>
      <c r="U910" s="138"/>
      <c r="V910" s="37"/>
      <c r="W910" s="138" t="str">
        <f>IF(NOTA[[#This Row],[HARGA/ CTN]]="",NOTA[[#This Row],[JUMLAH_H]],NOTA[[#This Row],[HARGA/ CTN]]*IF(NOTA[[#This Row],[C]]="",0,NOTA[[#This Row],[C]]))</f>
        <v/>
      </c>
      <c r="X910" s="138" t="str">
        <f>IF(NOTA[[#This Row],[JUMLAH]]="","",NOTA[[#This Row],[JUMLAH]]*NOTA[[#This Row],[DISC 1]])</f>
        <v/>
      </c>
      <c r="Y910" s="138" t="str">
        <f>IF(NOTA[[#This Row],[JUMLAH]]="","",(NOTA[[#This Row],[JUMLAH]]-NOTA[[#This Row],[DISC 1-]])*NOTA[[#This Row],[DISC 2]])</f>
        <v/>
      </c>
      <c r="Z910" s="138" t="str">
        <f>IF(NOTA[[#This Row],[JUMLAH]]="","",NOTA[[#This Row],[DISC 1-]]+NOTA[[#This Row],[DISC 2-]])</f>
        <v/>
      </c>
      <c r="AA910" s="138" t="str">
        <f>IF(NOTA[[#This Row],[JUMLAH]]="","",NOTA[[#This Row],[JUMLAH]]-NOTA[[#This Row],[DISC]])</f>
        <v/>
      </c>
      <c r="AB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138" t="str">
        <f>IF(OR(NOTA[[#This Row],[QTY]]="",NOTA[[#This Row],[HARGA SATUAN]]="",),"",NOTA[[#This Row],[QTY]]*NOTA[[#This Row],[HARGA SATUAN]])</f>
        <v/>
      </c>
      <c r="AF910" s="134" t="str">
        <f ca="1">IF(NOTA[ID_H]="","",INDEX(NOTA[TANGGAL],MATCH(,INDIRECT(ADDRESS(ROW(NOTA[TANGGAL]),COLUMN(NOTA[TANGGAL]))&amp;":"&amp;ADDRESS(ROW(),COLUMN(NOTA[TANGGAL]))),-1)))</f>
        <v/>
      </c>
      <c r="AG910" s="129" t="str">
        <f ca="1">IF(NOTA[[#This Row],[NAMA BARANG]]="","",INDEX(NOTA[SUPPLIER],MATCH(,INDIRECT(ADDRESS(ROW(NOTA[ID]),COLUMN(NOTA[ID]))&amp;":"&amp;ADDRESS(ROW(),COLUMN(NOTA[ID]))),-1)))</f>
        <v/>
      </c>
      <c r="AH910" s="12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0" s="38" t="str">
        <f>IF(NOTA[[#This Row],[CONCAT4]]="","",_xlfn.IFNA(MATCH(NOTA[[#This Row],[CONCAT4]],[2]!RAW[CONCAT_H],0),FALSE))</f>
        <v/>
      </c>
      <c r="AP910" s="174" t="str">
        <f>IF(NOTA[[#This Row],[CONCAT1]]="","",MATCH(NOTA[[#This Row],[CONCAT1]],[3]!db[NB NOTA_C],0)+1)</f>
        <v/>
      </c>
    </row>
    <row r="911" spans="1:42" ht="20.100000000000001" customHeight="1" x14ac:dyDescent="0.25">
      <c r="A91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130" t="str">
        <f>IF(NOTA[[#This Row],[ID_P]]="","",MATCH(NOTA[[#This Row],[ID_P]],[1]!B_MSK[N_ID],0))</f>
        <v/>
      </c>
      <c r="D911" s="130" t="str">
        <f ca="1">IF(NOTA[[#This Row],[NAMA BARANG]]="","",INDEX(NOTA[ID],MATCH(,INDIRECT(ADDRESS(ROW(NOTA[ID]),COLUMN(NOTA[ID]))&amp;":"&amp;ADDRESS(ROW(),COLUMN(NOTA[ID]))),-1)))</f>
        <v/>
      </c>
      <c r="E911" s="131"/>
      <c r="F911" s="132"/>
      <c r="G911" s="132"/>
      <c r="H911" s="133"/>
      <c r="I911" s="132"/>
      <c r="J911" s="134"/>
      <c r="K911" s="132"/>
      <c r="L911" s="132"/>
      <c r="M911" s="135"/>
      <c r="N911" s="132"/>
      <c r="O911" s="132"/>
      <c r="P911" s="129"/>
      <c r="Q911" s="136"/>
      <c r="R911" s="135"/>
      <c r="S911" s="137"/>
      <c r="T911" s="137"/>
      <c r="U911" s="138"/>
      <c r="V911" s="37"/>
      <c r="W911" s="138" t="str">
        <f>IF(NOTA[[#This Row],[HARGA/ CTN]]="",NOTA[[#This Row],[JUMLAH_H]],NOTA[[#This Row],[HARGA/ CTN]]*IF(NOTA[[#This Row],[C]]="",0,NOTA[[#This Row],[C]]))</f>
        <v/>
      </c>
      <c r="X911" s="138" t="str">
        <f>IF(NOTA[[#This Row],[JUMLAH]]="","",NOTA[[#This Row],[JUMLAH]]*NOTA[[#This Row],[DISC 1]])</f>
        <v/>
      </c>
      <c r="Y911" s="138" t="str">
        <f>IF(NOTA[[#This Row],[JUMLAH]]="","",(NOTA[[#This Row],[JUMLAH]]-NOTA[[#This Row],[DISC 1-]])*NOTA[[#This Row],[DISC 2]])</f>
        <v/>
      </c>
      <c r="Z911" s="138" t="str">
        <f>IF(NOTA[[#This Row],[JUMLAH]]="","",NOTA[[#This Row],[DISC 1-]]+NOTA[[#This Row],[DISC 2-]])</f>
        <v/>
      </c>
      <c r="AA911" s="138" t="str">
        <f>IF(NOTA[[#This Row],[JUMLAH]]="","",NOTA[[#This Row],[JUMLAH]]-NOTA[[#This Row],[DISC]])</f>
        <v/>
      </c>
      <c r="AB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138" t="str">
        <f>IF(OR(NOTA[[#This Row],[QTY]]="",NOTA[[#This Row],[HARGA SATUAN]]="",),"",NOTA[[#This Row],[QTY]]*NOTA[[#This Row],[HARGA SATUAN]])</f>
        <v/>
      </c>
      <c r="AF911" s="134" t="str">
        <f ca="1">IF(NOTA[ID_H]="","",INDEX(NOTA[TANGGAL],MATCH(,INDIRECT(ADDRESS(ROW(NOTA[TANGGAL]),COLUMN(NOTA[TANGGAL]))&amp;":"&amp;ADDRESS(ROW(),COLUMN(NOTA[TANGGAL]))),-1)))</f>
        <v/>
      </c>
      <c r="AG911" s="129" t="str">
        <f ca="1">IF(NOTA[[#This Row],[NAMA BARANG]]="","",INDEX(NOTA[SUPPLIER],MATCH(,INDIRECT(ADDRESS(ROW(NOTA[ID]),COLUMN(NOTA[ID]))&amp;":"&amp;ADDRESS(ROW(),COLUMN(NOTA[ID]))),-1)))</f>
        <v/>
      </c>
      <c r="AH911" s="12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1" s="38" t="str">
        <f>IF(NOTA[[#This Row],[CONCAT4]]="","",_xlfn.IFNA(MATCH(NOTA[[#This Row],[CONCAT4]],[2]!RAW[CONCAT_H],0),FALSE))</f>
        <v/>
      </c>
      <c r="AP911" s="174" t="str">
        <f>IF(NOTA[[#This Row],[CONCAT1]]="","",MATCH(NOTA[[#This Row],[CONCAT1]],[3]!db[NB NOTA_C],0)+1)</f>
        <v/>
      </c>
    </row>
    <row r="912" spans="1:42" ht="20.100000000000001" customHeight="1" x14ac:dyDescent="0.25">
      <c r="A91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130" t="str">
        <f>IF(NOTA[[#This Row],[ID_P]]="","",MATCH(NOTA[[#This Row],[ID_P]],[1]!B_MSK[N_ID],0))</f>
        <v/>
      </c>
      <c r="D912" s="130" t="str">
        <f ca="1">IF(NOTA[[#This Row],[NAMA BARANG]]="","",INDEX(NOTA[ID],MATCH(,INDIRECT(ADDRESS(ROW(NOTA[ID]),COLUMN(NOTA[ID]))&amp;":"&amp;ADDRESS(ROW(),COLUMN(NOTA[ID]))),-1)))</f>
        <v/>
      </c>
      <c r="E912" s="131"/>
      <c r="F912" s="132"/>
      <c r="G912" s="132"/>
      <c r="H912" s="133"/>
      <c r="I912" s="132"/>
      <c r="J912" s="134"/>
      <c r="K912" s="132"/>
      <c r="L912" s="132"/>
      <c r="M912" s="135"/>
      <c r="N912" s="132"/>
      <c r="O912" s="132"/>
      <c r="P912" s="129"/>
      <c r="Q912" s="136"/>
      <c r="R912" s="135"/>
      <c r="S912" s="137"/>
      <c r="T912" s="137"/>
      <c r="U912" s="138"/>
      <c r="V912" s="37"/>
      <c r="W912" s="138" t="str">
        <f>IF(NOTA[[#This Row],[HARGA/ CTN]]="",NOTA[[#This Row],[JUMLAH_H]],NOTA[[#This Row],[HARGA/ CTN]]*IF(NOTA[[#This Row],[C]]="",0,NOTA[[#This Row],[C]]))</f>
        <v/>
      </c>
      <c r="X912" s="138" t="str">
        <f>IF(NOTA[[#This Row],[JUMLAH]]="","",NOTA[[#This Row],[JUMLAH]]*NOTA[[#This Row],[DISC 1]])</f>
        <v/>
      </c>
      <c r="Y912" s="138" t="str">
        <f>IF(NOTA[[#This Row],[JUMLAH]]="","",(NOTA[[#This Row],[JUMLAH]]-NOTA[[#This Row],[DISC 1-]])*NOTA[[#This Row],[DISC 2]])</f>
        <v/>
      </c>
      <c r="Z912" s="138" t="str">
        <f>IF(NOTA[[#This Row],[JUMLAH]]="","",NOTA[[#This Row],[DISC 1-]]+NOTA[[#This Row],[DISC 2-]])</f>
        <v/>
      </c>
      <c r="AA912" s="138" t="str">
        <f>IF(NOTA[[#This Row],[JUMLAH]]="","",NOTA[[#This Row],[JUMLAH]]-NOTA[[#This Row],[DISC]])</f>
        <v/>
      </c>
      <c r="AB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138" t="str">
        <f>IF(OR(NOTA[[#This Row],[QTY]]="",NOTA[[#This Row],[HARGA SATUAN]]="",),"",NOTA[[#This Row],[QTY]]*NOTA[[#This Row],[HARGA SATUAN]])</f>
        <v/>
      </c>
      <c r="AF912" s="134" t="str">
        <f ca="1">IF(NOTA[ID_H]="","",INDEX(NOTA[TANGGAL],MATCH(,INDIRECT(ADDRESS(ROW(NOTA[TANGGAL]),COLUMN(NOTA[TANGGAL]))&amp;":"&amp;ADDRESS(ROW(),COLUMN(NOTA[TANGGAL]))),-1)))</f>
        <v/>
      </c>
      <c r="AG912" s="129" t="str">
        <f ca="1">IF(NOTA[[#This Row],[NAMA BARANG]]="","",INDEX(NOTA[SUPPLIER],MATCH(,INDIRECT(ADDRESS(ROW(NOTA[ID]),COLUMN(NOTA[ID]))&amp;":"&amp;ADDRESS(ROW(),COLUMN(NOTA[ID]))),-1)))</f>
        <v/>
      </c>
      <c r="AH912" s="12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2" s="38" t="str">
        <f>IF(NOTA[[#This Row],[CONCAT4]]="","",_xlfn.IFNA(MATCH(NOTA[[#This Row],[CONCAT4]],[2]!RAW[CONCAT_H],0),FALSE))</f>
        <v/>
      </c>
      <c r="AP912" s="174" t="str">
        <f>IF(NOTA[[#This Row],[CONCAT1]]="","",MATCH(NOTA[[#This Row],[CONCAT1]],[3]!db[NB NOTA_C],0)+1)</f>
        <v/>
      </c>
    </row>
    <row r="913" spans="1:42" ht="20.100000000000001" customHeight="1" x14ac:dyDescent="0.25">
      <c r="A91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130" t="str">
        <f>IF(NOTA[[#This Row],[ID_P]]="","",MATCH(NOTA[[#This Row],[ID_P]],[1]!B_MSK[N_ID],0))</f>
        <v/>
      </c>
      <c r="D913" s="130" t="str">
        <f ca="1">IF(NOTA[[#This Row],[NAMA BARANG]]="","",INDEX(NOTA[ID],MATCH(,INDIRECT(ADDRESS(ROW(NOTA[ID]),COLUMN(NOTA[ID]))&amp;":"&amp;ADDRESS(ROW(),COLUMN(NOTA[ID]))),-1)))</f>
        <v/>
      </c>
      <c r="E913" s="131"/>
      <c r="F913" s="132"/>
      <c r="G913" s="132"/>
      <c r="H913" s="133"/>
      <c r="I913" s="132"/>
      <c r="J913" s="134"/>
      <c r="K913" s="132"/>
      <c r="L913" s="132"/>
      <c r="M913" s="135"/>
      <c r="N913" s="132"/>
      <c r="O913" s="132"/>
      <c r="P913" s="129"/>
      <c r="Q913" s="136"/>
      <c r="R913" s="135"/>
      <c r="S913" s="137"/>
      <c r="T913" s="137"/>
      <c r="U913" s="138"/>
      <c r="V913" s="37"/>
      <c r="W913" s="138" t="str">
        <f>IF(NOTA[[#This Row],[HARGA/ CTN]]="",NOTA[[#This Row],[JUMLAH_H]],NOTA[[#This Row],[HARGA/ CTN]]*IF(NOTA[[#This Row],[C]]="",0,NOTA[[#This Row],[C]]))</f>
        <v/>
      </c>
      <c r="X913" s="138" t="str">
        <f>IF(NOTA[[#This Row],[JUMLAH]]="","",NOTA[[#This Row],[JUMLAH]]*NOTA[[#This Row],[DISC 1]])</f>
        <v/>
      </c>
      <c r="Y913" s="138" t="str">
        <f>IF(NOTA[[#This Row],[JUMLAH]]="","",(NOTA[[#This Row],[JUMLAH]]-NOTA[[#This Row],[DISC 1-]])*NOTA[[#This Row],[DISC 2]])</f>
        <v/>
      </c>
      <c r="Z913" s="138" t="str">
        <f>IF(NOTA[[#This Row],[JUMLAH]]="","",NOTA[[#This Row],[DISC 1-]]+NOTA[[#This Row],[DISC 2-]])</f>
        <v/>
      </c>
      <c r="AA913" s="138" t="str">
        <f>IF(NOTA[[#This Row],[JUMLAH]]="","",NOTA[[#This Row],[JUMLAH]]-NOTA[[#This Row],[DISC]])</f>
        <v/>
      </c>
      <c r="AB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138" t="str">
        <f>IF(OR(NOTA[[#This Row],[QTY]]="",NOTA[[#This Row],[HARGA SATUAN]]="",),"",NOTA[[#This Row],[QTY]]*NOTA[[#This Row],[HARGA SATUAN]])</f>
        <v/>
      </c>
      <c r="AF913" s="134" t="str">
        <f ca="1">IF(NOTA[ID_H]="","",INDEX(NOTA[TANGGAL],MATCH(,INDIRECT(ADDRESS(ROW(NOTA[TANGGAL]),COLUMN(NOTA[TANGGAL]))&amp;":"&amp;ADDRESS(ROW(),COLUMN(NOTA[TANGGAL]))),-1)))</f>
        <v/>
      </c>
      <c r="AG913" s="129" t="str">
        <f ca="1">IF(NOTA[[#This Row],[NAMA BARANG]]="","",INDEX(NOTA[SUPPLIER],MATCH(,INDIRECT(ADDRESS(ROW(NOTA[ID]),COLUMN(NOTA[ID]))&amp;":"&amp;ADDRESS(ROW(),COLUMN(NOTA[ID]))),-1)))</f>
        <v/>
      </c>
      <c r="AH913" s="12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3" s="38" t="str">
        <f>IF(NOTA[[#This Row],[CONCAT4]]="","",_xlfn.IFNA(MATCH(NOTA[[#This Row],[CONCAT4]],[2]!RAW[CONCAT_H],0),FALSE))</f>
        <v/>
      </c>
      <c r="AP913" s="174" t="str">
        <f>IF(NOTA[[#This Row],[CONCAT1]]="","",MATCH(NOTA[[#This Row],[CONCAT1]],[3]!db[NB NOTA_C],0)+1)</f>
        <v/>
      </c>
    </row>
    <row r="914" spans="1:42" ht="20.100000000000001" customHeight="1" x14ac:dyDescent="0.25">
      <c r="A91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130" t="str">
        <f>IF(NOTA[[#This Row],[ID_P]]="","",MATCH(NOTA[[#This Row],[ID_P]],[1]!B_MSK[N_ID],0))</f>
        <v/>
      </c>
      <c r="D914" s="130" t="str">
        <f ca="1">IF(NOTA[[#This Row],[NAMA BARANG]]="","",INDEX(NOTA[ID],MATCH(,INDIRECT(ADDRESS(ROW(NOTA[ID]),COLUMN(NOTA[ID]))&amp;":"&amp;ADDRESS(ROW(),COLUMN(NOTA[ID]))),-1)))</f>
        <v/>
      </c>
      <c r="E914" s="131"/>
      <c r="F914" s="132"/>
      <c r="G914" s="132"/>
      <c r="H914" s="133"/>
      <c r="I914" s="132"/>
      <c r="J914" s="134"/>
      <c r="K914" s="132"/>
      <c r="L914" s="132"/>
      <c r="M914" s="135"/>
      <c r="N914" s="132"/>
      <c r="O914" s="132"/>
      <c r="P914" s="129"/>
      <c r="Q914" s="136"/>
      <c r="R914" s="135"/>
      <c r="S914" s="137"/>
      <c r="T914" s="137"/>
      <c r="U914" s="138"/>
      <c r="V914" s="37"/>
      <c r="W914" s="138" t="str">
        <f>IF(NOTA[[#This Row],[HARGA/ CTN]]="",NOTA[[#This Row],[JUMLAH_H]],NOTA[[#This Row],[HARGA/ CTN]]*IF(NOTA[[#This Row],[C]]="",0,NOTA[[#This Row],[C]]))</f>
        <v/>
      </c>
      <c r="X914" s="138" t="str">
        <f>IF(NOTA[[#This Row],[JUMLAH]]="","",NOTA[[#This Row],[JUMLAH]]*NOTA[[#This Row],[DISC 1]])</f>
        <v/>
      </c>
      <c r="Y914" s="138" t="str">
        <f>IF(NOTA[[#This Row],[JUMLAH]]="","",(NOTA[[#This Row],[JUMLAH]]-NOTA[[#This Row],[DISC 1-]])*NOTA[[#This Row],[DISC 2]])</f>
        <v/>
      </c>
      <c r="Z914" s="138" t="str">
        <f>IF(NOTA[[#This Row],[JUMLAH]]="","",NOTA[[#This Row],[DISC 1-]]+NOTA[[#This Row],[DISC 2-]])</f>
        <v/>
      </c>
      <c r="AA914" s="138" t="str">
        <f>IF(NOTA[[#This Row],[JUMLAH]]="","",NOTA[[#This Row],[JUMLAH]]-NOTA[[#This Row],[DISC]])</f>
        <v/>
      </c>
      <c r="AB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138" t="str">
        <f>IF(OR(NOTA[[#This Row],[QTY]]="",NOTA[[#This Row],[HARGA SATUAN]]="",),"",NOTA[[#This Row],[QTY]]*NOTA[[#This Row],[HARGA SATUAN]])</f>
        <v/>
      </c>
      <c r="AF914" s="134" t="str">
        <f ca="1">IF(NOTA[ID_H]="","",INDEX(NOTA[TANGGAL],MATCH(,INDIRECT(ADDRESS(ROW(NOTA[TANGGAL]),COLUMN(NOTA[TANGGAL]))&amp;":"&amp;ADDRESS(ROW(),COLUMN(NOTA[TANGGAL]))),-1)))</f>
        <v/>
      </c>
      <c r="AG914" s="129" t="str">
        <f ca="1">IF(NOTA[[#This Row],[NAMA BARANG]]="","",INDEX(NOTA[SUPPLIER],MATCH(,INDIRECT(ADDRESS(ROW(NOTA[ID]),COLUMN(NOTA[ID]))&amp;":"&amp;ADDRESS(ROW(),COLUMN(NOTA[ID]))),-1)))</f>
        <v/>
      </c>
      <c r="AH914" s="12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4" s="38" t="str">
        <f>IF(NOTA[[#This Row],[CONCAT4]]="","",_xlfn.IFNA(MATCH(NOTA[[#This Row],[CONCAT4]],[2]!RAW[CONCAT_H],0),FALSE))</f>
        <v/>
      </c>
      <c r="AP914" s="174" t="str">
        <f>IF(NOTA[[#This Row],[CONCAT1]]="","",MATCH(NOTA[[#This Row],[CONCAT1]],[3]!db[NB NOTA_C],0)+1)</f>
        <v/>
      </c>
    </row>
    <row r="915" spans="1:42" ht="20.100000000000001" customHeight="1" x14ac:dyDescent="0.25">
      <c r="A91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130" t="str">
        <f>IF(NOTA[[#This Row],[ID_P]]="","",MATCH(NOTA[[#This Row],[ID_P]],[1]!B_MSK[N_ID],0))</f>
        <v/>
      </c>
      <c r="D915" s="130" t="str">
        <f ca="1">IF(NOTA[[#This Row],[NAMA BARANG]]="","",INDEX(NOTA[ID],MATCH(,INDIRECT(ADDRESS(ROW(NOTA[ID]),COLUMN(NOTA[ID]))&amp;":"&amp;ADDRESS(ROW(),COLUMN(NOTA[ID]))),-1)))</f>
        <v/>
      </c>
      <c r="E915" s="131"/>
      <c r="F915" s="132"/>
      <c r="G915" s="132"/>
      <c r="H915" s="133"/>
      <c r="I915" s="132"/>
      <c r="J915" s="134"/>
      <c r="K915" s="132"/>
      <c r="L915" s="132"/>
      <c r="M915" s="135"/>
      <c r="N915" s="132"/>
      <c r="O915" s="132"/>
      <c r="P915" s="129"/>
      <c r="Q915" s="136"/>
      <c r="R915" s="135"/>
      <c r="S915" s="137"/>
      <c r="T915" s="137"/>
      <c r="U915" s="138"/>
      <c r="V915" s="37"/>
      <c r="W915" s="138" t="str">
        <f>IF(NOTA[[#This Row],[HARGA/ CTN]]="",NOTA[[#This Row],[JUMLAH_H]],NOTA[[#This Row],[HARGA/ CTN]]*IF(NOTA[[#This Row],[C]]="",0,NOTA[[#This Row],[C]]))</f>
        <v/>
      </c>
      <c r="X915" s="138" t="str">
        <f>IF(NOTA[[#This Row],[JUMLAH]]="","",NOTA[[#This Row],[JUMLAH]]*NOTA[[#This Row],[DISC 1]])</f>
        <v/>
      </c>
      <c r="Y915" s="138" t="str">
        <f>IF(NOTA[[#This Row],[JUMLAH]]="","",(NOTA[[#This Row],[JUMLAH]]-NOTA[[#This Row],[DISC 1-]])*NOTA[[#This Row],[DISC 2]])</f>
        <v/>
      </c>
      <c r="Z915" s="138" t="str">
        <f>IF(NOTA[[#This Row],[JUMLAH]]="","",NOTA[[#This Row],[DISC 1-]]+NOTA[[#This Row],[DISC 2-]])</f>
        <v/>
      </c>
      <c r="AA915" s="138" t="str">
        <f>IF(NOTA[[#This Row],[JUMLAH]]="","",NOTA[[#This Row],[JUMLAH]]-NOTA[[#This Row],[DISC]])</f>
        <v/>
      </c>
      <c r="AB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138" t="str">
        <f>IF(OR(NOTA[[#This Row],[QTY]]="",NOTA[[#This Row],[HARGA SATUAN]]="",),"",NOTA[[#This Row],[QTY]]*NOTA[[#This Row],[HARGA SATUAN]])</f>
        <v/>
      </c>
      <c r="AF915" s="134" t="str">
        <f ca="1">IF(NOTA[ID_H]="","",INDEX(NOTA[TANGGAL],MATCH(,INDIRECT(ADDRESS(ROW(NOTA[TANGGAL]),COLUMN(NOTA[TANGGAL]))&amp;":"&amp;ADDRESS(ROW(),COLUMN(NOTA[TANGGAL]))),-1)))</f>
        <v/>
      </c>
      <c r="AG915" s="129" t="str">
        <f ca="1">IF(NOTA[[#This Row],[NAMA BARANG]]="","",INDEX(NOTA[SUPPLIER],MATCH(,INDIRECT(ADDRESS(ROW(NOTA[ID]),COLUMN(NOTA[ID]))&amp;":"&amp;ADDRESS(ROW(),COLUMN(NOTA[ID]))),-1)))</f>
        <v/>
      </c>
      <c r="AH915" s="12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5" s="38" t="str">
        <f>IF(NOTA[[#This Row],[CONCAT4]]="","",_xlfn.IFNA(MATCH(NOTA[[#This Row],[CONCAT4]],[2]!RAW[CONCAT_H],0),FALSE))</f>
        <v/>
      </c>
      <c r="AP915" s="174" t="str">
        <f>IF(NOTA[[#This Row],[CONCAT1]]="","",MATCH(NOTA[[#This Row],[CONCAT1]],[3]!db[NB NOTA_C],0)+1)</f>
        <v/>
      </c>
    </row>
    <row r="916" spans="1:42" ht="20.100000000000001" customHeight="1" x14ac:dyDescent="0.25">
      <c r="A91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130" t="str">
        <f>IF(NOTA[[#This Row],[ID_P]]="","",MATCH(NOTA[[#This Row],[ID_P]],[1]!B_MSK[N_ID],0))</f>
        <v/>
      </c>
      <c r="D916" s="130" t="str">
        <f ca="1">IF(NOTA[[#This Row],[NAMA BARANG]]="","",INDEX(NOTA[ID],MATCH(,INDIRECT(ADDRESS(ROW(NOTA[ID]),COLUMN(NOTA[ID]))&amp;":"&amp;ADDRESS(ROW(),COLUMN(NOTA[ID]))),-1)))</f>
        <v/>
      </c>
      <c r="E916" s="131"/>
      <c r="F916" s="132"/>
      <c r="G916" s="132"/>
      <c r="H916" s="133"/>
      <c r="I916" s="132"/>
      <c r="J916" s="134"/>
      <c r="K916" s="132"/>
      <c r="L916" s="132"/>
      <c r="M916" s="135"/>
      <c r="N916" s="132"/>
      <c r="O916" s="132"/>
      <c r="P916" s="129"/>
      <c r="Q916" s="136"/>
      <c r="R916" s="135"/>
      <c r="S916" s="137"/>
      <c r="T916" s="137"/>
      <c r="U916" s="138"/>
      <c r="V916" s="37"/>
      <c r="W916" s="138" t="str">
        <f>IF(NOTA[[#This Row],[HARGA/ CTN]]="",NOTA[[#This Row],[JUMLAH_H]],NOTA[[#This Row],[HARGA/ CTN]]*IF(NOTA[[#This Row],[C]]="",0,NOTA[[#This Row],[C]]))</f>
        <v/>
      </c>
      <c r="X916" s="138" t="str">
        <f>IF(NOTA[[#This Row],[JUMLAH]]="","",NOTA[[#This Row],[JUMLAH]]*NOTA[[#This Row],[DISC 1]])</f>
        <v/>
      </c>
      <c r="Y916" s="138" t="str">
        <f>IF(NOTA[[#This Row],[JUMLAH]]="","",(NOTA[[#This Row],[JUMLAH]]-NOTA[[#This Row],[DISC 1-]])*NOTA[[#This Row],[DISC 2]])</f>
        <v/>
      </c>
      <c r="Z916" s="138" t="str">
        <f>IF(NOTA[[#This Row],[JUMLAH]]="","",NOTA[[#This Row],[DISC 1-]]+NOTA[[#This Row],[DISC 2-]])</f>
        <v/>
      </c>
      <c r="AA916" s="138" t="str">
        <f>IF(NOTA[[#This Row],[JUMLAH]]="","",NOTA[[#This Row],[JUMLAH]]-NOTA[[#This Row],[DISC]])</f>
        <v/>
      </c>
      <c r="AB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138" t="str">
        <f>IF(OR(NOTA[[#This Row],[QTY]]="",NOTA[[#This Row],[HARGA SATUAN]]="",),"",NOTA[[#This Row],[QTY]]*NOTA[[#This Row],[HARGA SATUAN]])</f>
        <v/>
      </c>
      <c r="AF916" s="134" t="str">
        <f ca="1">IF(NOTA[ID_H]="","",INDEX(NOTA[TANGGAL],MATCH(,INDIRECT(ADDRESS(ROW(NOTA[TANGGAL]),COLUMN(NOTA[TANGGAL]))&amp;":"&amp;ADDRESS(ROW(),COLUMN(NOTA[TANGGAL]))),-1)))</f>
        <v/>
      </c>
      <c r="AG916" s="129" t="str">
        <f ca="1">IF(NOTA[[#This Row],[NAMA BARANG]]="","",INDEX(NOTA[SUPPLIER],MATCH(,INDIRECT(ADDRESS(ROW(NOTA[ID]),COLUMN(NOTA[ID]))&amp;":"&amp;ADDRESS(ROW(),COLUMN(NOTA[ID]))),-1)))</f>
        <v/>
      </c>
      <c r="AH916" s="12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6" s="38" t="str">
        <f>IF(NOTA[[#This Row],[CONCAT4]]="","",_xlfn.IFNA(MATCH(NOTA[[#This Row],[CONCAT4]],[2]!RAW[CONCAT_H],0),FALSE))</f>
        <v/>
      </c>
      <c r="AP916" s="174" t="str">
        <f>IF(NOTA[[#This Row],[CONCAT1]]="","",MATCH(NOTA[[#This Row],[CONCAT1]],[3]!db[NB NOTA_C],0)+1)</f>
        <v/>
      </c>
    </row>
    <row r="917" spans="1:42" ht="20.100000000000001" customHeight="1" x14ac:dyDescent="0.25">
      <c r="A91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130" t="str">
        <f>IF(NOTA[[#This Row],[ID_P]]="","",MATCH(NOTA[[#This Row],[ID_P]],[1]!B_MSK[N_ID],0))</f>
        <v/>
      </c>
      <c r="D917" s="130" t="str">
        <f ca="1">IF(NOTA[[#This Row],[NAMA BARANG]]="","",INDEX(NOTA[ID],MATCH(,INDIRECT(ADDRESS(ROW(NOTA[ID]),COLUMN(NOTA[ID]))&amp;":"&amp;ADDRESS(ROW(),COLUMN(NOTA[ID]))),-1)))</f>
        <v/>
      </c>
      <c r="E917" s="131"/>
      <c r="F917" s="132"/>
      <c r="G917" s="132"/>
      <c r="H917" s="133"/>
      <c r="I917" s="132"/>
      <c r="J917" s="134"/>
      <c r="K917" s="132"/>
      <c r="L917" s="132"/>
      <c r="M917" s="135"/>
      <c r="N917" s="132"/>
      <c r="O917" s="132"/>
      <c r="P917" s="129"/>
      <c r="Q917" s="136"/>
      <c r="R917" s="135"/>
      <c r="S917" s="137"/>
      <c r="T917" s="137"/>
      <c r="U917" s="138"/>
      <c r="V917" s="37"/>
      <c r="W917" s="138" t="str">
        <f>IF(NOTA[[#This Row],[HARGA/ CTN]]="",NOTA[[#This Row],[JUMLAH_H]],NOTA[[#This Row],[HARGA/ CTN]]*IF(NOTA[[#This Row],[C]]="",0,NOTA[[#This Row],[C]]))</f>
        <v/>
      </c>
      <c r="X917" s="138" t="str">
        <f>IF(NOTA[[#This Row],[JUMLAH]]="","",NOTA[[#This Row],[JUMLAH]]*NOTA[[#This Row],[DISC 1]])</f>
        <v/>
      </c>
      <c r="Y917" s="138" t="str">
        <f>IF(NOTA[[#This Row],[JUMLAH]]="","",(NOTA[[#This Row],[JUMLAH]]-NOTA[[#This Row],[DISC 1-]])*NOTA[[#This Row],[DISC 2]])</f>
        <v/>
      </c>
      <c r="Z917" s="138" t="str">
        <f>IF(NOTA[[#This Row],[JUMLAH]]="","",NOTA[[#This Row],[DISC 1-]]+NOTA[[#This Row],[DISC 2-]])</f>
        <v/>
      </c>
      <c r="AA917" s="138" t="str">
        <f>IF(NOTA[[#This Row],[JUMLAH]]="","",NOTA[[#This Row],[JUMLAH]]-NOTA[[#This Row],[DISC]])</f>
        <v/>
      </c>
      <c r="AB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138" t="str">
        <f>IF(OR(NOTA[[#This Row],[QTY]]="",NOTA[[#This Row],[HARGA SATUAN]]="",),"",NOTA[[#This Row],[QTY]]*NOTA[[#This Row],[HARGA SATUAN]])</f>
        <v/>
      </c>
      <c r="AF917" s="134" t="str">
        <f ca="1">IF(NOTA[ID_H]="","",INDEX(NOTA[TANGGAL],MATCH(,INDIRECT(ADDRESS(ROW(NOTA[TANGGAL]),COLUMN(NOTA[TANGGAL]))&amp;":"&amp;ADDRESS(ROW(),COLUMN(NOTA[TANGGAL]))),-1)))</f>
        <v/>
      </c>
      <c r="AG917" s="129" t="str">
        <f ca="1">IF(NOTA[[#This Row],[NAMA BARANG]]="","",INDEX(NOTA[SUPPLIER],MATCH(,INDIRECT(ADDRESS(ROW(NOTA[ID]),COLUMN(NOTA[ID]))&amp;":"&amp;ADDRESS(ROW(),COLUMN(NOTA[ID]))),-1)))</f>
        <v/>
      </c>
      <c r="AH917" s="12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7" s="38" t="str">
        <f>IF(NOTA[[#This Row],[CONCAT4]]="","",_xlfn.IFNA(MATCH(NOTA[[#This Row],[CONCAT4]],[2]!RAW[CONCAT_H],0),FALSE))</f>
        <v/>
      </c>
      <c r="AP917" s="174" t="str">
        <f>IF(NOTA[[#This Row],[CONCAT1]]="","",MATCH(NOTA[[#This Row],[CONCAT1]],[3]!db[NB NOTA_C],0)+1)</f>
        <v/>
      </c>
    </row>
    <row r="918" spans="1:42" ht="20.100000000000001" customHeight="1" x14ac:dyDescent="0.25">
      <c r="A91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130" t="str">
        <f>IF(NOTA[[#This Row],[ID_P]]="","",MATCH(NOTA[[#This Row],[ID_P]],[1]!B_MSK[N_ID],0))</f>
        <v/>
      </c>
      <c r="D918" s="130" t="str">
        <f ca="1">IF(NOTA[[#This Row],[NAMA BARANG]]="","",INDEX(NOTA[ID],MATCH(,INDIRECT(ADDRESS(ROW(NOTA[ID]),COLUMN(NOTA[ID]))&amp;":"&amp;ADDRESS(ROW(),COLUMN(NOTA[ID]))),-1)))</f>
        <v/>
      </c>
      <c r="E918" s="131"/>
      <c r="F918" s="132"/>
      <c r="G918" s="132"/>
      <c r="H918" s="133"/>
      <c r="I918" s="132"/>
      <c r="J918" s="134"/>
      <c r="K918" s="132"/>
      <c r="L918" s="132"/>
      <c r="M918" s="135"/>
      <c r="N918" s="132"/>
      <c r="O918" s="132"/>
      <c r="P918" s="129"/>
      <c r="Q918" s="136"/>
      <c r="R918" s="135"/>
      <c r="S918" s="137"/>
      <c r="T918" s="137"/>
      <c r="U918" s="138"/>
      <c r="V918" s="37"/>
      <c r="W918" s="138" t="str">
        <f>IF(NOTA[[#This Row],[HARGA/ CTN]]="",NOTA[[#This Row],[JUMLAH_H]],NOTA[[#This Row],[HARGA/ CTN]]*IF(NOTA[[#This Row],[C]]="",0,NOTA[[#This Row],[C]]))</f>
        <v/>
      </c>
      <c r="X918" s="138" t="str">
        <f>IF(NOTA[[#This Row],[JUMLAH]]="","",NOTA[[#This Row],[JUMLAH]]*NOTA[[#This Row],[DISC 1]])</f>
        <v/>
      </c>
      <c r="Y918" s="138" t="str">
        <f>IF(NOTA[[#This Row],[JUMLAH]]="","",(NOTA[[#This Row],[JUMLAH]]-NOTA[[#This Row],[DISC 1-]])*NOTA[[#This Row],[DISC 2]])</f>
        <v/>
      </c>
      <c r="Z918" s="138" t="str">
        <f>IF(NOTA[[#This Row],[JUMLAH]]="","",NOTA[[#This Row],[DISC 1-]]+NOTA[[#This Row],[DISC 2-]])</f>
        <v/>
      </c>
      <c r="AA918" s="138" t="str">
        <f>IF(NOTA[[#This Row],[JUMLAH]]="","",NOTA[[#This Row],[JUMLAH]]-NOTA[[#This Row],[DISC]])</f>
        <v/>
      </c>
      <c r="AB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138" t="str">
        <f>IF(OR(NOTA[[#This Row],[QTY]]="",NOTA[[#This Row],[HARGA SATUAN]]="",),"",NOTA[[#This Row],[QTY]]*NOTA[[#This Row],[HARGA SATUAN]])</f>
        <v/>
      </c>
      <c r="AF918" s="134" t="str">
        <f ca="1">IF(NOTA[ID_H]="","",INDEX(NOTA[TANGGAL],MATCH(,INDIRECT(ADDRESS(ROW(NOTA[TANGGAL]),COLUMN(NOTA[TANGGAL]))&amp;":"&amp;ADDRESS(ROW(),COLUMN(NOTA[TANGGAL]))),-1)))</f>
        <v/>
      </c>
      <c r="AG918" s="129" t="str">
        <f ca="1">IF(NOTA[[#This Row],[NAMA BARANG]]="","",INDEX(NOTA[SUPPLIER],MATCH(,INDIRECT(ADDRESS(ROW(NOTA[ID]),COLUMN(NOTA[ID]))&amp;":"&amp;ADDRESS(ROW(),COLUMN(NOTA[ID]))),-1)))</f>
        <v/>
      </c>
      <c r="AH918" s="12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8" s="38" t="str">
        <f>IF(NOTA[[#This Row],[CONCAT4]]="","",_xlfn.IFNA(MATCH(NOTA[[#This Row],[CONCAT4]],[2]!RAW[CONCAT_H],0),FALSE))</f>
        <v/>
      </c>
      <c r="AP918" s="174" t="str">
        <f>IF(NOTA[[#This Row],[CONCAT1]]="","",MATCH(NOTA[[#This Row],[CONCAT1]],[3]!db[NB NOTA_C],0)+1)</f>
        <v/>
      </c>
    </row>
    <row r="919" spans="1:42" ht="20.100000000000001" customHeight="1" x14ac:dyDescent="0.25">
      <c r="A91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130" t="str">
        <f>IF(NOTA[[#This Row],[ID_P]]="","",MATCH(NOTA[[#This Row],[ID_P]],[1]!B_MSK[N_ID],0))</f>
        <v/>
      </c>
      <c r="D919" s="130" t="str">
        <f ca="1">IF(NOTA[[#This Row],[NAMA BARANG]]="","",INDEX(NOTA[ID],MATCH(,INDIRECT(ADDRESS(ROW(NOTA[ID]),COLUMN(NOTA[ID]))&amp;":"&amp;ADDRESS(ROW(),COLUMN(NOTA[ID]))),-1)))</f>
        <v/>
      </c>
      <c r="E919" s="131"/>
      <c r="F919" s="26"/>
      <c r="G919" s="132"/>
      <c r="H919" s="133"/>
      <c r="I919" s="132"/>
      <c r="J919" s="134"/>
      <c r="K919" s="132"/>
      <c r="L919" s="132"/>
      <c r="M919" s="135"/>
      <c r="N919" s="132"/>
      <c r="O919" s="132"/>
      <c r="P919" s="129"/>
      <c r="Q919" s="136"/>
      <c r="R919" s="135"/>
      <c r="S919" s="137"/>
      <c r="T919" s="137"/>
      <c r="U919" s="138"/>
      <c r="V919" s="37"/>
      <c r="W919" s="138" t="str">
        <f>IF(NOTA[[#This Row],[HARGA/ CTN]]="",NOTA[[#This Row],[JUMLAH_H]],NOTA[[#This Row],[HARGA/ CTN]]*IF(NOTA[[#This Row],[C]]="",0,NOTA[[#This Row],[C]]))</f>
        <v/>
      </c>
      <c r="X919" s="138" t="str">
        <f>IF(NOTA[[#This Row],[JUMLAH]]="","",NOTA[[#This Row],[JUMLAH]]*NOTA[[#This Row],[DISC 1]])</f>
        <v/>
      </c>
      <c r="Y919" s="138" t="str">
        <f>IF(NOTA[[#This Row],[JUMLAH]]="","",(NOTA[[#This Row],[JUMLAH]]-NOTA[[#This Row],[DISC 1-]])*NOTA[[#This Row],[DISC 2]])</f>
        <v/>
      </c>
      <c r="Z919" s="138" t="str">
        <f>IF(NOTA[[#This Row],[JUMLAH]]="","",NOTA[[#This Row],[DISC 1-]]+NOTA[[#This Row],[DISC 2-]])</f>
        <v/>
      </c>
      <c r="AA919" s="138" t="str">
        <f>IF(NOTA[[#This Row],[JUMLAH]]="","",NOTA[[#This Row],[JUMLAH]]-NOTA[[#This Row],[DISC]])</f>
        <v/>
      </c>
      <c r="AB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138" t="str">
        <f>IF(OR(NOTA[[#This Row],[QTY]]="",NOTA[[#This Row],[HARGA SATUAN]]="",),"",NOTA[[#This Row],[QTY]]*NOTA[[#This Row],[HARGA SATUAN]])</f>
        <v/>
      </c>
      <c r="AF919" s="134" t="str">
        <f ca="1">IF(NOTA[ID_H]="","",INDEX(NOTA[TANGGAL],MATCH(,INDIRECT(ADDRESS(ROW(NOTA[TANGGAL]),COLUMN(NOTA[TANGGAL]))&amp;":"&amp;ADDRESS(ROW(),COLUMN(NOTA[TANGGAL]))),-1)))</f>
        <v/>
      </c>
      <c r="AG919" s="129" t="str">
        <f ca="1">IF(NOTA[[#This Row],[NAMA BARANG]]="","",INDEX(NOTA[SUPPLIER],MATCH(,INDIRECT(ADDRESS(ROW(NOTA[ID]),COLUMN(NOTA[ID]))&amp;":"&amp;ADDRESS(ROW(),COLUMN(NOTA[ID]))),-1)))</f>
        <v/>
      </c>
      <c r="AH919" s="12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9" s="38" t="str">
        <f>IF(NOTA[[#This Row],[CONCAT4]]="","",_xlfn.IFNA(MATCH(NOTA[[#This Row],[CONCAT4]],[2]!RAW[CONCAT_H],0),FALSE))</f>
        <v/>
      </c>
      <c r="AP919" s="174" t="str">
        <f>IF(NOTA[[#This Row],[CONCAT1]]="","",MATCH(NOTA[[#This Row],[CONCAT1]],[3]!db[NB NOTA_C],0)+1)</f>
        <v/>
      </c>
    </row>
    <row r="920" spans="1:42" ht="20.100000000000001" customHeight="1" x14ac:dyDescent="0.25">
      <c r="A92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130" t="str">
        <f>IF(NOTA[[#This Row],[ID_P]]="","",MATCH(NOTA[[#This Row],[ID_P]],[1]!B_MSK[N_ID],0))</f>
        <v/>
      </c>
      <c r="D920" s="130" t="str">
        <f ca="1">IF(NOTA[[#This Row],[NAMA BARANG]]="","",INDEX(NOTA[ID],MATCH(,INDIRECT(ADDRESS(ROW(NOTA[ID]),COLUMN(NOTA[ID]))&amp;":"&amp;ADDRESS(ROW(),COLUMN(NOTA[ID]))),-1)))</f>
        <v/>
      </c>
      <c r="E920" s="131"/>
      <c r="F920" s="132"/>
      <c r="G920" s="132"/>
      <c r="H920" s="133"/>
      <c r="I920" s="132"/>
      <c r="J920" s="134"/>
      <c r="K920" s="132"/>
      <c r="L920" s="132"/>
      <c r="M920" s="135"/>
      <c r="N920" s="132"/>
      <c r="O920" s="132"/>
      <c r="P920" s="129"/>
      <c r="Q920" s="136"/>
      <c r="R920" s="135"/>
      <c r="S920" s="137"/>
      <c r="T920" s="137"/>
      <c r="U920" s="138"/>
      <c r="V920" s="37"/>
      <c r="W920" s="138" t="str">
        <f>IF(NOTA[[#This Row],[HARGA/ CTN]]="",NOTA[[#This Row],[JUMLAH_H]],NOTA[[#This Row],[HARGA/ CTN]]*IF(NOTA[[#This Row],[C]]="",0,NOTA[[#This Row],[C]]))</f>
        <v/>
      </c>
      <c r="X920" s="138" t="str">
        <f>IF(NOTA[[#This Row],[JUMLAH]]="","",NOTA[[#This Row],[JUMLAH]]*NOTA[[#This Row],[DISC 1]])</f>
        <v/>
      </c>
      <c r="Y920" s="138" t="str">
        <f>IF(NOTA[[#This Row],[JUMLAH]]="","",(NOTA[[#This Row],[JUMLAH]]-NOTA[[#This Row],[DISC 1-]])*NOTA[[#This Row],[DISC 2]])</f>
        <v/>
      </c>
      <c r="Z920" s="138" t="str">
        <f>IF(NOTA[[#This Row],[JUMLAH]]="","",NOTA[[#This Row],[DISC 1-]]+NOTA[[#This Row],[DISC 2-]])</f>
        <v/>
      </c>
      <c r="AA920" s="138" t="str">
        <f>IF(NOTA[[#This Row],[JUMLAH]]="","",NOTA[[#This Row],[JUMLAH]]-NOTA[[#This Row],[DISC]])</f>
        <v/>
      </c>
      <c r="AB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138" t="str">
        <f>IF(OR(NOTA[[#This Row],[QTY]]="",NOTA[[#This Row],[HARGA SATUAN]]="",),"",NOTA[[#This Row],[QTY]]*NOTA[[#This Row],[HARGA SATUAN]])</f>
        <v/>
      </c>
      <c r="AF920" s="134" t="str">
        <f ca="1">IF(NOTA[ID_H]="","",INDEX(NOTA[TANGGAL],MATCH(,INDIRECT(ADDRESS(ROW(NOTA[TANGGAL]),COLUMN(NOTA[TANGGAL]))&amp;":"&amp;ADDRESS(ROW(),COLUMN(NOTA[TANGGAL]))),-1)))</f>
        <v/>
      </c>
      <c r="AG920" s="129" t="str">
        <f ca="1">IF(NOTA[[#This Row],[NAMA BARANG]]="","",INDEX(NOTA[SUPPLIER],MATCH(,INDIRECT(ADDRESS(ROW(NOTA[ID]),COLUMN(NOTA[ID]))&amp;":"&amp;ADDRESS(ROW(),COLUMN(NOTA[ID]))),-1)))</f>
        <v/>
      </c>
      <c r="AH920" s="12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0" s="38" t="str">
        <f>IF(NOTA[[#This Row],[CONCAT4]]="","",_xlfn.IFNA(MATCH(NOTA[[#This Row],[CONCAT4]],[2]!RAW[CONCAT_H],0),FALSE))</f>
        <v/>
      </c>
      <c r="AP920" s="174" t="str">
        <f>IF(NOTA[[#This Row],[CONCAT1]]="","",MATCH(NOTA[[#This Row],[CONCAT1]],[3]!db[NB NOTA_C],0)+1)</f>
        <v/>
      </c>
    </row>
    <row r="921" spans="1:42" ht="20.100000000000001" customHeight="1" x14ac:dyDescent="0.25">
      <c r="A92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2" t="str">
        <f>IF(NOTA[[#This Row],[ID_P]]="","",MATCH(NOTA[[#This Row],[ID_P]],[1]!B_MSK[N_ID],0))</f>
        <v/>
      </c>
      <c r="D921" s="92" t="str">
        <f ca="1">IF(NOTA[[#This Row],[NAMA BARANG]]="","",INDEX(NOTA[ID],MATCH(,INDIRECT(ADDRESS(ROW(NOTA[ID]),COLUMN(NOTA[ID]))&amp;":"&amp;ADDRESS(ROW(),COLUMN(NOTA[ID]))),-1)))</f>
        <v/>
      </c>
      <c r="E921" s="139"/>
      <c r="F921" s="38"/>
      <c r="G921" s="38"/>
      <c r="H921" s="79"/>
      <c r="I921" s="38"/>
      <c r="J921" s="78"/>
      <c r="K921" s="38"/>
      <c r="L921" s="38"/>
      <c r="M921" s="140"/>
      <c r="N921" s="38"/>
      <c r="O921" s="38"/>
      <c r="P921" s="90"/>
      <c r="Q921" s="105"/>
      <c r="R921" s="140"/>
      <c r="S921" s="141"/>
      <c r="T921" s="141"/>
      <c r="U921" s="66"/>
      <c r="V921" s="103"/>
      <c r="W921" s="66" t="str">
        <f>IF(NOTA[[#This Row],[HARGA/ CTN]]="",NOTA[[#This Row],[JUMLAH_H]],NOTA[[#This Row],[HARGA/ CTN]]*IF(NOTA[[#This Row],[C]]="",0,NOTA[[#This Row],[C]]))</f>
        <v/>
      </c>
      <c r="X921" s="66" t="str">
        <f>IF(NOTA[[#This Row],[JUMLAH]]="","",NOTA[[#This Row],[JUMLAH]]*NOTA[[#This Row],[DISC 1]])</f>
        <v/>
      </c>
      <c r="Y921" s="66" t="str">
        <f>IF(NOTA[[#This Row],[JUMLAH]]="","",(NOTA[[#This Row],[JUMLAH]]-NOTA[[#This Row],[DISC 1-]])*NOTA[[#This Row],[DISC 2]])</f>
        <v/>
      </c>
      <c r="Z921" s="66" t="str">
        <f>IF(NOTA[[#This Row],[JUMLAH]]="","",NOTA[[#This Row],[DISC 1-]]+NOTA[[#This Row],[DISC 2-]])</f>
        <v/>
      </c>
      <c r="AA921" s="66" t="str">
        <f>IF(NOTA[[#This Row],[JUMLAH]]="","",NOTA[[#This Row],[JUMLAH]]-NOTA[[#This Row],[DISC]])</f>
        <v/>
      </c>
      <c r="AB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66" t="str">
        <f>IF(OR(NOTA[[#This Row],[QTY]]="",NOTA[[#This Row],[HARGA SATUAN]]="",),"",NOTA[[#This Row],[QTY]]*NOTA[[#This Row],[HARGA SATUAN]])</f>
        <v/>
      </c>
      <c r="AF921" s="78" t="str">
        <f ca="1">IF(NOTA[ID_H]="","",INDEX(NOTA[TANGGAL],MATCH(,INDIRECT(ADDRESS(ROW(NOTA[TANGGAL]),COLUMN(NOTA[TANGGAL]))&amp;":"&amp;ADDRESS(ROW(),COLUMN(NOTA[TANGGAL]))),-1)))</f>
        <v/>
      </c>
      <c r="AG921" s="90" t="str">
        <f ca="1">IF(NOTA[[#This Row],[NAMA BARANG]]="","",INDEX(NOTA[SUPPLIER],MATCH(,INDIRECT(ADDRESS(ROW(NOTA[ID]),COLUMN(NOTA[ID]))&amp;":"&amp;ADDRESS(ROW(),COLUMN(NOTA[ID]))),-1)))</f>
        <v/>
      </c>
      <c r="AH921" s="90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1" s="38" t="str">
        <f>IF(NOTA[[#This Row],[CONCAT4]]="","",_xlfn.IFNA(MATCH(NOTA[[#This Row],[CONCAT4]],[2]!RAW[CONCAT_H],0),FALSE))</f>
        <v/>
      </c>
      <c r="AP921" s="174" t="str">
        <f>IF(NOTA[[#This Row],[CONCAT1]]="","",MATCH(NOTA[[#This Row],[CONCAT1]],[3]!db[NB NOTA_C],0)+1)</f>
        <v/>
      </c>
    </row>
    <row r="922" spans="1:42" ht="20.100000000000001" customHeight="1" x14ac:dyDescent="0.25">
      <c r="A92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2" t="str">
        <f>IF(NOTA[[#This Row],[ID_P]]="","",MATCH(NOTA[[#This Row],[ID_P]],[1]!B_MSK[N_ID],0))</f>
        <v/>
      </c>
      <c r="D922" s="92" t="str">
        <f ca="1">IF(NOTA[[#This Row],[NAMA BARANG]]="","",INDEX(NOTA[ID],MATCH(,INDIRECT(ADDRESS(ROW(NOTA[ID]),COLUMN(NOTA[ID]))&amp;":"&amp;ADDRESS(ROW(),COLUMN(NOTA[ID]))),-1)))</f>
        <v/>
      </c>
      <c r="E922" s="139"/>
      <c r="F922" s="38"/>
      <c r="G922" s="38"/>
      <c r="H922" s="79"/>
      <c r="I922" s="38"/>
      <c r="J922" s="78"/>
      <c r="K922" s="38"/>
      <c r="L922" s="38"/>
      <c r="M922" s="140"/>
      <c r="N922" s="38"/>
      <c r="O922" s="38"/>
      <c r="P922" s="90"/>
      <c r="Q922" s="105"/>
      <c r="R922" s="140"/>
      <c r="S922" s="141"/>
      <c r="T922" s="141"/>
      <c r="U922" s="66"/>
      <c r="V922" s="103"/>
      <c r="W922" s="66" t="str">
        <f>IF(NOTA[[#This Row],[HARGA/ CTN]]="",NOTA[[#This Row],[JUMLAH_H]],NOTA[[#This Row],[HARGA/ CTN]]*IF(NOTA[[#This Row],[C]]="",0,NOTA[[#This Row],[C]]))</f>
        <v/>
      </c>
      <c r="X922" s="66" t="str">
        <f>IF(NOTA[[#This Row],[JUMLAH]]="","",NOTA[[#This Row],[JUMLAH]]*NOTA[[#This Row],[DISC 1]])</f>
        <v/>
      </c>
      <c r="Y922" s="66" t="str">
        <f>IF(NOTA[[#This Row],[JUMLAH]]="","",(NOTA[[#This Row],[JUMLAH]]-NOTA[[#This Row],[DISC 1-]])*NOTA[[#This Row],[DISC 2]])</f>
        <v/>
      </c>
      <c r="Z922" s="66" t="str">
        <f>IF(NOTA[[#This Row],[JUMLAH]]="","",NOTA[[#This Row],[DISC 1-]]+NOTA[[#This Row],[DISC 2-]])</f>
        <v/>
      </c>
      <c r="AA922" s="66" t="str">
        <f>IF(NOTA[[#This Row],[JUMLAH]]="","",NOTA[[#This Row],[JUMLAH]]-NOTA[[#This Row],[DISC]])</f>
        <v/>
      </c>
      <c r="AB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66" t="str">
        <f>IF(OR(NOTA[[#This Row],[QTY]]="",NOTA[[#This Row],[HARGA SATUAN]]="",),"",NOTA[[#This Row],[QTY]]*NOTA[[#This Row],[HARGA SATUAN]])</f>
        <v/>
      </c>
      <c r="AF922" s="78" t="str">
        <f ca="1">IF(NOTA[ID_H]="","",INDEX(NOTA[TANGGAL],MATCH(,INDIRECT(ADDRESS(ROW(NOTA[TANGGAL]),COLUMN(NOTA[TANGGAL]))&amp;":"&amp;ADDRESS(ROW(),COLUMN(NOTA[TANGGAL]))),-1)))</f>
        <v/>
      </c>
      <c r="AG922" s="90" t="str">
        <f ca="1">IF(NOTA[[#This Row],[NAMA BARANG]]="","",INDEX(NOTA[SUPPLIER],MATCH(,INDIRECT(ADDRESS(ROW(NOTA[ID]),COLUMN(NOTA[ID]))&amp;":"&amp;ADDRESS(ROW(),COLUMN(NOTA[ID]))),-1)))</f>
        <v/>
      </c>
      <c r="AH922" s="90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2" s="38" t="str">
        <f>IF(NOTA[[#This Row],[CONCAT4]]="","",_xlfn.IFNA(MATCH(NOTA[[#This Row],[CONCAT4]],[2]!RAW[CONCAT_H],0),FALSE))</f>
        <v/>
      </c>
      <c r="AP922" s="174" t="str">
        <f>IF(NOTA[[#This Row],[CONCAT1]]="","",MATCH(NOTA[[#This Row],[CONCAT1]],[3]!db[NB NOTA_C],0)+1)</f>
        <v/>
      </c>
    </row>
    <row r="923" spans="1:42" ht="20.100000000000001" customHeight="1" x14ac:dyDescent="0.25">
      <c r="A92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2" t="str">
        <f>IF(NOTA[[#This Row],[ID_P]]="","",MATCH(NOTA[[#This Row],[ID_P]],[1]!B_MSK[N_ID],0))</f>
        <v/>
      </c>
      <c r="D923" s="92" t="str">
        <f ca="1">IF(NOTA[[#This Row],[NAMA BARANG]]="","",INDEX(NOTA[ID],MATCH(,INDIRECT(ADDRESS(ROW(NOTA[ID]),COLUMN(NOTA[ID]))&amp;":"&amp;ADDRESS(ROW(),COLUMN(NOTA[ID]))),-1)))</f>
        <v/>
      </c>
      <c r="E923" s="139"/>
      <c r="F923" s="38"/>
      <c r="G923" s="38"/>
      <c r="H923" s="79"/>
      <c r="I923" s="38"/>
      <c r="J923" s="78"/>
      <c r="K923" s="38"/>
      <c r="L923" s="38"/>
      <c r="M923" s="140"/>
      <c r="N923" s="38"/>
      <c r="O923" s="38"/>
      <c r="P923" s="90"/>
      <c r="Q923" s="105"/>
      <c r="R923" s="140"/>
      <c r="S923" s="141"/>
      <c r="T923" s="141"/>
      <c r="U923" s="66"/>
      <c r="V923" s="103"/>
      <c r="W923" s="66" t="str">
        <f>IF(NOTA[[#This Row],[HARGA/ CTN]]="",NOTA[[#This Row],[JUMLAH_H]],NOTA[[#This Row],[HARGA/ CTN]]*IF(NOTA[[#This Row],[C]]="",0,NOTA[[#This Row],[C]]))</f>
        <v/>
      </c>
      <c r="X923" s="66" t="str">
        <f>IF(NOTA[[#This Row],[JUMLAH]]="","",NOTA[[#This Row],[JUMLAH]]*NOTA[[#This Row],[DISC 1]])</f>
        <v/>
      </c>
      <c r="Y923" s="66" t="str">
        <f>IF(NOTA[[#This Row],[JUMLAH]]="","",(NOTA[[#This Row],[JUMLAH]]-NOTA[[#This Row],[DISC 1-]])*NOTA[[#This Row],[DISC 2]])</f>
        <v/>
      </c>
      <c r="Z923" s="66" t="str">
        <f>IF(NOTA[[#This Row],[JUMLAH]]="","",NOTA[[#This Row],[DISC 1-]]+NOTA[[#This Row],[DISC 2-]])</f>
        <v/>
      </c>
      <c r="AA923" s="66" t="str">
        <f>IF(NOTA[[#This Row],[JUMLAH]]="","",NOTA[[#This Row],[JUMLAH]]-NOTA[[#This Row],[DISC]])</f>
        <v/>
      </c>
      <c r="AB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66" t="str">
        <f>IF(OR(NOTA[[#This Row],[QTY]]="",NOTA[[#This Row],[HARGA SATUAN]]="",),"",NOTA[[#This Row],[QTY]]*NOTA[[#This Row],[HARGA SATUAN]])</f>
        <v/>
      </c>
      <c r="AF923" s="78" t="str">
        <f ca="1">IF(NOTA[ID_H]="","",INDEX(NOTA[TANGGAL],MATCH(,INDIRECT(ADDRESS(ROW(NOTA[TANGGAL]),COLUMN(NOTA[TANGGAL]))&amp;":"&amp;ADDRESS(ROW(),COLUMN(NOTA[TANGGAL]))),-1)))</f>
        <v/>
      </c>
      <c r="AG923" s="90" t="str">
        <f ca="1">IF(NOTA[[#This Row],[NAMA BARANG]]="","",INDEX(NOTA[SUPPLIER],MATCH(,INDIRECT(ADDRESS(ROW(NOTA[ID]),COLUMN(NOTA[ID]))&amp;":"&amp;ADDRESS(ROW(),COLUMN(NOTA[ID]))),-1)))</f>
        <v/>
      </c>
      <c r="AH923" s="90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3" s="38" t="str">
        <f>IF(NOTA[[#This Row],[CONCAT4]]="","",_xlfn.IFNA(MATCH(NOTA[[#This Row],[CONCAT4]],[2]!RAW[CONCAT_H],0),FALSE))</f>
        <v/>
      </c>
      <c r="AP923" s="174" t="str">
        <f>IF(NOTA[[#This Row],[CONCAT1]]="","",MATCH(NOTA[[#This Row],[CONCAT1]],[3]!db[NB NOTA_C],0)+1)</f>
        <v/>
      </c>
    </row>
    <row r="924" spans="1:42" ht="20.100000000000001" customHeight="1" x14ac:dyDescent="0.25">
      <c r="A92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2" t="str">
        <f>IF(NOTA[[#This Row],[ID_P]]="","",MATCH(NOTA[[#This Row],[ID_P]],[1]!B_MSK[N_ID],0))</f>
        <v/>
      </c>
      <c r="D924" s="92" t="str">
        <f ca="1">IF(NOTA[[#This Row],[NAMA BARANG]]="","",INDEX(NOTA[ID],MATCH(,INDIRECT(ADDRESS(ROW(NOTA[ID]),COLUMN(NOTA[ID]))&amp;":"&amp;ADDRESS(ROW(),COLUMN(NOTA[ID]))),-1)))</f>
        <v/>
      </c>
      <c r="E924" s="139"/>
      <c r="F924" s="38"/>
      <c r="G924" s="38"/>
      <c r="H924" s="79"/>
      <c r="I924" s="38"/>
      <c r="J924" s="78"/>
      <c r="K924" s="38"/>
      <c r="L924" s="38"/>
      <c r="M924" s="140"/>
      <c r="N924" s="38"/>
      <c r="O924" s="38"/>
      <c r="P924" s="90"/>
      <c r="Q924" s="105"/>
      <c r="R924" s="140"/>
      <c r="S924" s="141"/>
      <c r="T924" s="141"/>
      <c r="U924" s="66"/>
      <c r="V924" s="103"/>
      <c r="W924" s="66" t="str">
        <f>IF(NOTA[[#This Row],[HARGA/ CTN]]="",NOTA[[#This Row],[JUMLAH_H]],NOTA[[#This Row],[HARGA/ CTN]]*IF(NOTA[[#This Row],[C]]="",0,NOTA[[#This Row],[C]]))</f>
        <v/>
      </c>
      <c r="X924" s="66" t="str">
        <f>IF(NOTA[[#This Row],[JUMLAH]]="","",NOTA[[#This Row],[JUMLAH]]*NOTA[[#This Row],[DISC 1]])</f>
        <v/>
      </c>
      <c r="Y924" s="66" t="str">
        <f>IF(NOTA[[#This Row],[JUMLAH]]="","",(NOTA[[#This Row],[JUMLAH]]-NOTA[[#This Row],[DISC 1-]])*NOTA[[#This Row],[DISC 2]])</f>
        <v/>
      </c>
      <c r="Z924" s="66" t="str">
        <f>IF(NOTA[[#This Row],[JUMLAH]]="","",NOTA[[#This Row],[DISC 1-]]+NOTA[[#This Row],[DISC 2-]])</f>
        <v/>
      </c>
      <c r="AA924" s="66" t="str">
        <f>IF(NOTA[[#This Row],[JUMLAH]]="","",NOTA[[#This Row],[JUMLAH]]-NOTA[[#This Row],[DISC]])</f>
        <v/>
      </c>
      <c r="AB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66" t="str">
        <f>IF(OR(NOTA[[#This Row],[QTY]]="",NOTA[[#This Row],[HARGA SATUAN]]="",),"",NOTA[[#This Row],[QTY]]*NOTA[[#This Row],[HARGA SATUAN]])</f>
        <v/>
      </c>
      <c r="AF924" s="78" t="str">
        <f ca="1">IF(NOTA[ID_H]="","",INDEX(NOTA[TANGGAL],MATCH(,INDIRECT(ADDRESS(ROW(NOTA[TANGGAL]),COLUMN(NOTA[TANGGAL]))&amp;":"&amp;ADDRESS(ROW(),COLUMN(NOTA[TANGGAL]))),-1)))</f>
        <v/>
      </c>
      <c r="AG924" s="90" t="str">
        <f ca="1">IF(NOTA[[#This Row],[NAMA BARANG]]="","",INDEX(NOTA[SUPPLIER],MATCH(,INDIRECT(ADDRESS(ROW(NOTA[ID]),COLUMN(NOTA[ID]))&amp;":"&amp;ADDRESS(ROW(),COLUMN(NOTA[ID]))),-1)))</f>
        <v/>
      </c>
      <c r="AH924" s="90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4" s="38" t="str">
        <f>IF(NOTA[[#This Row],[CONCAT4]]="","",_xlfn.IFNA(MATCH(NOTA[[#This Row],[CONCAT4]],[2]!RAW[CONCAT_H],0),FALSE))</f>
        <v/>
      </c>
      <c r="AP924" s="174" t="str">
        <f>IF(NOTA[[#This Row],[CONCAT1]]="","",MATCH(NOTA[[#This Row],[CONCAT1]],[3]!db[NB NOTA_C],0)+1)</f>
        <v/>
      </c>
    </row>
    <row r="925" spans="1:42" ht="20.100000000000001" customHeight="1" x14ac:dyDescent="0.25">
      <c r="A92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2" t="str">
        <f>IF(NOTA[[#This Row],[ID_P]]="","",MATCH(NOTA[[#This Row],[ID_P]],[1]!B_MSK[N_ID],0))</f>
        <v/>
      </c>
      <c r="D925" s="92" t="str">
        <f ca="1">IF(NOTA[[#This Row],[NAMA BARANG]]="","",INDEX(NOTA[ID],MATCH(,INDIRECT(ADDRESS(ROW(NOTA[ID]),COLUMN(NOTA[ID]))&amp;":"&amp;ADDRESS(ROW(),COLUMN(NOTA[ID]))),-1)))</f>
        <v/>
      </c>
      <c r="E925" s="139"/>
      <c r="F925" s="38"/>
      <c r="G925" s="38"/>
      <c r="H925" s="79"/>
      <c r="I925" s="38"/>
      <c r="J925" s="78"/>
      <c r="K925" s="38"/>
      <c r="L925" s="38"/>
      <c r="M925" s="140"/>
      <c r="N925" s="38"/>
      <c r="O925" s="38"/>
      <c r="P925" s="90"/>
      <c r="Q925" s="105"/>
      <c r="R925" s="140"/>
      <c r="S925" s="141"/>
      <c r="T925" s="141"/>
      <c r="U925" s="66"/>
      <c r="V925" s="103"/>
      <c r="W925" s="66" t="str">
        <f>IF(NOTA[[#This Row],[HARGA/ CTN]]="",NOTA[[#This Row],[JUMLAH_H]],NOTA[[#This Row],[HARGA/ CTN]]*IF(NOTA[[#This Row],[C]]="",0,NOTA[[#This Row],[C]]))</f>
        <v/>
      </c>
      <c r="X925" s="66" t="str">
        <f>IF(NOTA[[#This Row],[JUMLAH]]="","",NOTA[[#This Row],[JUMLAH]]*NOTA[[#This Row],[DISC 1]])</f>
        <v/>
      </c>
      <c r="Y925" s="66" t="str">
        <f>IF(NOTA[[#This Row],[JUMLAH]]="","",(NOTA[[#This Row],[JUMLAH]]-NOTA[[#This Row],[DISC 1-]])*NOTA[[#This Row],[DISC 2]])</f>
        <v/>
      </c>
      <c r="Z925" s="66" t="str">
        <f>IF(NOTA[[#This Row],[JUMLAH]]="","",NOTA[[#This Row],[DISC 1-]]+NOTA[[#This Row],[DISC 2-]])</f>
        <v/>
      </c>
      <c r="AA925" s="66" t="str">
        <f>IF(NOTA[[#This Row],[JUMLAH]]="","",NOTA[[#This Row],[JUMLAH]]-NOTA[[#This Row],[DISC]])</f>
        <v/>
      </c>
      <c r="AB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66" t="str">
        <f>IF(OR(NOTA[[#This Row],[QTY]]="",NOTA[[#This Row],[HARGA SATUAN]]="",),"",NOTA[[#This Row],[QTY]]*NOTA[[#This Row],[HARGA SATUAN]])</f>
        <v/>
      </c>
      <c r="AF925" s="78" t="str">
        <f ca="1">IF(NOTA[ID_H]="","",INDEX(NOTA[TANGGAL],MATCH(,INDIRECT(ADDRESS(ROW(NOTA[TANGGAL]),COLUMN(NOTA[TANGGAL]))&amp;":"&amp;ADDRESS(ROW(),COLUMN(NOTA[TANGGAL]))),-1)))</f>
        <v/>
      </c>
      <c r="AG925" s="90" t="str">
        <f ca="1">IF(NOTA[[#This Row],[NAMA BARANG]]="","",INDEX(NOTA[SUPPLIER],MATCH(,INDIRECT(ADDRESS(ROW(NOTA[ID]),COLUMN(NOTA[ID]))&amp;":"&amp;ADDRESS(ROW(),COLUMN(NOTA[ID]))),-1)))</f>
        <v/>
      </c>
      <c r="AH925" s="90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5" s="38" t="str">
        <f>IF(NOTA[[#This Row],[CONCAT4]]="","",_xlfn.IFNA(MATCH(NOTA[[#This Row],[CONCAT4]],[2]!RAW[CONCAT_H],0),FALSE))</f>
        <v/>
      </c>
      <c r="AP925" s="174" t="str">
        <f>IF(NOTA[[#This Row],[CONCAT1]]="","",MATCH(NOTA[[#This Row],[CONCAT1]],[3]!db[NB NOTA_C],0)+1)</f>
        <v/>
      </c>
    </row>
    <row r="926" spans="1:42" ht="20.100000000000001" customHeight="1" x14ac:dyDescent="0.25">
      <c r="A92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2" t="str">
        <f>IF(NOTA[[#This Row],[ID_P]]="","",MATCH(NOTA[[#This Row],[ID_P]],[1]!B_MSK[N_ID],0))</f>
        <v/>
      </c>
      <c r="D926" s="92" t="str">
        <f ca="1">IF(NOTA[[#This Row],[NAMA BARANG]]="","",INDEX(NOTA[ID],MATCH(,INDIRECT(ADDRESS(ROW(NOTA[ID]),COLUMN(NOTA[ID]))&amp;":"&amp;ADDRESS(ROW(),COLUMN(NOTA[ID]))),-1)))</f>
        <v/>
      </c>
      <c r="E926" s="139"/>
      <c r="F926" s="38"/>
      <c r="G926" s="38"/>
      <c r="H926" s="79"/>
      <c r="I926" s="38"/>
      <c r="J926" s="78"/>
      <c r="K926" s="38"/>
      <c r="L926" s="38"/>
      <c r="M926" s="140"/>
      <c r="N926" s="38"/>
      <c r="O926" s="38"/>
      <c r="P926" s="90"/>
      <c r="Q926" s="105"/>
      <c r="R926" s="140"/>
      <c r="S926" s="141"/>
      <c r="T926" s="141"/>
      <c r="U926" s="66"/>
      <c r="V926" s="103"/>
      <c r="W926" s="66" t="str">
        <f>IF(NOTA[[#This Row],[HARGA/ CTN]]="",NOTA[[#This Row],[JUMLAH_H]],NOTA[[#This Row],[HARGA/ CTN]]*IF(NOTA[[#This Row],[C]]="",0,NOTA[[#This Row],[C]]))</f>
        <v/>
      </c>
      <c r="X926" s="66" t="str">
        <f>IF(NOTA[[#This Row],[JUMLAH]]="","",NOTA[[#This Row],[JUMLAH]]*NOTA[[#This Row],[DISC 1]])</f>
        <v/>
      </c>
      <c r="Y926" s="66" t="str">
        <f>IF(NOTA[[#This Row],[JUMLAH]]="","",(NOTA[[#This Row],[JUMLAH]]-NOTA[[#This Row],[DISC 1-]])*NOTA[[#This Row],[DISC 2]])</f>
        <v/>
      </c>
      <c r="Z926" s="66" t="str">
        <f>IF(NOTA[[#This Row],[JUMLAH]]="","",NOTA[[#This Row],[DISC 1-]]+NOTA[[#This Row],[DISC 2-]])</f>
        <v/>
      </c>
      <c r="AA926" s="66" t="str">
        <f>IF(NOTA[[#This Row],[JUMLAH]]="","",NOTA[[#This Row],[JUMLAH]]-NOTA[[#This Row],[DISC]])</f>
        <v/>
      </c>
      <c r="AB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66" t="str">
        <f>IF(OR(NOTA[[#This Row],[QTY]]="",NOTA[[#This Row],[HARGA SATUAN]]="",),"",NOTA[[#This Row],[QTY]]*NOTA[[#This Row],[HARGA SATUAN]])</f>
        <v/>
      </c>
      <c r="AF926" s="78" t="str">
        <f ca="1">IF(NOTA[ID_H]="","",INDEX(NOTA[TANGGAL],MATCH(,INDIRECT(ADDRESS(ROW(NOTA[TANGGAL]),COLUMN(NOTA[TANGGAL]))&amp;":"&amp;ADDRESS(ROW(),COLUMN(NOTA[TANGGAL]))),-1)))</f>
        <v/>
      </c>
      <c r="AG926" s="90" t="str">
        <f ca="1">IF(NOTA[[#This Row],[NAMA BARANG]]="","",INDEX(NOTA[SUPPLIER],MATCH(,INDIRECT(ADDRESS(ROW(NOTA[ID]),COLUMN(NOTA[ID]))&amp;":"&amp;ADDRESS(ROW(),COLUMN(NOTA[ID]))),-1)))</f>
        <v/>
      </c>
      <c r="AH926" s="90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6" s="38" t="str">
        <f>IF(NOTA[[#This Row],[CONCAT4]]="","",_xlfn.IFNA(MATCH(NOTA[[#This Row],[CONCAT4]],[2]!RAW[CONCAT_H],0),FALSE))</f>
        <v/>
      </c>
      <c r="AP926" s="174" t="str">
        <f>IF(NOTA[[#This Row],[CONCAT1]]="","",MATCH(NOTA[[#This Row],[CONCAT1]],[3]!db[NB NOTA_C],0)+1)</f>
        <v/>
      </c>
    </row>
    <row r="927" spans="1:42" ht="20.100000000000001" customHeight="1" x14ac:dyDescent="0.25">
      <c r="A92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2" t="str">
        <f>IF(NOTA[[#This Row],[ID_P]]="","",MATCH(NOTA[[#This Row],[ID_P]],[1]!B_MSK[N_ID],0))</f>
        <v/>
      </c>
      <c r="D927" s="92" t="str">
        <f ca="1">IF(NOTA[[#This Row],[NAMA BARANG]]="","",INDEX(NOTA[ID],MATCH(,INDIRECT(ADDRESS(ROW(NOTA[ID]),COLUMN(NOTA[ID]))&amp;":"&amp;ADDRESS(ROW(),COLUMN(NOTA[ID]))),-1)))</f>
        <v/>
      </c>
      <c r="E927" s="139"/>
      <c r="F927" s="38"/>
      <c r="G927" s="38"/>
      <c r="H927" s="79"/>
      <c r="I927" s="38"/>
      <c r="J927" s="78"/>
      <c r="K927" s="38"/>
      <c r="L927" s="38"/>
      <c r="M927" s="140"/>
      <c r="N927" s="38"/>
      <c r="O927" s="38"/>
      <c r="P927" s="90"/>
      <c r="Q927" s="105"/>
      <c r="R927" s="140"/>
      <c r="S927" s="141"/>
      <c r="T927" s="141"/>
      <c r="U927" s="66"/>
      <c r="V927" s="103"/>
      <c r="W927" s="66" t="str">
        <f>IF(NOTA[[#This Row],[HARGA/ CTN]]="",NOTA[[#This Row],[JUMLAH_H]],NOTA[[#This Row],[HARGA/ CTN]]*IF(NOTA[[#This Row],[C]]="",0,NOTA[[#This Row],[C]]))</f>
        <v/>
      </c>
      <c r="X927" s="66" t="str">
        <f>IF(NOTA[[#This Row],[JUMLAH]]="","",NOTA[[#This Row],[JUMLAH]]*NOTA[[#This Row],[DISC 1]])</f>
        <v/>
      </c>
      <c r="Y927" s="66" t="str">
        <f>IF(NOTA[[#This Row],[JUMLAH]]="","",(NOTA[[#This Row],[JUMLAH]]-NOTA[[#This Row],[DISC 1-]])*NOTA[[#This Row],[DISC 2]])</f>
        <v/>
      </c>
      <c r="Z927" s="66" t="str">
        <f>IF(NOTA[[#This Row],[JUMLAH]]="","",NOTA[[#This Row],[DISC 1-]]+NOTA[[#This Row],[DISC 2-]])</f>
        <v/>
      </c>
      <c r="AA927" s="66" t="str">
        <f>IF(NOTA[[#This Row],[JUMLAH]]="","",NOTA[[#This Row],[JUMLAH]]-NOTA[[#This Row],[DISC]])</f>
        <v/>
      </c>
      <c r="AB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66" t="str">
        <f>IF(OR(NOTA[[#This Row],[QTY]]="",NOTA[[#This Row],[HARGA SATUAN]]="",),"",NOTA[[#This Row],[QTY]]*NOTA[[#This Row],[HARGA SATUAN]])</f>
        <v/>
      </c>
      <c r="AF927" s="78" t="str">
        <f ca="1">IF(NOTA[ID_H]="","",INDEX(NOTA[TANGGAL],MATCH(,INDIRECT(ADDRESS(ROW(NOTA[TANGGAL]),COLUMN(NOTA[TANGGAL]))&amp;":"&amp;ADDRESS(ROW(),COLUMN(NOTA[TANGGAL]))),-1)))</f>
        <v/>
      </c>
      <c r="AG927" s="90" t="str">
        <f ca="1">IF(NOTA[[#This Row],[NAMA BARANG]]="","",INDEX(NOTA[SUPPLIER],MATCH(,INDIRECT(ADDRESS(ROW(NOTA[ID]),COLUMN(NOTA[ID]))&amp;":"&amp;ADDRESS(ROW(),COLUMN(NOTA[ID]))),-1)))</f>
        <v/>
      </c>
      <c r="AH927" s="90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7" s="38" t="str">
        <f>IF(NOTA[[#This Row],[CONCAT4]]="","",_xlfn.IFNA(MATCH(NOTA[[#This Row],[CONCAT4]],[2]!RAW[CONCAT_H],0),FALSE))</f>
        <v/>
      </c>
      <c r="AP927" s="174" t="str">
        <f>IF(NOTA[[#This Row],[CONCAT1]]="","",MATCH(NOTA[[#This Row],[CONCAT1]],[3]!db[NB NOTA_C],0)+1)</f>
        <v/>
      </c>
    </row>
    <row r="928" spans="1:42" ht="20.100000000000001" customHeight="1" x14ac:dyDescent="0.25">
      <c r="A92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2" t="str">
        <f>IF(NOTA[[#This Row],[ID_P]]="","",MATCH(NOTA[[#This Row],[ID_P]],[1]!B_MSK[N_ID],0))</f>
        <v/>
      </c>
      <c r="D928" s="92" t="str">
        <f ca="1">IF(NOTA[[#This Row],[NAMA BARANG]]="","",INDEX(NOTA[ID],MATCH(,INDIRECT(ADDRESS(ROW(NOTA[ID]),COLUMN(NOTA[ID]))&amp;":"&amp;ADDRESS(ROW(),COLUMN(NOTA[ID]))),-1)))</f>
        <v/>
      </c>
      <c r="E928" s="139"/>
      <c r="F928" s="38"/>
      <c r="G928" s="38"/>
      <c r="H928" s="79"/>
      <c r="I928" s="38"/>
      <c r="J928" s="78"/>
      <c r="K928" s="38"/>
      <c r="L928" s="38"/>
      <c r="M928" s="140"/>
      <c r="N928" s="38"/>
      <c r="O928" s="38"/>
      <c r="P928" s="90"/>
      <c r="Q928" s="105"/>
      <c r="R928" s="140"/>
      <c r="S928" s="141"/>
      <c r="T928" s="141"/>
      <c r="U928" s="66"/>
      <c r="V928" s="103"/>
      <c r="W928" s="66" t="str">
        <f>IF(NOTA[[#This Row],[HARGA/ CTN]]="",NOTA[[#This Row],[JUMLAH_H]],NOTA[[#This Row],[HARGA/ CTN]]*IF(NOTA[[#This Row],[C]]="",0,NOTA[[#This Row],[C]]))</f>
        <v/>
      </c>
      <c r="X928" s="66" t="str">
        <f>IF(NOTA[[#This Row],[JUMLAH]]="","",NOTA[[#This Row],[JUMLAH]]*NOTA[[#This Row],[DISC 1]])</f>
        <v/>
      </c>
      <c r="Y928" s="66" t="str">
        <f>IF(NOTA[[#This Row],[JUMLAH]]="","",(NOTA[[#This Row],[JUMLAH]]-NOTA[[#This Row],[DISC 1-]])*NOTA[[#This Row],[DISC 2]])</f>
        <v/>
      </c>
      <c r="Z928" s="66" t="str">
        <f>IF(NOTA[[#This Row],[JUMLAH]]="","",NOTA[[#This Row],[DISC 1-]]+NOTA[[#This Row],[DISC 2-]])</f>
        <v/>
      </c>
      <c r="AA928" s="66" t="str">
        <f>IF(NOTA[[#This Row],[JUMLAH]]="","",NOTA[[#This Row],[JUMLAH]]-NOTA[[#This Row],[DISC]])</f>
        <v/>
      </c>
      <c r="AB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66" t="str">
        <f>IF(OR(NOTA[[#This Row],[QTY]]="",NOTA[[#This Row],[HARGA SATUAN]]="",),"",NOTA[[#This Row],[QTY]]*NOTA[[#This Row],[HARGA SATUAN]])</f>
        <v/>
      </c>
      <c r="AF928" s="78" t="str">
        <f ca="1">IF(NOTA[ID_H]="","",INDEX(NOTA[TANGGAL],MATCH(,INDIRECT(ADDRESS(ROW(NOTA[TANGGAL]),COLUMN(NOTA[TANGGAL]))&amp;":"&amp;ADDRESS(ROW(),COLUMN(NOTA[TANGGAL]))),-1)))</f>
        <v/>
      </c>
      <c r="AG928" s="90" t="str">
        <f ca="1">IF(NOTA[[#This Row],[NAMA BARANG]]="","",INDEX(NOTA[SUPPLIER],MATCH(,INDIRECT(ADDRESS(ROW(NOTA[ID]),COLUMN(NOTA[ID]))&amp;":"&amp;ADDRESS(ROW(),COLUMN(NOTA[ID]))),-1)))</f>
        <v/>
      </c>
      <c r="AH928" s="90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8" s="38" t="str">
        <f>IF(NOTA[[#This Row],[CONCAT4]]="","",_xlfn.IFNA(MATCH(NOTA[[#This Row],[CONCAT4]],[2]!RAW[CONCAT_H],0),FALSE))</f>
        <v/>
      </c>
      <c r="AP928" s="174" t="str">
        <f>IF(NOTA[[#This Row],[CONCAT1]]="","",MATCH(NOTA[[#This Row],[CONCAT1]],[3]!db[NB NOTA_C],0)+1)</f>
        <v/>
      </c>
    </row>
    <row r="929" spans="1:42" ht="20.100000000000001" customHeight="1" x14ac:dyDescent="0.25">
      <c r="A92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2" t="str">
        <f>IF(NOTA[[#This Row],[ID_P]]="","",MATCH(NOTA[[#This Row],[ID_P]],[1]!B_MSK[N_ID],0))</f>
        <v/>
      </c>
      <c r="D929" s="92" t="str">
        <f ca="1">IF(NOTA[[#This Row],[NAMA BARANG]]="","",INDEX(NOTA[ID],MATCH(,INDIRECT(ADDRESS(ROW(NOTA[ID]),COLUMN(NOTA[ID]))&amp;":"&amp;ADDRESS(ROW(),COLUMN(NOTA[ID]))),-1)))</f>
        <v/>
      </c>
      <c r="E929" s="139"/>
      <c r="F929" s="38"/>
      <c r="G929" s="38"/>
      <c r="H929" s="79"/>
      <c r="I929" s="38"/>
      <c r="J929" s="78"/>
      <c r="K929" s="38"/>
      <c r="L929" s="38"/>
      <c r="M929" s="140"/>
      <c r="N929" s="38"/>
      <c r="O929" s="38"/>
      <c r="P929" s="90"/>
      <c r="Q929" s="105"/>
      <c r="R929" s="140"/>
      <c r="S929" s="141"/>
      <c r="T929" s="141"/>
      <c r="U929" s="66"/>
      <c r="V929" s="103"/>
      <c r="W929" s="66" t="str">
        <f>IF(NOTA[[#This Row],[HARGA/ CTN]]="",NOTA[[#This Row],[JUMLAH_H]],NOTA[[#This Row],[HARGA/ CTN]]*IF(NOTA[[#This Row],[C]]="",0,NOTA[[#This Row],[C]]))</f>
        <v/>
      </c>
      <c r="X929" s="66" t="str">
        <f>IF(NOTA[[#This Row],[JUMLAH]]="","",NOTA[[#This Row],[JUMLAH]]*NOTA[[#This Row],[DISC 1]])</f>
        <v/>
      </c>
      <c r="Y929" s="66" t="str">
        <f>IF(NOTA[[#This Row],[JUMLAH]]="","",(NOTA[[#This Row],[JUMLAH]]-NOTA[[#This Row],[DISC 1-]])*NOTA[[#This Row],[DISC 2]])</f>
        <v/>
      </c>
      <c r="Z929" s="66" t="str">
        <f>IF(NOTA[[#This Row],[JUMLAH]]="","",NOTA[[#This Row],[DISC 1-]]+NOTA[[#This Row],[DISC 2-]])</f>
        <v/>
      </c>
      <c r="AA929" s="66" t="str">
        <f>IF(NOTA[[#This Row],[JUMLAH]]="","",NOTA[[#This Row],[JUMLAH]]-NOTA[[#This Row],[DISC]])</f>
        <v/>
      </c>
      <c r="AB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66" t="str">
        <f>IF(OR(NOTA[[#This Row],[QTY]]="",NOTA[[#This Row],[HARGA SATUAN]]="",),"",NOTA[[#This Row],[QTY]]*NOTA[[#This Row],[HARGA SATUAN]])</f>
        <v/>
      </c>
      <c r="AF929" s="78" t="str">
        <f ca="1">IF(NOTA[ID_H]="","",INDEX(NOTA[TANGGAL],MATCH(,INDIRECT(ADDRESS(ROW(NOTA[TANGGAL]),COLUMN(NOTA[TANGGAL]))&amp;":"&amp;ADDRESS(ROW(),COLUMN(NOTA[TANGGAL]))),-1)))</f>
        <v/>
      </c>
      <c r="AG929" s="90" t="str">
        <f ca="1">IF(NOTA[[#This Row],[NAMA BARANG]]="","",INDEX(NOTA[SUPPLIER],MATCH(,INDIRECT(ADDRESS(ROW(NOTA[ID]),COLUMN(NOTA[ID]))&amp;":"&amp;ADDRESS(ROW(),COLUMN(NOTA[ID]))),-1)))</f>
        <v/>
      </c>
      <c r="AH929" s="90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9" s="38" t="str">
        <f>IF(NOTA[[#This Row],[CONCAT4]]="","",_xlfn.IFNA(MATCH(NOTA[[#This Row],[CONCAT4]],[2]!RAW[CONCAT_H],0),FALSE))</f>
        <v/>
      </c>
      <c r="AP929" s="174" t="str">
        <f>IF(NOTA[[#This Row],[CONCAT1]]="","",MATCH(NOTA[[#This Row],[CONCAT1]],[3]!db[NB NOTA_C],0)+1)</f>
        <v/>
      </c>
    </row>
    <row r="930" spans="1:42" ht="20.100000000000001" customHeight="1" x14ac:dyDescent="0.25">
      <c r="A93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2" t="str">
        <f>IF(NOTA[[#This Row],[ID_P]]="","",MATCH(NOTA[[#This Row],[ID_P]],[1]!B_MSK[N_ID],0))</f>
        <v/>
      </c>
      <c r="D930" s="92" t="str">
        <f ca="1">IF(NOTA[[#This Row],[NAMA BARANG]]="","",INDEX(NOTA[ID],MATCH(,INDIRECT(ADDRESS(ROW(NOTA[ID]),COLUMN(NOTA[ID]))&amp;":"&amp;ADDRESS(ROW(),COLUMN(NOTA[ID]))),-1)))</f>
        <v/>
      </c>
      <c r="E930" s="139"/>
      <c r="F930" s="38"/>
      <c r="G930" s="38"/>
      <c r="H930" s="79"/>
      <c r="I930" s="38"/>
      <c r="J930" s="78"/>
      <c r="K930" s="38"/>
      <c r="L930" s="38"/>
      <c r="M930" s="140"/>
      <c r="N930" s="38"/>
      <c r="O930" s="38"/>
      <c r="P930" s="90"/>
      <c r="Q930" s="105"/>
      <c r="R930" s="140"/>
      <c r="S930" s="141"/>
      <c r="T930" s="141"/>
      <c r="U930" s="66"/>
      <c r="V930" s="103"/>
      <c r="W930" s="66" t="str">
        <f>IF(NOTA[[#This Row],[HARGA/ CTN]]="",NOTA[[#This Row],[JUMLAH_H]],NOTA[[#This Row],[HARGA/ CTN]]*IF(NOTA[[#This Row],[C]]="",0,NOTA[[#This Row],[C]]))</f>
        <v/>
      </c>
      <c r="X930" s="66" t="str">
        <f>IF(NOTA[[#This Row],[JUMLAH]]="","",NOTA[[#This Row],[JUMLAH]]*NOTA[[#This Row],[DISC 1]])</f>
        <v/>
      </c>
      <c r="Y930" s="66" t="str">
        <f>IF(NOTA[[#This Row],[JUMLAH]]="","",(NOTA[[#This Row],[JUMLAH]]-NOTA[[#This Row],[DISC 1-]])*NOTA[[#This Row],[DISC 2]])</f>
        <v/>
      </c>
      <c r="Z930" s="66" t="str">
        <f>IF(NOTA[[#This Row],[JUMLAH]]="","",NOTA[[#This Row],[DISC 1-]]+NOTA[[#This Row],[DISC 2-]])</f>
        <v/>
      </c>
      <c r="AA930" s="66" t="str">
        <f>IF(NOTA[[#This Row],[JUMLAH]]="","",NOTA[[#This Row],[JUMLAH]]-NOTA[[#This Row],[DISC]])</f>
        <v/>
      </c>
      <c r="AB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66" t="str">
        <f>IF(OR(NOTA[[#This Row],[QTY]]="",NOTA[[#This Row],[HARGA SATUAN]]="",),"",NOTA[[#This Row],[QTY]]*NOTA[[#This Row],[HARGA SATUAN]])</f>
        <v/>
      </c>
      <c r="AF930" s="78" t="str">
        <f ca="1">IF(NOTA[ID_H]="","",INDEX(NOTA[TANGGAL],MATCH(,INDIRECT(ADDRESS(ROW(NOTA[TANGGAL]),COLUMN(NOTA[TANGGAL]))&amp;":"&amp;ADDRESS(ROW(),COLUMN(NOTA[TANGGAL]))),-1)))</f>
        <v/>
      </c>
      <c r="AG930" s="90" t="str">
        <f ca="1">IF(NOTA[[#This Row],[NAMA BARANG]]="","",INDEX(NOTA[SUPPLIER],MATCH(,INDIRECT(ADDRESS(ROW(NOTA[ID]),COLUMN(NOTA[ID]))&amp;":"&amp;ADDRESS(ROW(),COLUMN(NOTA[ID]))),-1)))</f>
        <v/>
      </c>
      <c r="AH930" s="90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0" s="38" t="str">
        <f>IF(NOTA[[#This Row],[CONCAT4]]="","",_xlfn.IFNA(MATCH(NOTA[[#This Row],[CONCAT4]],[2]!RAW[CONCAT_H],0),FALSE))</f>
        <v/>
      </c>
      <c r="AP930" s="174" t="str">
        <f>IF(NOTA[[#This Row],[CONCAT1]]="","",MATCH(NOTA[[#This Row],[CONCAT1]],[3]!db[NB NOTA_C],0)+1)</f>
        <v/>
      </c>
    </row>
    <row r="931" spans="1:42" ht="20.100000000000001" customHeight="1" x14ac:dyDescent="0.25">
      <c r="A93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2" t="str">
        <f>IF(NOTA[[#This Row],[ID_P]]="","",MATCH(NOTA[[#This Row],[ID_P]],[1]!B_MSK[N_ID],0))</f>
        <v/>
      </c>
      <c r="D931" s="92" t="str">
        <f ca="1">IF(NOTA[[#This Row],[NAMA BARANG]]="","",INDEX(NOTA[ID],MATCH(,INDIRECT(ADDRESS(ROW(NOTA[ID]),COLUMN(NOTA[ID]))&amp;":"&amp;ADDRESS(ROW(),COLUMN(NOTA[ID]))),-1)))</f>
        <v/>
      </c>
      <c r="E931" s="139"/>
      <c r="F931" s="38"/>
      <c r="G931" s="38"/>
      <c r="H931" s="79"/>
      <c r="I931" s="38"/>
      <c r="J931" s="78"/>
      <c r="K931" s="38"/>
      <c r="L931" s="38"/>
      <c r="M931" s="140"/>
      <c r="N931" s="38"/>
      <c r="O931" s="38"/>
      <c r="P931" s="90"/>
      <c r="Q931" s="105"/>
      <c r="R931" s="140"/>
      <c r="S931" s="141"/>
      <c r="T931" s="141"/>
      <c r="U931" s="66"/>
      <c r="V931" s="103"/>
      <c r="W931" s="66" t="str">
        <f>IF(NOTA[[#This Row],[HARGA/ CTN]]="",NOTA[[#This Row],[JUMLAH_H]],NOTA[[#This Row],[HARGA/ CTN]]*IF(NOTA[[#This Row],[C]]="",0,NOTA[[#This Row],[C]]))</f>
        <v/>
      </c>
      <c r="X931" s="66" t="str">
        <f>IF(NOTA[[#This Row],[JUMLAH]]="","",NOTA[[#This Row],[JUMLAH]]*NOTA[[#This Row],[DISC 1]])</f>
        <v/>
      </c>
      <c r="Y931" s="66" t="str">
        <f>IF(NOTA[[#This Row],[JUMLAH]]="","",(NOTA[[#This Row],[JUMLAH]]-NOTA[[#This Row],[DISC 1-]])*NOTA[[#This Row],[DISC 2]])</f>
        <v/>
      </c>
      <c r="Z931" s="66" t="str">
        <f>IF(NOTA[[#This Row],[JUMLAH]]="","",NOTA[[#This Row],[DISC 1-]]+NOTA[[#This Row],[DISC 2-]])</f>
        <v/>
      </c>
      <c r="AA931" s="66" t="str">
        <f>IF(NOTA[[#This Row],[JUMLAH]]="","",NOTA[[#This Row],[JUMLAH]]-NOTA[[#This Row],[DISC]])</f>
        <v/>
      </c>
      <c r="AB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66" t="str">
        <f>IF(OR(NOTA[[#This Row],[QTY]]="",NOTA[[#This Row],[HARGA SATUAN]]="",),"",NOTA[[#This Row],[QTY]]*NOTA[[#This Row],[HARGA SATUAN]])</f>
        <v/>
      </c>
      <c r="AF931" s="78" t="str">
        <f ca="1">IF(NOTA[ID_H]="","",INDEX(NOTA[TANGGAL],MATCH(,INDIRECT(ADDRESS(ROW(NOTA[TANGGAL]),COLUMN(NOTA[TANGGAL]))&amp;":"&amp;ADDRESS(ROW(),COLUMN(NOTA[TANGGAL]))),-1)))</f>
        <v/>
      </c>
      <c r="AG931" s="90" t="str">
        <f ca="1">IF(NOTA[[#This Row],[NAMA BARANG]]="","",INDEX(NOTA[SUPPLIER],MATCH(,INDIRECT(ADDRESS(ROW(NOTA[ID]),COLUMN(NOTA[ID]))&amp;":"&amp;ADDRESS(ROW(),COLUMN(NOTA[ID]))),-1)))</f>
        <v/>
      </c>
      <c r="AH931" s="90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1" s="38" t="str">
        <f>IF(NOTA[[#This Row],[CONCAT4]]="","",_xlfn.IFNA(MATCH(NOTA[[#This Row],[CONCAT4]],[2]!RAW[CONCAT_H],0),FALSE))</f>
        <v/>
      </c>
      <c r="AP931" s="174" t="str">
        <f>IF(NOTA[[#This Row],[CONCAT1]]="","",MATCH(NOTA[[#This Row],[CONCAT1]],[3]!db[NB NOTA_C],0)+1)</f>
        <v/>
      </c>
    </row>
    <row r="932" spans="1:42" ht="20.100000000000001" customHeight="1" x14ac:dyDescent="0.25">
      <c r="A93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2" t="str">
        <f>IF(NOTA[[#This Row],[ID_P]]="","",MATCH(NOTA[[#This Row],[ID_P]],[1]!B_MSK[N_ID],0))</f>
        <v/>
      </c>
      <c r="D932" s="92" t="str">
        <f ca="1">IF(NOTA[[#This Row],[NAMA BARANG]]="","",INDEX(NOTA[ID],MATCH(,INDIRECT(ADDRESS(ROW(NOTA[ID]),COLUMN(NOTA[ID]))&amp;":"&amp;ADDRESS(ROW(),COLUMN(NOTA[ID]))),-1)))</f>
        <v/>
      </c>
      <c r="E932" s="139"/>
      <c r="F932" s="38"/>
      <c r="G932" s="38"/>
      <c r="H932" s="79"/>
      <c r="I932" s="38"/>
      <c r="J932" s="78"/>
      <c r="K932" s="38"/>
      <c r="L932" s="38"/>
      <c r="M932" s="140"/>
      <c r="N932" s="38"/>
      <c r="O932" s="38"/>
      <c r="P932" s="90"/>
      <c r="Q932" s="105"/>
      <c r="R932" s="140"/>
      <c r="S932" s="141"/>
      <c r="T932" s="141"/>
      <c r="U932" s="66"/>
      <c r="V932" s="103"/>
      <c r="W932" s="66" t="str">
        <f>IF(NOTA[[#This Row],[HARGA/ CTN]]="",NOTA[[#This Row],[JUMLAH_H]],NOTA[[#This Row],[HARGA/ CTN]]*IF(NOTA[[#This Row],[C]]="",0,NOTA[[#This Row],[C]]))</f>
        <v/>
      </c>
      <c r="X932" s="66" t="str">
        <f>IF(NOTA[[#This Row],[JUMLAH]]="","",NOTA[[#This Row],[JUMLAH]]*NOTA[[#This Row],[DISC 1]])</f>
        <v/>
      </c>
      <c r="Y932" s="66" t="str">
        <f>IF(NOTA[[#This Row],[JUMLAH]]="","",(NOTA[[#This Row],[JUMLAH]]-NOTA[[#This Row],[DISC 1-]])*NOTA[[#This Row],[DISC 2]])</f>
        <v/>
      </c>
      <c r="Z932" s="66" t="str">
        <f>IF(NOTA[[#This Row],[JUMLAH]]="","",NOTA[[#This Row],[DISC 1-]]+NOTA[[#This Row],[DISC 2-]])</f>
        <v/>
      </c>
      <c r="AA932" s="66" t="str">
        <f>IF(NOTA[[#This Row],[JUMLAH]]="","",NOTA[[#This Row],[JUMLAH]]-NOTA[[#This Row],[DISC]])</f>
        <v/>
      </c>
      <c r="AB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66" t="str">
        <f>IF(OR(NOTA[[#This Row],[QTY]]="",NOTA[[#This Row],[HARGA SATUAN]]="",),"",NOTA[[#This Row],[QTY]]*NOTA[[#This Row],[HARGA SATUAN]])</f>
        <v/>
      </c>
      <c r="AF932" s="78" t="str">
        <f ca="1">IF(NOTA[ID_H]="","",INDEX(NOTA[TANGGAL],MATCH(,INDIRECT(ADDRESS(ROW(NOTA[TANGGAL]),COLUMN(NOTA[TANGGAL]))&amp;":"&amp;ADDRESS(ROW(),COLUMN(NOTA[TANGGAL]))),-1)))</f>
        <v/>
      </c>
      <c r="AG932" s="90" t="str">
        <f ca="1">IF(NOTA[[#This Row],[NAMA BARANG]]="","",INDEX(NOTA[SUPPLIER],MATCH(,INDIRECT(ADDRESS(ROW(NOTA[ID]),COLUMN(NOTA[ID]))&amp;":"&amp;ADDRESS(ROW(),COLUMN(NOTA[ID]))),-1)))</f>
        <v/>
      </c>
      <c r="AH932" s="90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2" s="38" t="str">
        <f>IF(NOTA[[#This Row],[CONCAT4]]="","",_xlfn.IFNA(MATCH(NOTA[[#This Row],[CONCAT4]],[2]!RAW[CONCAT_H],0),FALSE))</f>
        <v/>
      </c>
      <c r="AP932" s="174" t="str">
        <f>IF(NOTA[[#This Row],[CONCAT1]]="","",MATCH(NOTA[[#This Row],[CONCAT1]],[3]!db[NB NOTA_C],0)+1)</f>
        <v/>
      </c>
    </row>
    <row r="933" spans="1:42" ht="20.100000000000001" customHeight="1" x14ac:dyDescent="0.25">
      <c r="A93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2" t="str">
        <f>IF(NOTA[[#This Row],[ID_P]]="","",MATCH(NOTA[[#This Row],[ID_P]],[1]!B_MSK[N_ID],0))</f>
        <v/>
      </c>
      <c r="D933" s="92" t="str">
        <f ca="1">IF(NOTA[[#This Row],[NAMA BARANG]]="","",INDEX(NOTA[ID],MATCH(,INDIRECT(ADDRESS(ROW(NOTA[ID]),COLUMN(NOTA[ID]))&amp;":"&amp;ADDRESS(ROW(),COLUMN(NOTA[ID]))),-1)))</f>
        <v/>
      </c>
      <c r="E933" s="139"/>
      <c r="F933" s="38"/>
      <c r="G933" s="38"/>
      <c r="H933" s="79"/>
      <c r="I933" s="38"/>
      <c r="J933" s="78"/>
      <c r="K933" s="38"/>
      <c r="L933" s="38"/>
      <c r="M933" s="140"/>
      <c r="N933" s="38"/>
      <c r="O933" s="38"/>
      <c r="P933" s="90"/>
      <c r="Q933" s="105"/>
      <c r="R933" s="140"/>
      <c r="S933" s="141"/>
      <c r="T933" s="141"/>
      <c r="U933" s="66"/>
      <c r="V933" s="103"/>
      <c r="W933" s="66" t="str">
        <f>IF(NOTA[[#This Row],[HARGA/ CTN]]="",NOTA[[#This Row],[JUMLAH_H]],NOTA[[#This Row],[HARGA/ CTN]]*IF(NOTA[[#This Row],[C]]="",0,NOTA[[#This Row],[C]]))</f>
        <v/>
      </c>
      <c r="X933" s="66" t="str">
        <f>IF(NOTA[[#This Row],[JUMLAH]]="","",NOTA[[#This Row],[JUMLAH]]*NOTA[[#This Row],[DISC 1]])</f>
        <v/>
      </c>
      <c r="Y933" s="66" t="str">
        <f>IF(NOTA[[#This Row],[JUMLAH]]="","",(NOTA[[#This Row],[JUMLAH]]-NOTA[[#This Row],[DISC 1-]])*NOTA[[#This Row],[DISC 2]])</f>
        <v/>
      </c>
      <c r="Z933" s="66" t="str">
        <f>IF(NOTA[[#This Row],[JUMLAH]]="","",NOTA[[#This Row],[DISC 1-]]+NOTA[[#This Row],[DISC 2-]])</f>
        <v/>
      </c>
      <c r="AA933" s="66" t="str">
        <f>IF(NOTA[[#This Row],[JUMLAH]]="","",NOTA[[#This Row],[JUMLAH]]-NOTA[[#This Row],[DISC]])</f>
        <v/>
      </c>
      <c r="AB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66" t="str">
        <f>IF(OR(NOTA[[#This Row],[QTY]]="",NOTA[[#This Row],[HARGA SATUAN]]="",),"",NOTA[[#This Row],[QTY]]*NOTA[[#This Row],[HARGA SATUAN]])</f>
        <v/>
      </c>
      <c r="AF933" s="78" t="str">
        <f ca="1">IF(NOTA[ID_H]="","",INDEX(NOTA[TANGGAL],MATCH(,INDIRECT(ADDRESS(ROW(NOTA[TANGGAL]),COLUMN(NOTA[TANGGAL]))&amp;":"&amp;ADDRESS(ROW(),COLUMN(NOTA[TANGGAL]))),-1)))</f>
        <v/>
      </c>
      <c r="AG933" s="90" t="str">
        <f ca="1">IF(NOTA[[#This Row],[NAMA BARANG]]="","",INDEX(NOTA[SUPPLIER],MATCH(,INDIRECT(ADDRESS(ROW(NOTA[ID]),COLUMN(NOTA[ID]))&amp;":"&amp;ADDRESS(ROW(),COLUMN(NOTA[ID]))),-1)))</f>
        <v/>
      </c>
      <c r="AH933" s="90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3" s="38" t="str">
        <f>IF(NOTA[[#This Row],[CONCAT4]]="","",_xlfn.IFNA(MATCH(NOTA[[#This Row],[CONCAT4]],[2]!RAW[CONCAT_H],0),FALSE))</f>
        <v/>
      </c>
      <c r="AP933" s="174" t="str">
        <f>IF(NOTA[[#This Row],[CONCAT1]]="","",MATCH(NOTA[[#This Row],[CONCAT1]],[3]!db[NB NOTA_C],0)+1)</f>
        <v/>
      </c>
    </row>
    <row r="934" spans="1:42" ht="20.100000000000001" customHeight="1" x14ac:dyDescent="0.25">
      <c r="A93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2" t="str">
        <f>IF(NOTA[[#This Row],[ID_P]]="","",MATCH(NOTA[[#This Row],[ID_P]],[1]!B_MSK[N_ID],0))</f>
        <v/>
      </c>
      <c r="D934" s="92" t="str">
        <f ca="1">IF(NOTA[[#This Row],[NAMA BARANG]]="","",INDEX(NOTA[ID],MATCH(,INDIRECT(ADDRESS(ROW(NOTA[ID]),COLUMN(NOTA[ID]))&amp;":"&amp;ADDRESS(ROW(),COLUMN(NOTA[ID]))),-1)))</f>
        <v/>
      </c>
      <c r="E934" s="139"/>
      <c r="F934" s="38"/>
      <c r="G934" s="38"/>
      <c r="H934" s="79"/>
      <c r="I934" s="38"/>
      <c r="J934" s="78"/>
      <c r="K934" s="38"/>
      <c r="L934" s="38"/>
      <c r="M934" s="140"/>
      <c r="N934" s="38"/>
      <c r="O934" s="38"/>
      <c r="P934" s="90"/>
      <c r="Q934" s="105"/>
      <c r="R934" s="140"/>
      <c r="S934" s="141"/>
      <c r="T934" s="141"/>
      <c r="U934" s="66"/>
      <c r="V934" s="103"/>
      <c r="W934" s="66" t="str">
        <f>IF(NOTA[[#This Row],[HARGA/ CTN]]="",NOTA[[#This Row],[JUMLAH_H]],NOTA[[#This Row],[HARGA/ CTN]]*IF(NOTA[[#This Row],[C]]="",0,NOTA[[#This Row],[C]]))</f>
        <v/>
      </c>
      <c r="X934" s="66" t="str">
        <f>IF(NOTA[[#This Row],[JUMLAH]]="","",NOTA[[#This Row],[JUMLAH]]*NOTA[[#This Row],[DISC 1]])</f>
        <v/>
      </c>
      <c r="Y934" s="66" t="str">
        <f>IF(NOTA[[#This Row],[JUMLAH]]="","",(NOTA[[#This Row],[JUMLAH]]-NOTA[[#This Row],[DISC 1-]])*NOTA[[#This Row],[DISC 2]])</f>
        <v/>
      </c>
      <c r="Z934" s="66" t="str">
        <f>IF(NOTA[[#This Row],[JUMLAH]]="","",NOTA[[#This Row],[DISC 1-]]+NOTA[[#This Row],[DISC 2-]])</f>
        <v/>
      </c>
      <c r="AA934" s="66" t="str">
        <f>IF(NOTA[[#This Row],[JUMLAH]]="","",NOTA[[#This Row],[JUMLAH]]-NOTA[[#This Row],[DISC]])</f>
        <v/>
      </c>
      <c r="AB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66" t="str">
        <f>IF(OR(NOTA[[#This Row],[QTY]]="",NOTA[[#This Row],[HARGA SATUAN]]="",),"",NOTA[[#This Row],[QTY]]*NOTA[[#This Row],[HARGA SATUAN]])</f>
        <v/>
      </c>
      <c r="AF934" s="78" t="str">
        <f ca="1">IF(NOTA[ID_H]="","",INDEX(NOTA[TANGGAL],MATCH(,INDIRECT(ADDRESS(ROW(NOTA[TANGGAL]),COLUMN(NOTA[TANGGAL]))&amp;":"&amp;ADDRESS(ROW(),COLUMN(NOTA[TANGGAL]))),-1)))</f>
        <v/>
      </c>
      <c r="AG934" s="90" t="str">
        <f ca="1">IF(NOTA[[#This Row],[NAMA BARANG]]="","",INDEX(NOTA[SUPPLIER],MATCH(,INDIRECT(ADDRESS(ROW(NOTA[ID]),COLUMN(NOTA[ID]))&amp;":"&amp;ADDRESS(ROW(),COLUMN(NOTA[ID]))),-1)))</f>
        <v/>
      </c>
      <c r="AH934" s="90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4" s="38" t="str">
        <f>IF(NOTA[[#This Row],[CONCAT4]]="","",_xlfn.IFNA(MATCH(NOTA[[#This Row],[CONCAT4]],[2]!RAW[CONCAT_H],0),FALSE))</f>
        <v/>
      </c>
      <c r="AP934" s="174" t="str">
        <f>IF(NOTA[[#This Row],[CONCAT1]]="","",MATCH(NOTA[[#This Row],[CONCAT1]],[3]!db[NB NOTA_C],0)+1)</f>
        <v/>
      </c>
    </row>
    <row r="935" spans="1:42" ht="20.100000000000001" customHeight="1" x14ac:dyDescent="0.25">
      <c r="A93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2" t="str">
        <f>IF(NOTA[[#This Row],[ID_P]]="","",MATCH(NOTA[[#This Row],[ID_P]],[1]!B_MSK[N_ID],0))</f>
        <v/>
      </c>
      <c r="D935" s="92" t="str">
        <f ca="1">IF(NOTA[[#This Row],[NAMA BARANG]]="","",INDEX(NOTA[ID],MATCH(,INDIRECT(ADDRESS(ROW(NOTA[ID]),COLUMN(NOTA[ID]))&amp;":"&amp;ADDRESS(ROW(),COLUMN(NOTA[ID]))),-1)))</f>
        <v/>
      </c>
      <c r="E935" s="139"/>
      <c r="F935" s="38"/>
      <c r="G935" s="38"/>
      <c r="H935" s="79"/>
      <c r="I935" s="38"/>
      <c r="J935" s="78"/>
      <c r="K935" s="38"/>
      <c r="L935" s="38"/>
      <c r="M935" s="140"/>
      <c r="N935" s="38"/>
      <c r="O935" s="38"/>
      <c r="P935" s="90"/>
      <c r="Q935" s="105"/>
      <c r="R935" s="140"/>
      <c r="S935" s="141"/>
      <c r="T935" s="141"/>
      <c r="U935" s="66"/>
      <c r="V935" s="103"/>
      <c r="W935" s="66" t="str">
        <f>IF(NOTA[[#This Row],[HARGA/ CTN]]="",NOTA[[#This Row],[JUMLAH_H]],NOTA[[#This Row],[HARGA/ CTN]]*IF(NOTA[[#This Row],[C]]="",0,NOTA[[#This Row],[C]]))</f>
        <v/>
      </c>
      <c r="X935" s="66" t="str">
        <f>IF(NOTA[[#This Row],[JUMLAH]]="","",NOTA[[#This Row],[JUMLAH]]*NOTA[[#This Row],[DISC 1]])</f>
        <v/>
      </c>
      <c r="Y935" s="66" t="str">
        <f>IF(NOTA[[#This Row],[JUMLAH]]="","",(NOTA[[#This Row],[JUMLAH]]-NOTA[[#This Row],[DISC 1-]])*NOTA[[#This Row],[DISC 2]])</f>
        <v/>
      </c>
      <c r="Z935" s="66" t="str">
        <f>IF(NOTA[[#This Row],[JUMLAH]]="","",NOTA[[#This Row],[DISC 1-]]+NOTA[[#This Row],[DISC 2-]])</f>
        <v/>
      </c>
      <c r="AA935" s="66" t="str">
        <f>IF(NOTA[[#This Row],[JUMLAH]]="","",NOTA[[#This Row],[JUMLAH]]-NOTA[[#This Row],[DISC]])</f>
        <v/>
      </c>
      <c r="AB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66" t="str">
        <f>IF(OR(NOTA[[#This Row],[QTY]]="",NOTA[[#This Row],[HARGA SATUAN]]="",),"",NOTA[[#This Row],[QTY]]*NOTA[[#This Row],[HARGA SATUAN]])</f>
        <v/>
      </c>
      <c r="AF935" s="78" t="str">
        <f ca="1">IF(NOTA[ID_H]="","",INDEX(NOTA[TANGGAL],MATCH(,INDIRECT(ADDRESS(ROW(NOTA[TANGGAL]),COLUMN(NOTA[TANGGAL]))&amp;":"&amp;ADDRESS(ROW(),COLUMN(NOTA[TANGGAL]))),-1)))</f>
        <v/>
      </c>
      <c r="AG935" s="90" t="str">
        <f ca="1">IF(NOTA[[#This Row],[NAMA BARANG]]="","",INDEX(NOTA[SUPPLIER],MATCH(,INDIRECT(ADDRESS(ROW(NOTA[ID]),COLUMN(NOTA[ID]))&amp;":"&amp;ADDRESS(ROW(),COLUMN(NOTA[ID]))),-1)))</f>
        <v/>
      </c>
      <c r="AH935" s="90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5" s="38" t="str">
        <f>IF(NOTA[[#This Row],[CONCAT4]]="","",_xlfn.IFNA(MATCH(NOTA[[#This Row],[CONCAT4]],[2]!RAW[CONCAT_H],0),FALSE))</f>
        <v/>
      </c>
      <c r="AP935" s="174" t="str">
        <f>IF(NOTA[[#This Row],[CONCAT1]]="","",MATCH(NOTA[[#This Row],[CONCAT1]],[3]!db[NB NOTA_C],0)+1)</f>
        <v/>
      </c>
    </row>
    <row r="936" spans="1:42" ht="20.100000000000001" customHeight="1" x14ac:dyDescent="0.25">
      <c r="A93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2" t="str">
        <f>IF(NOTA[[#This Row],[ID_P]]="","",MATCH(NOTA[[#This Row],[ID_P]],[1]!B_MSK[N_ID],0))</f>
        <v/>
      </c>
      <c r="D936" s="92" t="str">
        <f ca="1">IF(NOTA[[#This Row],[NAMA BARANG]]="","",INDEX(NOTA[ID],MATCH(,INDIRECT(ADDRESS(ROW(NOTA[ID]),COLUMN(NOTA[ID]))&amp;":"&amp;ADDRESS(ROW(),COLUMN(NOTA[ID]))),-1)))</f>
        <v/>
      </c>
      <c r="E936" s="139"/>
      <c r="F936" s="38"/>
      <c r="G936" s="38"/>
      <c r="H936" s="79"/>
      <c r="I936" s="38"/>
      <c r="J936" s="78"/>
      <c r="K936" s="38"/>
      <c r="L936" s="38"/>
      <c r="M936" s="140"/>
      <c r="N936" s="38"/>
      <c r="O936" s="38"/>
      <c r="P936" s="90"/>
      <c r="Q936" s="105"/>
      <c r="R936" s="140"/>
      <c r="S936" s="141"/>
      <c r="T936" s="141"/>
      <c r="U936" s="66"/>
      <c r="V936" s="103"/>
      <c r="W936" s="66" t="str">
        <f>IF(NOTA[[#This Row],[HARGA/ CTN]]="",NOTA[[#This Row],[JUMLAH_H]],NOTA[[#This Row],[HARGA/ CTN]]*IF(NOTA[[#This Row],[C]]="",0,NOTA[[#This Row],[C]]))</f>
        <v/>
      </c>
      <c r="X936" s="66" t="str">
        <f>IF(NOTA[[#This Row],[JUMLAH]]="","",NOTA[[#This Row],[JUMLAH]]*NOTA[[#This Row],[DISC 1]])</f>
        <v/>
      </c>
      <c r="Y936" s="66" t="str">
        <f>IF(NOTA[[#This Row],[JUMLAH]]="","",(NOTA[[#This Row],[JUMLAH]]-NOTA[[#This Row],[DISC 1-]])*NOTA[[#This Row],[DISC 2]])</f>
        <v/>
      </c>
      <c r="Z936" s="66" t="str">
        <f>IF(NOTA[[#This Row],[JUMLAH]]="","",NOTA[[#This Row],[DISC 1-]]+NOTA[[#This Row],[DISC 2-]])</f>
        <v/>
      </c>
      <c r="AA936" s="66" t="str">
        <f>IF(NOTA[[#This Row],[JUMLAH]]="","",NOTA[[#This Row],[JUMLAH]]-NOTA[[#This Row],[DISC]])</f>
        <v/>
      </c>
      <c r="AB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66" t="str">
        <f>IF(OR(NOTA[[#This Row],[QTY]]="",NOTA[[#This Row],[HARGA SATUAN]]="",),"",NOTA[[#This Row],[QTY]]*NOTA[[#This Row],[HARGA SATUAN]])</f>
        <v/>
      </c>
      <c r="AF936" s="78" t="str">
        <f ca="1">IF(NOTA[ID_H]="","",INDEX(NOTA[TANGGAL],MATCH(,INDIRECT(ADDRESS(ROW(NOTA[TANGGAL]),COLUMN(NOTA[TANGGAL]))&amp;":"&amp;ADDRESS(ROW(),COLUMN(NOTA[TANGGAL]))),-1)))</f>
        <v/>
      </c>
      <c r="AG936" s="90" t="str">
        <f ca="1">IF(NOTA[[#This Row],[NAMA BARANG]]="","",INDEX(NOTA[SUPPLIER],MATCH(,INDIRECT(ADDRESS(ROW(NOTA[ID]),COLUMN(NOTA[ID]))&amp;":"&amp;ADDRESS(ROW(),COLUMN(NOTA[ID]))),-1)))</f>
        <v/>
      </c>
      <c r="AH936" s="90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6" s="38" t="str">
        <f>IF(NOTA[[#This Row],[CONCAT4]]="","",_xlfn.IFNA(MATCH(NOTA[[#This Row],[CONCAT4]],[2]!RAW[CONCAT_H],0),FALSE))</f>
        <v/>
      </c>
      <c r="AP936" s="174" t="str">
        <f>IF(NOTA[[#This Row],[CONCAT1]]="","",MATCH(NOTA[[#This Row],[CONCAT1]],[3]!db[NB NOTA_C],0)+1)</f>
        <v/>
      </c>
    </row>
    <row r="937" spans="1:42" ht="20.100000000000001" customHeight="1" x14ac:dyDescent="0.25">
      <c r="A93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2" t="str">
        <f>IF(NOTA[[#This Row],[ID_P]]="","",MATCH(NOTA[[#This Row],[ID_P]],[1]!B_MSK[N_ID],0))</f>
        <v/>
      </c>
      <c r="D937" s="92" t="str">
        <f ca="1">IF(NOTA[[#This Row],[NAMA BARANG]]="","",INDEX(NOTA[ID],MATCH(,INDIRECT(ADDRESS(ROW(NOTA[ID]),COLUMN(NOTA[ID]))&amp;":"&amp;ADDRESS(ROW(),COLUMN(NOTA[ID]))),-1)))</f>
        <v/>
      </c>
      <c r="E937" s="139"/>
      <c r="F937" s="38"/>
      <c r="G937" s="38"/>
      <c r="H937" s="79"/>
      <c r="I937" s="38"/>
      <c r="J937" s="78"/>
      <c r="K937" s="38"/>
      <c r="L937" s="38"/>
      <c r="M937" s="140"/>
      <c r="N937" s="38"/>
      <c r="O937" s="38"/>
      <c r="P937" s="90"/>
      <c r="Q937" s="105"/>
      <c r="R937" s="140"/>
      <c r="S937" s="141"/>
      <c r="T937" s="141"/>
      <c r="U937" s="66"/>
      <c r="V937" s="103"/>
      <c r="W937" s="66" t="str">
        <f>IF(NOTA[[#This Row],[HARGA/ CTN]]="",NOTA[[#This Row],[JUMLAH_H]],NOTA[[#This Row],[HARGA/ CTN]]*IF(NOTA[[#This Row],[C]]="",0,NOTA[[#This Row],[C]]))</f>
        <v/>
      </c>
      <c r="X937" s="66" t="str">
        <f>IF(NOTA[[#This Row],[JUMLAH]]="","",NOTA[[#This Row],[JUMLAH]]*NOTA[[#This Row],[DISC 1]])</f>
        <v/>
      </c>
      <c r="Y937" s="66" t="str">
        <f>IF(NOTA[[#This Row],[JUMLAH]]="","",(NOTA[[#This Row],[JUMLAH]]-NOTA[[#This Row],[DISC 1-]])*NOTA[[#This Row],[DISC 2]])</f>
        <v/>
      </c>
      <c r="Z937" s="66" t="str">
        <f>IF(NOTA[[#This Row],[JUMLAH]]="","",NOTA[[#This Row],[DISC 1-]]+NOTA[[#This Row],[DISC 2-]])</f>
        <v/>
      </c>
      <c r="AA937" s="66" t="str">
        <f>IF(NOTA[[#This Row],[JUMLAH]]="","",NOTA[[#This Row],[JUMLAH]]-NOTA[[#This Row],[DISC]])</f>
        <v/>
      </c>
      <c r="AB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66" t="str">
        <f>IF(OR(NOTA[[#This Row],[QTY]]="",NOTA[[#This Row],[HARGA SATUAN]]="",),"",NOTA[[#This Row],[QTY]]*NOTA[[#This Row],[HARGA SATUAN]])</f>
        <v/>
      </c>
      <c r="AF937" s="78" t="str">
        <f ca="1">IF(NOTA[ID_H]="","",INDEX(NOTA[TANGGAL],MATCH(,INDIRECT(ADDRESS(ROW(NOTA[TANGGAL]),COLUMN(NOTA[TANGGAL]))&amp;":"&amp;ADDRESS(ROW(),COLUMN(NOTA[TANGGAL]))),-1)))</f>
        <v/>
      </c>
      <c r="AG937" s="90" t="str">
        <f ca="1">IF(NOTA[[#This Row],[NAMA BARANG]]="","",INDEX(NOTA[SUPPLIER],MATCH(,INDIRECT(ADDRESS(ROW(NOTA[ID]),COLUMN(NOTA[ID]))&amp;":"&amp;ADDRESS(ROW(),COLUMN(NOTA[ID]))),-1)))</f>
        <v/>
      </c>
      <c r="AH937" s="90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7" s="38" t="str">
        <f>IF(NOTA[[#This Row],[CONCAT4]]="","",_xlfn.IFNA(MATCH(NOTA[[#This Row],[CONCAT4]],[2]!RAW[CONCAT_H],0),FALSE))</f>
        <v/>
      </c>
      <c r="AP937" s="174" t="str">
        <f>IF(NOTA[[#This Row],[CONCAT1]]="","",MATCH(NOTA[[#This Row],[CONCAT1]],[3]!db[NB NOTA_C],0)+1)</f>
        <v/>
      </c>
    </row>
    <row r="938" spans="1:42" ht="20.100000000000001" customHeight="1" x14ac:dyDescent="0.25">
      <c r="A93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2" t="str">
        <f>IF(NOTA[[#This Row],[ID_P]]="","",MATCH(NOTA[[#This Row],[ID_P]],[1]!B_MSK[N_ID],0))</f>
        <v/>
      </c>
      <c r="D938" s="92" t="str">
        <f ca="1">IF(NOTA[[#This Row],[NAMA BARANG]]="","",INDEX(NOTA[ID],MATCH(,INDIRECT(ADDRESS(ROW(NOTA[ID]),COLUMN(NOTA[ID]))&amp;":"&amp;ADDRESS(ROW(),COLUMN(NOTA[ID]))),-1)))</f>
        <v/>
      </c>
      <c r="E938" s="139"/>
      <c r="F938" s="38"/>
      <c r="G938" s="38"/>
      <c r="H938" s="79"/>
      <c r="I938" s="38"/>
      <c r="J938" s="78"/>
      <c r="K938" s="38"/>
      <c r="L938" s="38"/>
      <c r="M938" s="140"/>
      <c r="N938" s="38"/>
      <c r="O938" s="38"/>
      <c r="P938" s="90"/>
      <c r="Q938" s="105"/>
      <c r="R938" s="140"/>
      <c r="S938" s="141"/>
      <c r="T938" s="141"/>
      <c r="U938" s="66"/>
      <c r="V938" s="103"/>
      <c r="W938" s="66" t="str">
        <f>IF(NOTA[[#This Row],[HARGA/ CTN]]="",NOTA[[#This Row],[JUMLAH_H]],NOTA[[#This Row],[HARGA/ CTN]]*IF(NOTA[[#This Row],[C]]="",0,NOTA[[#This Row],[C]]))</f>
        <v/>
      </c>
      <c r="X938" s="66" t="str">
        <f>IF(NOTA[[#This Row],[JUMLAH]]="","",NOTA[[#This Row],[JUMLAH]]*NOTA[[#This Row],[DISC 1]])</f>
        <v/>
      </c>
      <c r="Y938" s="66" t="str">
        <f>IF(NOTA[[#This Row],[JUMLAH]]="","",(NOTA[[#This Row],[JUMLAH]]-NOTA[[#This Row],[DISC 1-]])*NOTA[[#This Row],[DISC 2]])</f>
        <v/>
      </c>
      <c r="Z938" s="66" t="str">
        <f>IF(NOTA[[#This Row],[JUMLAH]]="","",NOTA[[#This Row],[DISC 1-]]+NOTA[[#This Row],[DISC 2-]])</f>
        <v/>
      </c>
      <c r="AA938" s="66" t="str">
        <f>IF(NOTA[[#This Row],[JUMLAH]]="","",NOTA[[#This Row],[JUMLAH]]-NOTA[[#This Row],[DISC]])</f>
        <v/>
      </c>
      <c r="AB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66" t="str">
        <f>IF(OR(NOTA[[#This Row],[QTY]]="",NOTA[[#This Row],[HARGA SATUAN]]="",),"",NOTA[[#This Row],[QTY]]*NOTA[[#This Row],[HARGA SATUAN]])</f>
        <v/>
      </c>
      <c r="AF938" s="78" t="str">
        <f ca="1">IF(NOTA[ID_H]="","",INDEX(NOTA[TANGGAL],MATCH(,INDIRECT(ADDRESS(ROW(NOTA[TANGGAL]),COLUMN(NOTA[TANGGAL]))&amp;":"&amp;ADDRESS(ROW(),COLUMN(NOTA[TANGGAL]))),-1)))</f>
        <v/>
      </c>
      <c r="AG938" s="90" t="str">
        <f ca="1">IF(NOTA[[#This Row],[NAMA BARANG]]="","",INDEX(NOTA[SUPPLIER],MATCH(,INDIRECT(ADDRESS(ROW(NOTA[ID]),COLUMN(NOTA[ID]))&amp;":"&amp;ADDRESS(ROW(),COLUMN(NOTA[ID]))),-1)))</f>
        <v/>
      </c>
      <c r="AH938" s="90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8" s="38" t="str">
        <f>IF(NOTA[[#This Row],[CONCAT4]]="","",_xlfn.IFNA(MATCH(NOTA[[#This Row],[CONCAT4]],[2]!RAW[CONCAT_H],0),FALSE))</f>
        <v/>
      </c>
      <c r="AP938" s="174" t="str">
        <f>IF(NOTA[[#This Row],[CONCAT1]]="","",MATCH(NOTA[[#This Row],[CONCAT1]],[3]!db[NB NOTA_C],0)+1)</f>
        <v/>
      </c>
    </row>
    <row r="939" spans="1:42" ht="20.100000000000001" customHeight="1" x14ac:dyDescent="0.25">
      <c r="A93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2" t="str">
        <f>IF(NOTA[[#This Row],[ID_P]]="","",MATCH(NOTA[[#This Row],[ID_P]],[1]!B_MSK[N_ID],0))</f>
        <v/>
      </c>
      <c r="D939" s="92" t="str">
        <f ca="1">IF(NOTA[[#This Row],[NAMA BARANG]]="","",INDEX(NOTA[ID],MATCH(,INDIRECT(ADDRESS(ROW(NOTA[ID]),COLUMN(NOTA[ID]))&amp;":"&amp;ADDRESS(ROW(),COLUMN(NOTA[ID]))),-1)))</f>
        <v/>
      </c>
      <c r="E939" s="139"/>
      <c r="F939" s="38"/>
      <c r="G939" s="38"/>
      <c r="H939" s="79"/>
      <c r="I939" s="38"/>
      <c r="J939" s="78"/>
      <c r="K939" s="38"/>
      <c r="L939" s="38"/>
      <c r="M939" s="140"/>
      <c r="N939" s="38"/>
      <c r="O939" s="38"/>
      <c r="P939" s="90"/>
      <c r="Q939" s="105"/>
      <c r="R939" s="140"/>
      <c r="S939" s="141"/>
      <c r="T939" s="141"/>
      <c r="U939" s="66"/>
      <c r="V939" s="103"/>
      <c r="W939" s="66" t="str">
        <f>IF(NOTA[[#This Row],[HARGA/ CTN]]="",NOTA[[#This Row],[JUMLAH_H]],NOTA[[#This Row],[HARGA/ CTN]]*IF(NOTA[[#This Row],[C]]="",0,NOTA[[#This Row],[C]]))</f>
        <v/>
      </c>
      <c r="X939" s="66" t="str">
        <f>IF(NOTA[[#This Row],[JUMLAH]]="","",NOTA[[#This Row],[JUMLAH]]*NOTA[[#This Row],[DISC 1]])</f>
        <v/>
      </c>
      <c r="Y939" s="66" t="str">
        <f>IF(NOTA[[#This Row],[JUMLAH]]="","",(NOTA[[#This Row],[JUMLAH]]-NOTA[[#This Row],[DISC 1-]])*NOTA[[#This Row],[DISC 2]])</f>
        <v/>
      </c>
      <c r="Z939" s="66" t="str">
        <f>IF(NOTA[[#This Row],[JUMLAH]]="","",NOTA[[#This Row],[DISC 1-]]+NOTA[[#This Row],[DISC 2-]])</f>
        <v/>
      </c>
      <c r="AA939" s="66" t="str">
        <f>IF(NOTA[[#This Row],[JUMLAH]]="","",NOTA[[#This Row],[JUMLAH]]-NOTA[[#This Row],[DISC]])</f>
        <v/>
      </c>
      <c r="AB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66" t="str">
        <f>IF(OR(NOTA[[#This Row],[QTY]]="",NOTA[[#This Row],[HARGA SATUAN]]="",),"",NOTA[[#This Row],[QTY]]*NOTA[[#This Row],[HARGA SATUAN]])</f>
        <v/>
      </c>
      <c r="AF939" s="78" t="str">
        <f ca="1">IF(NOTA[ID_H]="","",INDEX(NOTA[TANGGAL],MATCH(,INDIRECT(ADDRESS(ROW(NOTA[TANGGAL]),COLUMN(NOTA[TANGGAL]))&amp;":"&amp;ADDRESS(ROW(),COLUMN(NOTA[TANGGAL]))),-1)))</f>
        <v/>
      </c>
      <c r="AG939" s="90" t="str">
        <f ca="1">IF(NOTA[[#This Row],[NAMA BARANG]]="","",INDEX(NOTA[SUPPLIER],MATCH(,INDIRECT(ADDRESS(ROW(NOTA[ID]),COLUMN(NOTA[ID]))&amp;":"&amp;ADDRESS(ROW(),COLUMN(NOTA[ID]))),-1)))</f>
        <v/>
      </c>
      <c r="AH939" s="90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9" s="38" t="str">
        <f>IF(NOTA[[#This Row],[CONCAT4]]="","",_xlfn.IFNA(MATCH(NOTA[[#This Row],[CONCAT4]],[2]!RAW[CONCAT_H],0),FALSE))</f>
        <v/>
      </c>
      <c r="AP939" s="174" t="str">
        <f>IF(NOTA[[#This Row],[CONCAT1]]="","",MATCH(NOTA[[#This Row],[CONCAT1]],[3]!db[NB NOTA_C],0)+1)</f>
        <v/>
      </c>
    </row>
    <row r="940" spans="1:42" ht="20.100000000000001" customHeight="1" x14ac:dyDescent="0.25">
      <c r="A94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92" t="str">
        <f>IF(NOTA[[#This Row],[ID_P]]="","",MATCH(NOTA[[#This Row],[ID_P]],[1]!B_MSK[N_ID],0))</f>
        <v/>
      </c>
      <c r="D940" s="92" t="str">
        <f ca="1">IF(NOTA[[#This Row],[NAMA BARANG]]="","",INDEX(NOTA[ID],MATCH(,INDIRECT(ADDRESS(ROW(NOTA[ID]),COLUMN(NOTA[ID]))&amp;":"&amp;ADDRESS(ROW(),COLUMN(NOTA[ID]))),-1)))</f>
        <v/>
      </c>
      <c r="E940" s="139"/>
      <c r="F940" s="38"/>
      <c r="G940" s="38"/>
      <c r="H940" s="79"/>
      <c r="I940" s="38"/>
      <c r="J940" s="78"/>
      <c r="K940" s="38"/>
      <c r="L940" s="38"/>
      <c r="M940" s="140"/>
      <c r="N940" s="38"/>
      <c r="O940" s="38"/>
      <c r="P940" s="90"/>
      <c r="Q940" s="105"/>
      <c r="R940" s="140"/>
      <c r="S940" s="141"/>
      <c r="T940" s="141"/>
      <c r="U940" s="66"/>
      <c r="V940" s="103"/>
      <c r="W940" s="66" t="str">
        <f>IF(NOTA[[#This Row],[HARGA/ CTN]]="",NOTA[[#This Row],[JUMLAH_H]],NOTA[[#This Row],[HARGA/ CTN]]*IF(NOTA[[#This Row],[C]]="",0,NOTA[[#This Row],[C]]))</f>
        <v/>
      </c>
      <c r="X940" s="66" t="str">
        <f>IF(NOTA[[#This Row],[JUMLAH]]="","",NOTA[[#This Row],[JUMLAH]]*NOTA[[#This Row],[DISC 1]])</f>
        <v/>
      </c>
      <c r="Y940" s="66" t="str">
        <f>IF(NOTA[[#This Row],[JUMLAH]]="","",(NOTA[[#This Row],[JUMLAH]]-NOTA[[#This Row],[DISC 1-]])*NOTA[[#This Row],[DISC 2]])</f>
        <v/>
      </c>
      <c r="Z940" s="66" t="str">
        <f>IF(NOTA[[#This Row],[JUMLAH]]="","",NOTA[[#This Row],[DISC 1-]]+NOTA[[#This Row],[DISC 2-]])</f>
        <v/>
      </c>
      <c r="AA940" s="66" t="str">
        <f>IF(NOTA[[#This Row],[JUMLAH]]="","",NOTA[[#This Row],[JUMLAH]]-NOTA[[#This Row],[DISC]])</f>
        <v/>
      </c>
      <c r="AB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66" t="str">
        <f>IF(OR(NOTA[[#This Row],[QTY]]="",NOTA[[#This Row],[HARGA SATUAN]]="",),"",NOTA[[#This Row],[QTY]]*NOTA[[#This Row],[HARGA SATUAN]])</f>
        <v/>
      </c>
      <c r="AF940" s="78" t="str">
        <f ca="1">IF(NOTA[ID_H]="","",INDEX(NOTA[TANGGAL],MATCH(,INDIRECT(ADDRESS(ROW(NOTA[TANGGAL]),COLUMN(NOTA[TANGGAL]))&amp;":"&amp;ADDRESS(ROW(),COLUMN(NOTA[TANGGAL]))),-1)))</f>
        <v/>
      </c>
      <c r="AG940" s="90" t="str">
        <f ca="1">IF(NOTA[[#This Row],[NAMA BARANG]]="","",INDEX(NOTA[SUPPLIER],MATCH(,INDIRECT(ADDRESS(ROW(NOTA[ID]),COLUMN(NOTA[ID]))&amp;":"&amp;ADDRESS(ROW(),COLUMN(NOTA[ID]))),-1)))</f>
        <v/>
      </c>
      <c r="AH940" s="90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0" s="38" t="str">
        <f>IF(NOTA[[#This Row],[CONCAT4]]="","",_xlfn.IFNA(MATCH(NOTA[[#This Row],[CONCAT4]],[2]!RAW[CONCAT_H],0),FALSE))</f>
        <v/>
      </c>
      <c r="AP940" s="174" t="str">
        <f>IF(NOTA[[#This Row],[CONCAT1]]="","",MATCH(NOTA[[#This Row],[CONCAT1]],[3]!db[NB NOTA_C],0)+1)</f>
        <v/>
      </c>
    </row>
    <row r="941" spans="1:42" ht="20.100000000000001" customHeight="1" x14ac:dyDescent="0.25">
      <c r="A94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92" t="str">
        <f>IF(NOTA[[#This Row],[ID_P]]="","",MATCH(NOTA[[#This Row],[ID_P]],[1]!B_MSK[N_ID],0))</f>
        <v/>
      </c>
      <c r="D941" s="92" t="str">
        <f ca="1">IF(NOTA[[#This Row],[NAMA BARANG]]="","",INDEX(NOTA[ID],MATCH(,INDIRECT(ADDRESS(ROW(NOTA[ID]),COLUMN(NOTA[ID]))&amp;":"&amp;ADDRESS(ROW(),COLUMN(NOTA[ID]))),-1)))</f>
        <v/>
      </c>
      <c r="E941" s="139"/>
      <c r="F941" s="38"/>
      <c r="G941" s="38"/>
      <c r="H941" s="79"/>
      <c r="I941" s="38"/>
      <c r="J941" s="78"/>
      <c r="K941" s="38"/>
      <c r="L941" s="38"/>
      <c r="M941" s="140"/>
      <c r="N941" s="38"/>
      <c r="O941" s="38"/>
      <c r="P941" s="90"/>
      <c r="Q941" s="105"/>
      <c r="R941" s="140"/>
      <c r="S941" s="141"/>
      <c r="T941" s="141"/>
      <c r="U941" s="66"/>
      <c r="V941" s="103"/>
      <c r="W941" s="66" t="str">
        <f>IF(NOTA[[#This Row],[HARGA/ CTN]]="",NOTA[[#This Row],[JUMLAH_H]],NOTA[[#This Row],[HARGA/ CTN]]*IF(NOTA[[#This Row],[C]]="",0,NOTA[[#This Row],[C]]))</f>
        <v/>
      </c>
      <c r="X941" s="66" t="str">
        <f>IF(NOTA[[#This Row],[JUMLAH]]="","",NOTA[[#This Row],[JUMLAH]]*NOTA[[#This Row],[DISC 1]])</f>
        <v/>
      </c>
      <c r="Y941" s="66" t="str">
        <f>IF(NOTA[[#This Row],[JUMLAH]]="","",(NOTA[[#This Row],[JUMLAH]]-NOTA[[#This Row],[DISC 1-]])*NOTA[[#This Row],[DISC 2]])</f>
        <v/>
      </c>
      <c r="Z941" s="66" t="str">
        <f>IF(NOTA[[#This Row],[JUMLAH]]="","",NOTA[[#This Row],[DISC 1-]]+NOTA[[#This Row],[DISC 2-]])</f>
        <v/>
      </c>
      <c r="AA941" s="66" t="str">
        <f>IF(NOTA[[#This Row],[JUMLAH]]="","",NOTA[[#This Row],[JUMLAH]]-NOTA[[#This Row],[DISC]])</f>
        <v/>
      </c>
      <c r="AB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66" t="str">
        <f>IF(OR(NOTA[[#This Row],[QTY]]="",NOTA[[#This Row],[HARGA SATUAN]]="",),"",NOTA[[#This Row],[QTY]]*NOTA[[#This Row],[HARGA SATUAN]])</f>
        <v/>
      </c>
      <c r="AF941" s="78" t="str">
        <f ca="1">IF(NOTA[ID_H]="","",INDEX(NOTA[TANGGAL],MATCH(,INDIRECT(ADDRESS(ROW(NOTA[TANGGAL]),COLUMN(NOTA[TANGGAL]))&amp;":"&amp;ADDRESS(ROW(),COLUMN(NOTA[TANGGAL]))),-1)))</f>
        <v/>
      </c>
      <c r="AG941" s="90" t="str">
        <f ca="1">IF(NOTA[[#This Row],[NAMA BARANG]]="","",INDEX(NOTA[SUPPLIER],MATCH(,INDIRECT(ADDRESS(ROW(NOTA[ID]),COLUMN(NOTA[ID]))&amp;":"&amp;ADDRESS(ROW(),COLUMN(NOTA[ID]))),-1)))</f>
        <v/>
      </c>
      <c r="AH941" s="90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1" s="38" t="str">
        <f>IF(NOTA[[#This Row],[CONCAT4]]="","",_xlfn.IFNA(MATCH(NOTA[[#This Row],[CONCAT4]],[2]!RAW[CONCAT_H],0),FALSE))</f>
        <v/>
      </c>
      <c r="AP941" s="174" t="str">
        <f>IF(NOTA[[#This Row],[CONCAT1]]="","",MATCH(NOTA[[#This Row],[CONCAT1]],[3]!db[NB NOTA_C],0)+1)</f>
        <v/>
      </c>
    </row>
    <row r="942" spans="1:42" ht="20.100000000000001" customHeight="1" x14ac:dyDescent="0.25">
      <c r="A94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92" t="str">
        <f>IF(NOTA[[#This Row],[ID_P]]="","",MATCH(NOTA[[#This Row],[ID_P]],[1]!B_MSK[N_ID],0))</f>
        <v/>
      </c>
      <c r="D942" s="92" t="str">
        <f ca="1">IF(NOTA[[#This Row],[NAMA BARANG]]="","",INDEX(NOTA[ID],MATCH(,INDIRECT(ADDRESS(ROW(NOTA[ID]),COLUMN(NOTA[ID]))&amp;":"&amp;ADDRESS(ROW(),COLUMN(NOTA[ID]))),-1)))</f>
        <v/>
      </c>
      <c r="E942" s="139"/>
      <c r="F942" s="38"/>
      <c r="G942" s="38"/>
      <c r="H942" s="79"/>
      <c r="I942" s="38"/>
      <c r="J942" s="78"/>
      <c r="K942" s="38"/>
      <c r="L942" s="38"/>
      <c r="M942" s="140"/>
      <c r="N942" s="38"/>
      <c r="O942" s="38"/>
      <c r="P942" s="90"/>
      <c r="Q942" s="105"/>
      <c r="R942" s="140"/>
      <c r="S942" s="141"/>
      <c r="T942" s="141"/>
      <c r="U942" s="66"/>
      <c r="V942" s="103"/>
      <c r="W942" s="66" t="str">
        <f>IF(NOTA[[#This Row],[HARGA/ CTN]]="",NOTA[[#This Row],[JUMLAH_H]],NOTA[[#This Row],[HARGA/ CTN]]*IF(NOTA[[#This Row],[C]]="",0,NOTA[[#This Row],[C]]))</f>
        <v/>
      </c>
      <c r="X942" s="66" t="str">
        <f>IF(NOTA[[#This Row],[JUMLAH]]="","",NOTA[[#This Row],[JUMLAH]]*NOTA[[#This Row],[DISC 1]])</f>
        <v/>
      </c>
      <c r="Y942" s="66" t="str">
        <f>IF(NOTA[[#This Row],[JUMLAH]]="","",(NOTA[[#This Row],[JUMLAH]]-NOTA[[#This Row],[DISC 1-]])*NOTA[[#This Row],[DISC 2]])</f>
        <v/>
      </c>
      <c r="Z942" s="66" t="str">
        <f>IF(NOTA[[#This Row],[JUMLAH]]="","",NOTA[[#This Row],[DISC 1-]]+NOTA[[#This Row],[DISC 2-]])</f>
        <v/>
      </c>
      <c r="AA942" s="66" t="str">
        <f>IF(NOTA[[#This Row],[JUMLAH]]="","",NOTA[[#This Row],[JUMLAH]]-NOTA[[#This Row],[DISC]])</f>
        <v/>
      </c>
      <c r="AB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66" t="str">
        <f>IF(OR(NOTA[[#This Row],[QTY]]="",NOTA[[#This Row],[HARGA SATUAN]]="",),"",NOTA[[#This Row],[QTY]]*NOTA[[#This Row],[HARGA SATUAN]])</f>
        <v/>
      </c>
      <c r="AF942" s="78" t="str">
        <f ca="1">IF(NOTA[ID_H]="","",INDEX(NOTA[TANGGAL],MATCH(,INDIRECT(ADDRESS(ROW(NOTA[TANGGAL]),COLUMN(NOTA[TANGGAL]))&amp;":"&amp;ADDRESS(ROW(),COLUMN(NOTA[TANGGAL]))),-1)))</f>
        <v/>
      </c>
      <c r="AG942" s="90" t="str">
        <f ca="1">IF(NOTA[[#This Row],[NAMA BARANG]]="","",INDEX(NOTA[SUPPLIER],MATCH(,INDIRECT(ADDRESS(ROW(NOTA[ID]),COLUMN(NOTA[ID]))&amp;":"&amp;ADDRESS(ROW(),COLUMN(NOTA[ID]))),-1)))</f>
        <v/>
      </c>
      <c r="AH942" s="90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2" s="38" t="str">
        <f>IF(NOTA[[#This Row],[CONCAT4]]="","",_xlfn.IFNA(MATCH(NOTA[[#This Row],[CONCAT4]],[2]!RAW[CONCAT_H],0),FALSE))</f>
        <v/>
      </c>
      <c r="AP942" s="174" t="str">
        <f>IF(NOTA[[#This Row],[CONCAT1]]="","",MATCH(NOTA[[#This Row],[CONCAT1]],[3]!db[NB NOTA_C],0)+1)</f>
        <v/>
      </c>
    </row>
    <row r="943" spans="1:42" ht="20.100000000000001" customHeight="1" x14ac:dyDescent="0.25">
      <c r="A94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92" t="str">
        <f>IF(NOTA[[#This Row],[ID_P]]="","",MATCH(NOTA[[#This Row],[ID_P]],[1]!B_MSK[N_ID],0))</f>
        <v/>
      </c>
      <c r="D943" s="92" t="str">
        <f ca="1">IF(NOTA[[#This Row],[NAMA BARANG]]="","",INDEX(NOTA[ID],MATCH(,INDIRECT(ADDRESS(ROW(NOTA[ID]),COLUMN(NOTA[ID]))&amp;":"&amp;ADDRESS(ROW(),COLUMN(NOTA[ID]))),-1)))</f>
        <v/>
      </c>
      <c r="E943" s="139"/>
      <c r="F943" s="38"/>
      <c r="G943" s="38"/>
      <c r="H943" s="79"/>
      <c r="I943" s="38"/>
      <c r="J943" s="78"/>
      <c r="K943" s="38"/>
      <c r="L943" s="38"/>
      <c r="M943" s="140"/>
      <c r="N943" s="38"/>
      <c r="O943" s="38"/>
      <c r="P943" s="90"/>
      <c r="Q943" s="105"/>
      <c r="R943" s="140"/>
      <c r="S943" s="141"/>
      <c r="T943" s="141"/>
      <c r="U943" s="66"/>
      <c r="V943" s="103"/>
      <c r="W943" s="66" t="str">
        <f>IF(NOTA[[#This Row],[HARGA/ CTN]]="",NOTA[[#This Row],[JUMLAH_H]],NOTA[[#This Row],[HARGA/ CTN]]*IF(NOTA[[#This Row],[C]]="",0,NOTA[[#This Row],[C]]))</f>
        <v/>
      </c>
      <c r="X943" s="66" t="str">
        <f>IF(NOTA[[#This Row],[JUMLAH]]="","",NOTA[[#This Row],[JUMLAH]]*NOTA[[#This Row],[DISC 1]])</f>
        <v/>
      </c>
      <c r="Y943" s="66" t="str">
        <f>IF(NOTA[[#This Row],[JUMLAH]]="","",(NOTA[[#This Row],[JUMLAH]]-NOTA[[#This Row],[DISC 1-]])*NOTA[[#This Row],[DISC 2]])</f>
        <v/>
      </c>
      <c r="Z943" s="66" t="str">
        <f>IF(NOTA[[#This Row],[JUMLAH]]="","",NOTA[[#This Row],[DISC 1-]]+NOTA[[#This Row],[DISC 2-]])</f>
        <v/>
      </c>
      <c r="AA943" s="66" t="str">
        <f>IF(NOTA[[#This Row],[JUMLAH]]="","",NOTA[[#This Row],[JUMLAH]]-NOTA[[#This Row],[DISC]])</f>
        <v/>
      </c>
      <c r="AB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66" t="str">
        <f>IF(OR(NOTA[[#This Row],[QTY]]="",NOTA[[#This Row],[HARGA SATUAN]]="",),"",NOTA[[#This Row],[QTY]]*NOTA[[#This Row],[HARGA SATUAN]])</f>
        <v/>
      </c>
      <c r="AF943" s="78" t="str">
        <f ca="1">IF(NOTA[ID_H]="","",INDEX(NOTA[TANGGAL],MATCH(,INDIRECT(ADDRESS(ROW(NOTA[TANGGAL]),COLUMN(NOTA[TANGGAL]))&amp;":"&amp;ADDRESS(ROW(),COLUMN(NOTA[TANGGAL]))),-1)))</f>
        <v/>
      </c>
      <c r="AG943" s="90" t="str">
        <f ca="1">IF(NOTA[[#This Row],[NAMA BARANG]]="","",INDEX(NOTA[SUPPLIER],MATCH(,INDIRECT(ADDRESS(ROW(NOTA[ID]),COLUMN(NOTA[ID]))&amp;":"&amp;ADDRESS(ROW(),COLUMN(NOTA[ID]))),-1)))</f>
        <v/>
      </c>
      <c r="AH943" s="90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3" s="38" t="str">
        <f>IF(NOTA[[#This Row],[CONCAT4]]="","",_xlfn.IFNA(MATCH(NOTA[[#This Row],[CONCAT4]],[2]!RAW[CONCAT_H],0),FALSE))</f>
        <v/>
      </c>
      <c r="AP943" s="174" t="str">
        <f>IF(NOTA[[#This Row],[CONCAT1]]="","",MATCH(NOTA[[#This Row],[CONCAT1]],[3]!db[NB NOTA_C],0)+1)</f>
        <v/>
      </c>
    </row>
    <row r="944" spans="1:42" ht="20.100000000000001" customHeight="1" x14ac:dyDescent="0.25">
      <c r="A94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92" t="str">
        <f>IF(NOTA[[#This Row],[ID_P]]="","",MATCH(NOTA[[#This Row],[ID_P]],[1]!B_MSK[N_ID],0))</f>
        <v/>
      </c>
      <c r="D944" s="92" t="str">
        <f ca="1">IF(NOTA[[#This Row],[NAMA BARANG]]="","",INDEX(NOTA[ID],MATCH(,INDIRECT(ADDRESS(ROW(NOTA[ID]),COLUMN(NOTA[ID]))&amp;":"&amp;ADDRESS(ROW(),COLUMN(NOTA[ID]))),-1)))</f>
        <v/>
      </c>
      <c r="E944" s="139"/>
      <c r="F944" s="38"/>
      <c r="G944" s="38"/>
      <c r="H944" s="79"/>
      <c r="I944" s="38"/>
      <c r="J944" s="78"/>
      <c r="K944" s="38"/>
      <c r="L944" s="38"/>
      <c r="M944" s="140"/>
      <c r="N944" s="38"/>
      <c r="O944" s="38"/>
      <c r="P944" s="90"/>
      <c r="Q944" s="105"/>
      <c r="R944" s="140"/>
      <c r="S944" s="141"/>
      <c r="T944" s="141"/>
      <c r="U944" s="66"/>
      <c r="V944" s="103"/>
      <c r="W944" s="66" t="str">
        <f>IF(NOTA[[#This Row],[HARGA/ CTN]]="",NOTA[[#This Row],[JUMLAH_H]],NOTA[[#This Row],[HARGA/ CTN]]*IF(NOTA[[#This Row],[C]]="",0,NOTA[[#This Row],[C]]))</f>
        <v/>
      </c>
      <c r="X944" s="66" t="str">
        <f>IF(NOTA[[#This Row],[JUMLAH]]="","",NOTA[[#This Row],[JUMLAH]]*NOTA[[#This Row],[DISC 1]])</f>
        <v/>
      </c>
      <c r="Y944" s="66" t="str">
        <f>IF(NOTA[[#This Row],[JUMLAH]]="","",(NOTA[[#This Row],[JUMLAH]]-NOTA[[#This Row],[DISC 1-]])*NOTA[[#This Row],[DISC 2]])</f>
        <v/>
      </c>
      <c r="Z944" s="66" t="str">
        <f>IF(NOTA[[#This Row],[JUMLAH]]="","",NOTA[[#This Row],[DISC 1-]]+NOTA[[#This Row],[DISC 2-]])</f>
        <v/>
      </c>
      <c r="AA944" s="66" t="str">
        <f>IF(NOTA[[#This Row],[JUMLAH]]="","",NOTA[[#This Row],[JUMLAH]]-NOTA[[#This Row],[DISC]])</f>
        <v/>
      </c>
      <c r="AB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66" t="str">
        <f>IF(OR(NOTA[[#This Row],[QTY]]="",NOTA[[#This Row],[HARGA SATUAN]]="",),"",NOTA[[#This Row],[QTY]]*NOTA[[#This Row],[HARGA SATUAN]])</f>
        <v/>
      </c>
      <c r="AF944" s="78" t="str">
        <f ca="1">IF(NOTA[ID_H]="","",INDEX(NOTA[TANGGAL],MATCH(,INDIRECT(ADDRESS(ROW(NOTA[TANGGAL]),COLUMN(NOTA[TANGGAL]))&amp;":"&amp;ADDRESS(ROW(),COLUMN(NOTA[TANGGAL]))),-1)))</f>
        <v/>
      </c>
      <c r="AG944" s="90" t="str">
        <f ca="1">IF(NOTA[[#This Row],[NAMA BARANG]]="","",INDEX(NOTA[SUPPLIER],MATCH(,INDIRECT(ADDRESS(ROW(NOTA[ID]),COLUMN(NOTA[ID]))&amp;":"&amp;ADDRESS(ROW(),COLUMN(NOTA[ID]))),-1)))</f>
        <v/>
      </c>
      <c r="AH944" s="90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4" s="38" t="str">
        <f>IF(NOTA[[#This Row],[CONCAT4]]="","",_xlfn.IFNA(MATCH(NOTA[[#This Row],[CONCAT4]],[2]!RAW[CONCAT_H],0),FALSE))</f>
        <v/>
      </c>
      <c r="AP944" s="174" t="str">
        <f>IF(NOTA[[#This Row],[CONCAT1]]="","",MATCH(NOTA[[#This Row],[CONCAT1]],[3]!db[NB NOTA_C],0)+1)</f>
        <v/>
      </c>
    </row>
    <row r="945" spans="1:42" ht="20.100000000000001" customHeight="1" x14ac:dyDescent="0.25">
      <c r="A94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92" t="str">
        <f>IF(NOTA[[#This Row],[ID_P]]="","",MATCH(NOTA[[#This Row],[ID_P]],[1]!B_MSK[N_ID],0))</f>
        <v/>
      </c>
      <c r="D945" s="92" t="str">
        <f ca="1">IF(NOTA[[#This Row],[NAMA BARANG]]="","",INDEX(NOTA[ID],MATCH(,INDIRECT(ADDRESS(ROW(NOTA[ID]),COLUMN(NOTA[ID]))&amp;":"&amp;ADDRESS(ROW(),COLUMN(NOTA[ID]))),-1)))</f>
        <v/>
      </c>
      <c r="E945" s="139"/>
      <c r="F945" s="38"/>
      <c r="G945" s="38"/>
      <c r="H945" s="79"/>
      <c r="I945" s="38"/>
      <c r="J945" s="78"/>
      <c r="K945" s="38"/>
      <c r="L945" s="38"/>
      <c r="M945" s="140"/>
      <c r="N945" s="38"/>
      <c r="O945" s="38"/>
      <c r="P945" s="90"/>
      <c r="Q945" s="105"/>
      <c r="R945" s="140"/>
      <c r="S945" s="141"/>
      <c r="T945" s="141"/>
      <c r="U945" s="66"/>
      <c r="V945" s="103"/>
      <c r="W945" s="66" t="str">
        <f>IF(NOTA[[#This Row],[HARGA/ CTN]]="",NOTA[[#This Row],[JUMLAH_H]],NOTA[[#This Row],[HARGA/ CTN]]*IF(NOTA[[#This Row],[C]]="",0,NOTA[[#This Row],[C]]))</f>
        <v/>
      </c>
      <c r="X945" s="66" t="str">
        <f>IF(NOTA[[#This Row],[JUMLAH]]="","",NOTA[[#This Row],[JUMLAH]]*NOTA[[#This Row],[DISC 1]])</f>
        <v/>
      </c>
      <c r="Y945" s="66" t="str">
        <f>IF(NOTA[[#This Row],[JUMLAH]]="","",(NOTA[[#This Row],[JUMLAH]]-NOTA[[#This Row],[DISC 1-]])*NOTA[[#This Row],[DISC 2]])</f>
        <v/>
      </c>
      <c r="Z945" s="66" t="str">
        <f>IF(NOTA[[#This Row],[JUMLAH]]="","",NOTA[[#This Row],[DISC 1-]]+NOTA[[#This Row],[DISC 2-]])</f>
        <v/>
      </c>
      <c r="AA945" s="66" t="str">
        <f>IF(NOTA[[#This Row],[JUMLAH]]="","",NOTA[[#This Row],[JUMLAH]]-NOTA[[#This Row],[DISC]])</f>
        <v/>
      </c>
      <c r="AB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66" t="str">
        <f>IF(OR(NOTA[[#This Row],[QTY]]="",NOTA[[#This Row],[HARGA SATUAN]]="",),"",NOTA[[#This Row],[QTY]]*NOTA[[#This Row],[HARGA SATUAN]])</f>
        <v/>
      </c>
      <c r="AF945" s="78" t="str">
        <f ca="1">IF(NOTA[ID_H]="","",INDEX(NOTA[TANGGAL],MATCH(,INDIRECT(ADDRESS(ROW(NOTA[TANGGAL]),COLUMN(NOTA[TANGGAL]))&amp;":"&amp;ADDRESS(ROW(),COLUMN(NOTA[TANGGAL]))),-1)))</f>
        <v/>
      </c>
      <c r="AG945" s="90" t="str">
        <f ca="1">IF(NOTA[[#This Row],[NAMA BARANG]]="","",INDEX(NOTA[SUPPLIER],MATCH(,INDIRECT(ADDRESS(ROW(NOTA[ID]),COLUMN(NOTA[ID]))&amp;":"&amp;ADDRESS(ROW(),COLUMN(NOTA[ID]))),-1)))</f>
        <v/>
      </c>
      <c r="AH945" s="90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5" s="38" t="str">
        <f>IF(NOTA[[#This Row],[CONCAT4]]="","",_xlfn.IFNA(MATCH(NOTA[[#This Row],[CONCAT4]],[2]!RAW[CONCAT_H],0),FALSE))</f>
        <v/>
      </c>
      <c r="AP945" s="174" t="str">
        <f>IF(NOTA[[#This Row],[CONCAT1]]="","",MATCH(NOTA[[#This Row],[CONCAT1]],[3]!db[NB NOTA_C],0)+1)</f>
        <v/>
      </c>
    </row>
    <row r="946" spans="1:42" ht="20.100000000000001" customHeight="1" x14ac:dyDescent="0.25">
      <c r="A94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92" t="str">
        <f>IF(NOTA[[#This Row],[ID_P]]="","",MATCH(NOTA[[#This Row],[ID_P]],[1]!B_MSK[N_ID],0))</f>
        <v/>
      </c>
      <c r="D946" s="92" t="str">
        <f ca="1">IF(NOTA[[#This Row],[NAMA BARANG]]="","",INDEX(NOTA[ID],MATCH(,INDIRECT(ADDRESS(ROW(NOTA[ID]),COLUMN(NOTA[ID]))&amp;":"&amp;ADDRESS(ROW(),COLUMN(NOTA[ID]))),-1)))</f>
        <v/>
      </c>
      <c r="E946" s="139"/>
      <c r="F946" s="38"/>
      <c r="G946" s="38"/>
      <c r="H946" s="79"/>
      <c r="I946" s="38"/>
      <c r="J946" s="78"/>
      <c r="K946" s="38"/>
      <c r="L946" s="38"/>
      <c r="M946" s="140"/>
      <c r="N946" s="38"/>
      <c r="O946" s="38"/>
      <c r="P946" s="90"/>
      <c r="Q946" s="105"/>
      <c r="R946" s="140"/>
      <c r="S946" s="141"/>
      <c r="T946" s="141"/>
      <c r="U946" s="66"/>
      <c r="V946" s="103"/>
      <c r="W946" s="66" t="str">
        <f>IF(NOTA[[#This Row],[HARGA/ CTN]]="",NOTA[[#This Row],[JUMLAH_H]],NOTA[[#This Row],[HARGA/ CTN]]*IF(NOTA[[#This Row],[C]]="",0,NOTA[[#This Row],[C]]))</f>
        <v/>
      </c>
      <c r="X946" s="66" t="str">
        <f>IF(NOTA[[#This Row],[JUMLAH]]="","",NOTA[[#This Row],[JUMLAH]]*NOTA[[#This Row],[DISC 1]])</f>
        <v/>
      </c>
      <c r="Y946" s="66" t="str">
        <f>IF(NOTA[[#This Row],[JUMLAH]]="","",(NOTA[[#This Row],[JUMLAH]]-NOTA[[#This Row],[DISC 1-]])*NOTA[[#This Row],[DISC 2]])</f>
        <v/>
      </c>
      <c r="Z946" s="66" t="str">
        <f>IF(NOTA[[#This Row],[JUMLAH]]="","",NOTA[[#This Row],[DISC 1-]]+NOTA[[#This Row],[DISC 2-]])</f>
        <v/>
      </c>
      <c r="AA946" s="66" t="str">
        <f>IF(NOTA[[#This Row],[JUMLAH]]="","",NOTA[[#This Row],[JUMLAH]]-NOTA[[#This Row],[DISC]])</f>
        <v/>
      </c>
      <c r="AB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66" t="str">
        <f>IF(OR(NOTA[[#This Row],[QTY]]="",NOTA[[#This Row],[HARGA SATUAN]]="",),"",NOTA[[#This Row],[QTY]]*NOTA[[#This Row],[HARGA SATUAN]])</f>
        <v/>
      </c>
      <c r="AF946" s="78" t="str">
        <f ca="1">IF(NOTA[ID_H]="","",INDEX(NOTA[TANGGAL],MATCH(,INDIRECT(ADDRESS(ROW(NOTA[TANGGAL]),COLUMN(NOTA[TANGGAL]))&amp;":"&amp;ADDRESS(ROW(),COLUMN(NOTA[TANGGAL]))),-1)))</f>
        <v/>
      </c>
      <c r="AG946" s="90" t="str">
        <f ca="1">IF(NOTA[[#This Row],[NAMA BARANG]]="","",INDEX(NOTA[SUPPLIER],MATCH(,INDIRECT(ADDRESS(ROW(NOTA[ID]),COLUMN(NOTA[ID]))&amp;":"&amp;ADDRESS(ROW(),COLUMN(NOTA[ID]))),-1)))</f>
        <v/>
      </c>
      <c r="AH946" s="90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6" s="38" t="str">
        <f>IF(NOTA[[#This Row],[CONCAT4]]="","",_xlfn.IFNA(MATCH(NOTA[[#This Row],[CONCAT4]],[2]!RAW[CONCAT_H],0),FALSE))</f>
        <v/>
      </c>
      <c r="AP946" s="174" t="str">
        <f>IF(NOTA[[#This Row],[CONCAT1]]="","",MATCH(NOTA[[#This Row],[CONCAT1]],[3]!db[NB NOTA_C],0)+1)</f>
        <v/>
      </c>
    </row>
    <row r="947" spans="1:42" ht="20.100000000000001" customHeight="1" x14ac:dyDescent="0.25">
      <c r="A94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92" t="str">
        <f>IF(NOTA[[#This Row],[ID_P]]="","",MATCH(NOTA[[#This Row],[ID_P]],[1]!B_MSK[N_ID],0))</f>
        <v/>
      </c>
      <c r="D947" s="92" t="str">
        <f ca="1">IF(NOTA[[#This Row],[NAMA BARANG]]="","",INDEX(NOTA[ID],MATCH(,INDIRECT(ADDRESS(ROW(NOTA[ID]),COLUMN(NOTA[ID]))&amp;":"&amp;ADDRESS(ROW(),COLUMN(NOTA[ID]))),-1)))</f>
        <v/>
      </c>
      <c r="E947" s="139"/>
      <c r="F947" s="38"/>
      <c r="G947" s="38"/>
      <c r="H947" s="79"/>
      <c r="I947" s="38"/>
      <c r="J947" s="78"/>
      <c r="K947" s="38"/>
      <c r="L947" s="38"/>
      <c r="M947" s="140"/>
      <c r="N947" s="38"/>
      <c r="O947" s="38"/>
      <c r="P947" s="90"/>
      <c r="Q947" s="105"/>
      <c r="R947" s="140"/>
      <c r="S947" s="141"/>
      <c r="T947" s="141"/>
      <c r="U947" s="66"/>
      <c r="V947" s="103"/>
      <c r="W947" s="66" t="str">
        <f>IF(NOTA[[#This Row],[HARGA/ CTN]]="",NOTA[[#This Row],[JUMLAH_H]],NOTA[[#This Row],[HARGA/ CTN]]*IF(NOTA[[#This Row],[C]]="",0,NOTA[[#This Row],[C]]))</f>
        <v/>
      </c>
      <c r="X947" s="66" t="str">
        <f>IF(NOTA[[#This Row],[JUMLAH]]="","",NOTA[[#This Row],[JUMLAH]]*NOTA[[#This Row],[DISC 1]])</f>
        <v/>
      </c>
      <c r="Y947" s="66" t="str">
        <f>IF(NOTA[[#This Row],[JUMLAH]]="","",(NOTA[[#This Row],[JUMLAH]]-NOTA[[#This Row],[DISC 1-]])*NOTA[[#This Row],[DISC 2]])</f>
        <v/>
      </c>
      <c r="Z947" s="66" t="str">
        <f>IF(NOTA[[#This Row],[JUMLAH]]="","",NOTA[[#This Row],[DISC 1-]]+NOTA[[#This Row],[DISC 2-]])</f>
        <v/>
      </c>
      <c r="AA947" s="66" t="str">
        <f>IF(NOTA[[#This Row],[JUMLAH]]="","",NOTA[[#This Row],[JUMLAH]]-NOTA[[#This Row],[DISC]])</f>
        <v/>
      </c>
      <c r="AB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66" t="str">
        <f>IF(OR(NOTA[[#This Row],[QTY]]="",NOTA[[#This Row],[HARGA SATUAN]]="",),"",NOTA[[#This Row],[QTY]]*NOTA[[#This Row],[HARGA SATUAN]])</f>
        <v/>
      </c>
      <c r="AF947" s="78" t="str">
        <f ca="1">IF(NOTA[ID_H]="","",INDEX(NOTA[TANGGAL],MATCH(,INDIRECT(ADDRESS(ROW(NOTA[TANGGAL]),COLUMN(NOTA[TANGGAL]))&amp;":"&amp;ADDRESS(ROW(),COLUMN(NOTA[TANGGAL]))),-1)))</f>
        <v/>
      </c>
      <c r="AG947" s="90" t="str">
        <f ca="1">IF(NOTA[[#This Row],[NAMA BARANG]]="","",INDEX(NOTA[SUPPLIER],MATCH(,INDIRECT(ADDRESS(ROW(NOTA[ID]),COLUMN(NOTA[ID]))&amp;":"&amp;ADDRESS(ROW(),COLUMN(NOTA[ID]))),-1)))</f>
        <v/>
      </c>
      <c r="AH947" s="90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7" s="38" t="str">
        <f>IF(NOTA[[#This Row],[CONCAT4]]="","",_xlfn.IFNA(MATCH(NOTA[[#This Row],[CONCAT4]],[2]!RAW[CONCAT_H],0),FALSE))</f>
        <v/>
      </c>
      <c r="AP947" s="174" t="str">
        <f>IF(NOTA[[#This Row],[CONCAT1]]="","",MATCH(NOTA[[#This Row],[CONCAT1]],[3]!db[NB NOTA_C],0)+1)</f>
        <v/>
      </c>
    </row>
    <row r="948" spans="1:42" ht="20.100000000000001" customHeight="1" x14ac:dyDescent="0.25">
      <c r="A94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92" t="str">
        <f>IF(NOTA[[#This Row],[ID_P]]="","",MATCH(NOTA[[#This Row],[ID_P]],[1]!B_MSK[N_ID],0))</f>
        <v/>
      </c>
      <c r="D948" s="92" t="str">
        <f ca="1">IF(NOTA[[#This Row],[NAMA BARANG]]="","",INDEX(NOTA[ID],MATCH(,INDIRECT(ADDRESS(ROW(NOTA[ID]),COLUMN(NOTA[ID]))&amp;":"&amp;ADDRESS(ROW(),COLUMN(NOTA[ID]))),-1)))</f>
        <v/>
      </c>
      <c r="E948" s="139"/>
      <c r="F948" s="38"/>
      <c r="G948" s="38"/>
      <c r="H948" s="79"/>
      <c r="I948" s="38"/>
      <c r="J948" s="78"/>
      <c r="K948" s="38"/>
      <c r="L948" s="38"/>
      <c r="M948" s="140"/>
      <c r="N948" s="38"/>
      <c r="O948" s="38"/>
      <c r="P948" s="90"/>
      <c r="Q948" s="105"/>
      <c r="R948" s="140"/>
      <c r="S948" s="141"/>
      <c r="T948" s="141"/>
      <c r="U948" s="66"/>
      <c r="V948" s="103"/>
      <c r="W948" s="66" t="str">
        <f>IF(NOTA[[#This Row],[HARGA/ CTN]]="",NOTA[[#This Row],[JUMLAH_H]],NOTA[[#This Row],[HARGA/ CTN]]*IF(NOTA[[#This Row],[C]]="",0,NOTA[[#This Row],[C]]))</f>
        <v/>
      </c>
      <c r="X948" s="66" t="str">
        <f>IF(NOTA[[#This Row],[JUMLAH]]="","",NOTA[[#This Row],[JUMLAH]]*NOTA[[#This Row],[DISC 1]])</f>
        <v/>
      </c>
      <c r="Y948" s="66" t="str">
        <f>IF(NOTA[[#This Row],[JUMLAH]]="","",(NOTA[[#This Row],[JUMLAH]]-NOTA[[#This Row],[DISC 1-]])*NOTA[[#This Row],[DISC 2]])</f>
        <v/>
      </c>
      <c r="Z948" s="66" t="str">
        <f>IF(NOTA[[#This Row],[JUMLAH]]="","",NOTA[[#This Row],[DISC 1-]]+NOTA[[#This Row],[DISC 2-]])</f>
        <v/>
      </c>
      <c r="AA948" s="66" t="str">
        <f>IF(NOTA[[#This Row],[JUMLAH]]="","",NOTA[[#This Row],[JUMLAH]]-NOTA[[#This Row],[DISC]])</f>
        <v/>
      </c>
      <c r="AB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66" t="str">
        <f>IF(OR(NOTA[[#This Row],[QTY]]="",NOTA[[#This Row],[HARGA SATUAN]]="",),"",NOTA[[#This Row],[QTY]]*NOTA[[#This Row],[HARGA SATUAN]])</f>
        <v/>
      </c>
      <c r="AF948" s="78" t="str">
        <f ca="1">IF(NOTA[ID_H]="","",INDEX(NOTA[TANGGAL],MATCH(,INDIRECT(ADDRESS(ROW(NOTA[TANGGAL]),COLUMN(NOTA[TANGGAL]))&amp;":"&amp;ADDRESS(ROW(),COLUMN(NOTA[TANGGAL]))),-1)))</f>
        <v/>
      </c>
      <c r="AG948" s="90" t="str">
        <f ca="1">IF(NOTA[[#This Row],[NAMA BARANG]]="","",INDEX(NOTA[SUPPLIER],MATCH(,INDIRECT(ADDRESS(ROW(NOTA[ID]),COLUMN(NOTA[ID]))&amp;":"&amp;ADDRESS(ROW(),COLUMN(NOTA[ID]))),-1)))</f>
        <v/>
      </c>
      <c r="AH948" s="90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8" s="38" t="str">
        <f>IF(NOTA[[#This Row],[CONCAT4]]="","",_xlfn.IFNA(MATCH(NOTA[[#This Row],[CONCAT4]],[2]!RAW[CONCAT_H],0),FALSE))</f>
        <v/>
      </c>
      <c r="AP948" s="174" t="str">
        <f>IF(NOTA[[#This Row],[CONCAT1]]="","",MATCH(NOTA[[#This Row],[CONCAT1]],[3]!db[NB NOTA_C],0)+1)</f>
        <v/>
      </c>
    </row>
    <row r="949" spans="1:42" ht="20.100000000000001" customHeight="1" x14ac:dyDescent="0.25">
      <c r="A94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92" t="str">
        <f>IF(NOTA[[#This Row],[ID_P]]="","",MATCH(NOTA[[#This Row],[ID_P]],[1]!B_MSK[N_ID],0))</f>
        <v/>
      </c>
      <c r="D949" s="92" t="str">
        <f ca="1">IF(NOTA[[#This Row],[NAMA BARANG]]="","",INDEX(NOTA[ID],MATCH(,INDIRECT(ADDRESS(ROW(NOTA[ID]),COLUMN(NOTA[ID]))&amp;":"&amp;ADDRESS(ROW(),COLUMN(NOTA[ID]))),-1)))</f>
        <v/>
      </c>
      <c r="E949" s="139"/>
      <c r="F949" s="38"/>
      <c r="G949" s="38"/>
      <c r="H949" s="79"/>
      <c r="I949" s="38"/>
      <c r="J949" s="78"/>
      <c r="K949" s="38"/>
      <c r="L949" s="38"/>
      <c r="M949" s="140"/>
      <c r="N949" s="38"/>
      <c r="O949" s="38"/>
      <c r="P949" s="90"/>
      <c r="Q949" s="105"/>
      <c r="R949" s="140"/>
      <c r="S949" s="141"/>
      <c r="T949" s="141"/>
      <c r="U949" s="66"/>
      <c r="V949" s="103"/>
      <c r="W949" s="66" t="str">
        <f>IF(NOTA[[#This Row],[HARGA/ CTN]]="",NOTA[[#This Row],[JUMLAH_H]],NOTA[[#This Row],[HARGA/ CTN]]*IF(NOTA[[#This Row],[C]]="",0,NOTA[[#This Row],[C]]))</f>
        <v/>
      </c>
      <c r="X949" s="66" t="str">
        <f>IF(NOTA[[#This Row],[JUMLAH]]="","",NOTA[[#This Row],[JUMLAH]]*NOTA[[#This Row],[DISC 1]])</f>
        <v/>
      </c>
      <c r="Y949" s="66" t="str">
        <f>IF(NOTA[[#This Row],[JUMLAH]]="","",(NOTA[[#This Row],[JUMLAH]]-NOTA[[#This Row],[DISC 1-]])*NOTA[[#This Row],[DISC 2]])</f>
        <v/>
      </c>
      <c r="Z949" s="66" t="str">
        <f>IF(NOTA[[#This Row],[JUMLAH]]="","",NOTA[[#This Row],[DISC 1-]]+NOTA[[#This Row],[DISC 2-]])</f>
        <v/>
      </c>
      <c r="AA949" s="66" t="str">
        <f>IF(NOTA[[#This Row],[JUMLAH]]="","",NOTA[[#This Row],[JUMLAH]]-NOTA[[#This Row],[DISC]])</f>
        <v/>
      </c>
      <c r="AB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66" t="str">
        <f>IF(OR(NOTA[[#This Row],[QTY]]="",NOTA[[#This Row],[HARGA SATUAN]]="",),"",NOTA[[#This Row],[QTY]]*NOTA[[#This Row],[HARGA SATUAN]])</f>
        <v/>
      </c>
      <c r="AF949" s="78" t="str">
        <f ca="1">IF(NOTA[ID_H]="","",INDEX(NOTA[TANGGAL],MATCH(,INDIRECT(ADDRESS(ROW(NOTA[TANGGAL]),COLUMN(NOTA[TANGGAL]))&amp;":"&amp;ADDRESS(ROW(),COLUMN(NOTA[TANGGAL]))),-1)))</f>
        <v/>
      </c>
      <c r="AG949" s="90" t="str">
        <f ca="1">IF(NOTA[[#This Row],[NAMA BARANG]]="","",INDEX(NOTA[SUPPLIER],MATCH(,INDIRECT(ADDRESS(ROW(NOTA[ID]),COLUMN(NOTA[ID]))&amp;":"&amp;ADDRESS(ROW(),COLUMN(NOTA[ID]))),-1)))</f>
        <v/>
      </c>
      <c r="AH949" s="90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9" s="38" t="str">
        <f>IF(NOTA[[#This Row],[CONCAT4]]="","",_xlfn.IFNA(MATCH(NOTA[[#This Row],[CONCAT4]],[2]!RAW[CONCAT_H],0),FALSE))</f>
        <v/>
      </c>
      <c r="AP949" s="174" t="str">
        <f>IF(NOTA[[#This Row],[CONCAT1]]="","",MATCH(NOTA[[#This Row],[CONCAT1]],[3]!db[NB NOTA_C],0)+1)</f>
        <v/>
      </c>
    </row>
    <row r="950" spans="1:42" ht="20.100000000000001" customHeight="1" x14ac:dyDescent="0.25">
      <c r="A95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92" t="str">
        <f>IF(NOTA[[#This Row],[ID_P]]="","",MATCH(NOTA[[#This Row],[ID_P]],[1]!B_MSK[N_ID],0))</f>
        <v/>
      </c>
      <c r="D950" s="92" t="str">
        <f ca="1">IF(NOTA[[#This Row],[NAMA BARANG]]="","",INDEX(NOTA[ID],MATCH(,INDIRECT(ADDRESS(ROW(NOTA[ID]),COLUMN(NOTA[ID]))&amp;":"&amp;ADDRESS(ROW(),COLUMN(NOTA[ID]))),-1)))</f>
        <v/>
      </c>
      <c r="E950" s="139"/>
      <c r="F950" s="38"/>
      <c r="G950" s="38"/>
      <c r="H950" s="79"/>
      <c r="I950" s="38"/>
      <c r="J950" s="78"/>
      <c r="K950" s="38"/>
      <c r="L950" s="38"/>
      <c r="M950" s="140"/>
      <c r="N950" s="38"/>
      <c r="O950" s="38"/>
      <c r="P950" s="90"/>
      <c r="Q950" s="105"/>
      <c r="R950" s="140"/>
      <c r="S950" s="141"/>
      <c r="T950" s="141"/>
      <c r="U950" s="66"/>
      <c r="V950" s="103"/>
      <c r="W950" s="66" t="str">
        <f>IF(NOTA[[#This Row],[HARGA/ CTN]]="",NOTA[[#This Row],[JUMLAH_H]],NOTA[[#This Row],[HARGA/ CTN]]*IF(NOTA[[#This Row],[C]]="",0,NOTA[[#This Row],[C]]))</f>
        <v/>
      </c>
      <c r="X950" s="66" t="str">
        <f>IF(NOTA[[#This Row],[JUMLAH]]="","",NOTA[[#This Row],[JUMLAH]]*NOTA[[#This Row],[DISC 1]])</f>
        <v/>
      </c>
      <c r="Y950" s="66" t="str">
        <f>IF(NOTA[[#This Row],[JUMLAH]]="","",(NOTA[[#This Row],[JUMLAH]]-NOTA[[#This Row],[DISC 1-]])*NOTA[[#This Row],[DISC 2]])</f>
        <v/>
      </c>
      <c r="Z950" s="66" t="str">
        <f>IF(NOTA[[#This Row],[JUMLAH]]="","",NOTA[[#This Row],[DISC 1-]]+NOTA[[#This Row],[DISC 2-]])</f>
        <v/>
      </c>
      <c r="AA950" s="66" t="str">
        <f>IF(NOTA[[#This Row],[JUMLAH]]="","",NOTA[[#This Row],[JUMLAH]]-NOTA[[#This Row],[DISC]])</f>
        <v/>
      </c>
      <c r="AB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66" t="str">
        <f>IF(OR(NOTA[[#This Row],[QTY]]="",NOTA[[#This Row],[HARGA SATUAN]]="",),"",NOTA[[#This Row],[QTY]]*NOTA[[#This Row],[HARGA SATUAN]])</f>
        <v/>
      </c>
      <c r="AF950" s="78" t="str">
        <f ca="1">IF(NOTA[ID_H]="","",INDEX(NOTA[TANGGAL],MATCH(,INDIRECT(ADDRESS(ROW(NOTA[TANGGAL]),COLUMN(NOTA[TANGGAL]))&amp;":"&amp;ADDRESS(ROW(),COLUMN(NOTA[TANGGAL]))),-1)))</f>
        <v/>
      </c>
      <c r="AG950" s="90" t="str">
        <f ca="1">IF(NOTA[[#This Row],[NAMA BARANG]]="","",INDEX(NOTA[SUPPLIER],MATCH(,INDIRECT(ADDRESS(ROW(NOTA[ID]),COLUMN(NOTA[ID]))&amp;":"&amp;ADDRESS(ROW(),COLUMN(NOTA[ID]))),-1)))</f>
        <v/>
      </c>
      <c r="AH950" s="90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0" s="38" t="str">
        <f>IF(NOTA[[#This Row],[CONCAT4]]="","",_xlfn.IFNA(MATCH(NOTA[[#This Row],[CONCAT4]],[2]!RAW[CONCAT_H],0),FALSE))</f>
        <v/>
      </c>
      <c r="AP950" s="174" t="str">
        <f>IF(NOTA[[#This Row],[CONCAT1]]="","",MATCH(NOTA[[#This Row],[CONCAT1]],[3]!db[NB NOTA_C],0)+1)</f>
        <v/>
      </c>
    </row>
    <row r="951" spans="1:42" ht="20.100000000000001" customHeight="1" x14ac:dyDescent="0.25">
      <c r="A95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92" t="str">
        <f>IF(NOTA[[#This Row],[ID_P]]="","",MATCH(NOTA[[#This Row],[ID_P]],[1]!B_MSK[N_ID],0))</f>
        <v/>
      </c>
      <c r="D951" s="92" t="str">
        <f ca="1">IF(NOTA[[#This Row],[NAMA BARANG]]="","",INDEX(NOTA[ID],MATCH(,INDIRECT(ADDRESS(ROW(NOTA[ID]),COLUMN(NOTA[ID]))&amp;":"&amp;ADDRESS(ROW(),COLUMN(NOTA[ID]))),-1)))</f>
        <v/>
      </c>
      <c r="E951" s="139"/>
      <c r="F951" s="38"/>
      <c r="G951" s="38"/>
      <c r="H951" s="79"/>
      <c r="I951" s="38"/>
      <c r="J951" s="78"/>
      <c r="K951" s="38"/>
      <c r="L951" s="38"/>
      <c r="M951" s="140"/>
      <c r="N951" s="38"/>
      <c r="O951" s="38"/>
      <c r="P951" s="90"/>
      <c r="Q951" s="105"/>
      <c r="R951" s="140"/>
      <c r="S951" s="141"/>
      <c r="T951" s="141"/>
      <c r="U951" s="66"/>
      <c r="V951" s="103"/>
      <c r="W951" s="66" t="str">
        <f>IF(NOTA[[#This Row],[HARGA/ CTN]]="",NOTA[[#This Row],[JUMLAH_H]],NOTA[[#This Row],[HARGA/ CTN]]*IF(NOTA[[#This Row],[C]]="",0,NOTA[[#This Row],[C]]))</f>
        <v/>
      </c>
      <c r="X951" s="66" t="str">
        <f>IF(NOTA[[#This Row],[JUMLAH]]="","",NOTA[[#This Row],[JUMLAH]]*NOTA[[#This Row],[DISC 1]])</f>
        <v/>
      </c>
      <c r="Y951" s="66" t="str">
        <f>IF(NOTA[[#This Row],[JUMLAH]]="","",(NOTA[[#This Row],[JUMLAH]]-NOTA[[#This Row],[DISC 1-]])*NOTA[[#This Row],[DISC 2]])</f>
        <v/>
      </c>
      <c r="Z951" s="66" t="str">
        <f>IF(NOTA[[#This Row],[JUMLAH]]="","",NOTA[[#This Row],[DISC 1-]]+NOTA[[#This Row],[DISC 2-]])</f>
        <v/>
      </c>
      <c r="AA951" s="66" t="str">
        <f>IF(NOTA[[#This Row],[JUMLAH]]="","",NOTA[[#This Row],[JUMLAH]]-NOTA[[#This Row],[DISC]])</f>
        <v/>
      </c>
      <c r="AB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66" t="str">
        <f>IF(OR(NOTA[[#This Row],[QTY]]="",NOTA[[#This Row],[HARGA SATUAN]]="",),"",NOTA[[#This Row],[QTY]]*NOTA[[#This Row],[HARGA SATUAN]])</f>
        <v/>
      </c>
      <c r="AF951" s="78" t="str">
        <f ca="1">IF(NOTA[ID_H]="","",INDEX(NOTA[TANGGAL],MATCH(,INDIRECT(ADDRESS(ROW(NOTA[TANGGAL]),COLUMN(NOTA[TANGGAL]))&amp;":"&amp;ADDRESS(ROW(),COLUMN(NOTA[TANGGAL]))),-1)))</f>
        <v/>
      </c>
      <c r="AG951" s="90" t="str">
        <f ca="1">IF(NOTA[[#This Row],[NAMA BARANG]]="","",INDEX(NOTA[SUPPLIER],MATCH(,INDIRECT(ADDRESS(ROW(NOTA[ID]),COLUMN(NOTA[ID]))&amp;":"&amp;ADDRESS(ROW(),COLUMN(NOTA[ID]))),-1)))</f>
        <v/>
      </c>
      <c r="AH951" s="90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1" s="38" t="str">
        <f>IF(NOTA[[#This Row],[CONCAT4]]="","",_xlfn.IFNA(MATCH(NOTA[[#This Row],[CONCAT4]],[2]!RAW[CONCAT_H],0),FALSE))</f>
        <v/>
      </c>
      <c r="AP951" s="174" t="str">
        <f>IF(NOTA[[#This Row],[CONCAT1]]="","",MATCH(NOTA[[#This Row],[CONCAT1]],[3]!db[NB NOTA_C],0)+1)</f>
        <v/>
      </c>
    </row>
    <row r="952" spans="1:42" ht="20.100000000000001" customHeight="1" x14ac:dyDescent="0.25">
      <c r="A95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92" t="str">
        <f>IF(NOTA[[#This Row],[ID_P]]="","",MATCH(NOTA[[#This Row],[ID_P]],[1]!B_MSK[N_ID],0))</f>
        <v/>
      </c>
      <c r="D952" s="92" t="str">
        <f ca="1">IF(NOTA[[#This Row],[NAMA BARANG]]="","",INDEX(NOTA[ID],MATCH(,INDIRECT(ADDRESS(ROW(NOTA[ID]),COLUMN(NOTA[ID]))&amp;":"&amp;ADDRESS(ROW(),COLUMN(NOTA[ID]))),-1)))</f>
        <v/>
      </c>
      <c r="E952" s="139"/>
      <c r="F952" s="38"/>
      <c r="G952" s="38"/>
      <c r="H952" s="79"/>
      <c r="I952" s="38"/>
      <c r="J952" s="78"/>
      <c r="K952" s="38"/>
      <c r="L952" s="38"/>
      <c r="M952" s="140"/>
      <c r="N952" s="38"/>
      <c r="O952" s="38"/>
      <c r="P952" s="90"/>
      <c r="Q952" s="105"/>
      <c r="R952" s="140"/>
      <c r="S952" s="141"/>
      <c r="T952" s="141"/>
      <c r="U952" s="66"/>
      <c r="V952" s="103"/>
      <c r="W952" s="66" t="str">
        <f>IF(NOTA[[#This Row],[HARGA/ CTN]]="",NOTA[[#This Row],[JUMLAH_H]],NOTA[[#This Row],[HARGA/ CTN]]*IF(NOTA[[#This Row],[C]]="",0,NOTA[[#This Row],[C]]))</f>
        <v/>
      </c>
      <c r="X952" s="66" t="str">
        <f>IF(NOTA[[#This Row],[JUMLAH]]="","",NOTA[[#This Row],[JUMLAH]]*NOTA[[#This Row],[DISC 1]])</f>
        <v/>
      </c>
      <c r="Y952" s="66" t="str">
        <f>IF(NOTA[[#This Row],[JUMLAH]]="","",(NOTA[[#This Row],[JUMLAH]]-NOTA[[#This Row],[DISC 1-]])*NOTA[[#This Row],[DISC 2]])</f>
        <v/>
      </c>
      <c r="Z952" s="66" t="str">
        <f>IF(NOTA[[#This Row],[JUMLAH]]="","",NOTA[[#This Row],[DISC 1-]]+NOTA[[#This Row],[DISC 2-]])</f>
        <v/>
      </c>
      <c r="AA952" s="66" t="str">
        <f>IF(NOTA[[#This Row],[JUMLAH]]="","",NOTA[[#This Row],[JUMLAH]]-NOTA[[#This Row],[DISC]])</f>
        <v/>
      </c>
      <c r="AB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66" t="str">
        <f>IF(OR(NOTA[[#This Row],[QTY]]="",NOTA[[#This Row],[HARGA SATUAN]]="",),"",NOTA[[#This Row],[QTY]]*NOTA[[#This Row],[HARGA SATUAN]])</f>
        <v/>
      </c>
      <c r="AF952" s="78" t="str">
        <f ca="1">IF(NOTA[ID_H]="","",INDEX(NOTA[TANGGAL],MATCH(,INDIRECT(ADDRESS(ROW(NOTA[TANGGAL]),COLUMN(NOTA[TANGGAL]))&amp;":"&amp;ADDRESS(ROW(),COLUMN(NOTA[TANGGAL]))),-1)))</f>
        <v/>
      </c>
      <c r="AG952" s="90" t="str">
        <f ca="1">IF(NOTA[[#This Row],[NAMA BARANG]]="","",INDEX(NOTA[SUPPLIER],MATCH(,INDIRECT(ADDRESS(ROW(NOTA[ID]),COLUMN(NOTA[ID]))&amp;":"&amp;ADDRESS(ROW(),COLUMN(NOTA[ID]))),-1)))</f>
        <v/>
      </c>
      <c r="AH952" s="90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2" s="38" t="str">
        <f>IF(NOTA[[#This Row],[CONCAT4]]="","",_xlfn.IFNA(MATCH(NOTA[[#This Row],[CONCAT4]],[2]!RAW[CONCAT_H],0),FALSE))</f>
        <v/>
      </c>
      <c r="AP952" s="174" t="str">
        <f>IF(NOTA[[#This Row],[CONCAT1]]="","",MATCH(NOTA[[#This Row],[CONCAT1]],[3]!db[NB NOTA_C],0)+1)</f>
        <v/>
      </c>
    </row>
    <row r="953" spans="1:42" ht="20.100000000000001" customHeight="1" x14ac:dyDescent="0.25">
      <c r="A95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3" t="str">
        <f>IF(NOTA[[#This Row],[ID_P]]="","",MATCH(NOTA[[#This Row],[ID_P]],[1]!B_MSK[N_ID],0))</f>
        <v/>
      </c>
      <c r="D953" s="143" t="str">
        <f ca="1">IF(NOTA[[#This Row],[NAMA BARANG]]="","",INDEX(NOTA[ID],MATCH(,INDIRECT(ADDRESS(ROW(NOTA[ID]),COLUMN(NOTA[ID]))&amp;":"&amp;ADDRESS(ROW(),COLUMN(NOTA[ID]))),-1)))</f>
        <v/>
      </c>
      <c r="E953" s="144"/>
      <c r="F953" s="145"/>
      <c r="G953" s="145"/>
      <c r="H953" s="146"/>
      <c r="I953" s="145"/>
      <c r="J953" s="147"/>
      <c r="K953" s="145"/>
      <c r="L953" s="145"/>
      <c r="M953" s="148"/>
      <c r="N953" s="145"/>
      <c r="O953" s="145"/>
      <c r="P953" s="142"/>
      <c r="Q953" s="149"/>
      <c r="R953" s="148"/>
      <c r="S953" s="150"/>
      <c r="T953" s="150"/>
      <c r="U953" s="151"/>
      <c r="V953" s="103"/>
      <c r="W953" s="151" t="str">
        <f>IF(NOTA[[#This Row],[HARGA/ CTN]]="",NOTA[[#This Row],[JUMLAH_H]],NOTA[[#This Row],[HARGA/ CTN]]*IF(NOTA[[#This Row],[C]]="",0,NOTA[[#This Row],[C]]))</f>
        <v/>
      </c>
      <c r="X953" s="151" t="str">
        <f>IF(NOTA[[#This Row],[JUMLAH]]="","",NOTA[[#This Row],[JUMLAH]]*NOTA[[#This Row],[DISC 1]])</f>
        <v/>
      </c>
      <c r="Y953" s="151" t="str">
        <f>IF(NOTA[[#This Row],[JUMLAH]]="","",(NOTA[[#This Row],[JUMLAH]]-NOTA[[#This Row],[DISC 1-]])*NOTA[[#This Row],[DISC 2]])</f>
        <v/>
      </c>
      <c r="Z953" s="151" t="str">
        <f>IF(NOTA[[#This Row],[JUMLAH]]="","",NOTA[[#This Row],[DISC 1-]]+NOTA[[#This Row],[DISC 2-]])</f>
        <v/>
      </c>
      <c r="AA953" s="151" t="str">
        <f>IF(NOTA[[#This Row],[JUMLAH]]="","",NOTA[[#This Row],[JUMLAH]]-NOTA[[#This Row],[DISC]])</f>
        <v/>
      </c>
      <c r="AB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51" t="str">
        <f>IF(OR(NOTA[[#This Row],[QTY]]="",NOTA[[#This Row],[HARGA SATUAN]]="",),"",NOTA[[#This Row],[QTY]]*NOTA[[#This Row],[HARGA SATUAN]])</f>
        <v/>
      </c>
      <c r="AF953" s="147" t="str">
        <f ca="1">IF(NOTA[ID_H]="","",INDEX(NOTA[TANGGAL],MATCH(,INDIRECT(ADDRESS(ROW(NOTA[TANGGAL]),COLUMN(NOTA[TANGGAL]))&amp;":"&amp;ADDRESS(ROW(),COLUMN(NOTA[TANGGAL]))),-1)))</f>
        <v/>
      </c>
      <c r="AG953" s="142" t="str">
        <f ca="1">IF(NOTA[[#This Row],[NAMA BARANG]]="","",INDEX(NOTA[SUPPLIER],MATCH(,INDIRECT(ADDRESS(ROW(NOTA[ID]),COLUMN(NOTA[ID]))&amp;":"&amp;ADDRESS(ROW(),COLUMN(NOTA[ID]))),-1)))</f>
        <v/>
      </c>
      <c r="AH953" s="142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3" s="38" t="str">
        <f>IF(NOTA[[#This Row],[CONCAT4]]="","",_xlfn.IFNA(MATCH(NOTA[[#This Row],[CONCAT4]],[2]!RAW[CONCAT_H],0),FALSE))</f>
        <v/>
      </c>
      <c r="AP953" s="174" t="str">
        <f>IF(NOTA[[#This Row],[CONCAT1]]="","",MATCH(NOTA[[#This Row],[CONCAT1]],[3]!db[NB NOTA_C],0)+1)</f>
        <v/>
      </c>
    </row>
    <row r="954" spans="1:42" ht="20.100000000000001" customHeight="1" x14ac:dyDescent="0.25">
      <c r="A95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3" t="str">
        <f>IF(NOTA[[#This Row],[ID_P]]="","",MATCH(NOTA[[#This Row],[ID_P]],[1]!B_MSK[N_ID],0))</f>
        <v/>
      </c>
      <c r="D954" s="143" t="str">
        <f ca="1">IF(NOTA[[#This Row],[NAMA BARANG]]="","",INDEX(NOTA[ID],MATCH(,INDIRECT(ADDRESS(ROW(NOTA[ID]),COLUMN(NOTA[ID]))&amp;":"&amp;ADDRESS(ROW(),COLUMN(NOTA[ID]))),-1)))</f>
        <v/>
      </c>
      <c r="E954" s="144"/>
      <c r="F954" s="145"/>
      <c r="G954" s="145"/>
      <c r="H954" s="146"/>
      <c r="I954" s="145"/>
      <c r="J954" s="147"/>
      <c r="K954" s="145"/>
      <c r="L954" s="145"/>
      <c r="M954" s="148"/>
      <c r="N954" s="145"/>
      <c r="O954" s="145"/>
      <c r="P954" s="142"/>
      <c r="Q954" s="149"/>
      <c r="R954" s="148"/>
      <c r="S954" s="150"/>
      <c r="T954" s="150"/>
      <c r="U954" s="151"/>
      <c r="V954" s="103"/>
      <c r="W954" s="151" t="str">
        <f>IF(NOTA[[#This Row],[HARGA/ CTN]]="",NOTA[[#This Row],[JUMLAH_H]],NOTA[[#This Row],[HARGA/ CTN]]*IF(NOTA[[#This Row],[C]]="",0,NOTA[[#This Row],[C]]))</f>
        <v/>
      </c>
      <c r="X954" s="151" t="str">
        <f>IF(NOTA[[#This Row],[JUMLAH]]="","",NOTA[[#This Row],[JUMLAH]]*NOTA[[#This Row],[DISC 1]])</f>
        <v/>
      </c>
      <c r="Y954" s="151" t="str">
        <f>IF(NOTA[[#This Row],[JUMLAH]]="","",(NOTA[[#This Row],[JUMLAH]]-NOTA[[#This Row],[DISC 1-]])*NOTA[[#This Row],[DISC 2]])</f>
        <v/>
      </c>
      <c r="Z954" s="151" t="str">
        <f>IF(NOTA[[#This Row],[JUMLAH]]="","",NOTA[[#This Row],[DISC 1-]]+NOTA[[#This Row],[DISC 2-]])</f>
        <v/>
      </c>
      <c r="AA954" s="151" t="str">
        <f>IF(NOTA[[#This Row],[JUMLAH]]="","",NOTA[[#This Row],[JUMLAH]]-NOTA[[#This Row],[DISC]])</f>
        <v/>
      </c>
      <c r="AB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51" t="str">
        <f>IF(OR(NOTA[[#This Row],[QTY]]="",NOTA[[#This Row],[HARGA SATUAN]]="",),"",NOTA[[#This Row],[QTY]]*NOTA[[#This Row],[HARGA SATUAN]])</f>
        <v/>
      </c>
      <c r="AF954" s="147" t="str">
        <f ca="1">IF(NOTA[ID_H]="","",INDEX(NOTA[TANGGAL],MATCH(,INDIRECT(ADDRESS(ROW(NOTA[TANGGAL]),COLUMN(NOTA[TANGGAL]))&amp;":"&amp;ADDRESS(ROW(),COLUMN(NOTA[TANGGAL]))),-1)))</f>
        <v/>
      </c>
      <c r="AG954" s="142" t="str">
        <f ca="1">IF(NOTA[[#This Row],[NAMA BARANG]]="","",INDEX(NOTA[SUPPLIER],MATCH(,INDIRECT(ADDRESS(ROW(NOTA[ID]),COLUMN(NOTA[ID]))&amp;":"&amp;ADDRESS(ROW(),COLUMN(NOTA[ID]))),-1)))</f>
        <v/>
      </c>
      <c r="AH954" s="142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4" s="38" t="str">
        <f>IF(NOTA[[#This Row],[CONCAT4]]="","",_xlfn.IFNA(MATCH(NOTA[[#This Row],[CONCAT4]],[2]!RAW[CONCAT_H],0),FALSE))</f>
        <v/>
      </c>
      <c r="AP954" s="174" t="str">
        <f>IF(NOTA[[#This Row],[CONCAT1]]="","",MATCH(NOTA[[#This Row],[CONCAT1]],[3]!db[NB NOTA_C],0)+1)</f>
        <v/>
      </c>
    </row>
    <row r="955" spans="1:42" ht="20.100000000000001" customHeight="1" x14ac:dyDescent="0.25">
      <c r="A95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3" t="str">
        <f>IF(NOTA[[#This Row],[ID_P]]="","",MATCH(NOTA[[#This Row],[ID_P]],[1]!B_MSK[N_ID],0))</f>
        <v/>
      </c>
      <c r="D955" s="143" t="str">
        <f ca="1">IF(NOTA[[#This Row],[NAMA BARANG]]="","",INDEX(NOTA[ID],MATCH(,INDIRECT(ADDRESS(ROW(NOTA[ID]),COLUMN(NOTA[ID]))&amp;":"&amp;ADDRESS(ROW(),COLUMN(NOTA[ID]))),-1)))</f>
        <v/>
      </c>
      <c r="E955" s="144"/>
      <c r="F955" s="145"/>
      <c r="G955" s="145"/>
      <c r="H955" s="146"/>
      <c r="I955" s="145"/>
      <c r="J955" s="147"/>
      <c r="K955" s="145"/>
      <c r="L955" s="145"/>
      <c r="M955" s="148"/>
      <c r="N955" s="145"/>
      <c r="O955" s="145"/>
      <c r="P955" s="142"/>
      <c r="Q955" s="149"/>
      <c r="R955" s="148"/>
      <c r="S955" s="150"/>
      <c r="T955" s="150"/>
      <c r="U955" s="151"/>
      <c r="V955" s="103"/>
      <c r="W955" s="151" t="str">
        <f>IF(NOTA[[#This Row],[HARGA/ CTN]]="",NOTA[[#This Row],[JUMLAH_H]],NOTA[[#This Row],[HARGA/ CTN]]*IF(NOTA[[#This Row],[C]]="",0,NOTA[[#This Row],[C]]))</f>
        <v/>
      </c>
      <c r="X955" s="151" t="str">
        <f>IF(NOTA[[#This Row],[JUMLAH]]="","",NOTA[[#This Row],[JUMLAH]]*NOTA[[#This Row],[DISC 1]])</f>
        <v/>
      </c>
      <c r="Y955" s="151" t="str">
        <f>IF(NOTA[[#This Row],[JUMLAH]]="","",(NOTA[[#This Row],[JUMLAH]]-NOTA[[#This Row],[DISC 1-]])*NOTA[[#This Row],[DISC 2]])</f>
        <v/>
      </c>
      <c r="Z955" s="151" t="str">
        <f>IF(NOTA[[#This Row],[JUMLAH]]="","",NOTA[[#This Row],[DISC 1-]]+NOTA[[#This Row],[DISC 2-]])</f>
        <v/>
      </c>
      <c r="AA955" s="151" t="str">
        <f>IF(NOTA[[#This Row],[JUMLAH]]="","",NOTA[[#This Row],[JUMLAH]]-NOTA[[#This Row],[DISC]])</f>
        <v/>
      </c>
      <c r="AB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51" t="str">
        <f>IF(OR(NOTA[[#This Row],[QTY]]="",NOTA[[#This Row],[HARGA SATUAN]]="",),"",NOTA[[#This Row],[QTY]]*NOTA[[#This Row],[HARGA SATUAN]])</f>
        <v/>
      </c>
      <c r="AF955" s="147" t="str">
        <f ca="1">IF(NOTA[ID_H]="","",INDEX(NOTA[TANGGAL],MATCH(,INDIRECT(ADDRESS(ROW(NOTA[TANGGAL]),COLUMN(NOTA[TANGGAL]))&amp;":"&amp;ADDRESS(ROW(),COLUMN(NOTA[TANGGAL]))),-1)))</f>
        <v/>
      </c>
      <c r="AG955" s="142" t="str">
        <f ca="1">IF(NOTA[[#This Row],[NAMA BARANG]]="","",INDEX(NOTA[SUPPLIER],MATCH(,INDIRECT(ADDRESS(ROW(NOTA[ID]),COLUMN(NOTA[ID]))&amp;":"&amp;ADDRESS(ROW(),COLUMN(NOTA[ID]))),-1)))</f>
        <v/>
      </c>
      <c r="AH955" s="142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5" s="38" t="str">
        <f>IF(NOTA[[#This Row],[CONCAT4]]="","",_xlfn.IFNA(MATCH(NOTA[[#This Row],[CONCAT4]],[2]!RAW[CONCAT_H],0),FALSE))</f>
        <v/>
      </c>
      <c r="AP955" s="174" t="str">
        <f>IF(NOTA[[#This Row],[CONCAT1]]="","",MATCH(NOTA[[#This Row],[CONCAT1]],[3]!db[NB NOTA_C],0)+1)</f>
        <v/>
      </c>
    </row>
    <row r="956" spans="1:42" ht="20.100000000000001" customHeight="1" x14ac:dyDescent="0.25">
      <c r="A95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3" t="str">
        <f>IF(NOTA[[#This Row],[ID_P]]="","",MATCH(NOTA[[#This Row],[ID_P]],[1]!B_MSK[N_ID],0))</f>
        <v/>
      </c>
      <c r="D956" s="143" t="str">
        <f ca="1">IF(NOTA[[#This Row],[NAMA BARANG]]="","",INDEX(NOTA[ID],MATCH(,INDIRECT(ADDRESS(ROW(NOTA[ID]),COLUMN(NOTA[ID]))&amp;":"&amp;ADDRESS(ROW(),COLUMN(NOTA[ID]))),-1)))</f>
        <v/>
      </c>
      <c r="E956" s="144"/>
      <c r="F956" s="145"/>
      <c r="G956" s="145"/>
      <c r="H956" s="146"/>
      <c r="I956" s="145"/>
      <c r="J956" s="147"/>
      <c r="K956" s="145"/>
      <c r="L956" s="145"/>
      <c r="M956" s="148"/>
      <c r="N956" s="145"/>
      <c r="O956" s="145"/>
      <c r="P956" s="142"/>
      <c r="Q956" s="149"/>
      <c r="R956" s="148"/>
      <c r="S956" s="150"/>
      <c r="T956" s="150"/>
      <c r="U956" s="151"/>
      <c r="V956" s="103"/>
      <c r="W956" s="151" t="str">
        <f>IF(NOTA[[#This Row],[HARGA/ CTN]]="",NOTA[[#This Row],[JUMLAH_H]],NOTA[[#This Row],[HARGA/ CTN]]*IF(NOTA[[#This Row],[C]]="",0,NOTA[[#This Row],[C]]))</f>
        <v/>
      </c>
      <c r="X956" s="151" t="str">
        <f>IF(NOTA[[#This Row],[JUMLAH]]="","",NOTA[[#This Row],[JUMLAH]]*NOTA[[#This Row],[DISC 1]])</f>
        <v/>
      </c>
      <c r="Y956" s="151" t="str">
        <f>IF(NOTA[[#This Row],[JUMLAH]]="","",(NOTA[[#This Row],[JUMLAH]]-NOTA[[#This Row],[DISC 1-]])*NOTA[[#This Row],[DISC 2]])</f>
        <v/>
      </c>
      <c r="Z956" s="151" t="str">
        <f>IF(NOTA[[#This Row],[JUMLAH]]="","",NOTA[[#This Row],[DISC 1-]]+NOTA[[#This Row],[DISC 2-]])</f>
        <v/>
      </c>
      <c r="AA956" s="151" t="str">
        <f>IF(NOTA[[#This Row],[JUMLAH]]="","",NOTA[[#This Row],[JUMLAH]]-NOTA[[#This Row],[DISC]])</f>
        <v/>
      </c>
      <c r="AB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51" t="str">
        <f>IF(OR(NOTA[[#This Row],[QTY]]="",NOTA[[#This Row],[HARGA SATUAN]]="",),"",NOTA[[#This Row],[QTY]]*NOTA[[#This Row],[HARGA SATUAN]])</f>
        <v/>
      </c>
      <c r="AF956" s="147" t="str">
        <f ca="1">IF(NOTA[ID_H]="","",INDEX(NOTA[TANGGAL],MATCH(,INDIRECT(ADDRESS(ROW(NOTA[TANGGAL]),COLUMN(NOTA[TANGGAL]))&amp;":"&amp;ADDRESS(ROW(),COLUMN(NOTA[TANGGAL]))),-1)))</f>
        <v/>
      </c>
      <c r="AG956" s="142" t="str">
        <f ca="1">IF(NOTA[[#This Row],[NAMA BARANG]]="","",INDEX(NOTA[SUPPLIER],MATCH(,INDIRECT(ADDRESS(ROW(NOTA[ID]),COLUMN(NOTA[ID]))&amp;":"&amp;ADDRESS(ROW(),COLUMN(NOTA[ID]))),-1)))</f>
        <v/>
      </c>
      <c r="AH956" s="142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6" s="38" t="str">
        <f>IF(NOTA[[#This Row],[CONCAT4]]="","",_xlfn.IFNA(MATCH(NOTA[[#This Row],[CONCAT4]],[2]!RAW[CONCAT_H],0),FALSE))</f>
        <v/>
      </c>
      <c r="AP956" s="174" t="str">
        <f>IF(NOTA[[#This Row],[CONCAT1]]="","",MATCH(NOTA[[#This Row],[CONCAT1]],[3]!db[NB NOTA_C],0)+1)</f>
        <v/>
      </c>
    </row>
    <row r="957" spans="1:42" ht="20.100000000000001" customHeight="1" x14ac:dyDescent="0.25">
      <c r="A95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3" t="str">
        <f>IF(NOTA[[#This Row],[ID_P]]="","",MATCH(NOTA[[#This Row],[ID_P]],[1]!B_MSK[N_ID],0))</f>
        <v/>
      </c>
      <c r="D957" s="143" t="str">
        <f ca="1">IF(NOTA[[#This Row],[NAMA BARANG]]="","",INDEX(NOTA[ID],MATCH(,INDIRECT(ADDRESS(ROW(NOTA[ID]),COLUMN(NOTA[ID]))&amp;":"&amp;ADDRESS(ROW(),COLUMN(NOTA[ID]))),-1)))</f>
        <v/>
      </c>
      <c r="E957" s="144"/>
      <c r="F957" s="145"/>
      <c r="G957" s="145"/>
      <c r="H957" s="146"/>
      <c r="I957" s="145"/>
      <c r="J957" s="147"/>
      <c r="K957" s="145"/>
      <c r="L957" s="145"/>
      <c r="M957" s="148"/>
      <c r="N957" s="145"/>
      <c r="O957" s="145"/>
      <c r="P957" s="142"/>
      <c r="Q957" s="149"/>
      <c r="R957" s="148"/>
      <c r="S957" s="150"/>
      <c r="T957" s="150"/>
      <c r="U957" s="151"/>
      <c r="V957" s="103"/>
      <c r="W957" s="151" t="str">
        <f>IF(NOTA[[#This Row],[HARGA/ CTN]]="",NOTA[[#This Row],[JUMLAH_H]],NOTA[[#This Row],[HARGA/ CTN]]*IF(NOTA[[#This Row],[C]]="",0,NOTA[[#This Row],[C]]))</f>
        <v/>
      </c>
      <c r="X957" s="151" t="str">
        <f>IF(NOTA[[#This Row],[JUMLAH]]="","",NOTA[[#This Row],[JUMLAH]]*NOTA[[#This Row],[DISC 1]])</f>
        <v/>
      </c>
      <c r="Y957" s="151" t="str">
        <f>IF(NOTA[[#This Row],[JUMLAH]]="","",(NOTA[[#This Row],[JUMLAH]]-NOTA[[#This Row],[DISC 1-]])*NOTA[[#This Row],[DISC 2]])</f>
        <v/>
      </c>
      <c r="Z957" s="151" t="str">
        <f>IF(NOTA[[#This Row],[JUMLAH]]="","",NOTA[[#This Row],[DISC 1-]]+NOTA[[#This Row],[DISC 2-]])</f>
        <v/>
      </c>
      <c r="AA957" s="151" t="str">
        <f>IF(NOTA[[#This Row],[JUMLAH]]="","",NOTA[[#This Row],[JUMLAH]]-NOTA[[#This Row],[DISC]])</f>
        <v/>
      </c>
      <c r="AB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151" t="str">
        <f>IF(OR(NOTA[[#This Row],[QTY]]="",NOTA[[#This Row],[HARGA SATUAN]]="",),"",NOTA[[#This Row],[QTY]]*NOTA[[#This Row],[HARGA SATUAN]])</f>
        <v/>
      </c>
      <c r="AF957" s="147" t="str">
        <f ca="1">IF(NOTA[ID_H]="","",INDEX(NOTA[TANGGAL],MATCH(,INDIRECT(ADDRESS(ROW(NOTA[TANGGAL]),COLUMN(NOTA[TANGGAL]))&amp;":"&amp;ADDRESS(ROW(),COLUMN(NOTA[TANGGAL]))),-1)))</f>
        <v/>
      </c>
      <c r="AG957" s="142" t="str">
        <f ca="1">IF(NOTA[[#This Row],[NAMA BARANG]]="","",INDEX(NOTA[SUPPLIER],MATCH(,INDIRECT(ADDRESS(ROW(NOTA[ID]),COLUMN(NOTA[ID]))&amp;":"&amp;ADDRESS(ROW(),COLUMN(NOTA[ID]))),-1)))</f>
        <v/>
      </c>
      <c r="AH957" s="142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7" s="38" t="str">
        <f>IF(NOTA[[#This Row],[CONCAT4]]="","",_xlfn.IFNA(MATCH(NOTA[[#This Row],[CONCAT4]],[2]!RAW[CONCAT_H],0),FALSE))</f>
        <v/>
      </c>
      <c r="AP957" s="174" t="str">
        <f>IF(NOTA[[#This Row],[CONCAT1]]="","",MATCH(NOTA[[#This Row],[CONCAT1]],[3]!db[NB NOTA_C],0)+1)</f>
        <v/>
      </c>
    </row>
    <row r="958" spans="1:42" ht="20.100000000000001" customHeight="1" x14ac:dyDescent="0.25">
      <c r="A95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143" t="str">
        <f>IF(NOTA[[#This Row],[ID_P]]="","",MATCH(NOTA[[#This Row],[ID_P]],[1]!B_MSK[N_ID],0))</f>
        <v/>
      </c>
      <c r="D958" s="143" t="str">
        <f ca="1">IF(NOTA[[#This Row],[NAMA BARANG]]="","",INDEX(NOTA[ID],MATCH(,INDIRECT(ADDRESS(ROW(NOTA[ID]),COLUMN(NOTA[ID]))&amp;":"&amp;ADDRESS(ROW(),COLUMN(NOTA[ID]))),-1)))</f>
        <v/>
      </c>
      <c r="E958" s="144"/>
      <c r="F958" s="145"/>
      <c r="G958" s="145"/>
      <c r="H958" s="146"/>
      <c r="I958" s="145"/>
      <c r="J958" s="147"/>
      <c r="K958" s="145"/>
      <c r="L958" s="145"/>
      <c r="M958" s="148"/>
      <c r="N958" s="145"/>
      <c r="O958" s="145"/>
      <c r="P958" s="142"/>
      <c r="Q958" s="149"/>
      <c r="R958" s="148"/>
      <c r="S958" s="150"/>
      <c r="T958" s="150"/>
      <c r="U958" s="151"/>
      <c r="V958" s="103"/>
      <c r="W958" s="151" t="str">
        <f>IF(NOTA[[#This Row],[HARGA/ CTN]]="",NOTA[[#This Row],[JUMLAH_H]],NOTA[[#This Row],[HARGA/ CTN]]*IF(NOTA[[#This Row],[C]]="",0,NOTA[[#This Row],[C]]))</f>
        <v/>
      </c>
      <c r="X958" s="151" t="str">
        <f>IF(NOTA[[#This Row],[JUMLAH]]="","",NOTA[[#This Row],[JUMLAH]]*NOTA[[#This Row],[DISC 1]])</f>
        <v/>
      </c>
      <c r="Y958" s="151" t="str">
        <f>IF(NOTA[[#This Row],[JUMLAH]]="","",(NOTA[[#This Row],[JUMLAH]]-NOTA[[#This Row],[DISC 1-]])*NOTA[[#This Row],[DISC 2]])</f>
        <v/>
      </c>
      <c r="Z958" s="151" t="str">
        <f>IF(NOTA[[#This Row],[JUMLAH]]="","",NOTA[[#This Row],[DISC 1-]]+NOTA[[#This Row],[DISC 2-]])</f>
        <v/>
      </c>
      <c r="AA958" s="151" t="str">
        <f>IF(NOTA[[#This Row],[JUMLAH]]="","",NOTA[[#This Row],[JUMLAH]]-NOTA[[#This Row],[DISC]])</f>
        <v/>
      </c>
      <c r="AB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151" t="str">
        <f>IF(OR(NOTA[[#This Row],[QTY]]="",NOTA[[#This Row],[HARGA SATUAN]]="",),"",NOTA[[#This Row],[QTY]]*NOTA[[#This Row],[HARGA SATUAN]])</f>
        <v/>
      </c>
      <c r="AF958" s="147" t="str">
        <f ca="1">IF(NOTA[ID_H]="","",INDEX(NOTA[TANGGAL],MATCH(,INDIRECT(ADDRESS(ROW(NOTA[TANGGAL]),COLUMN(NOTA[TANGGAL]))&amp;":"&amp;ADDRESS(ROW(),COLUMN(NOTA[TANGGAL]))),-1)))</f>
        <v/>
      </c>
      <c r="AG958" s="142" t="str">
        <f ca="1">IF(NOTA[[#This Row],[NAMA BARANG]]="","",INDEX(NOTA[SUPPLIER],MATCH(,INDIRECT(ADDRESS(ROW(NOTA[ID]),COLUMN(NOTA[ID]))&amp;":"&amp;ADDRESS(ROW(),COLUMN(NOTA[ID]))),-1)))</f>
        <v/>
      </c>
      <c r="AH958" s="142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8" s="38" t="str">
        <f>IF(NOTA[[#This Row],[CONCAT4]]="","",_xlfn.IFNA(MATCH(NOTA[[#This Row],[CONCAT4]],[2]!RAW[CONCAT_H],0),FALSE))</f>
        <v/>
      </c>
      <c r="AP958" s="174" t="str">
        <f>IF(NOTA[[#This Row],[CONCAT1]]="","",MATCH(NOTA[[#This Row],[CONCAT1]],[3]!db[NB NOTA_C],0)+1)</f>
        <v/>
      </c>
    </row>
    <row r="959" spans="1:42" ht="20.100000000000001" customHeight="1" x14ac:dyDescent="0.25">
      <c r="A95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143" t="str">
        <f>IF(NOTA[[#This Row],[ID_P]]="","",MATCH(NOTA[[#This Row],[ID_P]],[1]!B_MSK[N_ID],0))</f>
        <v/>
      </c>
      <c r="D959" s="143" t="str">
        <f ca="1">IF(NOTA[[#This Row],[NAMA BARANG]]="","",INDEX(NOTA[ID],MATCH(,INDIRECT(ADDRESS(ROW(NOTA[ID]),COLUMN(NOTA[ID]))&amp;":"&amp;ADDRESS(ROW(),COLUMN(NOTA[ID]))),-1)))</f>
        <v/>
      </c>
      <c r="E959" s="144"/>
      <c r="F959" s="145"/>
      <c r="G959" s="145"/>
      <c r="H959" s="146"/>
      <c r="I959" s="145"/>
      <c r="J959" s="147"/>
      <c r="K959" s="145"/>
      <c r="L959" s="145"/>
      <c r="M959" s="148"/>
      <c r="N959" s="145"/>
      <c r="O959" s="145"/>
      <c r="P959" s="142"/>
      <c r="Q959" s="149"/>
      <c r="R959" s="148"/>
      <c r="S959" s="150"/>
      <c r="T959" s="150"/>
      <c r="U959" s="151"/>
      <c r="V959" s="103"/>
      <c r="W959" s="151" t="str">
        <f>IF(NOTA[[#This Row],[HARGA/ CTN]]="",NOTA[[#This Row],[JUMLAH_H]],NOTA[[#This Row],[HARGA/ CTN]]*IF(NOTA[[#This Row],[C]]="",0,NOTA[[#This Row],[C]]))</f>
        <v/>
      </c>
      <c r="X959" s="151" t="str">
        <f>IF(NOTA[[#This Row],[JUMLAH]]="","",NOTA[[#This Row],[JUMLAH]]*NOTA[[#This Row],[DISC 1]])</f>
        <v/>
      </c>
      <c r="Y959" s="151" t="str">
        <f>IF(NOTA[[#This Row],[JUMLAH]]="","",(NOTA[[#This Row],[JUMLAH]]-NOTA[[#This Row],[DISC 1-]])*NOTA[[#This Row],[DISC 2]])</f>
        <v/>
      </c>
      <c r="Z959" s="151" t="str">
        <f>IF(NOTA[[#This Row],[JUMLAH]]="","",NOTA[[#This Row],[DISC 1-]]+NOTA[[#This Row],[DISC 2-]])</f>
        <v/>
      </c>
      <c r="AA959" s="151" t="str">
        <f>IF(NOTA[[#This Row],[JUMLAH]]="","",NOTA[[#This Row],[JUMLAH]]-NOTA[[#This Row],[DISC]])</f>
        <v/>
      </c>
      <c r="AB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151" t="str">
        <f>IF(OR(NOTA[[#This Row],[QTY]]="",NOTA[[#This Row],[HARGA SATUAN]]="",),"",NOTA[[#This Row],[QTY]]*NOTA[[#This Row],[HARGA SATUAN]])</f>
        <v/>
      </c>
      <c r="AF959" s="147" t="str">
        <f ca="1">IF(NOTA[ID_H]="","",INDEX(NOTA[TANGGAL],MATCH(,INDIRECT(ADDRESS(ROW(NOTA[TANGGAL]),COLUMN(NOTA[TANGGAL]))&amp;":"&amp;ADDRESS(ROW(),COLUMN(NOTA[TANGGAL]))),-1)))</f>
        <v/>
      </c>
      <c r="AG959" s="142" t="str">
        <f ca="1">IF(NOTA[[#This Row],[NAMA BARANG]]="","",INDEX(NOTA[SUPPLIER],MATCH(,INDIRECT(ADDRESS(ROW(NOTA[ID]),COLUMN(NOTA[ID]))&amp;":"&amp;ADDRESS(ROW(),COLUMN(NOTA[ID]))),-1)))</f>
        <v/>
      </c>
      <c r="AH959" s="142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9" s="38" t="str">
        <f>IF(NOTA[[#This Row],[CONCAT4]]="","",_xlfn.IFNA(MATCH(NOTA[[#This Row],[CONCAT4]],[2]!RAW[CONCAT_H],0),FALSE))</f>
        <v/>
      </c>
      <c r="AP959" s="174" t="str">
        <f>IF(NOTA[[#This Row],[CONCAT1]]="","",MATCH(NOTA[[#This Row],[CONCAT1]],[3]!db[NB NOTA_C],0)+1)</f>
        <v/>
      </c>
    </row>
    <row r="960" spans="1:42" ht="20.100000000000001" customHeight="1" x14ac:dyDescent="0.25">
      <c r="A96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143" t="str">
        <f>IF(NOTA[[#This Row],[ID_P]]="","",MATCH(NOTA[[#This Row],[ID_P]],[1]!B_MSK[N_ID],0))</f>
        <v/>
      </c>
      <c r="D960" s="143" t="str">
        <f ca="1">IF(NOTA[[#This Row],[NAMA BARANG]]="","",INDEX(NOTA[ID],MATCH(,INDIRECT(ADDRESS(ROW(NOTA[ID]),COLUMN(NOTA[ID]))&amp;":"&amp;ADDRESS(ROW(),COLUMN(NOTA[ID]))),-1)))</f>
        <v/>
      </c>
      <c r="E960" s="144"/>
      <c r="F960" s="145"/>
      <c r="G960" s="145"/>
      <c r="H960" s="146"/>
      <c r="I960" s="145"/>
      <c r="J960" s="147"/>
      <c r="K960" s="145"/>
      <c r="L960" s="145"/>
      <c r="M960" s="148"/>
      <c r="N960" s="145"/>
      <c r="O960" s="145"/>
      <c r="P960" s="142"/>
      <c r="Q960" s="149"/>
      <c r="R960" s="148"/>
      <c r="S960" s="150"/>
      <c r="T960" s="150"/>
      <c r="U960" s="151"/>
      <c r="V960" s="103"/>
      <c r="W960" s="151" t="str">
        <f>IF(NOTA[[#This Row],[HARGA/ CTN]]="",NOTA[[#This Row],[JUMLAH_H]],NOTA[[#This Row],[HARGA/ CTN]]*IF(NOTA[[#This Row],[C]]="",0,NOTA[[#This Row],[C]]))</f>
        <v/>
      </c>
      <c r="X960" s="151" t="str">
        <f>IF(NOTA[[#This Row],[JUMLAH]]="","",NOTA[[#This Row],[JUMLAH]]*NOTA[[#This Row],[DISC 1]])</f>
        <v/>
      </c>
      <c r="Y960" s="151" t="str">
        <f>IF(NOTA[[#This Row],[JUMLAH]]="","",(NOTA[[#This Row],[JUMLAH]]-NOTA[[#This Row],[DISC 1-]])*NOTA[[#This Row],[DISC 2]])</f>
        <v/>
      </c>
      <c r="Z960" s="151" t="str">
        <f>IF(NOTA[[#This Row],[JUMLAH]]="","",NOTA[[#This Row],[DISC 1-]]+NOTA[[#This Row],[DISC 2-]])</f>
        <v/>
      </c>
      <c r="AA960" s="151" t="str">
        <f>IF(NOTA[[#This Row],[JUMLAH]]="","",NOTA[[#This Row],[JUMLAH]]-NOTA[[#This Row],[DISC]])</f>
        <v/>
      </c>
      <c r="AB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151" t="str">
        <f>IF(OR(NOTA[[#This Row],[QTY]]="",NOTA[[#This Row],[HARGA SATUAN]]="",),"",NOTA[[#This Row],[QTY]]*NOTA[[#This Row],[HARGA SATUAN]])</f>
        <v/>
      </c>
      <c r="AF960" s="147" t="str">
        <f ca="1">IF(NOTA[ID_H]="","",INDEX(NOTA[TANGGAL],MATCH(,INDIRECT(ADDRESS(ROW(NOTA[TANGGAL]),COLUMN(NOTA[TANGGAL]))&amp;":"&amp;ADDRESS(ROW(),COLUMN(NOTA[TANGGAL]))),-1)))</f>
        <v/>
      </c>
      <c r="AG960" s="142" t="str">
        <f ca="1">IF(NOTA[[#This Row],[NAMA BARANG]]="","",INDEX(NOTA[SUPPLIER],MATCH(,INDIRECT(ADDRESS(ROW(NOTA[ID]),COLUMN(NOTA[ID]))&amp;":"&amp;ADDRESS(ROW(),COLUMN(NOTA[ID]))),-1)))</f>
        <v/>
      </c>
      <c r="AH960" s="142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0" s="38" t="str">
        <f>IF(NOTA[[#This Row],[CONCAT4]]="","",_xlfn.IFNA(MATCH(NOTA[[#This Row],[CONCAT4]],[2]!RAW[CONCAT_H],0),FALSE))</f>
        <v/>
      </c>
      <c r="AP960" s="174" t="str">
        <f>IF(NOTA[[#This Row],[CONCAT1]]="","",MATCH(NOTA[[#This Row],[CONCAT1]],[3]!db[NB NOTA_C],0)+1)</f>
        <v/>
      </c>
    </row>
    <row r="961" spans="1:42" ht="20.100000000000001" customHeight="1" x14ac:dyDescent="0.25">
      <c r="A96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143" t="str">
        <f>IF(NOTA[[#This Row],[ID_P]]="","",MATCH(NOTA[[#This Row],[ID_P]],[1]!B_MSK[N_ID],0))</f>
        <v/>
      </c>
      <c r="D961" s="143" t="str">
        <f ca="1">IF(NOTA[[#This Row],[NAMA BARANG]]="","",INDEX(NOTA[ID],MATCH(,INDIRECT(ADDRESS(ROW(NOTA[ID]),COLUMN(NOTA[ID]))&amp;":"&amp;ADDRESS(ROW(),COLUMN(NOTA[ID]))),-1)))</f>
        <v/>
      </c>
      <c r="E961" s="144"/>
      <c r="F961" s="145"/>
      <c r="G961" s="145"/>
      <c r="H961" s="146"/>
      <c r="I961" s="145"/>
      <c r="J961" s="147"/>
      <c r="K961" s="145"/>
      <c r="L961" s="145"/>
      <c r="M961" s="148"/>
      <c r="N961" s="145"/>
      <c r="O961" s="145"/>
      <c r="P961" s="142"/>
      <c r="Q961" s="149"/>
      <c r="R961" s="148"/>
      <c r="S961" s="150"/>
      <c r="T961" s="150"/>
      <c r="U961" s="151"/>
      <c r="V961" s="103"/>
      <c r="W961" s="151" t="str">
        <f>IF(NOTA[[#This Row],[HARGA/ CTN]]="",NOTA[[#This Row],[JUMLAH_H]],NOTA[[#This Row],[HARGA/ CTN]]*IF(NOTA[[#This Row],[C]]="",0,NOTA[[#This Row],[C]]))</f>
        <v/>
      </c>
      <c r="X961" s="151" t="str">
        <f>IF(NOTA[[#This Row],[JUMLAH]]="","",NOTA[[#This Row],[JUMLAH]]*NOTA[[#This Row],[DISC 1]])</f>
        <v/>
      </c>
      <c r="Y961" s="151" t="str">
        <f>IF(NOTA[[#This Row],[JUMLAH]]="","",(NOTA[[#This Row],[JUMLAH]]-NOTA[[#This Row],[DISC 1-]])*NOTA[[#This Row],[DISC 2]])</f>
        <v/>
      </c>
      <c r="Z961" s="151" t="str">
        <f>IF(NOTA[[#This Row],[JUMLAH]]="","",NOTA[[#This Row],[DISC 1-]]+NOTA[[#This Row],[DISC 2-]])</f>
        <v/>
      </c>
      <c r="AA961" s="151" t="str">
        <f>IF(NOTA[[#This Row],[JUMLAH]]="","",NOTA[[#This Row],[JUMLAH]]-NOTA[[#This Row],[DISC]])</f>
        <v/>
      </c>
      <c r="AB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151" t="str">
        <f>IF(OR(NOTA[[#This Row],[QTY]]="",NOTA[[#This Row],[HARGA SATUAN]]="",),"",NOTA[[#This Row],[QTY]]*NOTA[[#This Row],[HARGA SATUAN]])</f>
        <v/>
      </c>
      <c r="AF961" s="147" t="str">
        <f ca="1">IF(NOTA[ID_H]="","",INDEX(NOTA[TANGGAL],MATCH(,INDIRECT(ADDRESS(ROW(NOTA[TANGGAL]),COLUMN(NOTA[TANGGAL]))&amp;":"&amp;ADDRESS(ROW(),COLUMN(NOTA[TANGGAL]))),-1)))</f>
        <v/>
      </c>
      <c r="AG961" s="142" t="str">
        <f ca="1">IF(NOTA[[#This Row],[NAMA BARANG]]="","",INDEX(NOTA[SUPPLIER],MATCH(,INDIRECT(ADDRESS(ROW(NOTA[ID]),COLUMN(NOTA[ID]))&amp;":"&amp;ADDRESS(ROW(),COLUMN(NOTA[ID]))),-1)))</f>
        <v/>
      </c>
      <c r="AH961" s="142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1" s="38" t="str">
        <f>IF(NOTA[[#This Row],[CONCAT4]]="","",_xlfn.IFNA(MATCH(NOTA[[#This Row],[CONCAT4]],[2]!RAW[CONCAT_H],0),FALSE))</f>
        <v/>
      </c>
      <c r="AP961" s="174" t="str">
        <f>IF(NOTA[[#This Row],[CONCAT1]]="","",MATCH(NOTA[[#This Row],[CONCAT1]],[3]!db[NB NOTA_C],0)+1)</f>
        <v/>
      </c>
    </row>
    <row r="962" spans="1:42" ht="20.100000000000001" customHeight="1" x14ac:dyDescent="0.25">
      <c r="A96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143" t="str">
        <f>IF(NOTA[[#This Row],[ID_P]]="","",MATCH(NOTA[[#This Row],[ID_P]],[1]!B_MSK[N_ID],0))</f>
        <v/>
      </c>
      <c r="D962" s="143" t="str">
        <f ca="1">IF(NOTA[[#This Row],[NAMA BARANG]]="","",INDEX(NOTA[ID],MATCH(,INDIRECT(ADDRESS(ROW(NOTA[ID]),COLUMN(NOTA[ID]))&amp;":"&amp;ADDRESS(ROW(),COLUMN(NOTA[ID]))),-1)))</f>
        <v/>
      </c>
      <c r="E962" s="144"/>
      <c r="F962" s="145"/>
      <c r="G962" s="145"/>
      <c r="H962" s="146"/>
      <c r="I962" s="145"/>
      <c r="J962" s="147"/>
      <c r="K962" s="145"/>
      <c r="L962" s="145"/>
      <c r="M962" s="148"/>
      <c r="N962" s="145"/>
      <c r="O962" s="145"/>
      <c r="P962" s="142"/>
      <c r="Q962" s="149"/>
      <c r="R962" s="148"/>
      <c r="S962" s="150"/>
      <c r="T962" s="150"/>
      <c r="U962" s="151"/>
      <c r="V962" s="103"/>
      <c r="W962" s="151" t="str">
        <f>IF(NOTA[[#This Row],[HARGA/ CTN]]="",NOTA[[#This Row],[JUMLAH_H]],NOTA[[#This Row],[HARGA/ CTN]]*IF(NOTA[[#This Row],[C]]="",0,NOTA[[#This Row],[C]]))</f>
        <v/>
      </c>
      <c r="X962" s="151" t="str">
        <f>IF(NOTA[[#This Row],[JUMLAH]]="","",NOTA[[#This Row],[JUMLAH]]*NOTA[[#This Row],[DISC 1]])</f>
        <v/>
      </c>
      <c r="Y962" s="151" t="str">
        <f>IF(NOTA[[#This Row],[JUMLAH]]="","",(NOTA[[#This Row],[JUMLAH]]-NOTA[[#This Row],[DISC 1-]])*NOTA[[#This Row],[DISC 2]])</f>
        <v/>
      </c>
      <c r="Z962" s="151" t="str">
        <f>IF(NOTA[[#This Row],[JUMLAH]]="","",NOTA[[#This Row],[DISC 1-]]+NOTA[[#This Row],[DISC 2-]])</f>
        <v/>
      </c>
      <c r="AA962" s="151" t="str">
        <f>IF(NOTA[[#This Row],[JUMLAH]]="","",NOTA[[#This Row],[JUMLAH]]-NOTA[[#This Row],[DISC]])</f>
        <v/>
      </c>
      <c r="AB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151" t="str">
        <f>IF(OR(NOTA[[#This Row],[QTY]]="",NOTA[[#This Row],[HARGA SATUAN]]="",),"",NOTA[[#This Row],[QTY]]*NOTA[[#This Row],[HARGA SATUAN]])</f>
        <v/>
      </c>
      <c r="AF962" s="147" t="str">
        <f ca="1">IF(NOTA[ID_H]="","",INDEX(NOTA[TANGGAL],MATCH(,INDIRECT(ADDRESS(ROW(NOTA[TANGGAL]),COLUMN(NOTA[TANGGAL]))&amp;":"&amp;ADDRESS(ROW(),COLUMN(NOTA[TANGGAL]))),-1)))</f>
        <v/>
      </c>
      <c r="AG962" s="142" t="str">
        <f ca="1">IF(NOTA[[#This Row],[NAMA BARANG]]="","",INDEX(NOTA[SUPPLIER],MATCH(,INDIRECT(ADDRESS(ROW(NOTA[ID]),COLUMN(NOTA[ID]))&amp;":"&amp;ADDRESS(ROW(),COLUMN(NOTA[ID]))),-1)))</f>
        <v/>
      </c>
      <c r="AH962" s="142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2" s="38" t="str">
        <f>IF(NOTA[[#This Row],[CONCAT4]]="","",_xlfn.IFNA(MATCH(NOTA[[#This Row],[CONCAT4]],[2]!RAW[CONCAT_H],0),FALSE))</f>
        <v/>
      </c>
      <c r="AP962" s="174" t="str">
        <f>IF(NOTA[[#This Row],[CONCAT1]]="","",MATCH(NOTA[[#This Row],[CONCAT1]],[3]!db[NB NOTA_C],0)+1)</f>
        <v/>
      </c>
    </row>
    <row r="963" spans="1:42" ht="20.100000000000001" customHeight="1" x14ac:dyDescent="0.25">
      <c r="A96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143" t="str">
        <f>IF(NOTA[[#This Row],[ID_P]]="","",MATCH(NOTA[[#This Row],[ID_P]],[1]!B_MSK[N_ID],0))</f>
        <v/>
      </c>
      <c r="D963" s="143" t="str">
        <f ca="1">IF(NOTA[[#This Row],[NAMA BARANG]]="","",INDEX(NOTA[ID],MATCH(,INDIRECT(ADDRESS(ROW(NOTA[ID]),COLUMN(NOTA[ID]))&amp;":"&amp;ADDRESS(ROW(),COLUMN(NOTA[ID]))),-1)))</f>
        <v/>
      </c>
      <c r="E963" s="144"/>
      <c r="F963" s="145"/>
      <c r="G963" s="145"/>
      <c r="H963" s="146"/>
      <c r="I963" s="145"/>
      <c r="J963" s="147"/>
      <c r="K963" s="145"/>
      <c r="L963" s="145"/>
      <c r="M963" s="148"/>
      <c r="N963" s="145"/>
      <c r="O963" s="145"/>
      <c r="P963" s="142"/>
      <c r="Q963" s="149"/>
      <c r="R963" s="148"/>
      <c r="S963" s="150"/>
      <c r="T963" s="150"/>
      <c r="U963" s="151"/>
      <c r="V963" s="103"/>
      <c r="W963" s="151" t="str">
        <f>IF(NOTA[[#This Row],[HARGA/ CTN]]="",NOTA[[#This Row],[JUMLAH_H]],NOTA[[#This Row],[HARGA/ CTN]]*IF(NOTA[[#This Row],[C]]="",0,NOTA[[#This Row],[C]]))</f>
        <v/>
      </c>
      <c r="X963" s="151" t="str">
        <f>IF(NOTA[[#This Row],[JUMLAH]]="","",NOTA[[#This Row],[JUMLAH]]*NOTA[[#This Row],[DISC 1]])</f>
        <v/>
      </c>
      <c r="Y963" s="151" t="str">
        <f>IF(NOTA[[#This Row],[JUMLAH]]="","",(NOTA[[#This Row],[JUMLAH]]-NOTA[[#This Row],[DISC 1-]])*NOTA[[#This Row],[DISC 2]])</f>
        <v/>
      </c>
      <c r="Z963" s="151" t="str">
        <f>IF(NOTA[[#This Row],[JUMLAH]]="","",NOTA[[#This Row],[DISC 1-]]+NOTA[[#This Row],[DISC 2-]])</f>
        <v/>
      </c>
      <c r="AA963" s="151" t="str">
        <f>IF(NOTA[[#This Row],[JUMLAH]]="","",NOTA[[#This Row],[JUMLAH]]-NOTA[[#This Row],[DISC]])</f>
        <v/>
      </c>
      <c r="AB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151" t="str">
        <f>IF(OR(NOTA[[#This Row],[QTY]]="",NOTA[[#This Row],[HARGA SATUAN]]="",),"",NOTA[[#This Row],[QTY]]*NOTA[[#This Row],[HARGA SATUAN]])</f>
        <v/>
      </c>
      <c r="AF963" s="147" t="str">
        <f ca="1">IF(NOTA[ID_H]="","",INDEX(NOTA[TANGGAL],MATCH(,INDIRECT(ADDRESS(ROW(NOTA[TANGGAL]),COLUMN(NOTA[TANGGAL]))&amp;":"&amp;ADDRESS(ROW(),COLUMN(NOTA[TANGGAL]))),-1)))</f>
        <v/>
      </c>
      <c r="AG963" s="142" t="str">
        <f ca="1">IF(NOTA[[#This Row],[NAMA BARANG]]="","",INDEX(NOTA[SUPPLIER],MATCH(,INDIRECT(ADDRESS(ROW(NOTA[ID]),COLUMN(NOTA[ID]))&amp;":"&amp;ADDRESS(ROW(),COLUMN(NOTA[ID]))),-1)))</f>
        <v/>
      </c>
      <c r="AH963" s="142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3" s="38" t="str">
        <f>IF(NOTA[[#This Row],[CONCAT4]]="","",_xlfn.IFNA(MATCH(NOTA[[#This Row],[CONCAT4]],[2]!RAW[CONCAT_H],0),FALSE))</f>
        <v/>
      </c>
      <c r="AP963" s="174" t="str">
        <f>IF(NOTA[[#This Row],[CONCAT1]]="","",MATCH(NOTA[[#This Row],[CONCAT1]],[3]!db[NB NOTA_C],0)+1)</f>
        <v/>
      </c>
    </row>
    <row r="964" spans="1:42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143" t="str">
        <f>IF(NOTA[[#This Row],[ID_P]]="","",MATCH(NOTA[[#This Row],[ID_P]],[1]!B_MSK[N_ID],0))</f>
        <v/>
      </c>
      <c r="D964" s="143" t="str">
        <f ca="1">IF(NOTA[[#This Row],[NAMA BARANG]]="","",INDEX(NOTA[ID],MATCH(,INDIRECT(ADDRESS(ROW(NOTA[ID]),COLUMN(NOTA[ID]))&amp;":"&amp;ADDRESS(ROW(),COLUMN(NOTA[ID]))),-1)))</f>
        <v/>
      </c>
      <c r="E964" s="144"/>
      <c r="F964" s="145"/>
      <c r="G964" s="145"/>
      <c r="H964" s="146"/>
      <c r="I964" s="145"/>
      <c r="J964" s="147"/>
      <c r="K964" s="145"/>
      <c r="L964" s="145"/>
      <c r="M964" s="148"/>
      <c r="N964" s="145"/>
      <c r="O964" s="145"/>
      <c r="P964" s="142"/>
      <c r="Q964" s="149"/>
      <c r="R964" s="148"/>
      <c r="S964" s="150"/>
      <c r="T964" s="150"/>
      <c r="U964" s="151"/>
      <c r="V964" s="103"/>
      <c r="W964" s="151" t="str">
        <f>IF(NOTA[[#This Row],[HARGA/ CTN]]="",NOTA[[#This Row],[JUMLAH_H]],NOTA[[#This Row],[HARGA/ CTN]]*IF(NOTA[[#This Row],[C]]="",0,NOTA[[#This Row],[C]]))</f>
        <v/>
      </c>
      <c r="X964" s="151" t="str">
        <f>IF(NOTA[[#This Row],[JUMLAH]]="","",NOTA[[#This Row],[JUMLAH]]*NOTA[[#This Row],[DISC 1]])</f>
        <v/>
      </c>
      <c r="Y964" s="151" t="str">
        <f>IF(NOTA[[#This Row],[JUMLAH]]="","",(NOTA[[#This Row],[JUMLAH]]-NOTA[[#This Row],[DISC 1-]])*NOTA[[#This Row],[DISC 2]])</f>
        <v/>
      </c>
      <c r="Z964" s="151" t="str">
        <f>IF(NOTA[[#This Row],[JUMLAH]]="","",NOTA[[#This Row],[DISC 1-]]+NOTA[[#This Row],[DISC 2-]])</f>
        <v/>
      </c>
      <c r="AA964" s="151" t="str">
        <f>IF(NOTA[[#This Row],[JUMLAH]]="","",NOTA[[#This Row],[JUMLAH]]-NOTA[[#This Row],[DISC]])</f>
        <v/>
      </c>
      <c r="AB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151" t="str">
        <f>IF(OR(NOTA[[#This Row],[QTY]]="",NOTA[[#This Row],[HARGA SATUAN]]="",),"",NOTA[[#This Row],[QTY]]*NOTA[[#This Row],[HARGA SATUAN]])</f>
        <v/>
      </c>
      <c r="AF964" s="147" t="str">
        <f ca="1">IF(NOTA[ID_H]="","",INDEX(NOTA[TANGGAL],MATCH(,INDIRECT(ADDRESS(ROW(NOTA[TANGGAL]),COLUMN(NOTA[TANGGAL]))&amp;":"&amp;ADDRESS(ROW(),COLUMN(NOTA[TANGGAL]))),-1)))</f>
        <v/>
      </c>
      <c r="AG964" s="142" t="str">
        <f ca="1">IF(NOTA[[#This Row],[NAMA BARANG]]="","",INDEX(NOTA[SUPPLIER],MATCH(,INDIRECT(ADDRESS(ROW(NOTA[ID]),COLUMN(NOTA[ID]))&amp;":"&amp;ADDRESS(ROW(),COLUMN(NOTA[ID]))),-1)))</f>
        <v/>
      </c>
      <c r="AH964" s="142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4" s="38" t="str">
        <f>IF(NOTA[[#This Row],[CONCAT4]]="","",_xlfn.IFNA(MATCH(NOTA[[#This Row],[CONCAT4]],[2]!RAW[CONCAT_H],0),FALSE))</f>
        <v/>
      </c>
      <c r="AP964" s="174" t="str">
        <f>IF(NOTA[[#This Row],[CONCAT1]]="","",MATCH(NOTA[[#This Row],[CONCAT1]],[3]!db[NB NOTA_C],0)+1)</f>
        <v/>
      </c>
    </row>
    <row r="965" spans="1:42" ht="20.100000000000001" customHeight="1" x14ac:dyDescent="0.25">
      <c r="A96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143" t="str">
        <f>IF(NOTA[[#This Row],[ID_P]]="","",MATCH(NOTA[[#This Row],[ID_P]],[1]!B_MSK[N_ID],0))</f>
        <v/>
      </c>
      <c r="D965" s="143" t="str">
        <f ca="1">IF(NOTA[[#This Row],[NAMA BARANG]]="","",INDEX(NOTA[ID],MATCH(,INDIRECT(ADDRESS(ROW(NOTA[ID]),COLUMN(NOTA[ID]))&amp;":"&amp;ADDRESS(ROW(),COLUMN(NOTA[ID]))),-1)))</f>
        <v/>
      </c>
      <c r="E965" s="144"/>
      <c r="F965" s="145"/>
      <c r="G965" s="145"/>
      <c r="H965" s="146"/>
      <c r="I965" s="145"/>
      <c r="J965" s="147"/>
      <c r="K965" s="145"/>
      <c r="L965" s="145"/>
      <c r="M965" s="148"/>
      <c r="N965" s="145"/>
      <c r="O965" s="145"/>
      <c r="P965" s="142"/>
      <c r="Q965" s="149"/>
      <c r="R965" s="148"/>
      <c r="S965" s="150"/>
      <c r="T965" s="150"/>
      <c r="U965" s="151"/>
      <c r="V965" s="103"/>
      <c r="W965" s="151" t="str">
        <f>IF(NOTA[[#This Row],[HARGA/ CTN]]="",NOTA[[#This Row],[JUMLAH_H]],NOTA[[#This Row],[HARGA/ CTN]]*IF(NOTA[[#This Row],[C]]="",0,NOTA[[#This Row],[C]]))</f>
        <v/>
      </c>
      <c r="X965" s="151" t="str">
        <f>IF(NOTA[[#This Row],[JUMLAH]]="","",NOTA[[#This Row],[JUMLAH]]*NOTA[[#This Row],[DISC 1]])</f>
        <v/>
      </c>
      <c r="Y965" s="151" t="str">
        <f>IF(NOTA[[#This Row],[JUMLAH]]="","",(NOTA[[#This Row],[JUMLAH]]-NOTA[[#This Row],[DISC 1-]])*NOTA[[#This Row],[DISC 2]])</f>
        <v/>
      </c>
      <c r="Z965" s="151" t="str">
        <f>IF(NOTA[[#This Row],[JUMLAH]]="","",NOTA[[#This Row],[DISC 1-]]+NOTA[[#This Row],[DISC 2-]])</f>
        <v/>
      </c>
      <c r="AA965" s="151" t="str">
        <f>IF(NOTA[[#This Row],[JUMLAH]]="","",NOTA[[#This Row],[JUMLAH]]-NOTA[[#This Row],[DISC]])</f>
        <v/>
      </c>
      <c r="AB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151" t="str">
        <f>IF(OR(NOTA[[#This Row],[QTY]]="",NOTA[[#This Row],[HARGA SATUAN]]="",),"",NOTA[[#This Row],[QTY]]*NOTA[[#This Row],[HARGA SATUAN]])</f>
        <v/>
      </c>
      <c r="AF965" s="147" t="str">
        <f ca="1">IF(NOTA[ID_H]="","",INDEX(NOTA[TANGGAL],MATCH(,INDIRECT(ADDRESS(ROW(NOTA[TANGGAL]),COLUMN(NOTA[TANGGAL]))&amp;":"&amp;ADDRESS(ROW(),COLUMN(NOTA[TANGGAL]))),-1)))</f>
        <v/>
      </c>
      <c r="AG965" s="142" t="str">
        <f ca="1">IF(NOTA[[#This Row],[NAMA BARANG]]="","",INDEX(NOTA[SUPPLIER],MATCH(,INDIRECT(ADDRESS(ROW(NOTA[ID]),COLUMN(NOTA[ID]))&amp;":"&amp;ADDRESS(ROW(),COLUMN(NOTA[ID]))),-1)))</f>
        <v/>
      </c>
      <c r="AH965" s="142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5" s="38" t="str">
        <f>IF(NOTA[[#This Row],[CONCAT4]]="","",_xlfn.IFNA(MATCH(NOTA[[#This Row],[CONCAT4]],[2]!RAW[CONCAT_H],0),FALSE))</f>
        <v/>
      </c>
      <c r="AP965" s="174" t="str">
        <f>IF(NOTA[[#This Row],[CONCAT1]]="","",MATCH(NOTA[[#This Row],[CONCAT1]],[3]!db[NB NOTA_C],0)+1)</f>
        <v/>
      </c>
    </row>
    <row r="966" spans="1:42" ht="20.100000000000001" customHeight="1" x14ac:dyDescent="0.25">
      <c r="A96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143" t="str">
        <f>IF(NOTA[[#This Row],[ID_P]]="","",MATCH(NOTA[[#This Row],[ID_P]],[1]!B_MSK[N_ID],0))</f>
        <v/>
      </c>
      <c r="D966" s="143" t="str">
        <f ca="1">IF(NOTA[[#This Row],[NAMA BARANG]]="","",INDEX(NOTA[ID],MATCH(,INDIRECT(ADDRESS(ROW(NOTA[ID]),COLUMN(NOTA[ID]))&amp;":"&amp;ADDRESS(ROW(),COLUMN(NOTA[ID]))),-1)))</f>
        <v/>
      </c>
      <c r="E966" s="144"/>
      <c r="F966" s="145"/>
      <c r="G966" s="145"/>
      <c r="H966" s="146"/>
      <c r="I966" s="145"/>
      <c r="J966" s="147"/>
      <c r="K966" s="145"/>
      <c r="L966" s="145"/>
      <c r="M966" s="148"/>
      <c r="N966" s="145"/>
      <c r="O966" s="145"/>
      <c r="P966" s="142"/>
      <c r="Q966" s="149"/>
      <c r="R966" s="148"/>
      <c r="S966" s="150"/>
      <c r="T966" s="150"/>
      <c r="U966" s="151"/>
      <c r="V966" s="103"/>
      <c r="W966" s="151" t="str">
        <f>IF(NOTA[[#This Row],[HARGA/ CTN]]="",NOTA[[#This Row],[JUMLAH_H]],NOTA[[#This Row],[HARGA/ CTN]]*IF(NOTA[[#This Row],[C]]="",0,NOTA[[#This Row],[C]]))</f>
        <v/>
      </c>
      <c r="X966" s="151" t="str">
        <f>IF(NOTA[[#This Row],[JUMLAH]]="","",NOTA[[#This Row],[JUMLAH]]*NOTA[[#This Row],[DISC 1]])</f>
        <v/>
      </c>
      <c r="Y966" s="151" t="str">
        <f>IF(NOTA[[#This Row],[JUMLAH]]="","",(NOTA[[#This Row],[JUMLAH]]-NOTA[[#This Row],[DISC 1-]])*NOTA[[#This Row],[DISC 2]])</f>
        <v/>
      </c>
      <c r="Z966" s="151" t="str">
        <f>IF(NOTA[[#This Row],[JUMLAH]]="","",NOTA[[#This Row],[DISC 1-]]+NOTA[[#This Row],[DISC 2-]])</f>
        <v/>
      </c>
      <c r="AA966" s="151" t="str">
        <f>IF(NOTA[[#This Row],[JUMLAH]]="","",NOTA[[#This Row],[JUMLAH]]-NOTA[[#This Row],[DISC]])</f>
        <v/>
      </c>
      <c r="AB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151" t="str">
        <f>IF(OR(NOTA[[#This Row],[QTY]]="",NOTA[[#This Row],[HARGA SATUAN]]="",),"",NOTA[[#This Row],[QTY]]*NOTA[[#This Row],[HARGA SATUAN]])</f>
        <v/>
      </c>
      <c r="AF966" s="147" t="str">
        <f ca="1">IF(NOTA[ID_H]="","",INDEX(NOTA[TANGGAL],MATCH(,INDIRECT(ADDRESS(ROW(NOTA[TANGGAL]),COLUMN(NOTA[TANGGAL]))&amp;":"&amp;ADDRESS(ROW(),COLUMN(NOTA[TANGGAL]))),-1)))</f>
        <v/>
      </c>
      <c r="AG966" s="142" t="str">
        <f ca="1">IF(NOTA[[#This Row],[NAMA BARANG]]="","",INDEX(NOTA[SUPPLIER],MATCH(,INDIRECT(ADDRESS(ROW(NOTA[ID]),COLUMN(NOTA[ID]))&amp;":"&amp;ADDRESS(ROW(),COLUMN(NOTA[ID]))),-1)))</f>
        <v/>
      </c>
      <c r="AH966" s="142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6" s="38" t="str">
        <f>IF(NOTA[[#This Row],[CONCAT4]]="","",_xlfn.IFNA(MATCH(NOTA[[#This Row],[CONCAT4]],[2]!RAW[CONCAT_H],0),FALSE))</f>
        <v/>
      </c>
      <c r="AP966" s="174" t="str">
        <f>IF(NOTA[[#This Row],[CONCAT1]]="","",MATCH(NOTA[[#This Row],[CONCAT1]],[3]!db[NB NOTA_C],0)+1)</f>
        <v/>
      </c>
    </row>
    <row r="967" spans="1:42" ht="20.100000000000001" customHeight="1" x14ac:dyDescent="0.25">
      <c r="A96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143" t="str">
        <f>IF(NOTA[[#This Row],[ID_P]]="","",MATCH(NOTA[[#This Row],[ID_P]],[1]!B_MSK[N_ID],0))</f>
        <v/>
      </c>
      <c r="D967" s="143" t="str">
        <f ca="1">IF(NOTA[[#This Row],[NAMA BARANG]]="","",INDEX(NOTA[ID],MATCH(,INDIRECT(ADDRESS(ROW(NOTA[ID]),COLUMN(NOTA[ID]))&amp;":"&amp;ADDRESS(ROW(),COLUMN(NOTA[ID]))),-1)))</f>
        <v/>
      </c>
      <c r="E967" s="144"/>
      <c r="F967" s="145"/>
      <c r="G967" s="145"/>
      <c r="H967" s="146"/>
      <c r="I967" s="145"/>
      <c r="J967" s="147"/>
      <c r="K967" s="145"/>
      <c r="L967" s="145"/>
      <c r="M967" s="148"/>
      <c r="N967" s="145"/>
      <c r="O967" s="145"/>
      <c r="P967" s="142"/>
      <c r="Q967" s="149"/>
      <c r="R967" s="148"/>
      <c r="S967" s="150"/>
      <c r="T967" s="150"/>
      <c r="U967" s="151"/>
      <c r="V967" s="103"/>
      <c r="W967" s="151" t="str">
        <f>IF(NOTA[[#This Row],[HARGA/ CTN]]="",NOTA[[#This Row],[JUMLAH_H]],NOTA[[#This Row],[HARGA/ CTN]]*IF(NOTA[[#This Row],[C]]="",0,NOTA[[#This Row],[C]]))</f>
        <v/>
      </c>
      <c r="X967" s="151" t="str">
        <f>IF(NOTA[[#This Row],[JUMLAH]]="","",NOTA[[#This Row],[JUMLAH]]*NOTA[[#This Row],[DISC 1]])</f>
        <v/>
      </c>
      <c r="Y967" s="151" t="str">
        <f>IF(NOTA[[#This Row],[JUMLAH]]="","",(NOTA[[#This Row],[JUMLAH]]-NOTA[[#This Row],[DISC 1-]])*NOTA[[#This Row],[DISC 2]])</f>
        <v/>
      </c>
      <c r="Z967" s="151" t="str">
        <f>IF(NOTA[[#This Row],[JUMLAH]]="","",NOTA[[#This Row],[DISC 1-]]+NOTA[[#This Row],[DISC 2-]])</f>
        <v/>
      </c>
      <c r="AA967" s="151" t="str">
        <f>IF(NOTA[[#This Row],[JUMLAH]]="","",NOTA[[#This Row],[JUMLAH]]-NOTA[[#This Row],[DISC]])</f>
        <v/>
      </c>
      <c r="AB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151" t="str">
        <f>IF(OR(NOTA[[#This Row],[QTY]]="",NOTA[[#This Row],[HARGA SATUAN]]="",),"",NOTA[[#This Row],[QTY]]*NOTA[[#This Row],[HARGA SATUAN]])</f>
        <v/>
      </c>
      <c r="AF967" s="147" t="str">
        <f ca="1">IF(NOTA[ID_H]="","",INDEX(NOTA[TANGGAL],MATCH(,INDIRECT(ADDRESS(ROW(NOTA[TANGGAL]),COLUMN(NOTA[TANGGAL]))&amp;":"&amp;ADDRESS(ROW(),COLUMN(NOTA[TANGGAL]))),-1)))</f>
        <v/>
      </c>
      <c r="AG967" s="142" t="str">
        <f ca="1">IF(NOTA[[#This Row],[NAMA BARANG]]="","",INDEX(NOTA[SUPPLIER],MATCH(,INDIRECT(ADDRESS(ROW(NOTA[ID]),COLUMN(NOTA[ID]))&amp;":"&amp;ADDRESS(ROW(),COLUMN(NOTA[ID]))),-1)))</f>
        <v/>
      </c>
      <c r="AH967" s="142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7" s="38" t="str">
        <f>IF(NOTA[[#This Row],[CONCAT4]]="","",_xlfn.IFNA(MATCH(NOTA[[#This Row],[CONCAT4]],[2]!RAW[CONCAT_H],0),FALSE))</f>
        <v/>
      </c>
      <c r="AP967" s="174" t="str">
        <f>IF(NOTA[[#This Row],[CONCAT1]]="","",MATCH(NOTA[[#This Row],[CONCAT1]],[3]!db[NB NOTA_C],0)+1)</f>
        <v/>
      </c>
    </row>
    <row r="968" spans="1:42" ht="20.100000000000001" customHeight="1" x14ac:dyDescent="0.25">
      <c r="A96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143" t="str">
        <f>IF(NOTA[[#This Row],[ID_P]]="","",MATCH(NOTA[[#This Row],[ID_P]],[1]!B_MSK[N_ID],0))</f>
        <v/>
      </c>
      <c r="D968" s="143" t="str">
        <f ca="1">IF(NOTA[[#This Row],[NAMA BARANG]]="","",INDEX(NOTA[ID],MATCH(,INDIRECT(ADDRESS(ROW(NOTA[ID]),COLUMN(NOTA[ID]))&amp;":"&amp;ADDRESS(ROW(),COLUMN(NOTA[ID]))),-1)))</f>
        <v/>
      </c>
      <c r="E968" s="144"/>
      <c r="F968" s="145"/>
      <c r="G968" s="145"/>
      <c r="H968" s="146"/>
      <c r="I968" s="145"/>
      <c r="J968" s="147"/>
      <c r="K968" s="145"/>
      <c r="L968" s="38"/>
      <c r="M968" s="148"/>
      <c r="N968" s="145"/>
      <c r="O968" s="145"/>
      <c r="P968" s="142"/>
      <c r="Q968" s="149"/>
      <c r="R968" s="148"/>
      <c r="S968" s="150"/>
      <c r="T968" s="150"/>
      <c r="U968" s="151"/>
      <c r="V968" s="103"/>
      <c r="W968" s="151" t="str">
        <f>IF(NOTA[[#This Row],[HARGA/ CTN]]="",NOTA[[#This Row],[JUMLAH_H]],NOTA[[#This Row],[HARGA/ CTN]]*IF(NOTA[[#This Row],[C]]="",0,NOTA[[#This Row],[C]]))</f>
        <v/>
      </c>
      <c r="X968" s="151" t="str">
        <f>IF(NOTA[[#This Row],[JUMLAH]]="","",NOTA[[#This Row],[JUMLAH]]*NOTA[[#This Row],[DISC 1]])</f>
        <v/>
      </c>
      <c r="Y968" s="151" t="str">
        <f>IF(NOTA[[#This Row],[JUMLAH]]="","",(NOTA[[#This Row],[JUMLAH]]-NOTA[[#This Row],[DISC 1-]])*NOTA[[#This Row],[DISC 2]])</f>
        <v/>
      </c>
      <c r="Z968" s="151" t="str">
        <f>IF(NOTA[[#This Row],[JUMLAH]]="","",NOTA[[#This Row],[DISC 1-]]+NOTA[[#This Row],[DISC 2-]])</f>
        <v/>
      </c>
      <c r="AA968" s="151" t="str">
        <f>IF(NOTA[[#This Row],[JUMLAH]]="","",NOTA[[#This Row],[JUMLAH]]-NOTA[[#This Row],[DISC]])</f>
        <v/>
      </c>
      <c r="AB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151" t="str">
        <f>IF(OR(NOTA[[#This Row],[QTY]]="",NOTA[[#This Row],[HARGA SATUAN]]="",),"",NOTA[[#This Row],[QTY]]*NOTA[[#This Row],[HARGA SATUAN]])</f>
        <v/>
      </c>
      <c r="AF968" s="147" t="str">
        <f ca="1">IF(NOTA[ID_H]="","",INDEX(NOTA[TANGGAL],MATCH(,INDIRECT(ADDRESS(ROW(NOTA[TANGGAL]),COLUMN(NOTA[TANGGAL]))&amp;":"&amp;ADDRESS(ROW(),COLUMN(NOTA[TANGGAL]))),-1)))</f>
        <v/>
      </c>
      <c r="AG968" s="142" t="str">
        <f ca="1">IF(NOTA[[#This Row],[NAMA BARANG]]="","",INDEX(NOTA[SUPPLIER],MATCH(,INDIRECT(ADDRESS(ROW(NOTA[ID]),COLUMN(NOTA[ID]))&amp;":"&amp;ADDRESS(ROW(),COLUMN(NOTA[ID]))),-1)))</f>
        <v/>
      </c>
      <c r="AH968" s="142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8" s="38" t="str">
        <f>IF(NOTA[[#This Row],[CONCAT4]]="","",_xlfn.IFNA(MATCH(NOTA[[#This Row],[CONCAT4]],[2]!RAW[CONCAT_H],0),FALSE))</f>
        <v/>
      </c>
      <c r="AP968" s="174" t="str">
        <f>IF(NOTA[[#This Row],[CONCAT1]]="","",MATCH(NOTA[[#This Row],[CONCAT1]],[3]!db[NB NOTA_C],0)+1)</f>
        <v/>
      </c>
    </row>
    <row r="969" spans="1:42" ht="20.100000000000001" customHeight="1" x14ac:dyDescent="0.25">
      <c r="A96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143" t="str">
        <f>IF(NOTA[[#This Row],[ID_P]]="","",MATCH(NOTA[[#This Row],[ID_P]],[1]!B_MSK[N_ID],0))</f>
        <v/>
      </c>
      <c r="D969" s="143" t="str">
        <f ca="1">IF(NOTA[[#This Row],[NAMA BARANG]]="","",INDEX(NOTA[ID],MATCH(,INDIRECT(ADDRESS(ROW(NOTA[ID]),COLUMN(NOTA[ID]))&amp;":"&amp;ADDRESS(ROW(),COLUMN(NOTA[ID]))),-1)))</f>
        <v/>
      </c>
      <c r="E969" s="144"/>
      <c r="F969" s="145"/>
      <c r="G969" s="145"/>
      <c r="H969" s="146"/>
      <c r="I969" s="145"/>
      <c r="J969" s="147"/>
      <c r="K969" s="145"/>
      <c r="L969" s="145"/>
      <c r="M969" s="148"/>
      <c r="N969" s="145"/>
      <c r="O969" s="145"/>
      <c r="P969" s="142"/>
      <c r="Q969" s="149"/>
      <c r="R969" s="148"/>
      <c r="S969" s="150"/>
      <c r="T969" s="150"/>
      <c r="U969" s="151"/>
      <c r="V969" s="103"/>
      <c r="W969" s="151" t="str">
        <f>IF(NOTA[[#This Row],[HARGA/ CTN]]="",NOTA[[#This Row],[JUMLAH_H]],NOTA[[#This Row],[HARGA/ CTN]]*IF(NOTA[[#This Row],[C]]="",0,NOTA[[#This Row],[C]]))</f>
        <v/>
      </c>
      <c r="X969" s="151" t="str">
        <f>IF(NOTA[[#This Row],[JUMLAH]]="","",NOTA[[#This Row],[JUMLAH]]*NOTA[[#This Row],[DISC 1]])</f>
        <v/>
      </c>
      <c r="Y969" s="151" t="str">
        <f>IF(NOTA[[#This Row],[JUMLAH]]="","",(NOTA[[#This Row],[JUMLAH]]-NOTA[[#This Row],[DISC 1-]])*NOTA[[#This Row],[DISC 2]])</f>
        <v/>
      </c>
      <c r="Z969" s="151" t="str">
        <f>IF(NOTA[[#This Row],[JUMLAH]]="","",NOTA[[#This Row],[DISC 1-]]+NOTA[[#This Row],[DISC 2-]])</f>
        <v/>
      </c>
      <c r="AA969" s="151" t="str">
        <f>IF(NOTA[[#This Row],[JUMLAH]]="","",NOTA[[#This Row],[JUMLAH]]-NOTA[[#This Row],[DISC]])</f>
        <v/>
      </c>
      <c r="AB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151" t="str">
        <f>IF(OR(NOTA[[#This Row],[QTY]]="",NOTA[[#This Row],[HARGA SATUAN]]="",),"",NOTA[[#This Row],[QTY]]*NOTA[[#This Row],[HARGA SATUAN]])</f>
        <v/>
      </c>
      <c r="AF969" s="147" t="str">
        <f ca="1">IF(NOTA[ID_H]="","",INDEX(NOTA[TANGGAL],MATCH(,INDIRECT(ADDRESS(ROW(NOTA[TANGGAL]),COLUMN(NOTA[TANGGAL]))&amp;":"&amp;ADDRESS(ROW(),COLUMN(NOTA[TANGGAL]))),-1)))</f>
        <v/>
      </c>
      <c r="AG969" s="142" t="str">
        <f ca="1">IF(NOTA[[#This Row],[NAMA BARANG]]="","",INDEX(NOTA[SUPPLIER],MATCH(,INDIRECT(ADDRESS(ROW(NOTA[ID]),COLUMN(NOTA[ID]))&amp;":"&amp;ADDRESS(ROW(),COLUMN(NOTA[ID]))),-1)))</f>
        <v/>
      </c>
      <c r="AH969" s="142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9" s="38" t="str">
        <f>IF(NOTA[[#This Row],[CONCAT4]]="","",_xlfn.IFNA(MATCH(NOTA[[#This Row],[CONCAT4]],[2]!RAW[CONCAT_H],0),FALSE))</f>
        <v/>
      </c>
      <c r="AP969" s="174" t="str">
        <f>IF(NOTA[[#This Row],[CONCAT1]]="","",MATCH(NOTA[[#This Row],[CONCAT1]],[3]!db[NB NOTA_C],0)+1)</f>
        <v/>
      </c>
    </row>
    <row r="970" spans="1:42" ht="20.100000000000001" customHeight="1" x14ac:dyDescent="0.25">
      <c r="A97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143" t="str">
        <f>IF(NOTA[[#This Row],[ID_P]]="","",MATCH(NOTA[[#This Row],[ID_P]],[1]!B_MSK[N_ID],0))</f>
        <v/>
      </c>
      <c r="D970" s="143" t="str">
        <f ca="1">IF(NOTA[[#This Row],[NAMA BARANG]]="","",INDEX(NOTA[ID],MATCH(,INDIRECT(ADDRESS(ROW(NOTA[ID]),COLUMN(NOTA[ID]))&amp;":"&amp;ADDRESS(ROW(),COLUMN(NOTA[ID]))),-1)))</f>
        <v/>
      </c>
      <c r="E970" s="144"/>
      <c r="F970" s="145"/>
      <c r="G970" s="145"/>
      <c r="H970" s="146"/>
      <c r="I970" s="145"/>
      <c r="J970" s="147"/>
      <c r="K970" s="145"/>
      <c r="L970" s="38"/>
      <c r="M970" s="148"/>
      <c r="N970" s="145"/>
      <c r="O970" s="145"/>
      <c r="P970" s="142"/>
      <c r="Q970" s="149"/>
      <c r="R970" s="148"/>
      <c r="S970" s="150"/>
      <c r="T970" s="150"/>
      <c r="U970" s="151"/>
      <c r="V970" s="103"/>
      <c r="W970" s="151" t="str">
        <f>IF(NOTA[[#This Row],[HARGA/ CTN]]="",NOTA[[#This Row],[JUMLAH_H]],NOTA[[#This Row],[HARGA/ CTN]]*IF(NOTA[[#This Row],[C]]="",0,NOTA[[#This Row],[C]]))</f>
        <v/>
      </c>
      <c r="X970" s="151" t="str">
        <f>IF(NOTA[[#This Row],[JUMLAH]]="","",NOTA[[#This Row],[JUMLAH]]*NOTA[[#This Row],[DISC 1]])</f>
        <v/>
      </c>
      <c r="Y970" s="151" t="str">
        <f>IF(NOTA[[#This Row],[JUMLAH]]="","",(NOTA[[#This Row],[JUMLAH]]-NOTA[[#This Row],[DISC 1-]])*NOTA[[#This Row],[DISC 2]])</f>
        <v/>
      </c>
      <c r="Z970" s="151" t="str">
        <f>IF(NOTA[[#This Row],[JUMLAH]]="","",NOTA[[#This Row],[DISC 1-]]+NOTA[[#This Row],[DISC 2-]])</f>
        <v/>
      </c>
      <c r="AA970" s="151" t="str">
        <f>IF(NOTA[[#This Row],[JUMLAH]]="","",NOTA[[#This Row],[JUMLAH]]-NOTA[[#This Row],[DISC]])</f>
        <v/>
      </c>
      <c r="AB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151" t="str">
        <f>IF(OR(NOTA[[#This Row],[QTY]]="",NOTA[[#This Row],[HARGA SATUAN]]="",),"",NOTA[[#This Row],[QTY]]*NOTA[[#This Row],[HARGA SATUAN]])</f>
        <v/>
      </c>
      <c r="AF970" s="147" t="str">
        <f ca="1">IF(NOTA[ID_H]="","",INDEX(NOTA[TANGGAL],MATCH(,INDIRECT(ADDRESS(ROW(NOTA[TANGGAL]),COLUMN(NOTA[TANGGAL]))&amp;":"&amp;ADDRESS(ROW(),COLUMN(NOTA[TANGGAL]))),-1)))</f>
        <v/>
      </c>
      <c r="AG970" s="142" t="str">
        <f ca="1">IF(NOTA[[#This Row],[NAMA BARANG]]="","",INDEX(NOTA[SUPPLIER],MATCH(,INDIRECT(ADDRESS(ROW(NOTA[ID]),COLUMN(NOTA[ID]))&amp;":"&amp;ADDRESS(ROW(),COLUMN(NOTA[ID]))),-1)))</f>
        <v/>
      </c>
      <c r="AH970" s="142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0" s="38" t="str">
        <f>IF(NOTA[[#This Row],[CONCAT4]]="","",_xlfn.IFNA(MATCH(NOTA[[#This Row],[CONCAT4]],[2]!RAW[CONCAT_H],0),FALSE))</f>
        <v/>
      </c>
      <c r="AP970" s="174" t="str">
        <f>IF(NOTA[[#This Row],[CONCAT1]]="","",MATCH(NOTA[[#This Row],[CONCAT1]],[3]!db[NB NOTA_C],0)+1)</f>
        <v/>
      </c>
    </row>
    <row r="971" spans="1:42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1" s="38" t="str">
        <f>IF(NOTA[[#This Row],[CONCAT4]]="","",_xlfn.IFNA(MATCH(NOTA[[#This Row],[CONCAT4]],[2]!RAW[CONCAT_H],0),FALSE))</f>
        <v/>
      </c>
      <c r="AP971" s="174" t="str">
        <f>IF(NOTA[[#This Row],[CONCAT1]]="","",MATCH(NOTA[[#This Row],[CONCAT1]],[3]!db[NB NOTA_C],0)+1)</f>
        <v/>
      </c>
    </row>
    <row r="972" spans="1:42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2" s="38" t="str">
        <f>IF(NOTA[[#This Row],[CONCAT4]]="","",_xlfn.IFNA(MATCH(NOTA[[#This Row],[CONCAT4]],[2]!RAW[CONCAT_H],0),FALSE))</f>
        <v/>
      </c>
      <c r="AP972" s="174" t="str">
        <f>IF(NOTA[[#This Row],[CONCAT1]]="","",MATCH(NOTA[[#This Row],[CONCAT1]],[3]!db[NB NOTA_C],0)+1)</f>
        <v/>
      </c>
    </row>
    <row r="973" spans="1:42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3" s="38" t="str">
        <f>IF(NOTA[[#This Row],[CONCAT4]]="","",_xlfn.IFNA(MATCH(NOTA[[#This Row],[CONCAT4]],[2]!RAW[CONCAT_H],0),FALSE))</f>
        <v/>
      </c>
      <c r="AP973" s="174" t="str">
        <f>IF(NOTA[[#This Row],[CONCAT1]]="","",MATCH(NOTA[[#This Row],[CONCAT1]],[3]!db[NB NOTA_C],0)+1)</f>
        <v/>
      </c>
    </row>
  </sheetData>
  <conditionalFormatting sqref="B1:C1048576">
    <cfRule type="duplicateValues" dxfId="250" priority="36"/>
    <cfRule type="duplicateValues" dxfId="249" priority="37"/>
  </conditionalFormatting>
  <conditionalFormatting sqref="B1:B1048576">
    <cfRule type="duplicateValues" dxfId="248" priority="34"/>
  </conditionalFormatting>
  <conditionalFormatting sqref="H62 H9:H23 H25:H27">
    <cfRule type="duplicateValues" dxfId="247" priority="27"/>
  </conditionalFormatting>
  <conditionalFormatting sqref="H5">
    <cfRule type="duplicateValues" dxfId="246" priority="577"/>
  </conditionalFormatting>
  <conditionalFormatting sqref="H300:H311">
    <cfRule type="duplicateValues" dxfId="245" priority="17"/>
  </conditionalFormatting>
  <conditionalFormatting sqref="H656:H660 I79 H1:H2 I166 H432:H440 H370:H396 H662:H1048576 H6:H8 H442:H496 H80:H165 H498:H654 H232:H294 H296:H299 H312:H346 H63:H78 H28:H36 H38:H61 H24 H167:H230 H348:H368">
    <cfRule type="duplicateValues" dxfId="244" priority="970"/>
  </conditionalFormatting>
  <conditionalFormatting sqref="L628">
    <cfRule type="duplicateValues" dxfId="243" priority="13"/>
  </conditionalFormatting>
  <conditionalFormatting sqref="L454">
    <cfRule type="duplicateValues" dxfId="242" priority="10"/>
  </conditionalFormatting>
  <conditionalFormatting sqref="L457">
    <cfRule type="duplicateValues" dxfId="241" priority="9"/>
  </conditionalFormatting>
  <conditionalFormatting sqref="L458">
    <cfRule type="duplicateValues" dxfId="240" priority="8"/>
  </conditionalFormatting>
  <conditionalFormatting sqref="L461">
    <cfRule type="duplicateValues" dxfId="239" priority="7"/>
  </conditionalFormatting>
  <conditionalFormatting sqref="H348:H973 H38:H346 H5:H36">
    <cfRule type="duplicateValues" dxfId="238" priority="1306"/>
  </conditionalFormatting>
  <conditionalFormatting sqref="H3:H4">
    <cfRule type="duplicateValues" dxfId="237" priority="1380"/>
  </conditionalFormatting>
  <conditionalFormatting sqref="H3:H4">
    <cfRule type="duplicateValues" dxfId="236" priority="1381"/>
  </conditionalFormatting>
  <conditionalFormatting sqref="H37">
    <cfRule type="duplicateValues" dxfId="235" priority="3"/>
  </conditionalFormatting>
  <conditionalFormatting sqref="H37">
    <cfRule type="duplicateValues" dxfId="234" priority="4"/>
  </conditionalFormatting>
  <conditionalFormatting sqref="I347">
    <cfRule type="duplicateValues" dxfId="233" priority="1"/>
  </conditionalFormatting>
  <conditionalFormatting sqref="I347">
    <cfRule type="duplicateValues" dxfId="232" priority="2"/>
  </conditionalFormatting>
  <conditionalFormatting sqref="B3:B973">
    <cfRule type="duplicateValues" dxfId="231" priority="1490"/>
  </conditionalFormatting>
  <conditionalFormatting sqref="AO3:AO973">
    <cfRule type="duplicateValues" dxfId="230" priority="149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4" zoomScale="85" zoomScaleNormal="85" workbookViewId="0">
      <selection activeCell="C48" sqref="C48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76" bestFit="1" customWidth="1"/>
    <col min="12" max="12" width="14.28515625" style="176" bestFit="1" customWidth="1"/>
    <col min="13" max="13" width="15.28515625" style="176" bestFit="1" customWidth="1"/>
    <col min="14" max="14" width="13.28515625" style="176" customWidth="1"/>
    <col min="15" max="15" width="15.28515625" style="176" bestFit="1" customWidth="1"/>
    <col min="16" max="16" width="14.28515625" style="176" bestFit="1" customWidth="1"/>
    <col min="17" max="17" width="15.28515625" style="176" bestFit="1" customWidth="1"/>
    <col min="18" max="18" width="4.7109375" style="44" customWidth="1"/>
    <col min="19" max="22" width="9.140625" style="44"/>
    <col min="23" max="23" width="19.42578125" style="176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76" t="s">
        <v>39</v>
      </c>
      <c r="L1" s="176" t="s">
        <v>40</v>
      </c>
      <c r="M1" s="176" t="s">
        <v>41</v>
      </c>
      <c r="N1" s="176" t="s">
        <v>20</v>
      </c>
      <c r="O1" s="176" t="s">
        <v>42</v>
      </c>
      <c r="P1" s="176" t="s">
        <v>44</v>
      </c>
      <c r="Q1" s="176" t="s">
        <v>22</v>
      </c>
      <c r="R1" s="44" t="s">
        <v>43</v>
      </c>
    </row>
    <row r="2" spans="1:18" x14ac:dyDescent="0.25">
      <c r="A2" s="44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3">
        <f ca="1">HYPERLINK("[NOTA_.XLSX]NOTA!c"&amp;PAJAK[[#This Row],[//]],IF(PAJAK[[#This Row],[//]]="","",INDEX(INDIRECT("NOTA["&amp;PAJAK[#Headers]&amp;"]"),PAJAK[[#This Row],[//]]-2)))</f>
        <v>1</v>
      </c>
      <c r="C2" s="44" t="str">
        <f ca="1">IF(PAJAK[[#This Row],[//]]="","",INDEX(INDIRECT("NOTA["&amp;PAJAK[#Headers]&amp;"]"),PAJAK[[#This Row],[//]]-2))</f>
        <v>KEN_0304_005-9</v>
      </c>
      <c r="D2" s="44">
        <f ca="1">MATCH(PAJAK[[#This Row],[ID]],[4]!Table1[ID],0)</f>
        <v>2</v>
      </c>
      <c r="E2" s="152">
        <f ca="1">IF(PAJAK[[#This Row],[ID]]="","",COUNTIF(NOTA[ID_H],PAJAK[[#This Row],[ID]]))</f>
        <v>9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45019</v>
      </c>
      <c r="H2" s="42">
        <f ca="1">IF(PAJAK[[#This Row],[//]]="","",INDEX(INDIRECT("NOTA["&amp;PAJAK[#Headers]&amp;"]"),PAJAK[[#This Row],[//]]-2))</f>
        <v>45017</v>
      </c>
      <c r="I2" s="41" t="str">
        <f ca="1">IF(PAJAK[[#This Row],[//]]="","",INDEX(INDIRECT("NOTA["&amp;PAJAK[#Headers]&amp;"]"),PAJAK[[#This Row],[//]]-2))</f>
        <v>23040005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40769</v>
      </c>
      <c r="K2" s="176">
        <f ca="1">IF(PAJAK[[#This Row],[//]]="","",SUMIF(NOTA[ID_H],PAJAK[[#This Row],[ID]],NOTA[JUMLAH]))</f>
        <v>59916000</v>
      </c>
      <c r="L2" s="176">
        <f ca="1">IF(PAJAK[[#This Row],[//]]="","",SUMIF(NOTA[ID_H],PAJAK[[#This Row],[ID]],NOTA[DISC]))</f>
        <v>10185720</v>
      </c>
      <c r="M2" s="176">
        <f ca="1">PAJAK[[#This Row],[SUB TOTAL]]-PAJAK[[#This Row],[DISKON]]</f>
        <v>49730280</v>
      </c>
      <c r="N2" s="176">
        <f ca="1">IF(PAJAK[[#This Row],[//]]="","",INDEX(INDIRECT("NOTA["&amp;PAJAK[#Headers]&amp;"]"),PAJAK[[#This Row],[//]]-2+PAJAK[[#This Row],[QB]]-1))</f>
        <v>0</v>
      </c>
      <c r="O2" s="176">
        <f ca="1">(PAJAK[[#This Row],[SUB T-DISC]]-PAJAK[[#This Row],[DISC DLL]])/111%</f>
        <v>44802054.054054052</v>
      </c>
      <c r="P2" s="176">
        <f ca="1">PAJAK[[#This Row],[DPP]]*PAJAK[[#This Row],[PPN]]</f>
        <v>4928225.9459459456</v>
      </c>
      <c r="Q2" s="176">
        <f ca="1">PAJAK[[#This Row],[DPP]]+PAJAK[[#This Row],[PPN 11%]]</f>
        <v>49730280</v>
      </c>
      <c r="R2" s="43" t="str">
        <f ca="1">IF(ISNUMBER(PAJAK[[#This Row],[//]]),PPN,"")</f>
        <v>11%</v>
      </c>
    </row>
    <row r="3" spans="1:18" x14ac:dyDescent="0.25">
      <c r="A3" s="44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13</v>
      </c>
      <c r="B3" s="153">
        <f ca="1">HYPERLINK("[NOTA_.XLSX]NOTA!c"&amp;PAJAK[[#This Row],[//]],IF(PAJAK[[#This Row],[//]]="","",INDEX(INDIRECT("NOTA["&amp;PAJAK[#Headers]&amp;"]"),PAJAK[[#This Row],[//]]-2)))</f>
        <v>2</v>
      </c>
      <c r="C3" s="44" t="str">
        <f ca="1">IF(PAJAK[[#This Row],[//]]="","",INDEX(INDIRECT("NOTA["&amp;PAJAK[#Headers]&amp;"]"),PAJAK[[#This Row],[//]]-2))</f>
        <v>KEN_0304_058-10</v>
      </c>
      <c r="D3" s="44">
        <f ca="1">MATCH(PAJAK[[#This Row],[ID]],[4]!Table1[ID],0)</f>
        <v>3</v>
      </c>
      <c r="E3" s="152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45019</v>
      </c>
      <c r="H3" s="42">
        <f ca="1">IF(PAJAK[[#This Row],[//]]="","",INDEX(INDIRECT("NOTA["&amp;PAJAK[#Headers]&amp;"]"),PAJAK[[#This Row],[//]]-2))</f>
        <v>45017</v>
      </c>
      <c r="I3" s="41" t="str">
        <f ca="1">IF(PAJAK[[#This Row],[//]]="","",INDEX(INDIRECT("NOTA["&amp;PAJAK[#Headers]&amp;"]"),PAJAK[[#This Row],[//]]-2))</f>
        <v>23040058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40792</v>
      </c>
      <c r="K3" s="176">
        <f ca="1">IF(PAJAK[[#This Row],[//]]="","",SUMIF(NOTA[ID_H],PAJAK[[#This Row],[ID]],NOTA[JUMLAH]))</f>
        <v>59098400</v>
      </c>
      <c r="L3" s="176">
        <f ca="1">IF(PAJAK[[#This Row],[//]]="","",SUMIF(NOTA[ID_H],PAJAK[[#This Row],[ID]],NOTA[DISC]))</f>
        <v>10046728</v>
      </c>
      <c r="M3" s="176">
        <f ca="1">PAJAK[[#This Row],[SUB TOTAL]]-PAJAK[[#This Row],[DISKON]]</f>
        <v>49051672</v>
      </c>
      <c r="N3" s="176">
        <f ca="1">IF(PAJAK[[#This Row],[//]]="","",INDEX(INDIRECT("NOTA["&amp;PAJAK[#Headers]&amp;"]"),PAJAK[[#This Row],[//]]-2+PAJAK[[#This Row],[QB]]-1))</f>
        <v>0</v>
      </c>
      <c r="O3" s="176">
        <f ca="1">(PAJAK[[#This Row],[SUB T-DISC]]-PAJAK[[#This Row],[DISC DLL]])/111%</f>
        <v>44190695.495495491</v>
      </c>
      <c r="P3" s="176">
        <f ca="1">PAJAK[[#This Row],[DPP]]*PAJAK[[#This Row],[PPN]]</f>
        <v>4860976.5045045037</v>
      </c>
      <c r="Q3" s="176">
        <f ca="1">PAJAK[[#This Row],[DPP]]+PAJAK[[#This Row],[PPN 11%]]</f>
        <v>49051671.999999993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37</v>
      </c>
      <c r="B4" s="153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KEN_0404_152-1</v>
      </c>
      <c r="D4" s="44">
        <f ca="1">MATCH(PAJAK[[#This Row],[ID]],[4]!Table1[ID],0)</f>
        <v>4</v>
      </c>
      <c r="E4" s="152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45020</v>
      </c>
      <c r="H4" s="42">
        <f ca="1">IF(PAJAK[[#This Row],[//]]="","",INDEX(INDIRECT("NOTA["&amp;PAJAK[#Headers]&amp;"]"),PAJAK[[#This Row],[//]]-2))</f>
        <v>45019</v>
      </c>
      <c r="I4" s="41" t="str">
        <f ca="1">IF(PAJAK[[#This Row],[//]]="","",INDEX(INDIRECT("NOTA["&amp;PAJAK[#Headers]&amp;"]"),PAJAK[[#This Row],[//]]-2))</f>
        <v>23040152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40873</v>
      </c>
      <c r="K4" s="176">
        <f ca="1">IF(PAJAK[[#This Row],[//]]="","",SUMIF(NOTA[ID_H],PAJAK[[#This Row],[ID]],NOTA[JUMLAH]))</f>
        <v>19440000</v>
      </c>
      <c r="L4" s="176">
        <f ca="1">IF(PAJAK[[#This Row],[//]]="","",SUMIF(NOTA[ID_H],PAJAK[[#This Row],[ID]],NOTA[DISC]))</f>
        <v>3304800.0000000005</v>
      </c>
      <c r="M4" s="176">
        <f ca="1">PAJAK[[#This Row],[SUB TOTAL]]-PAJAK[[#This Row],[DISKON]]</f>
        <v>16135200</v>
      </c>
      <c r="N4" s="176">
        <f ca="1">IF(PAJAK[[#This Row],[//]]="","",INDEX(INDIRECT("NOTA["&amp;PAJAK[#Headers]&amp;"]"),PAJAK[[#This Row],[//]]-2+PAJAK[[#This Row],[QB]]-1))</f>
        <v>0</v>
      </c>
      <c r="O4" s="176">
        <f ca="1">(PAJAK[[#This Row],[SUB T-DISC]]-PAJAK[[#This Row],[DISC DLL]])/111%</f>
        <v>14536216.216216216</v>
      </c>
      <c r="P4" s="176">
        <f ca="1">PAJAK[[#This Row],[DPP]]*PAJAK[[#This Row],[PPN]]</f>
        <v>1598983.7837837837</v>
      </c>
      <c r="Q4" s="176">
        <f ca="1">PAJAK[[#This Row],[DPP]]+PAJAK[[#This Row],[PPN 11%]]</f>
        <v>16135200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39</v>
      </c>
      <c r="B5" s="153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LAY_0504_011-1</v>
      </c>
      <c r="D5" s="44">
        <f ca="1">MATCH(PAJAK[[#This Row],[ID]],[4]!Table1[ID],0)</f>
        <v>24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MITRA GLOBAL NIAGA</v>
      </c>
      <c r="G5" s="42">
        <f ca="1">IF(PAJAK[[#This Row],[//]]="","",INDEX(NOTA[TGL_H],PAJAK[[#This Row],[//]]-2))</f>
        <v>45021</v>
      </c>
      <c r="H5" s="42">
        <f ca="1">IF(PAJAK[[#This Row],[//]]="","",INDEX(INDIRECT("NOTA["&amp;PAJAK[#Headers]&amp;"]"),PAJAK[[#This Row],[//]]-2))</f>
        <v>45019</v>
      </c>
      <c r="I5" s="41" t="str">
        <f ca="1">IF(PAJAK[[#This Row],[//]]="","",INDEX(INDIRECT("NOTA["&amp;PAJAK[#Headers]&amp;"]"),PAJAK[[#This Row],[//]]-2))</f>
        <v>L104011</v>
      </c>
      <c r="J5" s="40" t="str">
        <f ca="1">IF(OR(PAJAK[[#This Row],[//]]="",INDEX(INDIRECT("NOTA["&amp;PAJAK[#Headers]&amp;"]"),PAJAK[[#This Row],[//]]-2)=""),"",INDEX(INDIRECT("NOTA["&amp;PAJAK[#Headers]&amp;"]"),PAJAK[[#This Row],[//]]-2))</f>
        <v/>
      </c>
      <c r="K5" s="176">
        <f ca="1">IF(PAJAK[[#This Row],[//]]="","",SUMIF(NOTA[ID_H],PAJAK[[#This Row],[ID]],NOTA[JUMLAH]))</f>
        <v>28000000</v>
      </c>
      <c r="L5" s="176">
        <f ca="1">IF(PAJAK[[#This Row],[//]]="","",SUMIF(NOTA[ID_H],PAJAK[[#This Row],[ID]],NOTA[DISC]))</f>
        <v>2800000</v>
      </c>
      <c r="M5" s="176">
        <f ca="1">PAJAK[[#This Row],[SUB TOTAL]]-PAJAK[[#This Row],[DISKON]]</f>
        <v>25200000</v>
      </c>
      <c r="N5" s="176">
        <f ca="1">IF(PAJAK[[#This Row],[//]]="","",INDEX(INDIRECT("NOTA["&amp;PAJAK[#Headers]&amp;"]"),PAJAK[[#This Row],[//]]-2+PAJAK[[#This Row],[QB]]-1))</f>
        <v>0</v>
      </c>
      <c r="O5" s="176">
        <f ca="1">(PAJAK[[#This Row],[SUB T-DISC]]-PAJAK[[#This Row],[DISC DLL]])/111%</f>
        <v>22702702.702702701</v>
      </c>
      <c r="P5" s="176">
        <f ca="1">PAJAK[[#This Row],[DPP]]*PAJAK[[#This Row],[PPN]]</f>
        <v>2497297.297297297</v>
      </c>
      <c r="Q5" s="176">
        <f ca="1">PAJAK[[#This Row],[DPP]]+PAJAK[[#This Row],[PPN 11%]]</f>
        <v>25200000</v>
      </c>
      <c r="R5" s="43" t="str">
        <f ca="1">IF(ISNUMBER(PAJAK[[#This Row],[//]]),PPN,"")</f>
        <v>11%</v>
      </c>
    </row>
    <row r="6" spans="1:18" x14ac:dyDescent="0.25">
      <c r="A6" s="44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41</v>
      </c>
      <c r="B6" s="153">
        <f ca="1">HYPERLINK("[NOTA_.XLSX]NOTA!c"&amp;PAJAK[[#This Row],[//]],IF(PAJAK[[#This Row],[//]]="","",INDEX(INDIRECT("NOTA["&amp;PAJAK[#Headers]&amp;"]"),PAJAK[[#This Row],[//]]-2)))</f>
        <v>10</v>
      </c>
      <c r="C6" s="44" t="str">
        <f ca="1">IF(PAJAK[[#This Row],[//]]="","",INDEX(INDIRECT("NOTA["&amp;PAJAK[#Headers]&amp;"]"),PAJAK[[#This Row],[//]]-2))</f>
        <v>KUN_0604_506-2</v>
      </c>
      <c r="D6" s="44">
        <f ca="1">MATCH(PAJAK[[#This Row],[ID]],[4]!Table1[ID],0)</f>
        <v>26</v>
      </c>
      <c r="E6" s="152">
        <f ca="1">IF(PAJAK[[#This Row],[ID]]="","",COUNTIF(NOTA[ID_H],PAJAK[[#This Row],[ID]]))</f>
        <v>2</v>
      </c>
      <c r="F6" s="40" t="str">
        <f ca="1">IF(PAJAK[[#This Row],[//]]="","",INDEX(CONV[2],MATCH(INDEX(INDIRECT("NOTA["&amp;PAJAK[#Headers]&amp;"]"),PAJAK[[#This Row],[//]]-2),CONV[1],0),0))</f>
        <v>LIE ARMAND</v>
      </c>
      <c r="G6" s="42">
        <f ca="1">IF(PAJAK[[#This Row],[//]]="","",INDEX(NOTA[TGL_H],PAJAK[[#This Row],[//]]-2))</f>
        <v>45022</v>
      </c>
      <c r="H6" s="42">
        <f ca="1">IF(PAJAK[[#This Row],[//]]="","",INDEX(INDIRECT("NOTA["&amp;PAJAK[#Headers]&amp;"]"),PAJAK[[#This Row],[//]]-2))</f>
        <v>45020</v>
      </c>
      <c r="I6" s="41" t="str">
        <f ca="1">IF(PAJAK[[#This Row],[//]]="","",INDEX(INDIRECT("NOTA["&amp;PAJAK[#Headers]&amp;"]"),PAJAK[[#This Row],[//]]-2))</f>
        <v>005506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76">
        <f ca="1">IF(PAJAK[[#This Row],[//]]="","",SUMIF(NOTA[ID_H],PAJAK[[#This Row],[ID]],NOTA[JUMLAH]))</f>
        <v>5235500</v>
      </c>
      <c r="L6" s="176">
        <f ca="1">IF(PAJAK[[#This Row],[//]]="","",SUMIF(NOTA[ID_H],PAJAK[[#This Row],[ID]],NOTA[DISC]))</f>
        <v>0</v>
      </c>
      <c r="M6" s="176">
        <f ca="1">PAJAK[[#This Row],[SUB TOTAL]]-PAJAK[[#This Row],[DISKON]]</f>
        <v>5235500</v>
      </c>
      <c r="N6" s="176">
        <f ca="1">IF(PAJAK[[#This Row],[//]]="","",INDEX(INDIRECT("NOTA["&amp;PAJAK[#Headers]&amp;"]"),PAJAK[[#This Row],[//]]-2+PAJAK[[#This Row],[QB]]-1))</f>
        <v>0</v>
      </c>
      <c r="O6" s="176">
        <f ca="1">(PAJAK[[#This Row],[SUB T-DISC]]-PAJAK[[#This Row],[DISC DLL]])/111%</f>
        <v>4716666.666666666</v>
      </c>
      <c r="P6" s="176">
        <f ca="1">PAJAK[[#This Row],[DPP]]*PAJAK[[#This Row],[PPN]]</f>
        <v>518833.33333333326</v>
      </c>
      <c r="Q6" s="176">
        <f ca="1">PAJAK[[#This Row],[DPP]]+PAJAK[[#This Row],[PPN 11%]]</f>
        <v>5235499.9999999991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44</v>
      </c>
      <c r="B7" s="153">
        <f ca="1">HYPERLINK("[NOTA_.XLSX]NOTA!c"&amp;PAJAK[[#This Row],[//]],IF(PAJAK[[#This Row],[//]]="","",INDEX(INDIRECT("NOTA["&amp;PAJAK[#Headers]&amp;"]"),PAJAK[[#This Row],[//]]-2)))</f>
        <v>11</v>
      </c>
      <c r="C7" s="44" t="str">
        <f ca="1">IF(PAJAK[[#This Row],[//]]="","",INDEX(INDIRECT("NOTA["&amp;PAJAK[#Headers]&amp;"]"),PAJAK[[#This Row],[//]]-2))</f>
        <v>KEN_0504_230-7</v>
      </c>
      <c r="D7" s="44">
        <f ca="1">MATCH(PAJAK[[#This Row],[ID]],[4]!Table1[ID],0)</f>
        <v>5</v>
      </c>
      <c r="E7" s="152">
        <f ca="1">IF(PAJAK[[#This Row],[ID]]="","",COUNTIF(NOTA[ID_H],PAJAK[[#This Row],[ID]]))</f>
        <v>7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45021</v>
      </c>
      <c r="H7" s="42">
        <f ca="1">IF(PAJAK[[#This Row],[//]]="","",INDEX(INDIRECT("NOTA["&amp;PAJAK[#Headers]&amp;"]"),PAJAK[[#This Row],[//]]-2))</f>
        <v>45019</v>
      </c>
      <c r="I7" s="41" t="str">
        <f ca="1">IF(PAJAK[[#This Row],[//]]="","",INDEX(INDIRECT("NOTA["&amp;PAJAK[#Headers]&amp;"]"),PAJAK[[#This Row],[//]]-2))</f>
        <v>23040230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40908</v>
      </c>
      <c r="K7" s="176">
        <f ca="1">IF(PAJAK[[#This Row],[//]]="","",SUMIF(NOTA[ID_H],PAJAK[[#This Row],[ID]],NOTA[JUMLAH]))</f>
        <v>31602400</v>
      </c>
      <c r="L7" s="176">
        <f ca="1">IF(PAJAK[[#This Row],[//]]="","",SUMIF(NOTA[ID_H],PAJAK[[#This Row],[ID]],NOTA[DISC]))</f>
        <v>5372408</v>
      </c>
      <c r="M7" s="176">
        <f ca="1">PAJAK[[#This Row],[SUB TOTAL]]-PAJAK[[#This Row],[DISKON]]</f>
        <v>26229992</v>
      </c>
      <c r="N7" s="176">
        <f ca="1">IF(PAJAK[[#This Row],[//]]="","",INDEX(INDIRECT("NOTA["&amp;PAJAK[#Headers]&amp;"]"),PAJAK[[#This Row],[//]]-2+PAJAK[[#This Row],[QB]]-1))</f>
        <v>0</v>
      </c>
      <c r="O7" s="176">
        <f ca="1">(PAJAK[[#This Row],[SUB T-DISC]]-PAJAK[[#This Row],[DISC DLL]])/111%</f>
        <v>23630623.423423421</v>
      </c>
      <c r="P7" s="176">
        <f ca="1">PAJAK[[#This Row],[DPP]]*PAJAK[[#This Row],[PPN]]</f>
        <v>2599368.5765765761</v>
      </c>
      <c r="Q7" s="176">
        <f ca="1">PAJAK[[#This Row],[DPP]]+PAJAK[[#This Row],[PPN 11%]]</f>
        <v>26229991.999999996</v>
      </c>
      <c r="R7" s="43" t="str">
        <f ca="1">IF(ISNUMBER(PAJAK[[#This Row],[//]]),PPN,"")</f>
        <v>11%</v>
      </c>
    </row>
    <row r="8" spans="1:18" x14ac:dyDescent="0.25">
      <c r="A8" s="40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52</v>
      </c>
      <c r="B8" s="40">
        <f ca="1">HYPERLINK("[NOTA_.XLSX]NOTA!c"&amp;PAJAK[[#This Row],[//]],IF(PAJAK[[#This Row],[//]]="","",INDEX(INDIRECT("NOTA["&amp;PAJAK[#Headers]&amp;"]"),PAJAK[[#This Row],[//]]-2)))</f>
        <v>12</v>
      </c>
      <c r="C8" s="40" t="str">
        <f ca="1">IF(PAJAK[[#This Row],[//]]="","",INDEX(INDIRECT("NOTA["&amp;PAJAK[#Headers]&amp;"]"),PAJAK[[#This Row],[//]]-2))</f>
        <v>KEN_0504_242-5</v>
      </c>
      <c r="D8" s="40">
        <f ca="1">MATCH(PAJAK[[#This Row],[ID]],[4]!Table1[ID],0)</f>
        <v>6</v>
      </c>
      <c r="E8" s="41">
        <f ca="1">IF(PAJAK[[#This Row],[ID]]="","",COUNTIF(NOTA[ID_H],PAJAK[[#This Row],[ID]]))</f>
        <v>5</v>
      </c>
      <c r="F8" s="40" t="str">
        <f ca="1">IF(PAJAK[[#This Row],[//]]="","",INDEX(CONV[2],MATCH(INDEX(INDIRECT("NOTA["&amp;PAJAK[#Headers]&amp;"]"),PAJAK[[#This Row],[//]]-2),CONV[1],0),0))</f>
        <v>PT KENKO SINAR INDONESIA</v>
      </c>
      <c r="G8" s="42">
        <f ca="1">IF(PAJAK[[#This Row],[//]]="","",INDEX(NOTA[TGL_H],PAJAK[[#This Row],[//]]-2))</f>
        <v>45021</v>
      </c>
      <c r="H8" s="42">
        <f ca="1">IF(PAJAK[[#This Row],[//]]="","",INDEX(INDIRECT("NOTA["&amp;PAJAK[#Headers]&amp;"]"),PAJAK[[#This Row],[//]]-2))</f>
        <v>45019</v>
      </c>
      <c r="I8" s="41" t="str">
        <f ca="1">IF(PAJAK[[#This Row],[//]]="","",INDEX(INDIRECT("NOTA["&amp;PAJAK[#Headers]&amp;"]"),PAJAK[[#This Row],[//]]-2))</f>
        <v>23040242</v>
      </c>
      <c r="J8" s="40" t="str">
        <f ca="1">IF(OR(PAJAK[[#This Row],[//]]="",INDEX(INDIRECT("NOTA["&amp;PAJAK[#Headers]&amp;"]"),PAJAK[[#This Row],[//]]-2)=""),"",INDEX(INDIRECT("NOTA["&amp;PAJAK[#Headers]&amp;"]"),PAJAK[[#This Row],[//]]-2))</f>
        <v>SA 40921</v>
      </c>
      <c r="K8" s="176">
        <f ca="1">IF(PAJAK[[#This Row],[//]]="","",SUMIF(NOTA[ID_H],PAJAK[[#This Row],[ID]],NOTA[JUMLAH]))</f>
        <v>14166000</v>
      </c>
      <c r="L8" s="176">
        <f ca="1">IF(PAJAK[[#This Row],[//]]="","",SUMIF(NOTA[ID_H],PAJAK[[#This Row],[ID]],NOTA[DISC]))</f>
        <v>2408220</v>
      </c>
      <c r="M8" s="176">
        <f ca="1">PAJAK[[#This Row],[SUB TOTAL]]-PAJAK[[#This Row],[DISKON]]</f>
        <v>11757780</v>
      </c>
      <c r="N8" s="176">
        <f ca="1">IF(PAJAK[[#This Row],[//]]="","",INDEX(INDIRECT("NOTA["&amp;PAJAK[#Headers]&amp;"]"),PAJAK[[#This Row],[//]]-2+PAJAK[[#This Row],[QB]]-1))</f>
        <v>0</v>
      </c>
      <c r="O8" s="176">
        <f ca="1">(PAJAK[[#This Row],[SUB T-DISC]]-PAJAK[[#This Row],[DISC DLL]])/111%</f>
        <v>10592594.594594594</v>
      </c>
      <c r="P8" s="176">
        <f ca="1">PAJAK[[#This Row],[DPP]]*PAJAK[[#This Row],[PPN]]</f>
        <v>1165185.4054054054</v>
      </c>
      <c r="Q8" s="176">
        <f ca="1">PAJAK[[#This Row],[DPP]]+PAJAK[[#This Row],[PPN 11%]]</f>
        <v>11757780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58</v>
      </c>
      <c r="B9" s="153">
        <f ca="1">HYPERLINK("[NOTA_.XLSX]NOTA!c"&amp;PAJAK[[#This Row],[//]],IF(PAJAK[[#This Row],[//]]="","",INDEX(INDIRECT("NOTA["&amp;PAJAK[#Headers]&amp;"]"),PAJAK[[#This Row],[//]]-2)))</f>
        <v>13</v>
      </c>
      <c r="C9" s="44" t="str">
        <f ca="1">IF(PAJAK[[#This Row],[//]]="","",INDEX(INDIRECT("NOTA["&amp;PAJAK[#Headers]&amp;"]"),PAJAK[[#This Row],[//]]-2))</f>
        <v>KEN_0604_306-10</v>
      </c>
      <c r="D9" s="44">
        <f ca="1">MATCH(PAJAK[[#This Row],[ID]],[4]!Table1[ID],0)</f>
        <v>8</v>
      </c>
      <c r="E9" s="152">
        <f ca="1">IF(PAJAK[[#This Row],[ID]]="","",COUNTIF(NOTA[ID_H],PAJAK[[#This Row],[ID]]))</f>
        <v>10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45022</v>
      </c>
      <c r="H9" s="42">
        <f ca="1">IF(PAJAK[[#This Row],[//]]="","",INDEX(INDIRECT("NOTA["&amp;PAJAK[#Headers]&amp;"]"),PAJAK[[#This Row],[//]]-2))</f>
        <v>45020</v>
      </c>
      <c r="I9" s="41" t="str">
        <f ca="1">IF(PAJAK[[#This Row],[//]]="","",INDEX(INDIRECT("NOTA["&amp;PAJAK[#Headers]&amp;"]"),PAJAK[[#This Row],[//]]-2))</f>
        <v>23040306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40938</v>
      </c>
      <c r="K9" s="176">
        <f ca="1">IF(PAJAK[[#This Row],[//]]="","",SUMIF(NOTA[ID_H],PAJAK[[#This Row],[ID]],NOTA[JUMLAH]))</f>
        <v>39745200</v>
      </c>
      <c r="L9" s="176">
        <f ca="1">IF(PAJAK[[#This Row],[//]]="","",SUMIF(NOTA[ID_H],PAJAK[[#This Row],[ID]],NOTA[DISC]))</f>
        <v>6756684</v>
      </c>
      <c r="M9" s="176">
        <f ca="1">PAJAK[[#This Row],[SUB TOTAL]]-PAJAK[[#This Row],[DISKON]]</f>
        <v>32988516</v>
      </c>
      <c r="N9" s="176">
        <f ca="1">IF(PAJAK[[#This Row],[//]]="","",INDEX(INDIRECT("NOTA["&amp;PAJAK[#Headers]&amp;"]"),PAJAK[[#This Row],[//]]-2+PAJAK[[#This Row],[QB]]-1))</f>
        <v>0</v>
      </c>
      <c r="O9" s="176">
        <f ca="1">(PAJAK[[#This Row],[SUB T-DISC]]-PAJAK[[#This Row],[DISC DLL]])/111%</f>
        <v>29719383.783783782</v>
      </c>
      <c r="P9" s="176">
        <f ca="1">PAJAK[[#This Row],[DPP]]*PAJAK[[#This Row],[PPN]]</f>
        <v>3269132.2162162159</v>
      </c>
      <c r="Q9" s="176">
        <f ca="1">PAJAK[[#This Row],[DPP]]+PAJAK[[#This Row],[PPN 11%]]</f>
        <v>32988516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69</v>
      </c>
      <c r="B10" s="153">
        <f ca="1">HYPERLINK("[NOTA_.XLSX]NOTA!c"&amp;PAJAK[[#This Row],[//]],IF(PAJAK[[#This Row],[//]]="","",INDEX(INDIRECT("NOTA["&amp;PAJAK[#Headers]&amp;"]"),PAJAK[[#This Row],[//]]-2)))</f>
        <v>14</v>
      </c>
      <c r="C10" s="44" t="str">
        <f ca="1">IF(PAJAK[[#This Row],[//]]="","",INDEX(INDIRECT("NOTA["&amp;PAJAK[#Headers]&amp;"]"),PAJAK[[#This Row],[//]]-2))</f>
        <v>KEN_0604_289-4</v>
      </c>
      <c r="D10" s="44">
        <f ca="1">MATCH(PAJAK[[#This Row],[ID]],[4]!Table1[ID],0)</f>
        <v>7</v>
      </c>
      <c r="E10" s="152">
        <f ca="1">IF(PAJAK[[#This Row],[ID]]="","",COUNTIF(NOTA[ID_H],PAJAK[[#This Row],[ID]]))</f>
        <v>4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45022</v>
      </c>
      <c r="H10" s="42">
        <f ca="1">IF(PAJAK[[#This Row],[//]]="","",INDEX(INDIRECT("NOTA["&amp;PAJAK[#Headers]&amp;"]"),PAJAK[[#This Row],[//]]-2))</f>
        <v>45020</v>
      </c>
      <c r="I10" s="41" t="str">
        <f ca="1">IF(PAJAK[[#This Row],[//]]="","",INDEX(INDIRECT("NOTA["&amp;PAJAK[#Headers]&amp;"]"),PAJAK[[#This Row],[//]]-2))</f>
        <v>23040289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40942</v>
      </c>
      <c r="K10" s="176">
        <f ca="1">IF(PAJAK[[#This Row],[//]]="","",SUMIF(NOTA[ID_H],PAJAK[[#This Row],[ID]],NOTA[JUMLAH]))</f>
        <v>7140000</v>
      </c>
      <c r="L10" s="176">
        <f ca="1">IF(PAJAK[[#This Row],[//]]="","",SUMIF(NOTA[ID_H],PAJAK[[#This Row],[ID]],NOTA[DISC]))</f>
        <v>1213800</v>
      </c>
      <c r="M10" s="176">
        <f ca="1">PAJAK[[#This Row],[SUB TOTAL]]-PAJAK[[#This Row],[DISKON]]</f>
        <v>5926200</v>
      </c>
      <c r="N10" s="176">
        <f ca="1">IF(PAJAK[[#This Row],[//]]="","",INDEX(INDIRECT("NOTA["&amp;PAJAK[#Headers]&amp;"]"),PAJAK[[#This Row],[//]]-2+PAJAK[[#This Row],[QB]]-1))</f>
        <v>0</v>
      </c>
      <c r="O10" s="176">
        <f ca="1">(PAJAK[[#This Row],[SUB T-DISC]]-PAJAK[[#This Row],[DISC DLL]])/111%</f>
        <v>5338918.9189189188</v>
      </c>
      <c r="P10" s="176">
        <f ca="1">PAJAK[[#This Row],[DPP]]*PAJAK[[#This Row],[PPN]]</f>
        <v>587281.08108108107</v>
      </c>
      <c r="Q10" s="176">
        <f ca="1">PAJAK[[#This Row],[DPP]]+PAJAK[[#This Row],[PPN 11%]]</f>
        <v>5926200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74</v>
      </c>
      <c r="B11" s="153">
        <f ca="1">HYPERLINK("[NOTA_.XLSX]NOTA!c"&amp;PAJAK[[#This Row],[//]],IF(PAJAK[[#This Row],[//]]="","",INDEX(INDIRECT("NOTA["&amp;PAJAK[#Headers]&amp;"]"),PAJAK[[#This Row],[//]]-2)))</f>
        <v>15</v>
      </c>
      <c r="C11" s="44" t="str">
        <f ca="1">IF(PAJAK[[#This Row],[//]]="","",INDEX(INDIRECT("NOTA["&amp;PAJAK[#Headers]&amp;"]"),PAJAK[[#This Row],[//]]-2))</f>
        <v>KEN_0604_384-2</v>
      </c>
      <c r="D11" s="44">
        <f ca="1">MATCH(PAJAK[[#This Row],[ID]],[4]!Table1[ID],0)</f>
        <v>9</v>
      </c>
      <c r="E11" s="152">
        <f ca="1">IF(PAJAK[[#This Row],[ID]]="","",COUNTIF(NOTA[ID_H],PAJAK[[#This Row],[ID]]))</f>
        <v>2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45022</v>
      </c>
      <c r="H11" s="42">
        <f ca="1">IF(PAJAK[[#This Row],[//]]="","",INDEX(INDIRECT("NOTA["&amp;PAJAK[#Headers]&amp;"]"),PAJAK[[#This Row],[//]]-2))</f>
        <v>45021</v>
      </c>
      <c r="I11" s="41" t="str">
        <f ca="1">IF(PAJAK[[#This Row],[//]]="","",INDEX(INDIRECT("NOTA["&amp;PAJAK[#Headers]&amp;"]"),PAJAK[[#This Row],[//]]-2))</f>
        <v>23040384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40955</v>
      </c>
      <c r="K11" s="176">
        <f ca="1">IF(PAJAK[[#This Row],[//]]="","",SUMIF(NOTA[ID_H],PAJAK[[#This Row],[ID]],NOTA[JUMLAH]))</f>
        <v>14942400</v>
      </c>
      <c r="L11" s="176">
        <f ca="1">IF(PAJAK[[#This Row],[//]]="","",SUMIF(NOTA[ID_H],PAJAK[[#This Row],[ID]],NOTA[DISC]))</f>
        <v>2540208</v>
      </c>
      <c r="M11" s="176">
        <f ca="1">PAJAK[[#This Row],[SUB TOTAL]]-PAJAK[[#This Row],[DISKON]]</f>
        <v>12402192</v>
      </c>
      <c r="N11" s="176">
        <f ca="1">IF(PAJAK[[#This Row],[//]]="","",INDEX(INDIRECT("NOTA["&amp;PAJAK[#Headers]&amp;"]"),PAJAK[[#This Row],[//]]-2+PAJAK[[#This Row],[QB]]-1))</f>
        <v>0</v>
      </c>
      <c r="O11" s="176">
        <f ca="1">(PAJAK[[#This Row],[SUB T-DISC]]-PAJAK[[#This Row],[DISC DLL]])/111%</f>
        <v>11173145.945945945</v>
      </c>
      <c r="P11" s="176">
        <f ca="1">PAJAK[[#This Row],[DPP]]*PAJAK[[#This Row],[PPN]]</f>
        <v>1229046.054054054</v>
      </c>
      <c r="Q11" s="176">
        <f ca="1">PAJAK[[#This Row],[DPP]]+PAJAK[[#This Row],[PPN 11%]]</f>
        <v>12402191.999999998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77</v>
      </c>
      <c r="B12" s="153">
        <f ca="1">HYPERLINK("[NOTA_.XLSX]NOTA!c"&amp;PAJAK[[#This Row],[//]],IF(PAJAK[[#This Row],[//]]="","",INDEX(INDIRECT("NOTA["&amp;PAJAK[#Headers]&amp;"]"),PAJAK[[#This Row],[//]]-2)))</f>
        <v>16</v>
      </c>
      <c r="C12" s="44" t="str">
        <f ca="1">IF(PAJAK[[#This Row],[//]]="","",INDEX(INDIRECT("NOTA["&amp;PAJAK[#Headers]&amp;"]"),PAJAK[[#This Row],[//]]-2))</f>
        <v>KEN_0604_401-2</v>
      </c>
      <c r="D12" s="44">
        <f ca="1">MATCH(PAJAK[[#This Row],[ID]],[4]!Table1[ID],0)</f>
        <v>10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45022</v>
      </c>
      <c r="H12" s="42">
        <f ca="1">IF(PAJAK[[#This Row],[//]]="","",INDEX(INDIRECT("NOTA["&amp;PAJAK[#Headers]&amp;"]"),PAJAK[[#This Row],[//]]-2))</f>
        <v>45021</v>
      </c>
      <c r="I12" s="41" t="str">
        <f ca="1">IF(PAJAK[[#This Row],[//]]="","",INDEX(INDIRECT("NOTA["&amp;PAJAK[#Headers]&amp;"]"),PAJAK[[#This Row],[//]]-2))</f>
        <v>23040401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40971</v>
      </c>
      <c r="K12" s="176">
        <f ca="1">IF(PAJAK[[#This Row],[//]]="","",SUMIF(NOTA[ID_H],PAJAK[[#This Row],[ID]],NOTA[JUMLAH]))</f>
        <v>7374000</v>
      </c>
      <c r="L12" s="176">
        <f ca="1">IF(PAJAK[[#This Row],[//]]="","",SUMIF(NOTA[ID_H],PAJAK[[#This Row],[ID]],NOTA[DISC]))</f>
        <v>1253580</v>
      </c>
      <c r="M12" s="176">
        <f ca="1">PAJAK[[#This Row],[SUB TOTAL]]-PAJAK[[#This Row],[DISKON]]</f>
        <v>6120420</v>
      </c>
      <c r="N12" s="176">
        <f ca="1">IF(PAJAK[[#This Row],[//]]="","",INDEX(INDIRECT("NOTA["&amp;PAJAK[#Headers]&amp;"]"),PAJAK[[#This Row],[//]]-2+PAJAK[[#This Row],[QB]]-1))</f>
        <v>0</v>
      </c>
      <c r="O12" s="176">
        <f ca="1">(PAJAK[[#This Row],[SUB T-DISC]]-PAJAK[[#This Row],[DISC DLL]])/111%</f>
        <v>5513891.8918918911</v>
      </c>
      <c r="P12" s="176">
        <f ca="1">PAJAK[[#This Row],[DPP]]*PAJAK[[#This Row],[PPN]]</f>
        <v>606528.10810810805</v>
      </c>
      <c r="Q12" s="176">
        <f ca="1">PAJAK[[#This Row],[DPP]]+PAJAK[[#This Row],[PPN 11%]]</f>
        <v>6120419.9999999991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119</v>
      </c>
      <c r="B13" s="153">
        <f ca="1">HYPERLINK("[NOTA_.XLSX]NOTA!c"&amp;PAJAK[[#This Row],[//]],IF(PAJAK[[#This Row],[//]]="","",INDEX(INDIRECT("NOTA["&amp;PAJAK[#Headers]&amp;"]"),PAJAK[[#This Row],[//]]-2)))</f>
        <v>31</v>
      </c>
      <c r="C13" s="44" t="str">
        <f ca="1">IF(PAJAK[[#This Row],[//]]="","",INDEX(INDIRECT("NOTA["&amp;PAJAK[#Headers]&amp;"]"),PAJAK[[#This Row],[//]]-2))</f>
        <v>KEN_0804_493-2</v>
      </c>
      <c r="D13" s="44">
        <f ca="1">MATCH(PAJAK[[#This Row],[ID]],[4]!Table1[ID],0)</f>
        <v>11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45024</v>
      </c>
      <c r="H13" s="42">
        <f ca="1">IF(PAJAK[[#This Row],[//]]="","",INDEX(INDIRECT("NOTA["&amp;PAJAK[#Headers]&amp;"]"),PAJAK[[#This Row],[//]]-2))</f>
        <v>45022</v>
      </c>
      <c r="I13" s="41" t="str">
        <f ca="1">IF(PAJAK[[#This Row],[//]]="","",INDEX(INDIRECT("NOTA["&amp;PAJAK[#Headers]&amp;"]"),PAJAK[[#This Row],[//]]-2))</f>
        <v>23040493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70982</v>
      </c>
      <c r="K13" s="176">
        <f ca="1">IF(PAJAK[[#This Row],[//]]="","",SUMIF(NOTA[ID_H],PAJAK[[#This Row],[ID]],NOTA[JUMLAH]))</f>
        <v>3600000</v>
      </c>
      <c r="L13" s="176">
        <f ca="1">IF(PAJAK[[#This Row],[//]]="","",SUMIF(NOTA[ID_H],PAJAK[[#This Row],[ID]],NOTA[DISC]))</f>
        <v>612000</v>
      </c>
      <c r="M13" s="176">
        <f ca="1">PAJAK[[#This Row],[SUB TOTAL]]-PAJAK[[#This Row],[DISKON]]</f>
        <v>2988000</v>
      </c>
      <c r="N13" s="176">
        <f ca="1">IF(PAJAK[[#This Row],[//]]="","",INDEX(INDIRECT("NOTA["&amp;PAJAK[#Headers]&amp;"]"),PAJAK[[#This Row],[//]]-2+PAJAK[[#This Row],[QB]]-1))</f>
        <v>0</v>
      </c>
      <c r="O13" s="176">
        <f ca="1">(PAJAK[[#This Row],[SUB T-DISC]]-PAJAK[[#This Row],[DISC DLL]])/111%</f>
        <v>2691891.8918918916</v>
      </c>
      <c r="P13" s="176">
        <f ca="1">PAJAK[[#This Row],[DPP]]*PAJAK[[#This Row],[PPN]]</f>
        <v>296108.10810810811</v>
      </c>
      <c r="Q13" s="176">
        <f ca="1">PAJAK[[#This Row],[DPP]]+PAJAK[[#This Row],[PPN 11%]]</f>
        <v>2987999.9999999995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122</v>
      </c>
      <c r="B14" s="153">
        <f ca="1">HYPERLINK("[NOTA_.XLSX]NOTA!c"&amp;PAJAK[[#This Row],[//]],IF(PAJAK[[#This Row],[//]]="","",INDEX(INDIRECT("NOTA["&amp;PAJAK[#Headers]&amp;"]"),PAJAK[[#This Row],[//]]-2)))</f>
        <v>32</v>
      </c>
      <c r="C14" s="44" t="str">
        <f ca="1">IF(PAJAK[[#This Row],[//]]="","",INDEX(INDIRECT("NOTA["&amp;PAJAK[#Headers]&amp;"]"),PAJAK[[#This Row],[//]]-2))</f>
        <v>ATA_0804_621-3</v>
      </c>
      <c r="D14" s="44">
        <f ca="1">MATCH(PAJAK[[#This Row],[ID]],[4]!Table1[ID],0)</f>
        <v>30</v>
      </c>
      <c r="E14" s="152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ATALI MAKMUR</v>
      </c>
      <c r="G14" s="42">
        <f ca="1">IF(PAJAK[[#This Row],[//]]="","",INDEX(NOTA[TGL_H],PAJAK[[#This Row],[//]]-2))</f>
        <v>45024</v>
      </c>
      <c r="H14" s="42">
        <f ca="1">IF(PAJAK[[#This Row],[//]]="","",INDEX(INDIRECT("NOTA["&amp;PAJAK[#Headers]&amp;"]"),PAJAK[[#This Row],[//]]-2))</f>
        <v>45019</v>
      </c>
      <c r="I14" s="41" t="str">
        <f ca="1">IF(PAJAK[[#This Row],[//]]="","",INDEX(INDIRECT("NOTA["&amp;PAJAK[#Headers]&amp;"]"),PAJAK[[#This Row],[//]]-2))</f>
        <v>SA230405621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176">
        <f ca="1">IF(PAJAK[[#This Row],[//]]="","",SUMIF(NOTA[ID_H],PAJAK[[#This Row],[ID]],NOTA[JUMLAH]))</f>
        <v>87528000</v>
      </c>
      <c r="L14" s="176">
        <f ca="1">IF(PAJAK[[#This Row],[//]]="","",SUMIF(NOTA[ID_H],PAJAK[[#This Row],[ID]],NOTA[DISC]))</f>
        <v>17067960</v>
      </c>
      <c r="M14" s="176">
        <f ca="1">PAJAK[[#This Row],[SUB TOTAL]]-PAJAK[[#This Row],[DISKON]]</f>
        <v>70460040</v>
      </c>
      <c r="N14" s="176">
        <f ca="1">IF(PAJAK[[#This Row],[//]]="","",INDEX(INDIRECT("NOTA["&amp;PAJAK[#Headers]&amp;"]"),PAJAK[[#This Row],[//]]-2+PAJAK[[#This Row],[QB]]-1))</f>
        <v>0</v>
      </c>
      <c r="O14" s="176">
        <f ca="1">(PAJAK[[#This Row],[SUB T-DISC]]-PAJAK[[#This Row],[DISC DLL]])/111%</f>
        <v>63477513.513513505</v>
      </c>
      <c r="P14" s="176">
        <f ca="1">PAJAK[[#This Row],[DPP]]*PAJAK[[#This Row],[PPN]]</f>
        <v>6982526.4864864852</v>
      </c>
      <c r="Q14" s="176">
        <f ca="1">PAJAK[[#This Row],[DPP]]+PAJAK[[#This Row],[PPN 11%]]</f>
        <v>70460039.999999985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126</v>
      </c>
      <c r="B15" s="153">
        <f ca="1">HYPERLINK("[NOTA_.XLSX]NOTA!c"&amp;PAJAK[[#This Row],[//]],IF(PAJAK[[#This Row],[//]]="","",INDEX(INDIRECT("NOTA["&amp;PAJAK[#Headers]&amp;"]"),PAJAK[[#This Row],[//]]-2)))</f>
        <v>33</v>
      </c>
      <c r="C15" s="44" t="str">
        <f ca="1">IF(PAJAK[[#This Row],[//]]="","",INDEX(INDIRECT("NOTA["&amp;PAJAK[#Headers]&amp;"]"),PAJAK[[#This Row],[//]]-2))</f>
        <v>ATA_0804_588-3</v>
      </c>
      <c r="D15" s="44">
        <f ca="1">MATCH(PAJAK[[#This Row],[ID]],[4]!Table1[ID],0)</f>
        <v>29</v>
      </c>
      <c r="E15" s="152">
        <f ca="1">IF(PAJAK[[#This Row],[ID]]="","",COUNTIF(NOTA[ID_H],PAJAK[[#This Row],[ID]]))</f>
        <v>3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45024</v>
      </c>
      <c r="H15" s="42">
        <f ca="1">IF(PAJAK[[#This Row],[//]]="","",INDEX(INDIRECT("NOTA["&amp;PAJAK[#Headers]&amp;"]"),PAJAK[[#This Row],[//]]-2))</f>
        <v>45019</v>
      </c>
      <c r="I15" s="41" t="str">
        <f ca="1">IF(PAJAK[[#This Row],[//]]="","",INDEX(INDIRECT("NOTA["&amp;PAJAK[#Headers]&amp;"]"),PAJAK[[#This Row],[//]]-2))</f>
        <v>SA230405588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76">
        <f ca="1">IF(PAJAK[[#This Row],[//]]="","",SUMIF(NOTA[ID_H],PAJAK[[#This Row],[ID]],NOTA[JUMLAH]))</f>
        <v>12667200</v>
      </c>
      <c r="L15" s="176">
        <f ca="1">IF(PAJAK[[#This Row],[//]]="","",SUMIF(NOTA[ID_H],PAJAK[[#This Row],[ID]],NOTA[DISC]))</f>
        <v>2399796</v>
      </c>
      <c r="M15" s="176">
        <f ca="1">PAJAK[[#This Row],[SUB TOTAL]]-PAJAK[[#This Row],[DISKON]]</f>
        <v>10267404</v>
      </c>
      <c r="N15" s="176">
        <f ca="1">IF(PAJAK[[#This Row],[//]]="","",INDEX(INDIRECT("NOTA["&amp;PAJAK[#Headers]&amp;"]"),PAJAK[[#This Row],[//]]-2+PAJAK[[#This Row],[QB]]-1))</f>
        <v>0</v>
      </c>
      <c r="O15" s="176">
        <f ca="1">(PAJAK[[#This Row],[SUB T-DISC]]-PAJAK[[#This Row],[DISC DLL]])/111%</f>
        <v>9249913.5135135129</v>
      </c>
      <c r="P15" s="176">
        <f ca="1">PAJAK[[#This Row],[DPP]]*PAJAK[[#This Row],[PPN]]</f>
        <v>1017490.4864864864</v>
      </c>
      <c r="Q15" s="176">
        <f ca="1">PAJAK[[#This Row],[DPP]]+PAJAK[[#This Row],[PPN 11%]]</f>
        <v>10267404</v>
      </c>
      <c r="R15" s="43" t="str">
        <f ca="1">IF(ISNUMBER(PAJAK[[#This Row],[//]]),PPN,"")</f>
        <v>11%</v>
      </c>
    </row>
    <row r="16" spans="1:18" x14ac:dyDescent="0.25">
      <c r="A16" s="40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130</v>
      </c>
      <c r="B16" s="40">
        <f ca="1">HYPERLINK("[NOTA_.XLSX]NOTA!c"&amp;PAJAK[[#This Row],[//]],IF(PAJAK[[#This Row],[//]]="","",INDEX(INDIRECT("NOTA["&amp;PAJAK[#Headers]&amp;"]"),PAJAK[[#This Row],[//]]-2)))</f>
        <v>34</v>
      </c>
      <c r="C16" s="40" t="str">
        <f ca="1">IF(PAJAK[[#This Row],[//]]="","",INDEX(INDIRECT("NOTA["&amp;PAJAK[#Headers]&amp;"]"),PAJAK[[#This Row],[//]]-2))</f>
        <v>ATA_0804_765-5</v>
      </c>
      <c r="D16" s="40">
        <f ca="1">MATCH(PAJAK[[#This Row],[ID]],[4]!Table1[ID],0)</f>
        <v>33</v>
      </c>
      <c r="E16" s="41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45024</v>
      </c>
      <c r="H16" s="42">
        <f ca="1">IF(PAJAK[[#This Row],[//]]="","",INDEX(INDIRECT("NOTA["&amp;PAJAK[#Headers]&amp;"]"),PAJAK[[#This Row],[//]]-2))</f>
        <v>45020</v>
      </c>
      <c r="I16" s="41" t="str">
        <f ca="1">IF(PAJAK[[#This Row],[//]]="","",INDEX(INDIRECT("NOTA["&amp;PAJAK[#Headers]&amp;"]"),PAJAK[[#This Row],[//]]-2))</f>
        <v>SA230405765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76">
        <f ca="1">IF(PAJAK[[#This Row],[//]]="","",SUMIF(NOTA[ID_H],PAJAK[[#This Row],[ID]],NOTA[JUMLAH]))</f>
        <v>22471200</v>
      </c>
      <c r="L16" s="176">
        <f ca="1">IF(PAJAK[[#This Row],[//]]="","",SUMIF(NOTA[ID_H],PAJAK[[#This Row],[ID]],NOTA[DISC]))</f>
        <v>3792015</v>
      </c>
      <c r="M16" s="176">
        <f ca="1">PAJAK[[#This Row],[SUB TOTAL]]-PAJAK[[#This Row],[DISKON]]</f>
        <v>18679185</v>
      </c>
      <c r="N16" s="176">
        <f ca="1">IF(PAJAK[[#This Row],[//]]="","",INDEX(INDIRECT("NOTA["&amp;PAJAK[#Headers]&amp;"]"),PAJAK[[#This Row],[//]]-2+PAJAK[[#This Row],[QB]]-1))</f>
        <v>0</v>
      </c>
      <c r="O16" s="176">
        <f ca="1">(PAJAK[[#This Row],[SUB T-DISC]]-PAJAK[[#This Row],[DISC DLL]])/111%</f>
        <v>16828094.594594594</v>
      </c>
      <c r="P16" s="176">
        <f ca="1">PAJAK[[#This Row],[DPP]]*PAJAK[[#This Row],[PPN]]</f>
        <v>1851090.4054054054</v>
      </c>
      <c r="Q16" s="176">
        <f ca="1">PAJAK[[#This Row],[DPP]]+PAJAK[[#This Row],[PPN 11%]]</f>
        <v>18679185</v>
      </c>
      <c r="R16" s="43" t="str">
        <f ca="1">IF(ISNUMBER(PAJAK[[#This Row],[//]]),PPN,"")</f>
        <v>11%</v>
      </c>
    </row>
    <row r="17" spans="1:18" x14ac:dyDescent="0.25">
      <c r="A17" s="40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136</v>
      </c>
      <c r="B17" s="40">
        <f ca="1">HYPERLINK("[NOTA_.XLSX]NOTA!c"&amp;PAJAK[[#This Row],[//]],IF(PAJAK[[#This Row],[//]]="","",INDEX(INDIRECT("NOTA["&amp;PAJAK[#Headers]&amp;"]"),PAJAK[[#This Row],[//]]-2)))</f>
        <v>35</v>
      </c>
      <c r="C17" s="40" t="str">
        <f ca="1">IF(PAJAK[[#This Row],[//]]="","",INDEX(INDIRECT("NOTA["&amp;PAJAK[#Headers]&amp;"]"),PAJAK[[#This Row],[//]]-2))</f>
        <v>ATA_0804_622-4</v>
      </c>
      <c r="D17" s="40">
        <f ca="1">MATCH(PAJAK[[#This Row],[ID]],[4]!Table1[ID],0)</f>
        <v>31</v>
      </c>
      <c r="E17" s="41">
        <f ca="1">IF(PAJAK[[#This Row],[ID]]="","",COUNTIF(NOTA[ID_H],PAJAK[[#This Row],[ID]]))</f>
        <v>4</v>
      </c>
      <c r="F17" s="40" t="str">
        <f ca="1">IF(PAJAK[[#This Row],[//]]="","",INDEX(CONV[2],MATCH(INDEX(INDIRECT("NOTA["&amp;PAJAK[#Headers]&amp;"]"),PAJAK[[#This Row],[//]]-2),CONV[1],0),0))</f>
        <v>PT ATALI MAKMUR</v>
      </c>
      <c r="G17" s="42">
        <f ca="1">IF(PAJAK[[#This Row],[//]]="","",INDEX(NOTA[TGL_H],PAJAK[[#This Row],[//]]-2))</f>
        <v>45024</v>
      </c>
      <c r="H17" s="42">
        <f ca="1">IF(PAJAK[[#This Row],[//]]="","",INDEX(INDIRECT("NOTA["&amp;PAJAK[#Headers]&amp;"]"),PAJAK[[#This Row],[//]]-2))</f>
        <v>45019</v>
      </c>
      <c r="I17" s="41" t="str">
        <f ca="1">IF(PAJAK[[#This Row],[//]]="","",INDEX(INDIRECT("NOTA["&amp;PAJAK[#Headers]&amp;"]"),PAJAK[[#This Row],[//]]-2))</f>
        <v>SA230405622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/>
      </c>
      <c r="K17" s="176">
        <f ca="1">IF(PAJAK[[#This Row],[//]]="","",SUMIF(NOTA[ID_H],PAJAK[[#This Row],[ID]],NOTA[JUMLAH]))</f>
        <v>46044000</v>
      </c>
      <c r="L17" s="176">
        <f ca="1">IF(PAJAK[[#This Row],[//]]="","",SUMIF(NOTA[ID_H],PAJAK[[#This Row],[ID]],NOTA[DISC]))</f>
        <v>8978580</v>
      </c>
      <c r="M17" s="176">
        <f ca="1">PAJAK[[#This Row],[SUB TOTAL]]-PAJAK[[#This Row],[DISKON]]</f>
        <v>37065420</v>
      </c>
      <c r="N17" s="176">
        <f ca="1">IF(PAJAK[[#This Row],[//]]="","",INDEX(INDIRECT("NOTA["&amp;PAJAK[#Headers]&amp;"]"),PAJAK[[#This Row],[//]]-2+PAJAK[[#This Row],[QB]]-1))</f>
        <v>0</v>
      </c>
      <c r="O17" s="176">
        <f ca="1">(PAJAK[[#This Row],[SUB T-DISC]]-PAJAK[[#This Row],[DISC DLL]])/111%</f>
        <v>33392270.270270266</v>
      </c>
      <c r="P17" s="176">
        <f ca="1">PAJAK[[#This Row],[DPP]]*PAJAK[[#This Row],[PPN]]</f>
        <v>3673149.7297297292</v>
      </c>
      <c r="Q17" s="176">
        <f ca="1">PAJAK[[#This Row],[DPP]]+PAJAK[[#This Row],[PPN 11%]]</f>
        <v>37065419.999999993</v>
      </c>
      <c r="R17" s="43" t="str">
        <f ca="1">IF(ISNUMBER(PAJAK[[#This Row],[//]]),PPN,"")</f>
        <v>11%</v>
      </c>
    </row>
    <row r="18" spans="1:18" x14ac:dyDescent="0.25">
      <c r="A18" s="40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141</v>
      </c>
      <c r="B18" s="40">
        <f ca="1">HYPERLINK("[NOTA_.XLSX]NOTA!c"&amp;PAJAK[[#This Row],[//]],IF(PAJAK[[#This Row],[//]]="","",INDEX(INDIRECT("NOTA["&amp;PAJAK[#Headers]&amp;"]"),PAJAK[[#This Row],[//]]-2)))</f>
        <v>36</v>
      </c>
      <c r="C18" s="40" t="str">
        <f ca="1">IF(PAJAK[[#This Row],[//]]="","",INDEX(INDIRECT("NOTA["&amp;PAJAK[#Headers]&amp;"]"),PAJAK[[#This Row],[//]]-2))</f>
        <v>ATA_0804_587-10</v>
      </c>
      <c r="D18" s="40">
        <f ca="1">MATCH(PAJAK[[#This Row],[ID]],[4]!Table1[ID],0)</f>
        <v>28</v>
      </c>
      <c r="E18" s="41">
        <f ca="1">IF(PAJAK[[#This Row],[ID]]="","",COUNTIF(NOTA[ID_H],PAJAK[[#This Row],[ID]]))</f>
        <v>10</v>
      </c>
      <c r="F18" s="40" t="str">
        <f ca="1">IF(PAJAK[[#This Row],[//]]="","",INDEX(CONV[2],MATCH(INDEX(INDIRECT("NOTA["&amp;PAJAK[#Headers]&amp;"]"),PAJAK[[#This Row],[//]]-2),CONV[1],0),0))</f>
        <v>PT ATALI MAKMUR</v>
      </c>
      <c r="G18" s="42">
        <f ca="1">IF(PAJAK[[#This Row],[//]]="","",INDEX(NOTA[TGL_H],PAJAK[[#This Row],[//]]-2))</f>
        <v>45024</v>
      </c>
      <c r="H18" s="42">
        <f ca="1">IF(PAJAK[[#This Row],[//]]="","",INDEX(INDIRECT("NOTA["&amp;PAJAK[#Headers]&amp;"]"),PAJAK[[#This Row],[//]]-2))</f>
        <v>45019</v>
      </c>
      <c r="I18" s="41" t="str">
        <f ca="1">IF(PAJAK[[#This Row],[//]]="","",INDEX(INDIRECT("NOTA["&amp;PAJAK[#Headers]&amp;"]"),PAJAK[[#This Row],[//]]-2))</f>
        <v>SA230405587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/>
      </c>
      <c r="K18" s="176">
        <f ca="1">IF(PAJAK[[#This Row],[//]]="","",SUMIF(NOTA[ID_H],PAJAK[[#This Row],[ID]],NOTA[JUMLAH]))</f>
        <v>14190200</v>
      </c>
      <c r="L18" s="176">
        <f ca="1">IF(PAJAK[[#This Row],[//]]="","",SUMIF(NOTA[ID_H],PAJAK[[#This Row],[ID]],NOTA[DISC]))</f>
        <v>2394596.25</v>
      </c>
      <c r="M18" s="176">
        <f ca="1">PAJAK[[#This Row],[SUB TOTAL]]-PAJAK[[#This Row],[DISKON]]</f>
        <v>11795603.75</v>
      </c>
      <c r="N18" s="176">
        <f ca="1">IF(PAJAK[[#This Row],[//]]="","",INDEX(INDIRECT("NOTA["&amp;PAJAK[#Headers]&amp;"]"),PAJAK[[#This Row],[//]]-2+PAJAK[[#This Row],[QB]]-1))</f>
        <v>0</v>
      </c>
      <c r="O18" s="176">
        <f ca="1">(PAJAK[[#This Row],[SUB T-DISC]]-PAJAK[[#This Row],[DISC DLL]])/111%</f>
        <v>10626670.045045044</v>
      </c>
      <c r="P18" s="176">
        <f ca="1">PAJAK[[#This Row],[DPP]]*PAJAK[[#This Row],[PPN]]</f>
        <v>1168933.7049549548</v>
      </c>
      <c r="Q18" s="176">
        <f ca="1">PAJAK[[#This Row],[DPP]]+PAJAK[[#This Row],[PPN 11%]]</f>
        <v>11795603.75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152</v>
      </c>
      <c r="B19" s="153">
        <f ca="1">HYPERLINK("[NOTA_.XLSX]NOTA!c"&amp;PAJAK[[#This Row],[//]],IF(PAJAK[[#This Row],[//]]="","",INDEX(INDIRECT("NOTA["&amp;PAJAK[#Headers]&amp;"]"),PAJAK[[#This Row],[//]]-2)))</f>
        <v>37</v>
      </c>
      <c r="C19" s="44" t="str">
        <f ca="1">IF(PAJAK[[#This Row],[//]]="","",INDEX(INDIRECT("NOTA["&amp;PAJAK[#Headers]&amp;"]"),PAJAK[[#This Row],[//]]-2))</f>
        <v>ATA_0804_623-3</v>
      </c>
      <c r="D19" s="44">
        <f ca="1">MATCH(PAJAK[[#This Row],[ID]],[4]!Table1[ID],0)</f>
        <v>32</v>
      </c>
      <c r="E19" s="152">
        <f ca="1">IF(PAJAK[[#This Row],[ID]]="","",COUNTIF(NOTA[ID_H],PAJAK[[#This Row],[ID]]))</f>
        <v>3</v>
      </c>
      <c r="F19" s="40" t="str">
        <f ca="1">IF(PAJAK[[#This Row],[//]]="","",INDEX(CONV[2],MATCH(INDEX(INDIRECT("NOTA["&amp;PAJAK[#Headers]&amp;"]"),PAJAK[[#This Row],[//]]-2),CONV[1],0),0))</f>
        <v>PT ATALI MAKMUR</v>
      </c>
      <c r="G19" s="42">
        <f ca="1">IF(PAJAK[[#This Row],[//]]="","",INDEX(NOTA[TGL_H],PAJAK[[#This Row],[//]]-2))</f>
        <v>45024</v>
      </c>
      <c r="H19" s="42">
        <f ca="1">IF(PAJAK[[#This Row],[//]]="","",INDEX(INDIRECT("NOTA["&amp;PAJAK[#Headers]&amp;"]"),PAJAK[[#This Row],[//]]-2))</f>
        <v>45019</v>
      </c>
      <c r="I19" s="41" t="str">
        <f ca="1">IF(PAJAK[[#This Row],[//]]="","",INDEX(INDIRECT("NOTA["&amp;PAJAK[#Headers]&amp;"]"),PAJAK[[#This Row],[//]]-2))</f>
        <v>SA230405623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/>
      </c>
      <c r="K19" s="176">
        <f ca="1">IF(PAJAK[[#This Row],[//]]="","",SUMIF(NOTA[ID_H],PAJAK[[#This Row],[ID]],NOTA[JUMLAH]))</f>
        <v>39600000</v>
      </c>
      <c r="L19" s="176">
        <f ca="1">IF(PAJAK[[#This Row],[//]]="","",SUMIF(NOTA[ID_H],PAJAK[[#This Row],[ID]],NOTA[DISC]))</f>
        <v>7589700</v>
      </c>
      <c r="M19" s="176">
        <f ca="1">PAJAK[[#This Row],[SUB TOTAL]]-PAJAK[[#This Row],[DISKON]]</f>
        <v>32010300</v>
      </c>
      <c r="N19" s="176">
        <f ca="1">IF(PAJAK[[#This Row],[//]]="","",INDEX(INDIRECT("NOTA["&amp;PAJAK[#Headers]&amp;"]"),PAJAK[[#This Row],[//]]-2+PAJAK[[#This Row],[QB]]-1))</f>
        <v>1316700</v>
      </c>
      <c r="O19" s="176">
        <f ca="1">(PAJAK[[#This Row],[SUB T-DISC]]-PAJAK[[#This Row],[DISC DLL]])/111%</f>
        <v>27651891.891891889</v>
      </c>
      <c r="P19" s="176">
        <f ca="1">PAJAK[[#This Row],[DPP]]*PAJAK[[#This Row],[PPN]]</f>
        <v>3041708.1081081079</v>
      </c>
      <c r="Q19" s="176">
        <f ca="1">PAJAK[[#This Row],[DPP]]+PAJAK[[#This Row],[PPN 11%]]</f>
        <v>30693599.999999996</v>
      </c>
      <c r="R19" s="43" t="str">
        <f ca="1">IF(ISNUMBER(PAJAK[[#This Row],[//]]),PPN,"")</f>
        <v>11%</v>
      </c>
    </row>
    <row r="20" spans="1:18" x14ac:dyDescent="0.25">
      <c r="A20" s="4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159</v>
      </c>
      <c r="B20" s="154">
        <f ca="1">HYPERLINK("[NOTA_.XLSX]NOTA!c"&amp;PAJAK[[#This Row],[//]],IF(PAJAK[[#This Row],[//]]="","",INDEX(INDIRECT("NOTA["&amp;PAJAK[#Headers]&amp;"]"),PAJAK[[#This Row],[//]]-2)))</f>
        <v>39</v>
      </c>
      <c r="C20" s="40" t="str">
        <f ca="1">IF(PAJAK[[#This Row],[//]]="","",INDEX(INDIRECT("NOTA["&amp;PAJAK[#Headers]&amp;"]"),PAJAK[[#This Row],[//]]-2))</f>
        <v>KEN_1104_697-4</v>
      </c>
      <c r="D20" s="40">
        <f ca="1">MATCH(PAJAK[[#This Row],[ID]],[4]!Table1[ID],0)</f>
        <v>14</v>
      </c>
      <c r="E20" s="41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45027</v>
      </c>
      <c r="H20" s="42">
        <f ca="1">IF(PAJAK[[#This Row],[//]]="","",INDEX(INDIRECT("NOTA["&amp;PAJAK[#Headers]&amp;"]"),PAJAK[[#This Row],[//]]-2))</f>
        <v>45026</v>
      </c>
      <c r="I20" s="41" t="str">
        <f ca="1">IF(PAJAK[[#This Row],[//]]="","",INDEX(INDIRECT("NOTA["&amp;PAJAK[#Headers]&amp;"]"),PAJAK[[#This Row],[//]]-2))</f>
        <v>23040697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41022</v>
      </c>
      <c r="K20" s="176">
        <f ca="1">IF(PAJAK[[#This Row],[//]]="","",SUMIF(NOTA[ID_H],PAJAK[[#This Row],[ID]],NOTA[JUMLAH]))</f>
        <v>12588000</v>
      </c>
      <c r="L20" s="176">
        <f ca="1">IF(PAJAK[[#This Row],[//]]="","",SUMIF(NOTA[ID_H],PAJAK[[#This Row],[ID]],NOTA[DISC]))</f>
        <v>2139960</v>
      </c>
      <c r="M20" s="176">
        <f ca="1">PAJAK[[#This Row],[SUB TOTAL]]-PAJAK[[#This Row],[DISKON]]</f>
        <v>10448040</v>
      </c>
      <c r="N20" s="176">
        <f ca="1">IF(PAJAK[[#This Row],[//]]="","",INDEX(INDIRECT("NOTA["&amp;PAJAK[#Headers]&amp;"]"),PAJAK[[#This Row],[//]]-2+PAJAK[[#This Row],[QB]]-1))</f>
        <v>0</v>
      </c>
      <c r="O20" s="176">
        <f ca="1">(PAJAK[[#This Row],[SUB T-DISC]]-PAJAK[[#This Row],[DISC DLL]])/111%</f>
        <v>9412648.6486486476</v>
      </c>
      <c r="P20" s="176">
        <f ca="1">PAJAK[[#This Row],[DPP]]*PAJAK[[#This Row],[PPN]]</f>
        <v>1035391.3513513512</v>
      </c>
      <c r="Q20" s="176">
        <f ca="1">PAJAK[[#This Row],[DPP]]+PAJAK[[#This Row],[PPN 11%]]</f>
        <v>10448039.999999998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164</v>
      </c>
      <c r="B21" s="153">
        <f ca="1">HYPERLINK("[NOTA_.XLSX]NOTA!c"&amp;PAJAK[[#This Row],[//]],IF(PAJAK[[#This Row],[//]]="","",INDEX(INDIRECT("NOTA["&amp;PAJAK[#Headers]&amp;"]"),PAJAK[[#This Row],[//]]-2)))</f>
        <v>40</v>
      </c>
      <c r="C21" s="44" t="str">
        <f ca="1">IF(PAJAK[[#This Row],[//]]="","",INDEX(INDIRECT("NOTA["&amp;PAJAK[#Headers]&amp;"]"),PAJAK[[#This Row],[//]]-2))</f>
        <v>KEN_1104_597-7</v>
      </c>
      <c r="D21" s="44">
        <f ca="1">MATCH(PAJAK[[#This Row],[ID]],[4]!Table1[ID],0)</f>
        <v>13</v>
      </c>
      <c r="E21" s="152">
        <f ca="1">IF(PAJAK[[#This Row],[ID]]="","",COUNTIF(NOTA[ID_H],PAJAK[[#This Row],[ID]]))</f>
        <v>7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45027</v>
      </c>
      <c r="H21" s="42">
        <f ca="1">IF(PAJAK[[#This Row],[//]]="","",INDEX(INDIRECT("NOTA["&amp;PAJAK[#Headers]&amp;"]"),PAJAK[[#This Row],[//]]-2))</f>
        <v>45024</v>
      </c>
      <c r="I21" s="41" t="str">
        <f ca="1">IF(PAJAK[[#This Row],[//]]="","",INDEX(INDIRECT("NOTA["&amp;PAJAK[#Headers]&amp;"]"),PAJAK[[#This Row],[//]]-2))</f>
        <v>23040597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41017</v>
      </c>
      <c r="K21" s="176">
        <f ca="1">IF(PAJAK[[#This Row],[//]]="","",SUMIF(NOTA[ID_H],PAJAK[[#This Row],[ID]],NOTA[JUMLAH]))</f>
        <v>12777200</v>
      </c>
      <c r="L21" s="176">
        <f ca="1">IF(PAJAK[[#This Row],[//]]="","",SUMIF(NOTA[ID_H],PAJAK[[#This Row],[ID]],NOTA[DISC]))</f>
        <v>2172124</v>
      </c>
      <c r="M21" s="176">
        <f ca="1">PAJAK[[#This Row],[SUB TOTAL]]-PAJAK[[#This Row],[DISKON]]</f>
        <v>10605076</v>
      </c>
      <c r="N21" s="176">
        <f ca="1">IF(PAJAK[[#This Row],[//]]="","",INDEX(INDIRECT("NOTA["&amp;PAJAK[#Headers]&amp;"]"),PAJAK[[#This Row],[//]]-2+PAJAK[[#This Row],[QB]]-1))</f>
        <v>0</v>
      </c>
      <c r="O21" s="176">
        <f ca="1">(PAJAK[[#This Row],[SUB T-DISC]]-PAJAK[[#This Row],[DISC DLL]])/111%</f>
        <v>9554122.5225225221</v>
      </c>
      <c r="P21" s="176">
        <f ca="1">PAJAK[[#This Row],[DPP]]*PAJAK[[#This Row],[PPN]]</f>
        <v>1050953.4774774774</v>
      </c>
      <c r="Q21" s="176">
        <f ca="1">PAJAK[[#This Row],[DPP]]+PAJAK[[#This Row],[PPN 11%]]</f>
        <v>10605076</v>
      </c>
      <c r="R21" s="43" t="str">
        <f ca="1">IF(ISNUMBER(PAJAK[[#This Row],[//]]),PPN,"")</f>
        <v>11%</v>
      </c>
    </row>
    <row r="22" spans="1:18" x14ac:dyDescent="0.25">
      <c r="A22" s="40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172</v>
      </c>
      <c r="B22" s="154">
        <f ca="1">HYPERLINK("[NOTA_.XLSX]NOTA!c"&amp;PAJAK[[#This Row],[//]],IF(PAJAK[[#This Row],[//]]="","",INDEX(INDIRECT("NOTA["&amp;PAJAK[#Headers]&amp;"]"),PAJAK[[#This Row],[//]]-2)))</f>
        <v>41</v>
      </c>
      <c r="C22" s="40" t="str">
        <f ca="1">IF(PAJAK[[#This Row],[//]]="","",INDEX(INDIRECT("NOTA["&amp;PAJAK[#Headers]&amp;"]"),PAJAK[[#This Row],[//]]-2))</f>
        <v>KEN_1104_576-8</v>
      </c>
      <c r="D22" s="40">
        <f ca="1">MATCH(PAJAK[[#This Row],[ID]],[4]!Table1[ID],0)</f>
        <v>12</v>
      </c>
      <c r="E22" s="41">
        <f ca="1">IF(PAJAK[[#This Row],[ID]]="","",COUNTIF(NOTA[ID_H],PAJAK[[#This Row],[ID]]))</f>
        <v>8</v>
      </c>
      <c r="F22" s="40" t="str">
        <f ca="1">IF(PAJAK[[#This Row],[//]]="","",INDEX(CONV[2],MATCH(INDEX(INDIRECT("NOTA["&amp;PAJAK[#Headers]&amp;"]"),PAJAK[[#This Row],[//]]-2),CONV[1],0),0))</f>
        <v>PT KENKO SINAR INDONESIA</v>
      </c>
      <c r="G22" s="42">
        <f ca="1">IF(PAJAK[[#This Row],[//]]="","",INDEX(NOTA[TGL_H],PAJAK[[#This Row],[//]]-2))</f>
        <v>45027</v>
      </c>
      <c r="H22" s="42">
        <f ca="1">IF(PAJAK[[#This Row],[//]]="","",INDEX(INDIRECT("NOTA["&amp;PAJAK[#Headers]&amp;"]"),PAJAK[[#This Row],[//]]-2))</f>
        <v>45024</v>
      </c>
      <c r="I22" s="41" t="str">
        <f ca="1">IF(PAJAK[[#This Row],[//]]="","",INDEX(INDIRECT("NOTA["&amp;PAJAK[#Headers]&amp;"]"),PAJAK[[#This Row],[//]]-2))</f>
        <v>23040576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>SA 40997</v>
      </c>
      <c r="K22" s="176">
        <f ca="1">IF(PAJAK[[#This Row],[//]]="","",SUMIF(NOTA[ID_H],PAJAK[[#This Row],[ID]],NOTA[JUMLAH]))</f>
        <v>43610400</v>
      </c>
      <c r="L22" s="176">
        <f ca="1">IF(PAJAK[[#This Row],[//]]="","",SUMIF(NOTA[ID_H],PAJAK[[#This Row],[ID]],NOTA[DISC]))</f>
        <v>7413768</v>
      </c>
      <c r="M22" s="176">
        <f ca="1">PAJAK[[#This Row],[SUB TOTAL]]-PAJAK[[#This Row],[DISKON]]</f>
        <v>36196632</v>
      </c>
      <c r="N22" s="176">
        <f ca="1">IF(PAJAK[[#This Row],[//]]="","",INDEX(INDIRECT("NOTA["&amp;PAJAK[#Headers]&amp;"]"),PAJAK[[#This Row],[//]]-2+PAJAK[[#This Row],[QB]]-1))</f>
        <v>0</v>
      </c>
      <c r="O22" s="176">
        <f ca="1">(PAJAK[[#This Row],[SUB T-DISC]]-PAJAK[[#This Row],[DISC DLL]])/111%</f>
        <v>32609578.378378376</v>
      </c>
      <c r="P22" s="176">
        <f ca="1">PAJAK[[#This Row],[DPP]]*PAJAK[[#This Row],[PPN]]</f>
        <v>3587053.6216216213</v>
      </c>
      <c r="Q22" s="176">
        <f ca="1">PAJAK[[#This Row],[DPP]]+PAJAK[[#This Row],[PPN 11%]]</f>
        <v>36196632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187</v>
      </c>
      <c r="B23" s="153">
        <f ca="1">HYPERLINK("[NOTA_.XLSX]NOTA!c"&amp;PAJAK[[#This Row],[//]],IF(PAJAK[[#This Row],[//]]="","",INDEX(INDIRECT("NOTA["&amp;PAJAK[#Headers]&amp;"]"),PAJAK[[#This Row],[//]]-2)))</f>
        <v>44</v>
      </c>
      <c r="C23" s="44" t="str">
        <f ca="1">IF(PAJAK[[#This Row],[//]]="","",INDEX(INDIRECT("NOTA["&amp;PAJAK[#Headers]&amp;"]"),PAJAK[[#This Row],[//]]-2))</f>
        <v>KEN_1204_797-2</v>
      </c>
      <c r="D23" s="44">
        <f ca="1">MATCH(PAJAK[[#This Row],[ID]],[4]!Table1[ID],0)</f>
        <v>16</v>
      </c>
      <c r="E23" s="152">
        <f ca="1">IF(PAJAK[[#This Row],[ID]]="","",COUNTIF(NOTA[ID_H],PAJAK[[#This Row],[ID]]))</f>
        <v>2</v>
      </c>
      <c r="F23" s="40" t="str">
        <f ca="1">IF(PAJAK[[#This Row],[//]]="","",INDEX(CONV[2],MATCH(INDEX(INDIRECT("NOTA["&amp;PAJAK[#Headers]&amp;"]"),PAJAK[[#This Row],[//]]-2),CONV[1],0),0))</f>
        <v>PT KENKO SINAR INDONESIA</v>
      </c>
      <c r="G23" s="42">
        <f ca="1">IF(PAJAK[[#This Row],[//]]="","",INDEX(NOTA[TGL_H],PAJAK[[#This Row],[//]]-2))</f>
        <v>45028</v>
      </c>
      <c r="H23" s="42">
        <f ca="1">IF(PAJAK[[#This Row],[//]]="","",INDEX(INDIRECT("NOTA["&amp;PAJAK[#Headers]&amp;"]"),PAJAK[[#This Row],[//]]-2))</f>
        <v>45027</v>
      </c>
      <c r="I23" s="41" t="str">
        <f ca="1">IF(PAJAK[[#This Row],[//]]="","",INDEX(INDIRECT("NOTA["&amp;PAJAK[#Headers]&amp;"]"),PAJAK[[#This Row],[//]]-2))</f>
        <v>23040797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>SA 41046</v>
      </c>
      <c r="K23" s="176">
        <f ca="1">IF(PAJAK[[#This Row],[//]]="","",SUMIF(NOTA[ID_H],PAJAK[[#This Row],[ID]],NOTA[JUMLAH]))</f>
        <v>5566000</v>
      </c>
      <c r="L23" s="176">
        <f ca="1">IF(PAJAK[[#This Row],[//]]="","",SUMIF(NOTA[ID_H],PAJAK[[#This Row],[ID]],NOTA[DISC]))</f>
        <v>946220</v>
      </c>
      <c r="M23" s="176">
        <f ca="1">PAJAK[[#This Row],[SUB TOTAL]]-PAJAK[[#This Row],[DISKON]]</f>
        <v>4619780</v>
      </c>
      <c r="N23" s="176">
        <f ca="1">IF(PAJAK[[#This Row],[//]]="","",INDEX(INDIRECT("NOTA["&amp;PAJAK[#Headers]&amp;"]"),PAJAK[[#This Row],[//]]-2+PAJAK[[#This Row],[QB]]-1))</f>
        <v>0</v>
      </c>
      <c r="O23" s="176">
        <f ca="1">(PAJAK[[#This Row],[SUB T-DISC]]-PAJAK[[#This Row],[DISC DLL]])/111%</f>
        <v>4161963.9639639636</v>
      </c>
      <c r="P23" s="176">
        <f ca="1">PAJAK[[#This Row],[DPP]]*PAJAK[[#This Row],[PPN]]</f>
        <v>457816.03603603598</v>
      </c>
      <c r="Q23" s="176">
        <f ca="1">PAJAK[[#This Row],[DPP]]+PAJAK[[#This Row],[PPN 11%]]</f>
        <v>4619780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190</v>
      </c>
      <c r="B24" s="153">
        <f ca="1">HYPERLINK("[NOTA_.XLSX]NOTA!c"&amp;PAJAK[[#This Row],[//]],IF(PAJAK[[#This Row],[//]]="","",INDEX(INDIRECT("NOTA["&amp;PAJAK[#Headers]&amp;"]"),PAJAK[[#This Row],[//]]-2)))</f>
        <v>45</v>
      </c>
      <c r="C24" s="44" t="str">
        <f ca="1">IF(PAJAK[[#This Row],[//]]="","",INDEX(INDIRECT("NOTA["&amp;PAJAK[#Headers]&amp;"]"),PAJAK[[#This Row],[//]]-2))</f>
        <v>KEN_1204_745-3</v>
      </c>
      <c r="D24" s="44">
        <f ca="1">MATCH(PAJAK[[#This Row],[ID]],[4]!Table1[ID],0)</f>
        <v>15</v>
      </c>
      <c r="E24" s="152">
        <f ca="1">IF(PAJAK[[#This Row],[ID]]="","",COUNTIF(NOTA[ID_H],PAJAK[[#This Row],[ID]]))</f>
        <v>3</v>
      </c>
      <c r="F24" s="40" t="str">
        <f ca="1">IF(PAJAK[[#This Row],[//]]="","",INDEX(CONV[2],MATCH(INDEX(INDIRECT("NOTA["&amp;PAJAK[#Headers]&amp;"]"),PAJAK[[#This Row],[//]]-2),CONV[1],0),0))</f>
        <v>PT KENKO SINAR INDONESIA</v>
      </c>
      <c r="G24" s="42">
        <f ca="1">IF(PAJAK[[#This Row],[//]]="","",INDEX(NOTA[TGL_H],PAJAK[[#This Row],[//]]-2))</f>
        <v>45028</v>
      </c>
      <c r="H24" s="42">
        <f ca="1">IF(PAJAK[[#This Row],[//]]="","",INDEX(INDIRECT("NOTA["&amp;PAJAK[#Headers]&amp;"]"),PAJAK[[#This Row],[//]]-2))</f>
        <v>45027</v>
      </c>
      <c r="I24" s="41" t="str">
        <f ca="1">IF(PAJAK[[#This Row],[//]]="","",INDEX(INDIRECT("NOTA["&amp;PAJAK[#Headers]&amp;"]"),PAJAK[[#This Row],[//]]-2))</f>
        <v>23040745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>SA 41043</v>
      </c>
      <c r="K24" s="176">
        <f ca="1">IF(PAJAK[[#This Row],[//]]="","",SUMIF(NOTA[ID_H],PAJAK[[#This Row],[ID]],NOTA[JUMLAH]))</f>
        <v>26287200</v>
      </c>
      <c r="L24" s="176">
        <f ca="1">IF(PAJAK[[#This Row],[//]]="","",SUMIF(NOTA[ID_H],PAJAK[[#This Row],[ID]],NOTA[DISC]))</f>
        <v>4468824</v>
      </c>
      <c r="M24" s="176">
        <f ca="1">PAJAK[[#This Row],[SUB TOTAL]]-PAJAK[[#This Row],[DISKON]]</f>
        <v>21818376</v>
      </c>
      <c r="N24" s="176">
        <f ca="1">IF(PAJAK[[#This Row],[//]]="","",INDEX(INDIRECT("NOTA["&amp;PAJAK[#Headers]&amp;"]"),PAJAK[[#This Row],[//]]-2+PAJAK[[#This Row],[QB]]-1))</f>
        <v>0</v>
      </c>
      <c r="O24" s="176">
        <f ca="1">(PAJAK[[#This Row],[SUB T-DISC]]-PAJAK[[#This Row],[DISC DLL]])/111%</f>
        <v>19656194.594594594</v>
      </c>
      <c r="P24" s="176">
        <f ca="1">PAJAK[[#This Row],[DPP]]*PAJAK[[#This Row],[PPN]]</f>
        <v>2162181.4054054054</v>
      </c>
      <c r="Q24" s="176">
        <f ca="1">PAJAK[[#This Row],[DPP]]+PAJAK[[#This Row],[PPN 11%]]</f>
        <v>21818376</v>
      </c>
      <c r="R24" s="43" t="str">
        <f ca="1">IF(ISNUMBER(PAJAK[[#This Row],[//]]),PPN,"")</f>
        <v>11%</v>
      </c>
    </row>
    <row r="25" spans="1:18" x14ac:dyDescent="0.25">
      <c r="A25" s="44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194</v>
      </c>
      <c r="B25" s="153">
        <f ca="1">HYPERLINK("[NOTA_.XLSX]NOTA!c"&amp;PAJAK[[#This Row],[//]],IF(PAJAK[[#This Row],[//]]="","",INDEX(INDIRECT("NOTA["&amp;PAJAK[#Headers]&amp;"]"),PAJAK[[#This Row],[//]]-2)))</f>
        <v>46</v>
      </c>
      <c r="C25" s="44" t="str">
        <f ca="1">IF(PAJAK[[#This Row],[//]]="","",INDEX(INDIRECT("NOTA["&amp;PAJAK[#Headers]&amp;"]"),PAJAK[[#This Row],[//]]-2))</f>
        <v>ATA_1204_969-5</v>
      </c>
      <c r="D25" s="44">
        <f ca="1">MATCH(PAJAK[[#This Row],[ID]],[4]!Table1[ID],0)</f>
        <v>39</v>
      </c>
      <c r="E25" s="152">
        <f ca="1">IF(PAJAK[[#This Row],[ID]]="","",COUNTIF(NOTA[ID_H],PAJAK[[#This Row],[ID]]))</f>
        <v>5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45028</v>
      </c>
      <c r="H25" s="42">
        <f ca="1">IF(PAJAK[[#This Row],[//]]="","",INDEX(INDIRECT("NOTA["&amp;PAJAK[#Headers]&amp;"]"),PAJAK[[#This Row],[//]]-2))</f>
        <v>45022</v>
      </c>
      <c r="I25" s="41" t="str">
        <f ca="1">IF(PAJAK[[#This Row],[//]]="","",INDEX(INDIRECT("NOTA["&amp;PAJAK[#Headers]&amp;"]"),PAJAK[[#This Row],[//]]-2))</f>
        <v>SA230405969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76">
        <f ca="1">IF(PAJAK[[#This Row],[//]]="","",SUMIF(NOTA[ID_H],PAJAK[[#This Row],[ID]],NOTA[JUMLAH]))</f>
        <v>82917600</v>
      </c>
      <c r="L25" s="176">
        <f ca="1">IF(PAJAK[[#This Row],[//]]="","",SUMIF(NOTA[ID_H],PAJAK[[#This Row],[ID]],NOTA[DISC]))</f>
        <v>16131825</v>
      </c>
      <c r="M25" s="176">
        <f ca="1">PAJAK[[#This Row],[SUB TOTAL]]-PAJAK[[#This Row],[DISKON]]</f>
        <v>66785775</v>
      </c>
      <c r="N25" s="176">
        <f ca="1">IF(PAJAK[[#This Row],[//]]="","",INDEX(INDIRECT("NOTA["&amp;PAJAK[#Headers]&amp;"]"),PAJAK[[#This Row],[//]]-2+PAJAK[[#This Row],[QB]]-1))</f>
        <v>0</v>
      </c>
      <c r="O25" s="176">
        <f ca="1">(PAJAK[[#This Row],[SUB T-DISC]]-PAJAK[[#This Row],[DISC DLL]])/111%</f>
        <v>60167364.864864856</v>
      </c>
      <c r="P25" s="176">
        <f ca="1">PAJAK[[#This Row],[DPP]]*PAJAK[[#This Row],[PPN]]</f>
        <v>6618410.1351351338</v>
      </c>
      <c r="Q25" s="176">
        <f ca="1">PAJAK[[#This Row],[DPP]]+PAJAK[[#This Row],[PPN 11%]]</f>
        <v>66785774.999999993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200</v>
      </c>
      <c r="B26" s="153">
        <f ca="1">HYPERLINK("[NOTA_.XLSX]NOTA!c"&amp;PAJAK[[#This Row],[//]],IF(PAJAK[[#This Row],[//]]="","",INDEX(INDIRECT("NOTA["&amp;PAJAK[#Headers]&amp;"]"),PAJAK[[#This Row],[//]]-2)))</f>
        <v>47</v>
      </c>
      <c r="C26" s="44" t="str">
        <f ca="1">IF(PAJAK[[#This Row],[//]]="","",INDEX(INDIRECT("NOTA["&amp;PAJAK[#Headers]&amp;"]"),PAJAK[[#This Row],[//]]-2))</f>
        <v>ATA_1204_889-1</v>
      </c>
      <c r="D26" s="44">
        <f ca="1">MATCH(PAJAK[[#This Row],[ID]],[4]!Table1[ID],0)</f>
        <v>35</v>
      </c>
      <c r="E26" s="152">
        <f ca="1">IF(PAJAK[[#This Row],[ID]]="","",COUNTIF(NOTA[ID_H],PAJAK[[#This Row],[ID]]))</f>
        <v>1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45028</v>
      </c>
      <c r="H26" s="42">
        <f ca="1">IF(PAJAK[[#This Row],[//]]="","",INDEX(INDIRECT("NOTA["&amp;PAJAK[#Headers]&amp;"]"),PAJAK[[#This Row],[//]]-2))</f>
        <v>45021</v>
      </c>
      <c r="I26" s="41" t="str">
        <f ca="1">IF(PAJAK[[#This Row],[//]]="","",INDEX(INDIRECT("NOTA["&amp;PAJAK[#Headers]&amp;"]"),PAJAK[[#This Row],[//]]-2))</f>
        <v>SA230405889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76">
        <f ca="1">IF(PAJAK[[#This Row],[//]]="","",SUMIF(NOTA[ID_H],PAJAK[[#This Row],[ID]],NOTA[JUMLAH]))</f>
        <v>17136000</v>
      </c>
      <c r="L26" s="176">
        <f ca="1">IF(PAJAK[[#This Row],[//]]="","",SUMIF(NOTA[ID_H],PAJAK[[#This Row],[ID]],NOTA[DISC]))</f>
        <v>3341520</v>
      </c>
      <c r="M26" s="176">
        <f ca="1">PAJAK[[#This Row],[SUB TOTAL]]-PAJAK[[#This Row],[DISKON]]</f>
        <v>13794480</v>
      </c>
      <c r="N26" s="176">
        <f ca="1">IF(PAJAK[[#This Row],[//]]="","",INDEX(INDIRECT("NOTA["&amp;PAJAK[#Headers]&amp;"]"),PAJAK[[#This Row],[//]]-2+PAJAK[[#This Row],[QB]]-1))</f>
        <v>0</v>
      </c>
      <c r="O26" s="176">
        <f ca="1">(PAJAK[[#This Row],[SUB T-DISC]]-PAJAK[[#This Row],[DISC DLL]])/111%</f>
        <v>12427459.459459458</v>
      </c>
      <c r="P26" s="176">
        <f ca="1">PAJAK[[#This Row],[DPP]]*PAJAK[[#This Row],[PPN]]</f>
        <v>1367020.5405405404</v>
      </c>
      <c r="Q26" s="176">
        <f ca="1">PAJAK[[#This Row],[DPP]]+PAJAK[[#This Row],[PPN 11%]]</f>
        <v>13794479.999999998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202</v>
      </c>
      <c r="B27" s="154">
        <f ca="1">HYPERLINK("[NOTA_.XLSX]NOTA!c"&amp;PAJAK[[#This Row],[//]],IF(PAJAK[[#This Row],[//]]="","",INDEX(INDIRECT("NOTA["&amp;PAJAK[#Headers]&amp;"]"),PAJAK[[#This Row],[//]]-2)))</f>
        <v>48</v>
      </c>
      <c r="C27" s="40" t="str">
        <f ca="1">IF(PAJAK[[#This Row],[//]]="","",INDEX(INDIRECT("NOTA["&amp;PAJAK[#Headers]&amp;"]"),PAJAK[[#This Row],[//]]-2))</f>
        <v>ATA_1204_832-6</v>
      </c>
      <c r="D27" s="40">
        <f ca="1">MATCH(PAJAK[[#This Row],[ID]],[4]!Table1[ID],0)</f>
        <v>34</v>
      </c>
      <c r="E27" s="41">
        <f ca="1">IF(PAJAK[[#This Row],[ID]]="","",COUNTIF(NOTA[ID_H],PAJAK[[#This Row],[ID]]))</f>
        <v>6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45028</v>
      </c>
      <c r="H27" s="42">
        <f ca="1">IF(PAJAK[[#This Row],[//]]="","",INDEX(INDIRECT("NOTA["&amp;PAJAK[#Headers]&amp;"]"),PAJAK[[#This Row],[//]]-2))</f>
        <v>45021</v>
      </c>
      <c r="I27" s="41" t="str">
        <f ca="1">IF(PAJAK[[#This Row],[//]]="","",INDEX(INDIRECT("NOTA["&amp;PAJAK[#Headers]&amp;"]"),PAJAK[[#This Row],[//]]-2))</f>
        <v>SA230405832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76">
        <f ca="1">IF(PAJAK[[#This Row],[//]]="","",SUMIF(NOTA[ID_H],PAJAK[[#This Row],[ID]],NOTA[JUMLAH]))</f>
        <v>33242400</v>
      </c>
      <c r="L27" s="176">
        <f ca="1">IF(PAJAK[[#This Row],[//]]="","",SUMIF(NOTA[ID_H],PAJAK[[#This Row],[ID]],NOTA[DISC]))</f>
        <v>5783571</v>
      </c>
      <c r="M27" s="176">
        <f ca="1">PAJAK[[#This Row],[SUB TOTAL]]-PAJAK[[#This Row],[DISKON]]</f>
        <v>27458829</v>
      </c>
      <c r="N27" s="176">
        <f ca="1">IF(PAJAK[[#This Row],[//]]="","",INDEX(INDIRECT("NOTA["&amp;PAJAK[#Headers]&amp;"]"),PAJAK[[#This Row],[//]]-2+PAJAK[[#This Row],[QB]]-1))</f>
        <v>270864</v>
      </c>
      <c r="O27" s="176">
        <f ca="1">(PAJAK[[#This Row],[SUB T-DISC]]-PAJAK[[#This Row],[DISC DLL]])/111%</f>
        <v>24493662.162162159</v>
      </c>
      <c r="P27" s="176">
        <f ca="1">PAJAK[[#This Row],[DPP]]*PAJAK[[#This Row],[PPN]]</f>
        <v>2694302.8378378376</v>
      </c>
      <c r="Q27" s="176">
        <f ca="1">PAJAK[[#This Row],[DPP]]+PAJAK[[#This Row],[PPN 11%]]</f>
        <v>27187964.999999996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209</v>
      </c>
      <c r="B28" s="40">
        <f ca="1">HYPERLINK("[NOTA_.XLSX]NOTA!c"&amp;PAJAK[[#This Row],[//]],IF(PAJAK[[#This Row],[//]]="","",INDEX(INDIRECT("NOTA["&amp;PAJAK[#Headers]&amp;"]"),PAJAK[[#This Row],[//]]-2)))</f>
        <v>49</v>
      </c>
      <c r="C28" s="40" t="str">
        <f ca="1">IF(PAJAK[[#This Row],[//]]="","",INDEX(INDIRECT("NOTA["&amp;PAJAK[#Headers]&amp;"]"),PAJAK[[#This Row],[//]]-2))</f>
        <v>ATA_1204_968-11</v>
      </c>
      <c r="D28" s="40">
        <f ca="1">MATCH(PAJAK[[#This Row],[ID]],[4]!Table1[ID],0)</f>
        <v>38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45028</v>
      </c>
      <c r="H28" s="42">
        <f ca="1">IF(PAJAK[[#This Row],[//]]="","",INDEX(INDIRECT("NOTA["&amp;PAJAK[#Headers]&amp;"]"),PAJAK[[#This Row],[//]]-2))</f>
        <v>45022</v>
      </c>
      <c r="I28" s="41" t="str">
        <f ca="1">IF(PAJAK[[#This Row],[//]]="","",INDEX(INDIRECT("NOTA["&amp;PAJAK[#Headers]&amp;"]"),PAJAK[[#This Row],[//]]-2))</f>
        <v>SA230405968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76">
        <f ca="1">IF(PAJAK[[#This Row],[//]]="","",SUMIF(NOTA[ID_H],PAJAK[[#This Row],[ID]],NOTA[JUMLAH]))</f>
        <v>33148600</v>
      </c>
      <c r="L28" s="176">
        <f ca="1">IF(PAJAK[[#This Row],[//]]="","",SUMIF(NOTA[ID_H],PAJAK[[#This Row],[ID]],NOTA[DISC]))</f>
        <v>5593826.25</v>
      </c>
      <c r="M28" s="176">
        <f ca="1">PAJAK[[#This Row],[SUB TOTAL]]-PAJAK[[#This Row],[DISKON]]</f>
        <v>27554773.75</v>
      </c>
      <c r="N28" s="176">
        <f ca="1">IF(PAJAK[[#This Row],[//]]="","",INDEX(INDIRECT("NOTA["&amp;PAJAK[#Headers]&amp;"]"),PAJAK[[#This Row],[//]]-2+PAJAK[[#This Row],[QB]]-1))</f>
        <v>0</v>
      </c>
      <c r="O28" s="176">
        <f ca="1">(PAJAK[[#This Row],[SUB T-DISC]]-PAJAK[[#This Row],[DISC DLL]])/111%</f>
        <v>24824120.495495494</v>
      </c>
      <c r="P28" s="176">
        <f ca="1">PAJAK[[#This Row],[DPP]]*PAJAK[[#This Row],[PPN]]</f>
        <v>2730653.2545045046</v>
      </c>
      <c r="Q28" s="176">
        <f ca="1">PAJAK[[#This Row],[DPP]]+PAJAK[[#This Row],[PPN 11%]]</f>
        <v>27554773.75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221</v>
      </c>
      <c r="B29" s="40">
        <f ca="1">HYPERLINK("[NOTA_.XLSX]NOTA!c"&amp;PAJAK[[#This Row],[//]],IF(PAJAK[[#This Row],[//]]="","",INDEX(INDIRECT("NOTA["&amp;PAJAK[#Headers]&amp;"]"),PAJAK[[#This Row],[//]]-2)))</f>
        <v>50</v>
      </c>
      <c r="C29" s="40" t="str">
        <f ca="1">IF(PAJAK[[#This Row],[//]]="","",INDEX(INDIRECT("NOTA["&amp;PAJAK[#Headers]&amp;"]"),PAJAK[[#This Row],[//]]-2))</f>
        <v>ATA_1204_967-11</v>
      </c>
      <c r="D29" s="40">
        <f ca="1">MATCH(PAJAK[[#This Row],[ID]],[4]!Table1[ID],0)</f>
        <v>37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ATALI MAKMUR</v>
      </c>
      <c r="G29" s="42">
        <f ca="1">IF(PAJAK[[#This Row],[//]]="","",INDEX(NOTA[TGL_H],PAJAK[[#This Row],[//]]-2))</f>
        <v>45028</v>
      </c>
      <c r="H29" s="42">
        <f ca="1">IF(PAJAK[[#This Row],[//]]="","",INDEX(INDIRECT("NOTA["&amp;PAJAK[#Headers]&amp;"]"),PAJAK[[#This Row],[//]]-2))</f>
        <v>45022</v>
      </c>
      <c r="I29" s="41" t="str">
        <f ca="1">IF(PAJAK[[#This Row],[//]]="","",INDEX(INDIRECT("NOTA["&amp;PAJAK[#Headers]&amp;"]"),PAJAK[[#This Row],[//]]-2))</f>
        <v>SA230405967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76">
        <f ca="1">IF(PAJAK[[#This Row],[//]]="","",SUMIF(NOTA[ID_H],PAJAK[[#This Row],[ID]],NOTA[JUMLAH]))</f>
        <v>65331680</v>
      </c>
      <c r="L29" s="176">
        <f ca="1">IF(PAJAK[[#This Row],[//]]="","",SUMIF(NOTA[ID_H],PAJAK[[#This Row],[ID]],NOTA[DISC]))</f>
        <v>11024721</v>
      </c>
      <c r="M29" s="176">
        <f ca="1">PAJAK[[#This Row],[SUB TOTAL]]-PAJAK[[#This Row],[DISKON]]</f>
        <v>54306959</v>
      </c>
      <c r="N29" s="176">
        <f ca="1">IF(PAJAK[[#This Row],[//]]="","",INDEX(INDIRECT("NOTA["&amp;PAJAK[#Headers]&amp;"]"),PAJAK[[#This Row],[//]]-2+PAJAK[[#This Row],[QB]]-1))</f>
        <v>0</v>
      </c>
      <c r="O29" s="176">
        <f ca="1">(PAJAK[[#This Row],[SUB T-DISC]]-PAJAK[[#This Row],[DISC DLL]])/111%</f>
        <v>48925188.28828828</v>
      </c>
      <c r="P29" s="176">
        <f ca="1">PAJAK[[#This Row],[DPP]]*PAJAK[[#This Row],[PPN]]</f>
        <v>5381770.7117117113</v>
      </c>
      <c r="Q29" s="176">
        <f ca="1">PAJAK[[#This Row],[DPP]]+PAJAK[[#This Row],[PPN 11%]]</f>
        <v>54306958.999999993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233</v>
      </c>
      <c r="B30" s="153">
        <f ca="1">HYPERLINK("[NOTA_.XLSX]NOTA!c"&amp;PAJAK[[#This Row],[//]],IF(PAJAK[[#This Row],[//]]="","",INDEX(INDIRECT("NOTA["&amp;PAJAK[#Headers]&amp;"]"),PAJAK[[#This Row],[//]]-2)))</f>
        <v>51</v>
      </c>
      <c r="C30" s="44" t="str">
        <f ca="1">IF(PAJAK[[#This Row],[//]]="","",INDEX(INDIRECT("NOTA["&amp;PAJAK[#Headers]&amp;"]"),PAJAK[[#This Row],[//]]-2))</f>
        <v>ATA_1204_970-9</v>
      </c>
      <c r="D30" s="44">
        <f ca="1">MATCH(PAJAK[[#This Row],[ID]],[4]!Table1[ID],0)</f>
        <v>40</v>
      </c>
      <c r="E30" s="152">
        <f ca="1">IF(PAJAK[[#This Row],[ID]]="","",COUNTIF(NOTA[ID_H],PAJAK[[#This Row],[ID]]))</f>
        <v>9</v>
      </c>
      <c r="F30" s="40" t="str">
        <f ca="1">IF(PAJAK[[#This Row],[//]]="","",INDEX(CONV[2],MATCH(INDEX(INDIRECT("NOTA["&amp;PAJAK[#Headers]&amp;"]"),PAJAK[[#This Row],[//]]-2),CONV[1],0),0))</f>
        <v>PT ATALI MAKMUR</v>
      </c>
      <c r="G30" s="42">
        <f ca="1">IF(PAJAK[[#This Row],[//]]="","",INDEX(NOTA[TGL_H],PAJAK[[#This Row],[//]]-2))</f>
        <v>45028</v>
      </c>
      <c r="H30" s="42">
        <f ca="1">IF(PAJAK[[#This Row],[//]]="","",INDEX(INDIRECT("NOTA["&amp;PAJAK[#Headers]&amp;"]"),PAJAK[[#This Row],[//]]-2))</f>
        <v>45022</v>
      </c>
      <c r="I30" s="41" t="str">
        <f ca="1">IF(PAJAK[[#This Row],[//]]="","",INDEX(INDIRECT("NOTA["&amp;PAJAK[#Headers]&amp;"]"),PAJAK[[#This Row],[//]]-2))</f>
        <v>SA230405970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76">
        <f ca="1">IF(PAJAK[[#This Row],[//]]="","",SUMIF(NOTA[ID_H],PAJAK[[#This Row],[ID]],NOTA[JUMLAH]))</f>
        <v>23837400</v>
      </c>
      <c r="L30" s="176">
        <f ca="1">IF(PAJAK[[#This Row],[//]]="","",SUMIF(NOTA[ID_H],PAJAK[[#This Row],[ID]],NOTA[DISC]))</f>
        <v>4022561.25</v>
      </c>
      <c r="M30" s="176">
        <f ca="1">PAJAK[[#This Row],[SUB TOTAL]]-PAJAK[[#This Row],[DISKON]]</f>
        <v>19814838.75</v>
      </c>
      <c r="N30" s="176">
        <f ca="1">IF(PAJAK[[#This Row],[//]]="","",INDEX(INDIRECT("NOTA["&amp;PAJAK[#Headers]&amp;"]"),PAJAK[[#This Row],[//]]-2+PAJAK[[#This Row],[QB]]-1))</f>
        <v>790020</v>
      </c>
      <c r="O30" s="176">
        <f ca="1">(PAJAK[[#This Row],[SUB T-DISC]]-PAJAK[[#This Row],[DISC DLL]])/111%</f>
        <v>17139476.351351351</v>
      </c>
      <c r="P30" s="176">
        <f ca="1">PAJAK[[#This Row],[DPP]]*PAJAK[[#This Row],[PPN]]</f>
        <v>1885342.3986486485</v>
      </c>
      <c r="Q30" s="176">
        <f ca="1">PAJAK[[#This Row],[DPP]]+PAJAK[[#This Row],[PPN 11%]]</f>
        <v>19024818.75</v>
      </c>
      <c r="R30" s="43" t="str">
        <f ca="1">IF(ISNUMBER(PAJAK[[#This Row],[//]]),PPN,"")</f>
        <v>11%</v>
      </c>
    </row>
    <row r="31" spans="1:18" x14ac:dyDescent="0.25">
      <c r="A31" s="40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243</v>
      </c>
      <c r="B31" s="40">
        <f ca="1">HYPERLINK("[NOTA_.XLSX]NOTA!c"&amp;PAJAK[[#This Row],[//]],IF(PAJAK[[#This Row],[//]]="","",INDEX(INDIRECT("NOTA["&amp;PAJAK[#Headers]&amp;"]"),PAJAK[[#This Row],[//]]-2)))</f>
        <v>52</v>
      </c>
      <c r="C31" s="40" t="str">
        <f ca="1">IF(PAJAK[[#This Row],[//]]="","",INDEX(INDIRECT("NOTA["&amp;PAJAK[#Headers]&amp;"]"),PAJAK[[#This Row],[//]]-2))</f>
        <v>ATA_1204_063-3</v>
      </c>
      <c r="D31" s="40">
        <f ca="1">MATCH(PAJAK[[#This Row],[ID]],[4]!Table1[ID],0)</f>
        <v>43</v>
      </c>
      <c r="E31" s="41">
        <f ca="1">IF(PAJAK[[#This Row],[ID]]="","",COUNTIF(NOTA[ID_H],PAJAK[[#This Row],[ID]]))</f>
        <v>3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45028</v>
      </c>
      <c r="H31" s="42">
        <f ca="1">IF(PAJAK[[#This Row],[//]]="","",INDEX(INDIRECT("NOTA["&amp;PAJAK[#Headers]&amp;"]"),PAJAK[[#This Row],[//]]-2))</f>
        <v>45024</v>
      </c>
      <c r="I31" s="41" t="str">
        <f ca="1">IF(PAJAK[[#This Row],[//]]="","",INDEX(INDIRECT("NOTA["&amp;PAJAK[#Headers]&amp;"]"),PAJAK[[#This Row],[//]]-2))</f>
        <v>SA230406063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76">
        <f ca="1">IF(PAJAK[[#This Row],[//]]="","",SUMIF(NOTA[ID_H],PAJAK[[#This Row],[ID]],NOTA[JUMLAH]))</f>
        <v>99312000</v>
      </c>
      <c r="L31" s="176">
        <f ca="1">IF(PAJAK[[#This Row],[//]]="","",SUMIF(NOTA[ID_H],PAJAK[[#This Row],[ID]],NOTA[DISC]))</f>
        <v>19365840</v>
      </c>
      <c r="M31" s="176">
        <f ca="1">PAJAK[[#This Row],[SUB TOTAL]]-PAJAK[[#This Row],[DISKON]]</f>
        <v>79946160</v>
      </c>
      <c r="N31" s="176">
        <f ca="1">IF(PAJAK[[#This Row],[//]]="","",INDEX(INDIRECT("NOTA["&amp;PAJAK[#Headers]&amp;"]"),PAJAK[[#This Row],[//]]-2+PAJAK[[#This Row],[QB]]-1))</f>
        <v>0</v>
      </c>
      <c r="O31" s="176">
        <f ca="1">(PAJAK[[#This Row],[SUB T-DISC]]-PAJAK[[#This Row],[DISC DLL]])/111%</f>
        <v>72023567.567567557</v>
      </c>
      <c r="P31" s="176">
        <f ca="1">PAJAK[[#This Row],[DPP]]*PAJAK[[#This Row],[PPN]]</f>
        <v>7922592.4324324317</v>
      </c>
      <c r="Q31" s="176">
        <f ca="1">PAJAK[[#This Row],[DPP]]+PAJAK[[#This Row],[PPN 11%]]</f>
        <v>79946159.999999985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247</v>
      </c>
      <c r="B32" s="153">
        <f ca="1">HYPERLINK("[NOTA_.XLSX]NOTA!c"&amp;PAJAK[[#This Row],[//]],IF(PAJAK[[#This Row],[//]]="","",INDEX(INDIRECT("NOTA["&amp;PAJAK[#Headers]&amp;"]"),PAJAK[[#This Row],[//]]-2)))</f>
        <v>53</v>
      </c>
      <c r="C32" s="44" t="str">
        <f ca="1">IF(PAJAK[[#This Row],[//]]="","",INDEX(INDIRECT("NOTA["&amp;PAJAK[#Headers]&amp;"]"),PAJAK[[#This Row],[//]]-2))</f>
        <v>ATA_1204_064-4</v>
      </c>
      <c r="D32" s="44">
        <f ca="1">MATCH(PAJAK[[#This Row],[ID]],[4]!Table1[ID],0)</f>
        <v>44</v>
      </c>
      <c r="E32" s="152">
        <f ca="1">IF(PAJAK[[#This Row],[ID]]="","",COUNTIF(NOTA[ID_H],PAJAK[[#This Row],[ID]]))</f>
        <v>4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45028</v>
      </c>
      <c r="H32" s="42">
        <f ca="1">IF(PAJAK[[#This Row],[//]]="","",INDEX(INDIRECT("NOTA["&amp;PAJAK[#Headers]&amp;"]"),PAJAK[[#This Row],[//]]-2))</f>
        <v>45024</v>
      </c>
      <c r="I32" s="41" t="str">
        <f ca="1">IF(PAJAK[[#This Row],[//]]="","",INDEX(INDIRECT("NOTA["&amp;PAJAK[#Headers]&amp;"]"),PAJAK[[#This Row],[//]]-2))</f>
        <v>SA230406064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76">
        <f ca="1">IF(PAJAK[[#This Row],[//]]="","",SUMIF(NOTA[ID_H],PAJAK[[#This Row],[ID]],NOTA[JUMLAH]))</f>
        <v>33703200</v>
      </c>
      <c r="L32" s="176">
        <f ca="1">IF(PAJAK[[#This Row],[//]]="","",SUMIF(NOTA[ID_H],PAJAK[[#This Row],[ID]],NOTA[DISC]))</f>
        <v>6548364</v>
      </c>
      <c r="M32" s="176">
        <f ca="1">PAJAK[[#This Row],[SUB TOTAL]]-PAJAK[[#This Row],[DISKON]]</f>
        <v>27154836</v>
      </c>
      <c r="N32" s="176">
        <f ca="1">IF(PAJAK[[#This Row],[//]]="","",INDEX(INDIRECT("NOTA["&amp;PAJAK[#Headers]&amp;"]"),PAJAK[[#This Row],[//]]-2+PAJAK[[#This Row],[QB]]-1))</f>
        <v>406296</v>
      </c>
      <c r="O32" s="176">
        <f ca="1">(PAJAK[[#This Row],[SUB T-DISC]]-PAJAK[[#This Row],[DISC DLL]])/111%</f>
        <v>24097783.783783782</v>
      </c>
      <c r="P32" s="176">
        <f ca="1">PAJAK[[#This Row],[DPP]]*PAJAK[[#This Row],[PPN]]</f>
        <v>2650756.2162162159</v>
      </c>
      <c r="Q32" s="176">
        <f ca="1">PAJAK[[#This Row],[DPP]]+PAJAK[[#This Row],[PPN 11%]]</f>
        <v>26748540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252</v>
      </c>
      <c r="B33" s="153">
        <f ca="1">HYPERLINK("[NOTA_.XLSX]NOTA!c"&amp;PAJAK[[#This Row],[//]],IF(PAJAK[[#This Row],[//]]="","",INDEX(INDIRECT("NOTA["&amp;PAJAK[#Headers]&amp;"]"),PAJAK[[#This Row],[//]]-2)))</f>
        <v>54</v>
      </c>
      <c r="C33" s="44" t="str">
        <f ca="1">IF(PAJAK[[#This Row],[//]]="","",INDEX(INDIRECT("NOTA["&amp;PAJAK[#Headers]&amp;"]"),PAJAK[[#This Row],[//]]-2))</f>
        <v>ATA_1204_022-11</v>
      </c>
      <c r="D33" s="44">
        <f ca="1">MATCH(PAJAK[[#This Row],[ID]],[4]!Table1[ID],0)</f>
        <v>41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45028</v>
      </c>
      <c r="H33" s="42">
        <f ca="1">IF(PAJAK[[#This Row],[//]]="","",INDEX(INDIRECT("NOTA["&amp;PAJAK[#Headers]&amp;"]"),PAJAK[[#This Row],[//]]-2))</f>
        <v>45024</v>
      </c>
      <c r="I33" s="41" t="str">
        <f ca="1">IF(PAJAK[[#This Row],[//]]="","",INDEX(INDIRECT("NOTA["&amp;PAJAK[#Headers]&amp;"]"),PAJAK[[#This Row],[//]]-2))</f>
        <v>SA230406022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76">
        <f ca="1">IF(PAJAK[[#This Row],[//]]="","",SUMIF(NOTA[ID_H],PAJAK[[#This Row],[ID]],NOTA[JUMLAH]))</f>
        <v>27093000</v>
      </c>
      <c r="L33" s="176">
        <f ca="1">IF(PAJAK[[#This Row],[//]]="","",SUMIF(NOTA[ID_H],PAJAK[[#This Row],[ID]],NOTA[DISC]))</f>
        <v>4571943.75</v>
      </c>
      <c r="M33" s="176">
        <f ca="1">PAJAK[[#This Row],[SUB TOTAL]]-PAJAK[[#This Row],[DISKON]]</f>
        <v>22521056.25</v>
      </c>
      <c r="N33" s="176">
        <f ca="1">IF(PAJAK[[#This Row],[//]]="","",INDEX(INDIRECT("NOTA["&amp;PAJAK[#Headers]&amp;"]"),PAJAK[[#This Row],[//]]-2+PAJAK[[#This Row],[QB]]-1))</f>
        <v>0</v>
      </c>
      <c r="O33" s="176">
        <f ca="1">(PAJAK[[#This Row],[SUB T-DISC]]-PAJAK[[#This Row],[DISC DLL]])/111%</f>
        <v>20289239.864864863</v>
      </c>
      <c r="P33" s="176">
        <f ca="1">PAJAK[[#This Row],[DPP]]*PAJAK[[#This Row],[PPN]]</f>
        <v>2231816.3851351351</v>
      </c>
      <c r="Q33" s="176">
        <f ca="1">PAJAK[[#This Row],[DPP]]+PAJAK[[#This Row],[PPN 11%]]</f>
        <v>22521056.25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264</v>
      </c>
      <c r="B34" s="153">
        <f ca="1">HYPERLINK("[NOTA_.XLSX]NOTA!c"&amp;PAJAK[[#This Row],[//]],IF(PAJAK[[#This Row],[//]]="","",INDEX(INDIRECT("NOTA["&amp;PAJAK[#Headers]&amp;"]"),PAJAK[[#This Row],[//]]-2)))</f>
        <v>55</v>
      </c>
      <c r="C34" s="44" t="str">
        <f ca="1">IF(PAJAK[[#This Row],[//]]="","",INDEX(INDIRECT("NOTA["&amp;PAJAK[#Headers]&amp;"]"),PAJAK[[#This Row],[//]]-2))</f>
        <v>ATA_1204_023-2</v>
      </c>
      <c r="D34" s="44">
        <f ca="1">MATCH(PAJAK[[#This Row],[ID]],[4]!Table1[ID],0)</f>
        <v>42</v>
      </c>
      <c r="E34" s="152">
        <f ca="1">IF(PAJAK[[#This Row],[ID]]="","",COUNTIF(NOTA[ID_H],PAJAK[[#This Row],[ID]]))</f>
        <v>2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45028</v>
      </c>
      <c r="H34" s="42">
        <f ca="1">IF(PAJAK[[#This Row],[//]]="","",INDEX(INDIRECT("NOTA["&amp;PAJAK[#Headers]&amp;"]"),PAJAK[[#This Row],[//]]-2))</f>
        <v>45024</v>
      </c>
      <c r="I34" s="41" t="str">
        <f ca="1">IF(PAJAK[[#This Row],[//]]="","",INDEX(INDIRECT("NOTA["&amp;PAJAK[#Headers]&amp;"]"),PAJAK[[#This Row],[//]]-2))</f>
        <v>SA230406023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76">
        <f ca="1">IF(PAJAK[[#This Row],[//]]="","",SUMIF(NOTA[ID_H],PAJAK[[#This Row],[ID]],NOTA[JUMLAH]))</f>
        <v>5342400</v>
      </c>
      <c r="L34" s="176">
        <f ca="1">IF(PAJAK[[#This Row],[//]]="","",SUMIF(NOTA[ID_H],PAJAK[[#This Row],[ID]],NOTA[DISC]))</f>
        <v>897768</v>
      </c>
      <c r="M34" s="176">
        <f ca="1">PAJAK[[#This Row],[SUB TOTAL]]-PAJAK[[#This Row],[DISKON]]</f>
        <v>4444632</v>
      </c>
      <c r="N34" s="176">
        <f ca="1">IF(PAJAK[[#This Row],[//]]="","",INDEX(INDIRECT("NOTA["&amp;PAJAK[#Headers]&amp;"]"),PAJAK[[#This Row],[//]]-2+PAJAK[[#This Row],[QB]]-1))</f>
        <v>135432</v>
      </c>
      <c r="O34" s="176">
        <f ca="1">(PAJAK[[#This Row],[SUB T-DISC]]-PAJAK[[#This Row],[DISC DLL]])/111%</f>
        <v>3882162.1621621619</v>
      </c>
      <c r="P34" s="176">
        <f ca="1">PAJAK[[#This Row],[DPP]]*PAJAK[[#This Row],[PPN]]</f>
        <v>427037.83783783781</v>
      </c>
      <c r="Q34" s="176">
        <f ca="1">PAJAK[[#This Row],[DPP]]+PAJAK[[#This Row],[PPN 11%]]</f>
        <v>4309200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267</v>
      </c>
      <c r="B35" s="40">
        <f ca="1">HYPERLINK("[NOTA_.XLSX]NOTA!c"&amp;PAJAK[[#This Row],[//]],IF(PAJAK[[#This Row],[//]]="","",INDEX(INDIRECT("NOTA["&amp;PAJAK[#Headers]&amp;"]"),PAJAK[[#This Row],[//]]-2)))</f>
        <v>56</v>
      </c>
      <c r="C35" s="40" t="str">
        <f ca="1">IF(PAJAK[[#This Row],[//]]="","",INDEX(INDIRECT("NOTA["&amp;PAJAK[#Headers]&amp;"]"),PAJAK[[#This Row],[//]]-2))</f>
        <v>ATA_1204_100-11</v>
      </c>
      <c r="D35" s="40">
        <f ca="1">MATCH(PAJAK[[#This Row],[ID]],[4]!Table1[ID],0)</f>
        <v>45</v>
      </c>
      <c r="E35" s="41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45028</v>
      </c>
      <c r="H35" s="42">
        <f ca="1">IF(PAJAK[[#This Row],[//]]="","",INDEX(INDIRECT("NOTA["&amp;PAJAK[#Headers]&amp;"]"),PAJAK[[#This Row],[//]]-2))</f>
        <v>45026</v>
      </c>
      <c r="I35" s="41" t="str">
        <f ca="1">IF(PAJAK[[#This Row],[//]]="","",INDEX(INDIRECT("NOTA["&amp;PAJAK[#Headers]&amp;"]"),PAJAK[[#This Row],[//]]-2))</f>
        <v>SA230406100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76">
        <f ca="1">IF(PAJAK[[#This Row],[//]]="","",SUMIF(NOTA[ID_H],PAJAK[[#This Row],[ID]],NOTA[JUMLAH]))</f>
        <v>49959200</v>
      </c>
      <c r="L35" s="176">
        <f ca="1">IF(PAJAK[[#This Row],[//]]="","",SUMIF(NOTA[ID_H],PAJAK[[#This Row],[ID]],NOTA[DISC]))</f>
        <v>8430615</v>
      </c>
      <c r="M35" s="176">
        <f ca="1">PAJAK[[#This Row],[SUB TOTAL]]-PAJAK[[#This Row],[DISKON]]</f>
        <v>41528585</v>
      </c>
      <c r="N35" s="176">
        <f ca="1">IF(PAJAK[[#This Row],[//]]="","",INDEX(INDIRECT("NOTA["&amp;PAJAK[#Headers]&amp;"]"),PAJAK[[#This Row],[//]]-2+PAJAK[[#This Row],[QB]]-1))</f>
        <v>0</v>
      </c>
      <c r="O35" s="176">
        <f ca="1">(PAJAK[[#This Row],[SUB T-DISC]]-PAJAK[[#This Row],[DISC DLL]])/111%</f>
        <v>37413139.639639638</v>
      </c>
      <c r="P35" s="176">
        <f ca="1">PAJAK[[#This Row],[DPP]]*PAJAK[[#This Row],[PPN]]</f>
        <v>4115445.3603603602</v>
      </c>
      <c r="Q35" s="176">
        <f ca="1">PAJAK[[#This Row],[DPP]]+PAJAK[[#This Row],[PPN 11%]]</f>
        <v>41528585</v>
      </c>
      <c r="R35" s="43" t="str">
        <f ca="1">IF(ISNUMBER(PAJAK[[#This Row],[//]]),PPN,"")</f>
        <v>11%</v>
      </c>
    </row>
    <row r="36" spans="1:18" x14ac:dyDescent="0.25">
      <c r="A36" s="44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279</v>
      </c>
      <c r="B36" s="153">
        <f ca="1">HYPERLINK("[NOTA_.XLSX]NOTA!c"&amp;PAJAK[[#This Row],[//]],IF(PAJAK[[#This Row],[//]]="","",INDEX(INDIRECT("NOTA["&amp;PAJAK[#Headers]&amp;"]"),PAJAK[[#This Row],[//]]-2)))</f>
        <v>57</v>
      </c>
      <c r="C36" s="44" t="str">
        <f ca="1">IF(PAJAK[[#This Row],[//]]="","",INDEX(INDIRECT("NOTA["&amp;PAJAK[#Headers]&amp;"]"),PAJAK[[#This Row],[//]]-2))</f>
        <v>ATA_1204_101-7</v>
      </c>
      <c r="D36" s="44">
        <f ca="1">MATCH(PAJAK[[#This Row],[ID]],[4]!Table1[ID],0)</f>
        <v>46</v>
      </c>
      <c r="E36" s="152">
        <f ca="1">IF(PAJAK[[#This Row],[ID]]="","",COUNTIF(NOTA[ID_H],PAJAK[[#This Row],[ID]]))</f>
        <v>7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45028</v>
      </c>
      <c r="H36" s="42">
        <f ca="1">IF(PAJAK[[#This Row],[//]]="","",INDEX(INDIRECT("NOTA["&amp;PAJAK[#Headers]&amp;"]"),PAJAK[[#This Row],[//]]-2))</f>
        <v>45026</v>
      </c>
      <c r="I36" s="41" t="str">
        <f ca="1">IF(PAJAK[[#This Row],[//]]="","",INDEX(INDIRECT("NOTA["&amp;PAJAK[#Headers]&amp;"]"),PAJAK[[#This Row],[//]]-2))</f>
        <v>SA230406101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76">
        <f ca="1">IF(PAJAK[[#This Row],[//]]="","",SUMIF(NOTA[ID_H],PAJAK[[#This Row],[ID]],NOTA[JUMLAH]))</f>
        <v>34517200</v>
      </c>
      <c r="L36" s="176">
        <f ca="1">IF(PAJAK[[#This Row],[//]]="","",SUMIF(NOTA[ID_H],PAJAK[[#This Row],[ID]],NOTA[DISC]))</f>
        <v>5824777.5</v>
      </c>
      <c r="M36" s="176">
        <f ca="1">PAJAK[[#This Row],[SUB TOTAL]]-PAJAK[[#This Row],[DISKON]]</f>
        <v>28692422.5</v>
      </c>
      <c r="N36" s="176">
        <f ca="1">IF(PAJAK[[#This Row],[//]]="","",INDEX(INDIRECT("NOTA["&amp;PAJAK[#Headers]&amp;"]"),PAJAK[[#This Row],[//]]-2+PAJAK[[#This Row],[QB]]-1))</f>
        <v>0</v>
      </c>
      <c r="O36" s="176">
        <f ca="1">(PAJAK[[#This Row],[SUB T-DISC]]-PAJAK[[#This Row],[DISC DLL]])/111%</f>
        <v>25849029.279279277</v>
      </c>
      <c r="P36" s="176">
        <f ca="1">PAJAK[[#This Row],[DPP]]*PAJAK[[#This Row],[PPN]]</f>
        <v>2843393.2207207205</v>
      </c>
      <c r="Q36" s="176">
        <f ca="1">PAJAK[[#This Row],[DPP]]+PAJAK[[#This Row],[PPN 11%]]</f>
        <v>28692422.499999996</v>
      </c>
      <c r="R36" s="43" t="str">
        <f ca="1">IF(ISNUMBER(PAJAK[[#This Row],[//]]),PPN,"")</f>
        <v>11%</v>
      </c>
    </row>
    <row r="37" spans="1:18" x14ac:dyDescent="0.25">
      <c r="A37" s="44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290</v>
      </c>
      <c r="B37" s="153">
        <f ca="1">HYPERLINK("[NOTA_.XLSX]NOTA!c"&amp;PAJAK[[#This Row],[//]],IF(PAJAK[[#This Row],[//]]="","",INDEX(INDIRECT("NOTA["&amp;PAJAK[#Headers]&amp;"]"),PAJAK[[#This Row],[//]]-2)))</f>
        <v>59</v>
      </c>
      <c r="C37" s="44" t="str">
        <f ca="1">IF(PAJAK[[#This Row],[//]]="","",INDEX(INDIRECT("NOTA["&amp;PAJAK[#Headers]&amp;"]"),PAJAK[[#This Row],[//]]-2))</f>
        <v>KEN_1404_860-2</v>
      </c>
      <c r="D37" s="44">
        <f ca="1">MATCH(PAJAK[[#This Row],[ID]],[4]!Table1[ID],0)</f>
        <v>17</v>
      </c>
      <c r="E37" s="152">
        <f ca="1">IF(PAJAK[[#This Row],[ID]]="","",COUNTIF(NOTA[ID_H],PAJAK[[#This Row],[ID]]))</f>
        <v>2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45030</v>
      </c>
      <c r="H37" s="42">
        <f ca="1">IF(PAJAK[[#This Row],[//]]="","",INDEX(INDIRECT("NOTA["&amp;PAJAK[#Headers]&amp;"]"),PAJAK[[#This Row],[//]]-2))</f>
        <v>45028</v>
      </c>
      <c r="I37" s="41" t="str">
        <f ca="1">IF(PAJAK[[#This Row],[//]]="","",INDEX(INDIRECT("NOTA["&amp;PAJAK[#Headers]&amp;"]"),PAJAK[[#This Row],[//]]-2))</f>
        <v>23040860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41064</v>
      </c>
      <c r="K37" s="176">
        <f ca="1">IF(PAJAK[[#This Row],[//]]="","",SUMIF(NOTA[ID_H],PAJAK[[#This Row],[ID]],NOTA[JUMLAH]))</f>
        <v>14106000</v>
      </c>
      <c r="L37" s="176">
        <f ca="1">IF(PAJAK[[#This Row],[//]]="","",SUMIF(NOTA[ID_H],PAJAK[[#This Row],[ID]],NOTA[DISC]))</f>
        <v>2398020</v>
      </c>
      <c r="M37" s="176">
        <f ca="1">PAJAK[[#This Row],[SUB TOTAL]]-PAJAK[[#This Row],[DISKON]]</f>
        <v>11707980</v>
      </c>
      <c r="N37" s="176">
        <f ca="1">IF(PAJAK[[#This Row],[//]]="","",INDEX(INDIRECT("NOTA["&amp;PAJAK[#Headers]&amp;"]"),PAJAK[[#This Row],[//]]-2+PAJAK[[#This Row],[QB]]-1))</f>
        <v>0</v>
      </c>
      <c r="O37" s="176">
        <f ca="1">(PAJAK[[#This Row],[SUB T-DISC]]-PAJAK[[#This Row],[DISC DLL]])/111%</f>
        <v>10547729.729729729</v>
      </c>
      <c r="P37" s="176">
        <f ca="1">PAJAK[[#This Row],[DPP]]*PAJAK[[#This Row],[PPN]]</f>
        <v>1160250.2702702701</v>
      </c>
      <c r="Q37" s="176">
        <f ca="1">PAJAK[[#This Row],[DPP]]+PAJAK[[#This Row],[PPN 11%]]</f>
        <v>11707979.999999998</v>
      </c>
      <c r="R37" s="43" t="str">
        <f ca="1">IF(ISNUMBER(PAJAK[[#This Row],[//]]),PPN,"")</f>
        <v>11%</v>
      </c>
    </row>
    <row r="38" spans="1:18" x14ac:dyDescent="0.25">
      <c r="A38" s="44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293</v>
      </c>
      <c r="B38" s="153">
        <f ca="1">HYPERLINK("[NOTA_.XLSX]NOTA!c"&amp;PAJAK[[#This Row],[//]],IF(PAJAK[[#This Row],[//]]="","",INDEX(INDIRECT("NOTA["&amp;PAJAK[#Headers]&amp;"]"),PAJAK[[#This Row],[//]]-2)))</f>
        <v>60</v>
      </c>
      <c r="C38" s="44" t="str">
        <f ca="1">IF(PAJAK[[#This Row],[//]]="","",INDEX(INDIRECT("NOTA["&amp;PAJAK[#Headers]&amp;"]"),PAJAK[[#This Row],[//]]-2))</f>
        <v>KEN_1404_951-3</v>
      </c>
      <c r="D38" s="44">
        <f ca="1">MATCH(PAJAK[[#This Row],[ID]],[4]!Table1[ID],0)</f>
        <v>18</v>
      </c>
      <c r="E38" s="152">
        <f ca="1">IF(PAJAK[[#This Row],[ID]]="","",COUNTIF(NOTA[ID_H],PAJAK[[#This Row],[ID]]))</f>
        <v>3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45030</v>
      </c>
      <c r="H38" s="42">
        <f ca="1">IF(PAJAK[[#This Row],[//]]="","",INDEX(INDIRECT("NOTA["&amp;PAJAK[#Headers]&amp;"]"),PAJAK[[#This Row],[//]]-2))</f>
        <v>45029</v>
      </c>
      <c r="I38" s="41" t="str">
        <f ca="1">IF(PAJAK[[#This Row],[//]]="","",INDEX(INDIRECT("NOTA["&amp;PAJAK[#Headers]&amp;"]"),PAJAK[[#This Row],[//]]-2))</f>
        <v>23040951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41074</v>
      </c>
      <c r="K38" s="176">
        <f ca="1">IF(PAJAK[[#This Row],[//]]="","",SUMIF(NOTA[ID_H],PAJAK[[#This Row],[ID]],NOTA[JUMLAH]))</f>
        <v>10224000</v>
      </c>
      <c r="L38" s="176">
        <f ca="1">IF(PAJAK[[#This Row],[//]]="","",SUMIF(NOTA[ID_H],PAJAK[[#This Row],[ID]],NOTA[DISC]))</f>
        <v>1738080</v>
      </c>
      <c r="M38" s="176">
        <f ca="1">PAJAK[[#This Row],[SUB TOTAL]]-PAJAK[[#This Row],[DISKON]]</f>
        <v>8485920</v>
      </c>
      <c r="N38" s="176">
        <f ca="1">IF(PAJAK[[#This Row],[//]]="","",INDEX(INDIRECT("NOTA["&amp;PAJAK[#Headers]&amp;"]"),PAJAK[[#This Row],[//]]-2+PAJAK[[#This Row],[QB]]-1))</f>
        <v>0</v>
      </c>
      <c r="O38" s="176">
        <f ca="1">(PAJAK[[#This Row],[SUB T-DISC]]-PAJAK[[#This Row],[DISC DLL]])/111%</f>
        <v>7644972.9729729723</v>
      </c>
      <c r="P38" s="176">
        <f ca="1">PAJAK[[#This Row],[DPP]]*PAJAK[[#This Row],[PPN]]</f>
        <v>840947.02702702698</v>
      </c>
      <c r="Q38" s="176">
        <f ca="1">PAJAK[[#This Row],[DPP]]+PAJAK[[#This Row],[PPN 11%]]</f>
        <v>8485920</v>
      </c>
      <c r="R38" s="43" t="str">
        <f ca="1">IF(ISNUMBER(PAJAK[[#This Row],[//]]),PPN,"")</f>
        <v>11%</v>
      </c>
    </row>
    <row r="39" spans="1:18" x14ac:dyDescent="0.25">
      <c r="A39" s="40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297</v>
      </c>
      <c r="B39" s="154">
        <f ca="1">HYPERLINK("[NOTA_.XLSX]NOTA!c"&amp;PAJAK[[#This Row],[//]],IF(PAJAK[[#This Row],[//]]="","",INDEX(INDIRECT("NOTA["&amp;PAJAK[#Headers]&amp;"]"),PAJAK[[#This Row],[//]]-2)))</f>
        <v>61</v>
      </c>
      <c r="C39" s="40" t="str">
        <f ca="1">IF(PAJAK[[#This Row],[//]]="","",INDEX(INDIRECT("NOTA["&amp;PAJAK[#Headers]&amp;"]"),PAJAK[[#This Row],[//]]-2))</f>
        <v>ATA_1404_164-6</v>
      </c>
      <c r="D39" s="40">
        <f ca="1">MATCH(PAJAK[[#This Row],[ID]],[4]!Table1[ID],0)</f>
        <v>47</v>
      </c>
      <c r="E39" s="41">
        <f ca="1">IF(PAJAK[[#This Row],[ID]]="","",COUNTIF(NOTA[ID_H],PAJAK[[#This Row],[ID]]))</f>
        <v>6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45030</v>
      </c>
      <c r="H39" s="42">
        <f ca="1">IF(PAJAK[[#This Row],[//]]="","",INDEX(INDIRECT("NOTA["&amp;PAJAK[#Headers]&amp;"]"),PAJAK[[#This Row],[//]]-2))</f>
        <v>45027</v>
      </c>
      <c r="I39" s="41" t="str">
        <f ca="1">IF(PAJAK[[#This Row],[//]]="","",INDEX(INDIRECT("NOTA["&amp;PAJAK[#Headers]&amp;"]"),PAJAK[[#This Row],[//]]-2))</f>
        <v>SA230406164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76">
        <f ca="1">IF(PAJAK[[#This Row],[//]]="","",SUMIF(NOTA[ID_H],PAJAK[[#This Row],[ID]],NOTA[JUMLAH]))</f>
        <v>10426600</v>
      </c>
      <c r="L39" s="176">
        <f ca="1">IF(PAJAK[[#This Row],[//]]="","",SUMIF(NOTA[ID_H],PAJAK[[#This Row],[ID]],NOTA[DISC]))</f>
        <v>1759488.75</v>
      </c>
      <c r="M39" s="176">
        <f ca="1">PAJAK[[#This Row],[SUB TOTAL]]-PAJAK[[#This Row],[DISKON]]</f>
        <v>8667111.25</v>
      </c>
      <c r="N39" s="176">
        <f ca="1">IF(PAJAK[[#This Row],[//]]="","",INDEX(INDIRECT("NOTA["&amp;PAJAK[#Headers]&amp;"]"),PAJAK[[#This Row],[//]]-2+PAJAK[[#This Row],[QB]]-1))</f>
        <v>0</v>
      </c>
      <c r="O39" s="176">
        <f ca="1">(PAJAK[[#This Row],[SUB T-DISC]]-PAJAK[[#This Row],[DISC DLL]])/111%</f>
        <v>7808208.333333333</v>
      </c>
      <c r="P39" s="176">
        <f ca="1">PAJAK[[#This Row],[DPP]]*PAJAK[[#This Row],[PPN]]</f>
        <v>858902.91666666663</v>
      </c>
      <c r="Q39" s="176">
        <f ca="1">PAJAK[[#This Row],[DPP]]+PAJAK[[#This Row],[PPN 11%]]</f>
        <v>8667111.25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304</v>
      </c>
      <c r="B40" s="153">
        <f ca="1">HYPERLINK("[NOTA_.XLSX]NOTA!c"&amp;PAJAK[[#This Row],[//]],IF(PAJAK[[#This Row],[//]]="","",INDEX(INDIRECT("NOTA["&amp;PAJAK[#Headers]&amp;"]"),PAJAK[[#This Row],[//]]-2)))</f>
        <v>62</v>
      </c>
      <c r="C40" s="44" t="str">
        <f ca="1">IF(PAJAK[[#This Row],[//]]="","",INDEX(INDIRECT("NOTA["&amp;PAJAK[#Headers]&amp;"]"),PAJAK[[#This Row],[//]]-2))</f>
        <v>ATA_1404_190-8</v>
      </c>
      <c r="D40" s="44">
        <f ca="1">MATCH(PAJAK[[#This Row],[ID]],[4]!Table1[ID],0)</f>
        <v>48</v>
      </c>
      <c r="E40" s="152">
        <f ca="1">IF(PAJAK[[#This Row],[ID]]="","",COUNTIF(NOTA[ID_H],PAJAK[[#This Row],[ID]]))</f>
        <v>8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45030</v>
      </c>
      <c r="H40" s="42">
        <f ca="1">IF(PAJAK[[#This Row],[//]]="","",INDEX(INDIRECT("NOTA["&amp;PAJAK[#Headers]&amp;"]"),PAJAK[[#This Row],[//]]-2))</f>
        <v>45028</v>
      </c>
      <c r="I40" s="41" t="str">
        <f ca="1">IF(PAJAK[[#This Row],[//]]="","",INDEX(INDIRECT("NOTA["&amp;PAJAK[#Headers]&amp;"]"),PAJAK[[#This Row],[//]]-2))</f>
        <v>SA230406190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76">
        <f ca="1">IF(PAJAK[[#This Row],[//]]="","",SUMIF(NOTA[ID_H],PAJAK[[#This Row],[ID]],NOTA[JUMLAH]))</f>
        <v>63032400</v>
      </c>
      <c r="L40" s="176">
        <f ca="1">IF(PAJAK[[#This Row],[//]]="","",SUMIF(NOTA[ID_H],PAJAK[[#This Row],[ID]],NOTA[DISC]))</f>
        <v>10636717.5</v>
      </c>
      <c r="M40" s="176">
        <f ca="1">PAJAK[[#This Row],[SUB TOTAL]]-PAJAK[[#This Row],[DISKON]]</f>
        <v>52395682.5</v>
      </c>
      <c r="N40" s="176">
        <f ca="1">IF(PAJAK[[#This Row],[//]]="","",INDEX(INDIRECT("NOTA["&amp;PAJAK[#Headers]&amp;"]"),PAJAK[[#This Row],[//]]-2+PAJAK[[#This Row],[QB]]-1))</f>
        <v>3028410</v>
      </c>
      <c r="O40" s="176">
        <f ca="1">(PAJAK[[#This Row],[SUB T-DISC]]-PAJAK[[#This Row],[DISC DLL]])/111%</f>
        <v>44475020.270270266</v>
      </c>
      <c r="P40" s="176">
        <f ca="1">PAJAK[[#This Row],[DPP]]*PAJAK[[#This Row],[PPN]]</f>
        <v>4892252.2297297297</v>
      </c>
      <c r="Q40" s="176">
        <f ca="1">PAJAK[[#This Row],[DPP]]+PAJAK[[#This Row],[PPN 11%]]</f>
        <v>49367272.499999993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319</v>
      </c>
      <c r="B41" s="40">
        <f ca="1">HYPERLINK("[NOTA_.XLSX]NOTA!c"&amp;PAJAK[[#This Row],[//]],IF(PAJAK[[#This Row],[//]]="","",INDEX(INDIRECT("NOTA["&amp;PAJAK[#Headers]&amp;"]"),PAJAK[[#This Row],[//]]-2)))</f>
        <v>66</v>
      </c>
      <c r="C41" s="40" t="str">
        <f ca="1">IF(PAJAK[[#This Row],[//]]="","",INDEX(INDIRECT("NOTA["&amp;PAJAK[#Headers]&amp;"]"),PAJAK[[#This Row],[//]]-2))</f>
        <v>KEN_2904_239-7</v>
      </c>
      <c r="D41" s="40">
        <f ca="1">MATCH(PAJAK[[#This Row],[ID]],[4]!Table1[ID],0)</f>
        <v>21</v>
      </c>
      <c r="E41" s="41">
        <f ca="1">IF(PAJAK[[#This Row],[ID]]="","",COUNTIF(NOTA[ID_H],PAJAK[[#This Row],[ID]]))</f>
        <v>7</v>
      </c>
      <c r="F41" s="40" t="str">
        <f ca="1">IF(PAJAK[[#This Row],[//]]="","",INDEX(CONV[2],MATCH(INDEX(INDIRECT("NOTA["&amp;PAJAK[#Headers]&amp;"]"),PAJAK[[#This Row],[//]]-2),CONV[1],0),0))</f>
        <v>PT KENKO SINAR INDONESIA</v>
      </c>
      <c r="G41" s="42">
        <f ca="1">IF(PAJAK[[#This Row],[//]]="","",INDEX(NOTA[TGL_H],PAJAK[[#This Row],[//]]-2))</f>
        <v>45045</v>
      </c>
      <c r="H41" s="42">
        <f ca="1">IF(PAJAK[[#This Row],[//]]="","",INDEX(INDIRECT("NOTA["&amp;PAJAK[#Headers]&amp;"]"),PAJAK[[#This Row],[//]]-2))</f>
        <v>45031</v>
      </c>
      <c r="I41" s="41" t="str">
        <f ca="1">IF(PAJAK[[#This Row],[//]]="","",INDEX(INDIRECT("NOTA["&amp;PAJAK[#Headers]&amp;"]"),PAJAK[[#This Row],[//]]-2))</f>
        <v>23041239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>SA 41157</v>
      </c>
      <c r="K41" s="176">
        <f ca="1">IF(PAJAK[[#This Row],[//]]="","",SUMIF(NOTA[ID_H],PAJAK[[#This Row],[ID]],NOTA[JUMLAH]))</f>
        <v>66524400</v>
      </c>
      <c r="L41" s="176">
        <f ca="1">IF(PAJAK[[#This Row],[//]]="","",SUMIF(NOTA[ID_H],PAJAK[[#This Row],[ID]],NOTA[DISC]))</f>
        <v>11309148.000000002</v>
      </c>
      <c r="M41" s="176">
        <f ca="1">PAJAK[[#This Row],[SUB TOTAL]]-PAJAK[[#This Row],[DISKON]]</f>
        <v>55215252</v>
      </c>
      <c r="N41" s="176">
        <f ca="1">IF(PAJAK[[#This Row],[//]]="","",INDEX(INDIRECT("NOTA["&amp;PAJAK[#Headers]&amp;"]"),PAJAK[[#This Row],[//]]-2+PAJAK[[#This Row],[QB]]-1))</f>
        <v>0</v>
      </c>
      <c r="O41" s="176">
        <f ca="1">(PAJAK[[#This Row],[SUB T-DISC]]-PAJAK[[#This Row],[DISC DLL]])/111%</f>
        <v>49743470.270270266</v>
      </c>
      <c r="P41" s="176">
        <f ca="1">PAJAK[[#This Row],[DPP]]*PAJAK[[#This Row],[PPN]]</f>
        <v>5471781.7297297297</v>
      </c>
      <c r="Q41" s="176">
        <f ca="1">PAJAK[[#This Row],[DPP]]+PAJAK[[#This Row],[PPN 11%]]</f>
        <v>55215251.999999993</v>
      </c>
      <c r="R41" s="43" t="str">
        <f ca="1">IF(ISNUMBER(PAJAK[[#This Row],[//]]),PPN,"")</f>
        <v>11%</v>
      </c>
    </row>
    <row r="42" spans="1:18" x14ac:dyDescent="0.25">
      <c r="A42" s="40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327</v>
      </c>
      <c r="B42" s="40">
        <f ca="1">HYPERLINK("[NOTA_.XLSX]NOTA!c"&amp;PAJAK[[#This Row],[//]],IF(PAJAK[[#This Row],[//]]="","",INDEX(INDIRECT("NOTA["&amp;PAJAK[#Headers]&amp;"]"),PAJAK[[#This Row],[//]]-2)))</f>
        <v>67</v>
      </c>
      <c r="C42" s="40" t="str">
        <f ca="1">IF(PAJAK[[#This Row],[//]]="","",INDEX(INDIRECT("NOTA["&amp;PAJAK[#Headers]&amp;"]"),PAJAK[[#This Row],[//]]-2))</f>
        <v>KEN_0305_064-11</v>
      </c>
      <c r="D42" s="40">
        <f ca="1">MATCH(PAJAK[[#This Row],[ID]],[4]!Table1[ID],0)</f>
        <v>20</v>
      </c>
      <c r="E42" s="4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KENKO SINAR INDONESIA</v>
      </c>
      <c r="G42" s="42">
        <f ca="1">IF(PAJAK[[#This Row],[//]]="","",INDEX(NOTA[TGL_H],PAJAK[[#This Row],[//]]-2))</f>
        <v>45049</v>
      </c>
      <c r="H42" s="42">
        <f ca="1">IF(PAJAK[[#This Row],[//]]="","",INDEX(INDIRECT("NOTA["&amp;PAJAK[#Headers]&amp;"]"),PAJAK[[#This Row],[//]]-2))</f>
        <v>45030</v>
      </c>
      <c r="I42" s="41" t="str">
        <f ca="1">IF(PAJAK[[#This Row],[//]]="","",INDEX(INDIRECT("NOTA["&amp;PAJAK[#Headers]&amp;"]"),PAJAK[[#This Row],[//]]-2))</f>
        <v>23041064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>SA 41125</v>
      </c>
      <c r="K42" s="176">
        <f ca="1">IF(PAJAK[[#This Row],[//]]="","",SUMIF(NOTA[ID_H],PAJAK[[#This Row],[ID]],NOTA[JUMLAH]))</f>
        <v>40503200</v>
      </c>
      <c r="L42" s="176">
        <f ca="1">IF(PAJAK[[#This Row],[//]]="","",SUMIF(NOTA[ID_H],PAJAK[[#This Row],[ID]],NOTA[DISC]))</f>
        <v>6885544</v>
      </c>
      <c r="M42" s="176">
        <f ca="1">PAJAK[[#This Row],[SUB TOTAL]]-PAJAK[[#This Row],[DISKON]]</f>
        <v>33617656</v>
      </c>
      <c r="N42" s="176">
        <f ca="1">IF(PAJAK[[#This Row],[//]]="","",INDEX(INDIRECT("NOTA["&amp;PAJAK[#Headers]&amp;"]"),PAJAK[[#This Row],[//]]-2+PAJAK[[#This Row],[QB]]-1))</f>
        <v>0</v>
      </c>
      <c r="O42" s="176">
        <f ca="1">(PAJAK[[#This Row],[SUB T-DISC]]-PAJAK[[#This Row],[DISC DLL]])/111%</f>
        <v>30286176.576576576</v>
      </c>
      <c r="P42" s="176">
        <f ca="1">PAJAK[[#This Row],[DPP]]*PAJAK[[#This Row],[PPN]]</f>
        <v>3331479.4234234234</v>
      </c>
      <c r="Q42" s="176">
        <f ca="1">PAJAK[[#This Row],[DPP]]+PAJAK[[#This Row],[PPN 11%]]</f>
        <v>33617656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339</v>
      </c>
      <c r="B43" s="153">
        <f ca="1">HYPERLINK("[NOTA_.XLSX]NOTA!c"&amp;PAJAK[[#This Row],[//]],IF(PAJAK[[#This Row],[//]]="","",INDEX(INDIRECT("NOTA["&amp;PAJAK[#Headers]&amp;"]"),PAJAK[[#This Row],[//]]-2)))</f>
        <v>68</v>
      </c>
      <c r="C43" s="44" t="str">
        <f ca="1">IF(PAJAK[[#This Row],[//]]="","",INDEX(INDIRECT("NOTA["&amp;PAJAK[#Headers]&amp;"]"),PAJAK[[#This Row],[//]]-2))</f>
        <v>KEN_0305_047-7</v>
      </c>
      <c r="D43" s="44">
        <f ca="1">MATCH(PAJAK[[#This Row],[ID]],[4]!Table1[ID],0)</f>
        <v>19</v>
      </c>
      <c r="E43" s="152">
        <f ca="1">IF(PAJAK[[#This Row],[ID]]="","",COUNTIF(NOTA[ID_H],PAJAK[[#This Row],[ID]]))</f>
        <v>7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45049</v>
      </c>
      <c r="H43" s="42">
        <f ca="1">IF(PAJAK[[#This Row],[//]]="","",INDEX(INDIRECT("NOTA["&amp;PAJAK[#Headers]&amp;"]"),PAJAK[[#This Row],[//]]-2))</f>
        <v>45030</v>
      </c>
      <c r="I43" s="41" t="str">
        <f ca="1">IF(PAJAK[[#This Row],[//]]="","",INDEX(INDIRECT("NOTA["&amp;PAJAK[#Headers]&amp;"]"),PAJAK[[#This Row],[//]]-2))</f>
        <v>23041047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41105</v>
      </c>
      <c r="K43" s="176">
        <f ca="1">IF(PAJAK[[#This Row],[//]]="","",SUMIF(NOTA[ID_H],PAJAK[[#This Row],[ID]],NOTA[JUMLAH]))</f>
        <v>119620800</v>
      </c>
      <c r="L43" s="176">
        <f ca="1">IF(PAJAK[[#This Row],[//]]="","",SUMIF(NOTA[ID_H],PAJAK[[#This Row],[ID]],NOTA[DISC]))</f>
        <v>20335536</v>
      </c>
      <c r="M43" s="176">
        <f ca="1">PAJAK[[#This Row],[SUB TOTAL]]-PAJAK[[#This Row],[DISKON]]</f>
        <v>99285264</v>
      </c>
      <c r="N43" s="176">
        <f ca="1">IF(PAJAK[[#This Row],[//]]="","",INDEX(INDIRECT("NOTA["&amp;PAJAK[#Headers]&amp;"]"),PAJAK[[#This Row],[//]]-2+PAJAK[[#This Row],[QB]]-1))</f>
        <v>0</v>
      </c>
      <c r="O43" s="176">
        <f ca="1">(PAJAK[[#This Row],[SUB T-DISC]]-PAJAK[[#This Row],[DISC DLL]])/111%</f>
        <v>89446183.783783779</v>
      </c>
      <c r="P43" s="176">
        <f ca="1">PAJAK[[#This Row],[DPP]]*PAJAK[[#This Row],[PPN]]</f>
        <v>9839080.2162162159</v>
      </c>
      <c r="Q43" s="176">
        <f ca="1">PAJAK[[#This Row],[DPP]]+PAJAK[[#This Row],[PPN 11%]]</f>
        <v>99285264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347</v>
      </c>
      <c r="B44" s="153">
        <f ca="1">HYPERLINK("[NOTA_.XLSX]NOTA!c"&amp;PAJAK[[#This Row],[//]],IF(PAJAK[[#This Row],[//]]="","",INDEX(INDIRECT("NOTA["&amp;PAJAK[#Headers]&amp;"]"),PAJAK[[#This Row],[//]]-2)))</f>
        <v>69</v>
      </c>
      <c r="C44" s="44" t="str">
        <f ca="1">IF(PAJAK[[#This Row],[//]]="","",INDEX(INDIRECT("NOTA["&amp;PAJAK[#Headers]&amp;"]"),PAJAK[[#This Row],[//]]-2))</f>
        <v>ATA_0305_293-9</v>
      </c>
      <c r="D44" s="44">
        <f ca="1">MATCH(PAJAK[[#This Row],[ID]],[4]!Table1[ID],0)</f>
        <v>51</v>
      </c>
      <c r="E44" s="152">
        <f ca="1">IF(PAJAK[[#This Row],[ID]]="","",COUNTIF(NOTA[ID_H],PAJAK[[#This Row],[ID]]))</f>
        <v>9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45049</v>
      </c>
      <c r="H44" s="42">
        <f ca="1">IF(PAJAK[[#This Row],[//]]="","",INDEX(INDIRECT("NOTA["&amp;PAJAK[#Headers]&amp;"]"),PAJAK[[#This Row],[//]]-2))</f>
        <v>45030</v>
      </c>
      <c r="I44" s="41" t="str">
        <f ca="1">IF(PAJAK[[#This Row],[//]]="","",INDEX(INDIRECT("NOTA["&amp;PAJAK[#Headers]&amp;"]"),PAJAK[[#This Row],[//]]-2))</f>
        <v>SA230406293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76">
        <f ca="1">IF(PAJAK[[#This Row],[//]]="","",SUMIF(NOTA[ID_H],PAJAK[[#This Row],[ID]],NOTA[JUMLAH]))</f>
        <v>14150400</v>
      </c>
      <c r="L44" s="176">
        <f ca="1">IF(PAJAK[[#This Row],[//]]="","",SUMIF(NOTA[ID_H],PAJAK[[#This Row],[ID]],NOTA[DISC]))</f>
        <v>2387880</v>
      </c>
      <c r="M44" s="176">
        <f ca="1">PAJAK[[#This Row],[SUB TOTAL]]-PAJAK[[#This Row],[DISKON]]</f>
        <v>11762520</v>
      </c>
      <c r="N44" s="176">
        <f ca="1">IF(PAJAK[[#This Row],[//]]="","",INDEX(INDIRECT("NOTA["&amp;PAJAK[#Headers]&amp;"]"),PAJAK[[#This Row],[//]]-2+PAJAK[[#This Row],[QB]]-1))</f>
        <v>0</v>
      </c>
      <c r="O44" s="176">
        <f ca="1">(PAJAK[[#This Row],[SUB T-DISC]]-PAJAK[[#This Row],[DISC DLL]])/111%</f>
        <v>10596864.864864863</v>
      </c>
      <c r="P44" s="176">
        <f ca="1">PAJAK[[#This Row],[DPP]]*PAJAK[[#This Row],[PPN]]</f>
        <v>1165655.1351351349</v>
      </c>
      <c r="Q44" s="176">
        <f ca="1">PAJAK[[#This Row],[DPP]]+PAJAK[[#This Row],[PPN 11%]]</f>
        <v>11762519.999999998</v>
      </c>
      <c r="R44" s="43" t="str">
        <f ca="1">IF(ISNUMBER(PAJAK[[#This Row],[//]]),PPN,"")</f>
        <v>11%</v>
      </c>
    </row>
    <row r="45" spans="1:18" x14ac:dyDescent="0.25">
      <c r="A45" s="44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357</v>
      </c>
      <c r="B45" s="153">
        <f ca="1">HYPERLINK("[NOTA_.XLSX]NOTA!c"&amp;PAJAK[[#This Row],[//]],IF(PAJAK[[#This Row],[//]]="","",INDEX(INDIRECT("NOTA["&amp;PAJAK[#Headers]&amp;"]"),PAJAK[[#This Row],[//]]-2)))</f>
        <v>70</v>
      </c>
      <c r="C45" s="44" t="str">
        <f ca="1">IF(PAJAK[[#This Row],[//]]="","",INDEX(INDIRECT("NOTA["&amp;PAJAK[#Headers]&amp;"]"),PAJAK[[#This Row],[//]]-2))</f>
        <v>ATA_0305_285-1</v>
      </c>
      <c r="D45" s="44">
        <f ca="1">MATCH(PAJAK[[#This Row],[ID]],[4]!Table1[ID],0)</f>
        <v>50</v>
      </c>
      <c r="E45" s="152">
        <f ca="1">IF(PAJAK[[#This Row],[ID]]="","",COUNTIF(NOTA[ID_H],PAJAK[[#This Row],[ID]]))</f>
        <v>1</v>
      </c>
      <c r="F45" s="40" t="str">
        <f ca="1">IF(PAJAK[[#This Row],[//]]="","",INDEX(CONV[2],MATCH(INDEX(INDIRECT("NOTA["&amp;PAJAK[#Headers]&amp;"]"),PAJAK[[#This Row],[//]]-2),CONV[1],0),0))</f>
        <v>PT ATALI MAKMUR</v>
      </c>
      <c r="G45" s="42">
        <f ca="1">IF(PAJAK[[#This Row],[//]]="","",INDEX(NOTA[TGL_H],PAJAK[[#This Row],[//]]-2))</f>
        <v>45049</v>
      </c>
      <c r="H45" s="42">
        <f ca="1">IF(PAJAK[[#This Row],[//]]="","",INDEX(INDIRECT("NOTA["&amp;PAJAK[#Headers]&amp;"]"),PAJAK[[#This Row],[//]]-2))</f>
        <v>45029</v>
      </c>
      <c r="I45" s="41" t="str">
        <f ca="1">IF(PAJAK[[#This Row],[//]]="","",INDEX(INDIRECT("NOTA["&amp;PAJAK[#Headers]&amp;"]"),PAJAK[[#This Row],[//]]-2))</f>
        <v>SA230406285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76">
        <f ca="1">IF(PAJAK[[#This Row],[//]]="","",SUMIF(NOTA[ID_H],PAJAK[[#This Row],[ID]],NOTA[JUMLAH]))</f>
        <v>1413600</v>
      </c>
      <c r="L45" s="176">
        <f ca="1">IF(PAJAK[[#This Row],[//]]="","",SUMIF(NOTA[ID_H],PAJAK[[#This Row],[ID]],NOTA[DISC]))</f>
        <v>238545</v>
      </c>
      <c r="M45" s="176">
        <f ca="1">PAJAK[[#This Row],[SUB TOTAL]]-PAJAK[[#This Row],[DISKON]]</f>
        <v>1175055</v>
      </c>
      <c r="N45" s="176">
        <f ca="1">IF(PAJAK[[#This Row],[//]]="","",INDEX(INDIRECT("NOTA["&amp;PAJAK[#Headers]&amp;"]"),PAJAK[[#This Row],[//]]-2+PAJAK[[#This Row],[QB]]-1))</f>
        <v>0</v>
      </c>
      <c r="O45" s="176">
        <f ca="1">(PAJAK[[#This Row],[SUB T-DISC]]-PAJAK[[#This Row],[DISC DLL]])/111%</f>
        <v>1058608.1081081079</v>
      </c>
      <c r="P45" s="176">
        <f ca="1">PAJAK[[#This Row],[DPP]]*PAJAK[[#This Row],[PPN]]</f>
        <v>116446.89189189188</v>
      </c>
      <c r="Q45" s="176">
        <f ca="1">PAJAK[[#This Row],[DPP]]+PAJAK[[#This Row],[PPN 11%]]</f>
        <v>1175054.9999999998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359</v>
      </c>
      <c r="B46" s="153">
        <f ca="1">HYPERLINK("[NOTA_.XLSX]NOTA!c"&amp;PAJAK[[#This Row],[//]],IF(PAJAK[[#This Row],[//]]="","",INDEX(INDIRECT("NOTA["&amp;PAJAK[#Headers]&amp;"]"),PAJAK[[#This Row],[//]]-2)))</f>
        <v>71</v>
      </c>
      <c r="C46" s="44" t="str">
        <f ca="1">IF(PAJAK[[#This Row],[//]]="","",INDEX(INDIRECT("NOTA["&amp;PAJAK[#Headers]&amp;"]"),PAJAK[[#This Row],[//]]-2))</f>
        <v>ATA_0305_244-11</v>
      </c>
      <c r="D46" s="44">
        <f ca="1">MATCH(PAJAK[[#This Row],[ID]],[4]!Table1[ID],0)</f>
        <v>49</v>
      </c>
      <c r="E46" s="152">
        <f ca="1">IF(PAJAK[[#This Row],[ID]]="","",COUNTIF(NOTA[ID_H],PAJAK[[#This Row],[ID]]))</f>
        <v>11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45049</v>
      </c>
      <c r="H46" s="42">
        <f ca="1">IF(PAJAK[[#This Row],[//]]="","",INDEX(INDIRECT("NOTA["&amp;PAJAK[#Headers]&amp;"]"),PAJAK[[#This Row],[//]]-2))</f>
        <v>45029</v>
      </c>
      <c r="I46" s="41" t="str">
        <f ca="1">IF(PAJAK[[#This Row],[//]]="","",INDEX(INDIRECT("NOTA["&amp;PAJAK[#Headers]&amp;"]"),PAJAK[[#This Row],[//]]-2))</f>
        <v>SA230406244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76">
        <f ca="1">IF(PAJAK[[#This Row],[//]]="","",SUMIF(NOTA[ID_H],PAJAK[[#This Row],[ID]],NOTA[JUMLAH]))</f>
        <v>36703600</v>
      </c>
      <c r="L46" s="176">
        <f ca="1">IF(PAJAK[[#This Row],[//]]="","",SUMIF(NOTA[ID_H],PAJAK[[#This Row],[ID]],NOTA[DISC]))</f>
        <v>6193732.5</v>
      </c>
      <c r="M46" s="176">
        <f ca="1">PAJAK[[#This Row],[SUB TOTAL]]-PAJAK[[#This Row],[DISKON]]</f>
        <v>30509867.5</v>
      </c>
      <c r="N46" s="176">
        <f ca="1">IF(PAJAK[[#This Row],[//]]="","",INDEX(INDIRECT("NOTA["&amp;PAJAK[#Headers]&amp;"]"),PAJAK[[#This Row],[//]]-2+PAJAK[[#This Row],[QB]]-1))</f>
        <v>0</v>
      </c>
      <c r="O46" s="176">
        <f ca="1">(PAJAK[[#This Row],[SUB T-DISC]]-PAJAK[[#This Row],[DISC DLL]])/111%</f>
        <v>27486367.117117114</v>
      </c>
      <c r="P46" s="176">
        <f ca="1">PAJAK[[#This Row],[DPP]]*PAJAK[[#This Row],[PPN]]</f>
        <v>3023500.3828828824</v>
      </c>
      <c r="Q46" s="176">
        <f ca="1">PAJAK[[#This Row],[DPP]]+PAJAK[[#This Row],[PPN 11%]]</f>
        <v>30509867.499999996</v>
      </c>
      <c r="R46" s="43" t="str">
        <f ca="1">IF(ISNUMBER(PAJAK[[#This Row],[//]]),PPN,"")</f>
        <v>11%</v>
      </c>
    </row>
    <row r="47" spans="1:18" x14ac:dyDescent="0.25">
      <c r="A47" s="40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371</v>
      </c>
      <c r="B47" s="40">
        <f ca="1">HYPERLINK("[NOTA_.XLSX]NOTA!c"&amp;PAJAK[[#This Row],[//]],IF(PAJAK[[#This Row],[//]]="","",INDEX(INDIRECT("NOTA["&amp;PAJAK[#Headers]&amp;"]"),PAJAK[[#This Row],[//]]-2)))</f>
        <v>72</v>
      </c>
      <c r="C47" s="40" t="str">
        <f ca="1">IF(PAJAK[[#This Row],[//]]="","",INDEX(INDIRECT("NOTA["&amp;PAJAK[#Headers]&amp;"]"),PAJAK[[#This Row],[//]]-2))</f>
        <v>ATA_1204_930-1</v>
      </c>
      <c r="D47" s="40">
        <f ca="1">MATCH(PAJAK[[#This Row],[ID]],[4]!Table1[ID],0)</f>
        <v>36</v>
      </c>
      <c r="E47" s="41">
        <f ca="1">IF(PAJAK[[#This Row],[ID]]="","",COUNTIF(NOTA[ID_H],PAJAK[[#This Row],[ID]]))</f>
        <v>1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45028</v>
      </c>
      <c r="H47" s="42">
        <f ca="1">IF(PAJAK[[#This Row],[//]]="","",INDEX(INDIRECT("NOTA["&amp;PAJAK[#Headers]&amp;"]"),PAJAK[[#This Row],[//]]-2))</f>
        <v>45022</v>
      </c>
      <c r="I47" s="41" t="str">
        <f ca="1">IF(PAJAK[[#This Row],[//]]="","",INDEX(INDIRECT("NOTA["&amp;PAJAK[#Headers]&amp;"]"),PAJAK[[#This Row],[//]]-2))</f>
        <v>SA230405930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76">
        <f ca="1">IF(PAJAK[[#This Row],[//]]="","",SUMIF(NOTA[ID_H],PAJAK[[#This Row],[ID]],NOTA[JUMLAH]))</f>
        <v>3628800</v>
      </c>
      <c r="L47" s="176">
        <f ca="1">IF(PAJAK[[#This Row],[//]]="","",SUMIF(NOTA[ID_H],PAJAK[[#This Row],[ID]],NOTA[DISC]))</f>
        <v>612360</v>
      </c>
      <c r="M47" s="176">
        <f ca="1">PAJAK[[#This Row],[SUB TOTAL]]-PAJAK[[#This Row],[DISKON]]</f>
        <v>3016440</v>
      </c>
      <c r="N47" s="176">
        <f ca="1">IF(PAJAK[[#This Row],[//]]="","",INDEX(INDIRECT("NOTA["&amp;PAJAK[#Headers]&amp;"]"),PAJAK[[#This Row],[//]]-2+PAJAK[[#This Row],[QB]]-1))</f>
        <v>0</v>
      </c>
      <c r="O47" s="176">
        <f ca="1">(PAJAK[[#This Row],[SUB T-DISC]]-PAJAK[[#This Row],[DISC DLL]])/111%</f>
        <v>2717513.5135135134</v>
      </c>
      <c r="P47" s="176">
        <f ca="1">PAJAK[[#This Row],[DPP]]*PAJAK[[#This Row],[PPN]]</f>
        <v>298926.48648648645</v>
      </c>
      <c r="Q47" s="176">
        <f ca="1">PAJAK[[#This Row],[DPP]]+PAJAK[[#This Row],[PPN 11%]]</f>
        <v>3016440</v>
      </c>
      <c r="R47" s="43" t="str">
        <f ca="1">IF(ISNUMBER(PAJAK[[#This Row],[//]]),PPN,"")</f>
        <v>11%</v>
      </c>
    </row>
    <row r="48" spans="1:18" x14ac:dyDescent="0.25">
      <c r="A48" s="40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373</v>
      </c>
      <c r="B48" s="40">
        <f ca="1">HYPERLINK("[NOTA_.XLSX]NOTA!c"&amp;PAJAK[[#This Row],[//]],IF(PAJAK[[#This Row],[//]]="","",INDEX(INDIRECT("NOTA["&amp;PAJAK[#Headers]&amp;"]"),PAJAK[[#This Row],[//]]-2)))</f>
        <v>73</v>
      </c>
      <c r="C48" s="40" t="str">
        <f ca="1">IF(PAJAK[[#This Row],[//]]="","",INDEX(INDIRECT("NOTA["&amp;PAJAK[#Headers]&amp;"]"),PAJAK[[#This Row],[//]]-2))</f>
        <v>LAY_0304_010-1</v>
      </c>
      <c r="D48" s="40">
        <f ca="1">MATCH(PAJAK[[#This Row],[ID]],[4]!Table1[ID],0)</f>
        <v>23</v>
      </c>
      <c r="E48" s="41">
        <f ca="1">IF(PAJAK[[#This Row],[ID]]="","",COUNTIF(NOTA[ID_H],PAJAK[[#This Row],[ID]]))</f>
        <v>1</v>
      </c>
      <c r="F48" s="40" t="str">
        <f ca="1">IF(PAJAK[[#This Row],[//]]="","",INDEX(CONV[2],MATCH(INDEX(INDIRECT("NOTA["&amp;PAJAK[#Headers]&amp;"]"),PAJAK[[#This Row],[//]]-2),CONV[1],0),0))</f>
        <v>PT MITRA GLOBAL NIAGA</v>
      </c>
      <c r="G48" s="42">
        <f ca="1">IF(PAJAK[[#This Row],[//]]="","",INDEX(NOTA[TGL_H],PAJAK[[#This Row],[//]]-2))</f>
        <v>45019</v>
      </c>
      <c r="H48" s="42">
        <f ca="1">IF(PAJAK[[#This Row],[//]]="","",INDEX(INDIRECT("NOTA["&amp;PAJAK[#Headers]&amp;"]"),PAJAK[[#This Row],[//]]-2))</f>
        <v>45019</v>
      </c>
      <c r="I48" s="41" t="str">
        <f ca="1">IF(PAJAK[[#This Row],[//]]="","",INDEX(INDIRECT("NOTA["&amp;PAJAK[#Headers]&amp;"]"),PAJAK[[#This Row],[//]]-2))</f>
        <v>L104010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76">
        <f ca="1">IF(PAJAK[[#This Row],[//]]="","",SUMIF(NOTA[ID_H],PAJAK[[#This Row],[ID]],NOTA[JUMLAH]))</f>
        <v>6000000</v>
      </c>
      <c r="L48" s="176">
        <f ca="1">IF(PAJAK[[#This Row],[//]]="","",SUMIF(NOTA[ID_H],PAJAK[[#This Row],[ID]],NOTA[DISC]))</f>
        <v>0</v>
      </c>
      <c r="M48" s="176">
        <f ca="1">PAJAK[[#This Row],[SUB TOTAL]]-PAJAK[[#This Row],[DISKON]]</f>
        <v>6000000</v>
      </c>
      <c r="N48" s="176">
        <f ca="1">IF(PAJAK[[#This Row],[//]]="","",INDEX(INDIRECT("NOTA["&amp;PAJAK[#Headers]&amp;"]"),PAJAK[[#This Row],[//]]-2+PAJAK[[#This Row],[QB]]-1))</f>
        <v>0</v>
      </c>
      <c r="O48" s="176">
        <f ca="1">(PAJAK[[#This Row],[SUB T-DISC]]-PAJAK[[#This Row],[DISC DLL]])/111%</f>
        <v>5405405.405405405</v>
      </c>
      <c r="P48" s="176">
        <f ca="1">PAJAK[[#This Row],[DPP]]*PAJAK[[#This Row],[PPN]]</f>
        <v>594594.59459459456</v>
      </c>
      <c r="Q48" s="176">
        <f ca="1">PAJAK[[#This Row],[DPP]]+PAJAK[[#This Row],[PPN 11%]]</f>
        <v>6000000</v>
      </c>
      <c r="R48" s="43" t="str">
        <f ca="1">IF(ISNUMBER(PAJAK[[#This Row],[//]]),PPN,"")</f>
        <v>11%</v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Row],[ID]],[4]!Table1[ID],0)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76" t="str">
        <f ca="1">IF(PAJAK[[#This Row],[//]]="","",SUMIF(NOTA[ID_H],PAJAK[[#This Row],[ID]],NOTA[JUMLAH]))</f>
        <v/>
      </c>
      <c r="L49" s="176" t="str">
        <f ca="1">IF(PAJAK[[#This Row],[//]]="","",SUMIF(NOTA[ID_H],PAJAK[[#This Row],[ID]],NOTA[DISC]))</f>
        <v/>
      </c>
      <c r="M49" s="176" t="e">
        <f ca="1">PAJAK[[#This Row],[SUB TOTAL]]-PAJAK[[#This Row],[DISKON]]</f>
        <v>#VALUE!</v>
      </c>
      <c r="N49" s="176" t="str">
        <f ca="1">IF(PAJAK[[#This Row],[//]]="","",INDEX(INDIRECT("NOTA["&amp;PAJAK[#Headers]&amp;"]"),PAJAK[[#This Row],[//]]-2+PAJAK[[#This Row],[QB]]-1))</f>
        <v/>
      </c>
      <c r="O49" s="176" t="e">
        <f ca="1">(PAJAK[[#This Row],[SUB T-DISC]]-PAJAK[[#This Row],[DISC DLL]])/111%</f>
        <v>#VALUE!</v>
      </c>
      <c r="P49" s="176" t="e">
        <f ca="1">PAJAK[[#This Row],[DPP]]*PAJAK[[#This Row],[PPN]]</f>
        <v>#VALUE!</v>
      </c>
      <c r="Q49" s="176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Row],[ID]],[4]!Table1[ID],0)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76" t="str">
        <f ca="1">IF(PAJAK[[#This Row],[//]]="","",SUMIF(NOTA[ID_H],PAJAK[[#This Row],[ID]],NOTA[JUMLAH]))</f>
        <v/>
      </c>
      <c r="L50" s="176" t="str">
        <f ca="1">IF(PAJAK[[#This Row],[//]]="","",SUMIF(NOTA[ID_H],PAJAK[[#This Row],[ID]],NOTA[DISC]))</f>
        <v/>
      </c>
      <c r="M50" s="176" t="e">
        <f ca="1">PAJAK[[#This Row],[SUB TOTAL]]-PAJAK[[#This Row],[DISKON]]</f>
        <v>#VALUE!</v>
      </c>
      <c r="N50" s="176" t="str">
        <f ca="1">IF(PAJAK[[#This Row],[//]]="","",INDEX(INDIRECT("NOTA["&amp;PAJAK[#Headers]&amp;"]"),PAJAK[[#This Row],[//]]-2+PAJAK[[#This Row],[QB]]-1))</f>
        <v/>
      </c>
      <c r="O50" s="176" t="e">
        <f ca="1">(PAJAK[[#This Row],[SUB T-DISC]]-PAJAK[[#This Row],[DISC DLL]])/111%</f>
        <v>#VALUE!</v>
      </c>
      <c r="P50" s="176" t="e">
        <f ca="1">PAJAK[[#This Row],[DPP]]*PAJAK[[#This Row],[PPN]]</f>
        <v>#VALUE!</v>
      </c>
      <c r="Q50" s="176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0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40" t="str">
        <f ca="1">HYPERLINK("[NOTA_.XLSX]NOTA!c"&amp;PAJAK[[#This Row],[//]],IF(PAJAK[[#This Row],[//]]="","",INDEX(INDIRECT("NOTA["&amp;PAJAK[#Headers]&amp;"]"),PAJAK[[#This Row],[//]]-2)))</f>
        <v/>
      </c>
      <c r="C51" s="40" t="str">
        <f ca="1">IF(PAJAK[[#This Row],[//]]="","",INDEX(INDIRECT("NOTA["&amp;PAJAK[#Headers]&amp;"]"),PAJAK[[#This Row],[//]]-2))</f>
        <v/>
      </c>
      <c r="D51" s="40">
        <f ca="1">MATCH(PAJAK[[#This Row],[ID]],[4]!Table1[ID],0)</f>
        <v>1</v>
      </c>
      <c r="E51" s="41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76" t="str">
        <f ca="1">IF(PAJAK[[#This Row],[//]]="","",SUMIF(NOTA[ID_H],PAJAK[[#This Row],[ID]],NOTA[JUMLAH]))</f>
        <v/>
      </c>
      <c r="L51" s="176" t="str">
        <f ca="1">IF(PAJAK[[#This Row],[//]]="","",SUMIF(NOTA[ID_H],PAJAK[[#This Row],[ID]],NOTA[DISC]))</f>
        <v/>
      </c>
      <c r="M51" s="176" t="e">
        <f ca="1">PAJAK[[#This Row],[SUB TOTAL]]-PAJAK[[#This Row],[DISKON]]</f>
        <v>#VALUE!</v>
      </c>
      <c r="N51" s="176" t="str">
        <f ca="1">IF(PAJAK[[#This Row],[//]]="","",INDEX(INDIRECT("NOTA["&amp;PAJAK[#Headers]&amp;"]"),PAJAK[[#This Row],[//]]-2+PAJAK[[#This Row],[QB]]-1))</f>
        <v/>
      </c>
      <c r="O51" s="176" t="e">
        <f ca="1">(PAJAK[[#This Row],[SUB T-DISC]]-PAJAK[[#This Row],[DISC DLL]])/111%</f>
        <v>#VALUE!</v>
      </c>
      <c r="P51" s="176" t="e">
        <f ca="1">PAJAK[[#This Row],[DPP]]*PAJAK[[#This Row],[PPN]]</f>
        <v>#VALUE!</v>
      </c>
      <c r="Q51" s="176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4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3" t="str">
        <f ca="1">HYPERLINK("[NOTA_.XLSX]NOTA!c"&amp;PAJAK[[#This Row],[//]],IF(PAJAK[[#This Row],[//]]="","",INDEX(INDIRECT("NOTA["&amp;PAJAK[#Headers]&amp;"]"),PAJAK[[#This Row],[//]]-2)))</f>
        <v/>
      </c>
      <c r="C52" s="44" t="str">
        <f ca="1">IF(PAJAK[[#This Row],[//]]="","",INDEX(INDIRECT("NOTA["&amp;PAJAK[#Headers]&amp;"]"),PAJAK[[#This Row],[//]]-2))</f>
        <v/>
      </c>
      <c r="D52" s="44">
        <f ca="1">MATCH(PAJAK[[#This Row],[ID]],[4]!Table1[ID],0)</f>
        <v>1</v>
      </c>
      <c r="E52" s="152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76" t="str">
        <f ca="1">IF(PAJAK[[#This Row],[//]]="","",SUMIF(NOTA[ID_H],PAJAK[[#This Row],[ID]],NOTA[JUMLAH]))</f>
        <v/>
      </c>
      <c r="L52" s="176" t="str">
        <f ca="1">IF(PAJAK[[#This Row],[//]]="","",SUMIF(NOTA[ID_H],PAJAK[[#This Row],[ID]],NOTA[DISC]))</f>
        <v/>
      </c>
      <c r="M52" s="176" t="e">
        <f ca="1">PAJAK[[#This Row],[SUB TOTAL]]-PAJAK[[#This Row],[DISKON]]</f>
        <v>#VALUE!</v>
      </c>
      <c r="N52" s="176" t="str">
        <f ca="1">IF(PAJAK[[#This Row],[//]]="","",INDEX(INDIRECT("NOTA["&amp;PAJAK[#Headers]&amp;"]"),PAJAK[[#This Row],[//]]-2+PAJAK[[#This Row],[QB]]-1))</f>
        <v/>
      </c>
      <c r="O52" s="176" t="e">
        <f ca="1">(PAJAK[[#This Row],[SUB T-DISC]]-PAJAK[[#This Row],[DISC DLL]])/111%</f>
        <v>#VALUE!</v>
      </c>
      <c r="P52" s="176" t="e">
        <f ca="1">PAJAK[[#This Row],[DPP]]*PAJAK[[#This Row],[PPN]]</f>
        <v>#VALUE!</v>
      </c>
      <c r="Q52" s="176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4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3" t="str">
        <f ca="1">HYPERLINK("[NOTA_.XLSX]NOTA!c"&amp;PAJAK[[#This Row],[//]],IF(PAJAK[[#This Row],[//]]="","",INDEX(INDIRECT("NOTA["&amp;PAJAK[#Headers]&amp;"]"),PAJAK[[#This Row],[//]]-2)))</f>
        <v/>
      </c>
      <c r="C53" s="44" t="str">
        <f ca="1">IF(PAJAK[[#This Row],[//]]="","",INDEX(INDIRECT("NOTA["&amp;PAJAK[#Headers]&amp;"]"),PAJAK[[#This Row],[//]]-2))</f>
        <v/>
      </c>
      <c r="D53" s="44">
        <f ca="1">MATCH(PAJAK[[#This Row],[ID]],[4]!Table1[ID],0)</f>
        <v>1</v>
      </c>
      <c r="E53" s="152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76" t="str">
        <f ca="1">IF(PAJAK[[#This Row],[//]]="","",SUMIF(NOTA[ID_H],PAJAK[[#This Row],[ID]],NOTA[JUMLAH]))</f>
        <v/>
      </c>
      <c r="L53" s="176" t="str">
        <f ca="1">IF(PAJAK[[#This Row],[//]]="","",SUMIF(NOTA[ID_H],PAJAK[[#This Row],[ID]],NOTA[DISC]))</f>
        <v/>
      </c>
      <c r="M53" s="176" t="e">
        <f ca="1">PAJAK[[#This Row],[SUB TOTAL]]-PAJAK[[#This Row],[DISKON]]</f>
        <v>#VALUE!</v>
      </c>
      <c r="N53" s="176" t="str">
        <f ca="1">IF(PAJAK[[#This Row],[//]]="","",INDEX(INDIRECT("NOTA["&amp;PAJAK[#Headers]&amp;"]"),PAJAK[[#This Row],[//]]-2+PAJAK[[#This Row],[QB]]-1))</f>
        <v/>
      </c>
      <c r="O53" s="176" t="e">
        <f ca="1">(PAJAK[[#This Row],[SUB T-DISC]]-PAJAK[[#This Row],[DISC DLL]])/111%</f>
        <v>#VALUE!</v>
      </c>
      <c r="P53" s="176" t="e">
        <f ca="1">PAJAK[[#This Row],[DPP]]*PAJAK[[#This Row],[PPN]]</f>
        <v>#VALUE!</v>
      </c>
      <c r="Q53" s="176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0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40" t="str">
        <f ca="1">HYPERLINK("[NOTA_.XLSX]NOTA!c"&amp;PAJAK[[#This Row],[//]],IF(PAJAK[[#This Row],[//]]="","",INDEX(INDIRECT("NOTA["&amp;PAJAK[#Headers]&amp;"]"),PAJAK[[#This Row],[//]]-2)))</f>
        <v/>
      </c>
      <c r="C54" s="40" t="str">
        <f ca="1">IF(PAJAK[[#This Row],[//]]="","",INDEX(INDIRECT("NOTA["&amp;PAJAK[#Headers]&amp;"]"),PAJAK[[#This Row],[//]]-2))</f>
        <v/>
      </c>
      <c r="D54" s="40">
        <f ca="1">MATCH(PAJAK[[#This Row],[ID]],[4]!Table1[ID],0)</f>
        <v>1</v>
      </c>
      <c r="E54" s="41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76" t="str">
        <f ca="1">IF(PAJAK[[#This Row],[//]]="","",SUMIF(NOTA[ID_H],PAJAK[[#This Row],[ID]],NOTA[JUMLAH]))</f>
        <v/>
      </c>
      <c r="L54" s="176" t="str">
        <f ca="1">IF(PAJAK[[#This Row],[//]]="","",SUMIF(NOTA[ID_H],PAJAK[[#This Row],[ID]],NOTA[DISC]))</f>
        <v/>
      </c>
      <c r="M54" s="176" t="e">
        <f ca="1">PAJAK[[#This Row],[SUB TOTAL]]-PAJAK[[#This Row],[DISKON]]</f>
        <v>#VALUE!</v>
      </c>
      <c r="N54" s="176" t="str">
        <f ca="1">IF(PAJAK[[#This Row],[//]]="","",INDEX(INDIRECT("NOTA["&amp;PAJAK[#Headers]&amp;"]"),PAJAK[[#This Row],[//]]-2+PAJAK[[#This Row],[QB]]-1))</f>
        <v/>
      </c>
      <c r="O54" s="176" t="e">
        <f ca="1">(PAJAK[[#This Row],[SUB T-DISC]]-PAJAK[[#This Row],[DISC DLL]])/111%</f>
        <v>#VALUE!</v>
      </c>
      <c r="P54" s="176" t="e">
        <f ca="1">PAJAK[[#This Row],[DPP]]*PAJAK[[#This Row],[PPN]]</f>
        <v>#VALUE!</v>
      </c>
      <c r="Q54" s="176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Row],[ID]],[4]!Table1[ID],0)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76" t="str">
        <f ca="1">IF(PAJAK[[#This Row],[//]]="","",SUMIF(NOTA[ID_H],PAJAK[[#This Row],[ID]],NOTA[JUMLAH]))</f>
        <v/>
      </c>
      <c r="L55" s="176" t="str">
        <f ca="1">IF(PAJAK[[#This Row],[//]]="","",SUMIF(NOTA[ID_H],PAJAK[[#This Row],[ID]],NOTA[DISC]))</f>
        <v/>
      </c>
      <c r="M55" s="176" t="e">
        <f ca="1">PAJAK[[#This Row],[SUB TOTAL]]-PAJAK[[#This Row],[DISKON]]</f>
        <v>#VALUE!</v>
      </c>
      <c r="N55" s="176" t="str">
        <f ca="1">IF(PAJAK[[#This Row],[//]]="","",INDEX(INDIRECT("NOTA["&amp;PAJAK[#Headers]&amp;"]"),PAJAK[[#This Row],[//]]-2+PAJAK[[#This Row],[QB]]-1))</f>
        <v/>
      </c>
      <c r="O55" s="176" t="e">
        <f ca="1">(PAJAK[[#This Row],[SUB T-DISC]]-PAJAK[[#This Row],[DISC DLL]])/111%</f>
        <v>#VALUE!</v>
      </c>
      <c r="P55" s="176" t="e">
        <f ca="1">PAJAK[[#This Row],[DPP]]*PAJAK[[#This Row],[PPN]]</f>
        <v>#VALUE!</v>
      </c>
      <c r="Q55" s="176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Row],[ID]],[4]!Table1[ID],0)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76" t="str">
        <f ca="1">IF(PAJAK[[#This Row],[//]]="","",SUMIF(NOTA[ID_H],PAJAK[[#This Row],[ID]],NOTA[JUMLAH]))</f>
        <v/>
      </c>
      <c r="L56" s="176" t="str">
        <f ca="1">IF(PAJAK[[#This Row],[//]]="","",SUMIF(NOTA[ID_H],PAJAK[[#This Row],[ID]],NOTA[DISC]))</f>
        <v/>
      </c>
      <c r="M56" s="176" t="e">
        <f ca="1">PAJAK[[#This Row],[SUB TOTAL]]-PAJAK[[#This Row],[DISKON]]</f>
        <v>#VALUE!</v>
      </c>
      <c r="N56" s="176" t="str">
        <f ca="1">IF(PAJAK[[#This Row],[//]]="","",INDEX(INDIRECT("NOTA["&amp;PAJAK[#Headers]&amp;"]"),PAJAK[[#This Row],[//]]-2+PAJAK[[#This Row],[QB]]-1))</f>
        <v/>
      </c>
      <c r="O56" s="176" t="e">
        <f ca="1">(PAJAK[[#This Row],[SUB T-DISC]]-PAJAK[[#This Row],[DISC DLL]])/111%</f>
        <v>#VALUE!</v>
      </c>
      <c r="P56" s="176" t="e">
        <f ca="1">PAJAK[[#This Row],[DPP]]*PAJAK[[#This Row],[PPN]]</f>
        <v>#VALUE!</v>
      </c>
      <c r="Q56" s="176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0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40" t="str">
        <f ca="1">HYPERLINK("[NOTA_.XLSX]NOTA!c"&amp;PAJAK[[#This Row],[//]],IF(PAJAK[[#This Row],[//]]="","",INDEX(INDIRECT("NOTA["&amp;PAJAK[#Headers]&amp;"]"),PAJAK[[#This Row],[//]]-2)))</f>
        <v/>
      </c>
      <c r="C57" s="40" t="str">
        <f ca="1">IF(PAJAK[[#This Row],[//]]="","",INDEX(INDIRECT("NOTA["&amp;PAJAK[#Headers]&amp;"]"),PAJAK[[#This Row],[//]]-2))</f>
        <v/>
      </c>
      <c r="D57" s="40">
        <f ca="1">MATCH(PAJAK[[#This Row],[ID]],[4]!Table1[ID],0)</f>
        <v>1</v>
      </c>
      <c r="E57" s="41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76" t="str">
        <f ca="1">IF(PAJAK[[#This Row],[//]]="","",SUMIF(NOTA[ID_H],PAJAK[[#This Row],[ID]],NOTA[JUMLAH]))</f>
        <v/>
      </c>
      <c r="L57" s="176" t="str">
        <f ca="1">IF(PAJAK[[#This Row],[//]]="","",SUMIF(NOTA[ID_H],PAJAK[[#This Row],[ID]],NOTA[DISC]))</f>
        <v/>
      </c>
      <c r="M57" s="176" t="e">
        <f ca="1">PAJAK[[#This Row],[SUB TOTAL]]-PAJAK[[#This Row],[DISKON]]</f>
        <v>#VALUE!</v>
      </c>
      <c r="N57" s="176" t="str">
        <f ca="1">IF(PAJAK[[#This Row],[//]]="","",INDEX(INDIRECT("NOTA["&amp;PAJAK[#Headers]&amp;"]"),PAJAK[[#This Row],[//]]-2+PAJAK[[#This Row],[QB]]-1))</f>
        <v/>
      </c>
      <c r="O57" s="176" t="e">
        <f ca="1">(PAJAK[[#This Row],[SUB T-DISC]]-PAJAK[[#This Row],[DISC DLL]])/111%</f>
        <v>#VALUE!</v>
      </c>
      <c r="P57" s="176" t="e">
        <f ca="1">PAJAK[[#This Row],[DPP]]*PAJAK[[#This Row],[PPN]]</f>
        <v>#VALUE!</v>
      </c>
      <c r="Q57" s="176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Row],[ID]],[4]!Table1[ID],0)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76" t="str">
        <f ca="1">IF(PAJAK[[#This Row],[//]]="","",SUMIF(NOTA[ID_H],PAJAK[[#This Row],[ID]],NOTA[JUMLAH]))</f>
        <v/>
      </c>
      <c r="L58" s="176" t="str">
        <f ca="1">IF(PAJAK[[#This Row],[//]]="","",SUMIF(NOTA[ID_H],PAJAK[[#This Row],[ID]],NOTA[DISC]))</f>
        <v/>
      </c>
      <c r="M58" s="176" t="e">
        <f ca="1">PAJAK[[#This Row],[SUB TOTAL]]-PAJAK[[#This Row],[DISKON]]</f>
        <v>#VALUE!</v>
      </c>
      <c r="N58" s="176" t="str">
        <f ca="1">IF(PAJAK[[#This Row],[//]]="","",INDEX(INDIRECT("NOTA["&amp;PAJAK[#Headers]&amp;"]"),PAJAK[[#This Row],[//]]-2+PAJAK[[#This Row],[QB]]-1))</f>
        <v/>
      </c>
      <c r="O58" s="176" t="e">
        <f ca="1">(PAJAK[[#This Row],[SUB T-DISC]]-PAJAK[[#This Row],[DISC DLL]])/111%</f>
        <v>#VALUE!</v>
      </c>
      <c r="P58" s="176" t="e">
        <f ca="1">PAJAK[[#This Row],[DPP]]*PAJAK[[#This Row],[PPN]]</f>
        <v>#VALUE!</v>
      </c>
      <c r="Q58" s="176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0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4" t="str">
        <f ca="1">HYPERLINK("[NOTA_.XLSX]NOTA!c"&amp;PAJAK[[#This Row],[//]],IF(PAJAK[[#This Row],[//]]="","",INDEX(INDIRECT("NOTA["&amp;PAJAK[#Headers]&amp;"]"),PAJAK[[#This Row],[//]]-2)))</f>
        <v/>
      </c>
      <c r="C59" s="40" t="str">
        <f ca="1">IF(PAJAK[[#This Row],[//]]="","",INDEX(INDIRECT("NOTA["&amp;PAJAK[#Headers]&amp;"]"),PAJAK[[#This Row],[//]]-2))</f>
        <v/>
      </c>
      <c r="D59" s="40">
        <f ca="1">MATCH(PAJAK[[#This Row],[ID]],[4]!Table1[ID],0)</f>
        <v>1</v>
      </c>
      <c r="E59" s="41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76" t="str">
        <f ca="1">IF(PAJAK[[#This Row],[//]]="","",SUMIF(NOTA[ID_H],PAJAK[[#This Row],[ID]],NOTA[JUMLAH]))</f>
        <v/>
      </c>
      <c r="L59" s="176" t="str">
        <f ca="1">IF(PAJAK[[#This Row],[//]]="","",SUMIF(NOTA[ID_H],PAJAK[[#This Row],[ID]],NOTA[DISC]))</f>
        <v/>
      </c>
      <c r="M59" s="176" t="e">
        <f ca="1">PAJAK[[#This Row],[SUB TOTAL]]-PAJAK[[#This Row],[DISKON]]</f>
        <v>#VALUE!</v>
      </c>
      <c r="N59" s="176" t="str">
        <f ca="1">IF(PAJAK[[#This Row],[//]]="","",INDEX(INDIRECT("NOTA["&amp;PAJAK[#Headers]&amp;"]"),PAJAK[[#This Row],[//]]-2+PAJAK[[#This Row],[QB]]-1))</f>
        <v/>
      </c>
      <c r="O59" s="176" t="e">
        <f ca="1">(PAJAK[[#This Row],[SUB T-DISC]]-PAJAK[[#This Row],[DISC DLL]])/111%</f>
        <v>#VALUE!</v>
      </c>
      <c r="P59" s="176" t="e">
        <f ca="1">PAJAK[[#This Row],[DPP]]*PAJAK[[#This Row],[PPN]]</f>
        <v>#VALUE!</v>
      </c>
      <c r="Q59" s="176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Row],[ID]],[4]!Table1[ID],0)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76" t="str">
        <f ca="1">IF(PAJAK[[#This Row],[//]]="","",SUMIF(NOTA[ID_H],PAJAK[[#This Row],[ID]],NOTA[JUMLAH]))</f>
        <v/>
      </c>
      <c r="L60" s="176" t="str">
        <f ca="1">IF(PAJAK[[#This Row],[//]]="","",SUMIF(NOTA[ID_H],PAJAK[[#This Row],[ID]],NOTA[DISC]))</f>
        <v/>
      </c>
      <c r="M60" s="176" t="e">
        <f ca="1">PAJAK[[#This Row],[SUB TOTAL]]-PAJAK[[#This Row],[DISKON]]</f>
        <v>#VALUE!</v>
      </c>
      <c r="N60" s="176" t="str">
        <f ca="1">IF(PAJAK[[#This Row],[//]]="","",INDEX(INDIRECT("NOTA["&amp;PAJAK[#Headers]&amp;"]"),PAJAK[[#This Row],[//]]-2+PAJAK[[#This Row],[QB]]-1))</f>
        <v/>
      </c>
      <c r="O60" s="176" t="e">
        <f ca="1">(PAJAK[[#This Row],[SUB T-DISC]]-PAJAK[[#This Row],[DISC DLL]])/111%</f>
        <v>#VALUE!</v>
      </c>
      <c r="P60" s="176" t="e">
        <f ca="1">PAJAK[[#This Row],[DPP]]*PAJAK[[#This Row],[PPN]]</f>
        <v>#VALUE!</v>
      </c>
      <c r="Q60" s="176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Row],[ID]],[4]!Table1[ID],0)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76" t="str">
        <f ca="1">IF(PAJAK[[#This Row],[//]]="","",SUMIF(NOTA[ID_H],PAJAK[[#This Row],[ID]],NOTA[JUMLAH]))</f>
        <v/>
      </c>
      <c r="L61" s="176" t="str">
        <f ca="1">IF(PAJAK[[#This Row],[//]]="","",SUMIF(NOTA[ID_H],PAJAK[[#This Row],[ID]],NOTA[DISC]))</f>
        <v/>
      </c>
      <c r="M61" s="176" t="e">
        <f ca="1">PAJAK[[#This Row],[SUB TOTAL]]-PAJAK[[#This Row],[DISKON]]</f>
        <v>#VALUE!</v>
      </c>
      <c r="N61" s="176" t="str">
        <f ca="1">IF(PAJAK[[#This Row],[//]]="","",INDEX(INDIRECT("NOTA["&amp;PAJAK[#Headers]&amp;"]"),PAJAK[[#This Row],[//]]-2+PAJAK[[#This Row],[QB]]-1))</f>
        <v/>
      </c>
      <c r="O61" s="176" t="e">
        <f ca="1">(PAJAK[[#This Row],[SUB T-DISC]]-PAJAK[[#This Row],[DISC DLL]])/111%</f>
        <v>#VALUE!</v>
      </c>
      <c r="P61" s="176" t="e">
        <f ca="1">PAJAK[[#This Row],[DPP]]*PAJAK[[#This Row],[PPN]]</f>
        <v>#VALUE!</v>
      </c>
      <c r="Q61" s="176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4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3" t="str">
        <f ca="1">HYPERLINK("[NOTA_.XLSX]NOTA!c"&amp;PAJAK[[#This Row],[//]],IF(PAJAK[[#This Row],[//]]="","",INDEX(INDIRECT("NOTA["&amp;PAJAK[#Headers]&amp;"]"),PAJAK[[#This Row],[//]]-2)))</f>
        <v/>
      </c>
      <c r="C62" s="44" t="str">
        <f ca="1">IF(PAJAK[[#This Row],[//]]="","",INDEX(INDIRECT("NOTA["&amp;PAJAK[#Headers]&amp;"]"),PAJAK[[#This Row],[//]]-2))</f>
        <v/>
      </c>
      <c r="D62" s="44">
        <f ca="1">MATCH(PAJAK[[#This Row],[ID]],[4]!Table1[ID],0)</f>
        <v>1</v>
      </c>
      <c r="E62" s="152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76" t="str">
        <f ca="1">IF(PAJAK[[#This Row],[//]]="","",SUMIF(NOTA[ID_H],PAJAK[[#This Row],[ID]],NOTA[JUMLAH]))</f>
        <v/>
      </c>
      <c r="L62" s="176" t="str">
        <f ca="1">IF(PAJAK[[#This Row],[//]]="","",SUMIF(NOTA[ID_H],PAJAK[[#This Row],[ID]],NOTA[DISC]))</f>
        <v/>
      </c>
      <c r="M62" s="176" t="e">
        <f ca="1">PAJAK[[#This Row],[SUB TOTAL]]-PAJAK[[#This Row],[DISKON]]</f>
        <v>#VALUE!</v>
      </c>
      <c r="N62" s="176" t="str">
        <f ca="1">IF(PAJAK[[#This Row],[//]]="","",INDEX(INDIRECT("NOTA["&amp;PAJAK[#Headers]&amp;"]"),PAJAK[[#This Row],[//]]-2+PAJAK[[#This Row],[QB]]-1))</f>
        <v/>
      </c>
      <c r="O62" s="176" t="e">
        <f ca="1">(PAJAK[[#This Row],[SUB T-DISC]]-PAJAK[[#This Row],[DISC DLL]])/111%</f>
        <v>#VALUE!</v>
      </c>
      <c r="P62" s="176" t="e">
        <f ca="1">PAJAK[[#This Row],[DPP]]*PAJAK[[#This Row],[PPN]]</f>
        <v>#VALUE!</v>
      </c>
      <c r="Q62" s="176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4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3" t="str">
        <f ca="1">HYPERLINK("[NOTA_.XLSX]NOTA!c"&amp;PAJAK[[#This Row],[//]],IF(PAJAK[[#This Row],[//]]="","",INDEX(INDIRECT("NOTA["&amp;PAJAK[#Headers]&amp;"]"),PAJAK[[#This Row],[//]]-2)))</f>
        <v/>
      </c>
      <c r="C63" s="44" t="str">
        <f ca="1">IF(PAJAK[[#This Row],[//]]="","",INDEX(INDIRECT("NOTA["&amp;PAJAK[#Headers]&amp;"]"),PAJAK[[#This Row],[//]]-2))</f>
        <v/>
      </c>
      <c r="D63" s="44">
        <f ca="1">MATCH(PAJAK[[#This Row],[ID]],[4]!Table1[ID],0)</f>
        <v>1</v>
      </c>
      <c r="E63" s="152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76" t="str">
        <f ca="1">IF(PAJAK[[#This Row],[//]]="","",SUMIF(NOTA[ID_H],PAJAK[[#This Row],[ID]],NOTA[JUMLAH]))</f>
        <v/>
      </c>
      <c r="L63" s="176" t="str">
        <f ca="1">IF(PAJAK[[#This Row],[//]]="","",SUMIF(NOTA[ID_H],PAJAK[[#This Row],[ID]],NOTA[DISC]))</f>
        <v/>
      </c>
      <c r="M63" s="176" t="e">
        <f ca="1">PAJAK[[#This Row],[SUB TOTAL]]-PAJAK[[#This Row],[DISKON]]</f>
        <v>#VALUE!</v>
      </c>
      <c r="N63" s="176" t="str">
        <f ca="1">IF(PAJAK[[#This Row],[//]]="","",INDEX(INDIRECT("NOTA["&amp;PAJAK[#Headers]&amp;"]"),PAJAK[[#This Row],[//]]-2+PAJAK[[#This Row],[QB]]-1))</f>
        <v/>
      </c>
      <c r="O63" s="176" t="e">
        <f ca="1">(PAJAK[[#This Row],[SUB T-DISC]]-PAJAK[[#This Row],[DISC DLL]])/111%</f>
        <v>#VALUE!</v>
      </c>
      <c r="P63" s="176" t="e">
        <f ca="1">PAJAK[[#This Row],[DPP]]*PAJAK[[#This Row],[PPN]]</f>
        <v>#VALUE!</v>
      </c>
      <c r="Q63" s="176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53" t="str">
        <f ca="1">HYPERLINK("[NOTA_.XLSX]NOTA!c"&amp;PAJAK[[#This Row],[//]],IF(PAJAK[[#This Row],[//]]="","",INDEX(INDIRECT("NOTA["&amp;PAJAK[#Headers]&amp;"]"),PAJAK[[#This Row],[//]]-2)))</f>
        <v/>
      </c>
      <c r="C64" s="44" t="str">
        <f ca="1">IF(PAJAK[[#This Row],[//]]="","",INDEX(INDIRECT("NOTA["&amp;PAJAK[#Headers]&amp;"]"),PAJAK[[#This Row],[//]]-2))</f>
        <v/>
      </c>
      <c r="D64" s="44">
        <f ca="1">MATCH(PAJAK[[#This Row],[ID]],[4]!Table1[ID],0)</f>
        <v>1</v>
      </c>
      <c r="E64" s="152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76" t="str">
        <f ca="1">IF(PAJAK[[#This Row],[//]]="","",SUMIF(NOTA[ID_H],PAJAK[[#This Row],[ID]],NOTA[JUMLAH]))</f>
        <v/>
      </c>
      <c r="L64" s="176" t="str">
        <f ca="1">IF(PAJAK[[#This Row],[//]]="","",SUMIF(NOTA[ID_H],PAJAK[[#This Row],[ID]],NOTA[DISC]))</f>
        <v/>
      </c>
      <c r="M64" s="176" t="e">
        <f ca="1">PAJAK[[#This Row],[SUB TOTAL]]-PAJAK[[#This Row],[DISKON]]</f>
        <v>#VALUE!</v>
      </c>
      <c r="N64" s="176" t="str">
        <f ca="1">IF(PAJAK[[#This Row],[//]]="","",INDEX(INDIRECT("NOTA["&amp;PAJAK[#Headers]&amp;"]"),PAJAK[[#This Row],[//]]-2+PAJAK[[#This Row],[QB]]-1))</f>
        <v/>
      </c>
      <c r="O64" s="176" t="e">
        <f ca="1">(PAJAK[[#This Row],[SUB T-DISC]]-PAJAK[[#This Row],[DISC DLL]])/111%</f>
        <v>#VALUE!</v>
      </c>
      <c r="P64" s="176" t="e">
        <f ca="1">PAJAK[[#This Row],[DPP]]*PAJAK[[#This Row],[PPN]]</f>
        <v>#VALUE!</v>
      </c>
      <c r="Q64" s="176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4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3" t="str">
        <f ca="1">HYPERLINK("[NOTA_.XLSX]NOTA!c"&amp;PAJAK[[#This Row],[//]],IF(PAJAK[[#This Row],[//]]="","",INDEX(INDIRECT("NOTA["&amp;PAJAK[#Headers]&amp;"]"),PAJAK[[#This Row],[//]]-2)))</f>
        <v/>
      </c>
      <c r="C65" s="44" t="str">
        <f ca="1">IF(PAJAK[[#This Row],[//]]="","",INDEX(INDIRECT("NOTA["&amp;PAJAK[#Headers]&amp;"]"),PAJAK[[#This Row],[//]]-2))</f>
        <v/>
      </c>
      <c r="D65" s="44">
        <f ca="1">MATCH(PAJAK[[#This Row],[ID]],[4]!Table1[ID],0)</f>
        <v>1</v>
      </c>
      <c r="E65" s="152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76" t="str">
        <f ca="1">IF(PAJAK[[#This Row],[//]]="","",SUMIF(NOTA[ID_H],PAJAK[[#This Row],[ID]],NOTA[JUMLAH]))</f>
        <v/>
      </c>
      <c r="L65" s="176" t="str">
        <f ca="1">IF(PAJAK[[#This Row],[//]]="","",SUMIF(NOTA[ID_H],PAJAK[[#This Row],[ID]],NOTA[DISC]))</f>
        <v/>
      </c>
      <c r="M65" s="176" t="e">
        <f ca="1">PAJAK[[#This Row],[SUB TOTAL]]-PAJAK[[#This Row],[DISKON]]</f>
        <v>#VALUE!</v>
      </c>
      <c r="N65" s="176" t="str">
        <f ca="1">IF(PAJAK[[#This Row],[//]]="","",INDEX(INDIRECT("NOTA["&amp;PAJAK[#Headers]&amp;"]"),PAJAK[[#This Row],[//]]-2+PAJAK[[#This Row],[QB]]-1))</f>
        <v/>
      </c>
      <c r="O65" s="176" t="e">
        <f ca="1">(PAJAK[[#This Row],[SUB T-DISC]]-PAJAK[[#This Row],[DISC DLL]])/111%</f>
        <v>#VALUE!</v>
      </c>
      <c r="P65" s="176" t="e">
        <f ca="1">PAJAK[[#This Row],[DPP]]*PAJAK[[#This Row],[PPN]]</f>
        <v>#VALUE!</v>
      </c>
      <c r="Q65" s="176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4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53" t="str">
        <f ca="1">HYPERLINK("[NOTA_.XLSX]NOTA!c"&amp;PAJAK[[#This Row],[//]],IF(PAJAK[[#This Row],[//]]="","",INDEX(INDIRECT("NOTA["&amp;PAJAK[#Headers]&amp;"]"),PAJAK[[#This Row],[//]]-2)))</f>
        <v/>
      </c>
      <c r="C66" s="44" t="str">
        <f ca="1">IF(PAJAK[[#This Row],[//]]="","",INDEX(INDIRECT("NOTA["&amp;PAJAK[#Headers]&amp;"]"),PAJAK[[#This Row],[//]]-2))</f>
        <v/>
      </c>
      <c r="D66" s="44">
        <f ca="1">MATCH(PAJAK[[#This Row],[ID]],[4]!Table1[ID],0)</f>
        <v>1</v>
      </c>
      <c r="E66" s="152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76" t="str">
        <f ca="1">IF(PAJAK[[#This Row],[//]]="","",SUMIF(NOTA[ID_H],PAJAK[[#This Row],[ID]],NOTA[JUMLAH]))</f>
        <v/>
      </c>
      <c r="L66" s="176" t="str">
        <f ca="1">IF(PAJAK[[#This Row],[//]]="","",SUMIF(NOTA[ID_H],PAJAK[[#This Row],[ID]],NOTA[DISC]))</f>
        <v/>
      </c>
      <c r="M66" s="176" t="e">
        <f ca="1">PAJAK[[#This Row],[SUB TOTAL]]-PAJAK[[#This Row],[DISKON]]</f>
        <v>#VALUE!</v>
      </c>
      <c r="N66" s="176" t="str">
        <f ca="1">IF(PAJAK[[#This Row],[//]]="","",INDEX(INDIRECT("NOTA["&amp;PAJAK[#Headers]&amp;"]"),PAJAK[[#This Row],[//]]-2+PAJAK[[#This Row],[QB]]-1))</f>
        <v/>
      </c>
      <c r="O66" s="176" t="e">
        <f ca="1">(PAJAK[[#This Row],[SUB T-DISC]]-PAJAK[[#This Row],[DISC DLL]])/111%</f>
        <v>#VALUE!</v>
      </c>
      <c r="P66" s="176" t="e">
        <f ca="1">PAJAK[[#This Row],[DPP]]*PAJAK[[#This Row],[PPN]]</f>
        <v>#VALUE!</v>
      </c>
      <c r="Q66" s="176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0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4" t="str">
        <f ca="1">HYPERLINK("[NOTA_.XLSX]NOTA!c"&amp;PAJAK[[#This Row],[//]],IF(PAJAK[[#This Row],[//]]="","",INDEX(INDIRECT("NOTA["&amp;PAJAK[#Headers]&amp;"]"),PAJAK[[#This Row],[//]]-2)))</f>
        <v/>
      </c>
      <c r="C67" s="40" t="str">
        <f ca="1">IF(PAJAK[[#This Row],[//]]="","",INDEX(INDIRECT("NOTA["&amp;PAJAK[#Headers]&amp;"]"),PAJAK[[#This Row],[//]]-2))</f>
        <v/>
      </c>
      <c r="D67" s="40">
        <f ca="1">MATCH(PAJAK[[#This Row],[ID]],[4]!Table1[ID],0)</f>
        <v>1</v>
      </c>
      <c r="E67" s="41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76" t="str">
        <f ca="1">IF(PAJAK[[#This Row],[//]]="","",SUMIF(NOTA[ID_H],PAJAK[[#This Row],[ID]],NOTA[JUMLAH]))</f>
        <v/>
      </c>
      <c r="L67" s="176" t="str">
        <f ca="1">IF(PAJAK[[#This Row],[//]]="","",SUMIF(NOTA[ID_H],PAJAK[[#This Row],[ID]],NOTA[DISC]))</f>
        <v/>
      </c>
      <c r="M67" s="176" t="e">
        <f ca="1">PAJAK[[#This Row],[SUB TOTAL]]-PAJAK[[#This Row],[DISKON]]</f>
        <v>#VALUE!</v>
      </c>
      <c r="N67" s="176" t="str">
        <f ca="1">IF(PAJAK[[#This Row],[//]]="","",INDEX(INDIRECT("NOTA["&amp;PAJAK[#Headers]&amp;"]"),PAJAK[[#This Row],[//]]-2+PAJAK[[#This Row],[QB]]-1))</f>
        <v/>
      </c>
      <c r="O67" s="176" t="e">
        <f ca="1">(PAJAK[[#This Row],[SUB T-DISC]]-PAJAK[[#This Row],[DISC DLL]])/111%</f>
        <v>#VALUE!</v>
      </c>
      <c r="P67" s="176" t="e">
        <f ca="1">PAJAK[[#This Row],[DPP]]*PAJAK[[#This Row],[PPN]]</f>
        <v>#VALUE!</v>
      </c>
      <c r="Q67" s="176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Row],[ID]],[4]!Table1[ID],0)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76" t="str">
        <f ca="1">IF(PAJAK[[#This Row],[//]]="","",SUMIF(NOTA[ID_H],PAJAK[[#This Row],[ID]],NOTA[JUMLAH]))</f>
        <v/>
      </c>
      <c r="L68" s="176" t="str">
        <f ca="1">IF(PAJAK[[#This Row],[//]]="","",SUMIF(NOTA[ID_H],PAJAK[[#This Row],[ID]],NOTA[DISC]))</f>
        <v/>
      </c>
      <c r="M68" s="176" t="e">
        <f ca="1">PAJAK[[#This Row],[SUB TOTAL]]-PAJAK[[#This Row],[DISKON]]</f>
        <v>#VALUE!</v>
      </c>
      <c r="N68" s="176" t="str">
        <f ca="1">IF(PAJAK[[#This Row],[//]]="","",INDEX(INDIRECT("NOTA["&amp;PAJAK[#Headers]&amp;"]"),PAJAK[[#This Row],[//]]-2+PAJAK[[#This Row],[QB]]-1))</f>
        <v/>
      </c>
      <c r="O68" s="176" t="e">
        <f ca="1">(PAJAK[[#This Row],[SUB T-DISC]]-PAJAK[[#This Row],[DISC DLL]])/111%</f>
        <v>#VALUE!</v>
      </c>
      <c r="P68" s="176" t="e">
        <f ca="1">PAJAK[[#This Row],[DPP]]*PAJAK[[#This Row],[PPN]]</f>
        <v>#VALUE!</v>
      </c>
      <c r="Q68" s="176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4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3" t="str">
        <f ca="1">HYPERLINK("[NOTA_.XLSX]NOTA!c"&amp;PAJAK[[#This Row],[//]],IF(PAJAK[[#This Row],[//]]="","",INDEX(INDIRECT("NOTA["&amp;PAJAK[#Headers]&amp;"]"),PAJAK[[#This Row],[//]]-2)))</f>
        <v/>
      </c>
      <c r="C69" s="44" t="str">
        <f ca="1">IF(PAJAK[[#This Row],[//]]="","",INDEX(INDIRECT("NOTA["&amp;PAJAK[#Headers]&amp;"]"),PAJAK[[#This Row],[//]]-2))</f>
        <v/>
      </c>
      <c r="D69" s="44">
        <f ca="1">MATCH(PAJAK[[#This Row],[ID]],[4]!Table1[ID],0)</f>
        <v>1</v>
      </c>
      <c r="E69" s="152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76" t="str">
        <f ca="1">IF(PAJAK[[#This Row],[//]]="","",SUMIF(NOTA[ID_H],PAJAK[[#This Row],[ID]],NOTA[JUMLAH]))</f>
        <v/>
      </c>
      <c r="L69" s="176" t="str">
        <f ca="1">IF(PAJAK[[#This Row],[//]]="","",SUMIF(NOTA[ID_H],PAJAK[[#This Row],[ID]],NOTA[DISC]))</f>
        <v/>
      </c>
      <c r="M69" s="176" t="e">
        <f ca="1">PAJAK[[#This Row],[SUB TOTAL]]-PAJAK[[#This Row],[DISKON]]</f>
        <v>#VALUE!</v>
      </c>
      <c r="N69" s="176" t="str">
        <f ca="1">IF(PAJAK[[#This Row],[//]]="","",INDEX(INDIRECT("NOTA["&amp;PAJAK[#Headers]&amp;"]"),PAJAK[[#This Row],[//]]-2+PAJAK[[#This Row],[QB]]-1))</f>
        <v/>
      </c>
      <c r="O69" s="176" t="e">
        <f ca="1">(PAJAK[[#This Row],[SUB T-DISC]]-PAJAK[[#This Row],[DISC DLL]])/111%</f>
        <v>#VALUE!</v>
      </c>
      <c r="P69" s="176" t="e">
        <f ca="1">PAJAK[[#This Row],[DPP]]*PAJAK[[#This Row],[PPN]]</f>
        <v>#VALUE!</v>
      </c>
      <c r="Q69" s="176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4" t="str">
        <f ca="1">HYPERLINK("[NOTA_.XLSX]NOTA!c"&amp;PAJAK[[#This Row],[//]],IF(PAJAK[[#This Row],[//]]="","",INDEX(INDIRECT("NOTA["&amp;PAJAK[#Headers]&amp;"]"),PAJAK[[#This Row],[//]]-2)))</f>
        <v/>
      </c>
      <c r="C70" s="40" t="str">
        <f ca="1">IF(PAJAK[[#This Row],[//]]="","",INDEX(INDIRECT("NOTA["&amp;PAJAK[#Headers]&amp;"]"),PAJAK[[#This Row],[//]]-2))</f>
        <v/>
      </c>
      <c r="D70" s="40">
        <f ca="1">MATCH(PAJAK[[#This Row],[ID]],[4]!Table1[ID],0)</f>
        <v>1</v>
      </c>
      <c r="E70" s="41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76" t="str">
        <f ca="1">IF(PAJAK[[#This Row],[//]]="","",SUMIF(NOTA[ID_H],PAJAK[[#This Row],[ID]],NOTA[JUMLAH]))</f>
        <v/>
      </c>
      <c r="L70" s="176" t="str">
        <f ca="1">IF(PAJAK[[#This Row],[//]]="","",SUMIF(NOTA[ID_H],PAJAK[[#This Row],[ID]],NOTA[DISC]))</f>
        <v/>
      </c>
      <c r="M70" s="176" t="e">
        <f ca="1">PAJAK[[#This Row],[SUB TOTAL]]-PAJAK[[#This Row],[DISKON]]</f>
        <v>#VALUE!</v>
      </c>
      <c r="N70" s="176" t="str">
        <f ca="1">IF(PAJAK[[#This Row],[//]]="","",INDEX(INDIRECT("NOTA["&amp;PAJAK[#Headers]&amp;"]"),PAJAK[[#This Row],[//]]-2+PAJAK[[#This Row],[QB]]-1))</f>
        <v/>
      </c>
      <c r="O70" s="176" t="e">
        <f ca="1">(PAJAK[[#This Row],[SUB T-DISC]]-PAJAK[[#This Row],[DISC DLL]])/111%</f>
        <v>#VALUE!</v>
      </c>
      <c r="P70" s="176" t="e">
        <f ca="1">PAJAK[[#This Row],[DPP]]*PAJAK[[#This Row],[PPN]]</f>
        <v>#VALUE!</v>
      </c>
      <c r="Q70" s="176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0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4" t="str">
        <f ca="1">HYPERLINK("[NOTA_.XLSX]NOTA!c"&amp;PAJAK[[#This Row],[//]],IF(PAJAK[[#This Row],[//]]="","",INDEX(INDIRECT("NOTA["&amp;PAJAK[#Headers]&amp;"]"),PAJAK[[#This Row],[//]]-2)))</f>
        <v/>
      </c>
      <c r="C71" s="40" t="str">
        <f ca="1">IF(PAJAK[[#This Row],[//]]="","",INDEX(INDIRECT("NOTA["&amp;PAJAK[#Headers]&amp;"]"),PAJAK[[#This Row],[//]]-2))</f>
        <v/>
      </c>
      <c r="D71" s="40">
        <f ca="1">MATCH(PAJAK[[#This Row],[ID]],[4]!Table1[ID],0)</f>
        <v>1</v>
      </c>
      <c r="E71" s="41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76" t="str">
        <f ca="1">IF(PAJAK[[#This Row],[//]]="","",SUMIF(NOTA[ID_H],PAJAK[[#This Row],[ID]],NOTA[JUMLAH]))</f>
        <v/>
      </c>
      <c r="L71" s="176" t="str">
        <f ca="1">IF(PAJAK[[#This Row],[//]]="","",SUMIF(NOTA[ID_H],PAJAK[[#This Row],[ID]],NOTA[DISC]))</f>
        <v/>
      </c>
      <c r="M71" s="176" t="e">
        <f ca="1">PAJAK[[#This Row],[SUB TOTAL]]-PAJAK[[#This Row],[DISKON]]</f>
        <v>#VALUE!</v>
      </c>
      <c r="N71" s="176" t="str">
        <f ca="1">IF(PAJAK[[#This Row],[//]]="","",INDEX(INDIRECT("NOTA["&amp;PAJAK[#Headers]&amp;"]"),PAJAK[[#This Row],[//]]-2+PAJAK[[#This Row],[QB]]-1))</f>
        <v/>
      </c>
      <c r="O71" s="176" t="e">
        <f ca="1">(PAJAK[[#This Row],[SUB T-DISC]]-PAJAK[[#This Row],[DISC DLL]])/111%</f>
        <v>#VALUE!</v>
      </c>
      <c r="P71" s="176" t="e">
        <f ca="1">PAJAK[[#This Row],[DPP]]*PAJAK[[#This Row],[PPN]]</f>
        <v>#VALUE!</v>
      </c>
      <c r="Q71" s="176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Row],[ID]],[4]!Table1[ID],0)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76" t="str">
        <f ca="1">IF(PAJAK[[#This Row],[//]]="","",SUMIF(NOTA[ID_H],PAJAK[[#This Row],[ID]],NOTA[JUMLAH]))</f>
        <v/>
      </c>
      <c r="L72" s="176" t="str">
        <f ca="1">IF(PAJAK[[#This Row],[//]]="","",SUMIF(NOTA[ID_H],PAJAK[[#This Row],[ID]],NOTA[DISC]))</f>
        <v/>
      </c>
      <c r="M72" s="176" t="e">
        <f ca="1">PAJAK[[#This Row],[SUB TOTAL]]-PAJAK[[#This Row],[DISKON]]</f>
        <v>#VALUE!</v>
      </c>
      <c r="N72" s="176" t="str">
        <f ca="1">IF(PAJAK[[#This Row],[//]]="","",INDEX(INDIRECT("NOTA["&amp;PAJAK[#Headers]&amp;"]"),PAJAK[[#This Row],[//]]-2+PAJAK[[#This Row],[QB]]-1))</f>
        <v/>
      </c>
      <c r="O72" s="176" t="e">
        <f ca="1">(PAJAK[[#This Row],[SUB T-DISC]]-PAJAK[[#This Row],[DISC DLL]])/111%</f>
        <v>#VALUE!</v>
      </c>
      <c r="P72" s="176" t="e">
        <f ca="1">PAJAK[[#This Row],[DPP]]*PAJAK[[#This Row],[PPN]]</f>
        <v>#VALUE!</v>
      </c>
      <c r="Q72" s="176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Row],[ID]],[4]!Table1[ID],0)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76" t="str">
        <f ca="1">IF(PAJAK[[#This Row],[//]]="","",SUMIF(NOTA[ID_H],PAJAK[[#This Row],[ID]],NOTA[JUMLAH]))</f>
        <v/>
      </c>
      <c r="L73" s="176" t="str">
        <f ca="1">IF(PAJAK[[#This Row],[//]]="","",SUMIF(NOTA[ID_H],PAJAK[[#This Row],[ID]],NOTA[DISC]))</f>
        <v/>
      </c>
      <c r="M73" s="176" t="e">
        <f ca="1">PAJAK[[#This Row],[SUB TOTAL]]-PAJAK[[#This Row],[DISKON]]</f>
        <v>#VALUE!</v>
      </c>
      <c r="N73" s="176" t="str">
        <f ca="1">IF(PAJAK[[#This Row],[//]]="","",INDEX(INDIRECT("NOTA["&amp;PAJAK[#Headers]&amp;"]"),PAJAK[[#This Row],[//]]-2+PAJAK[[#This Row],[QB]]-1))</f>
        <v/>
      </c>
      <c r="O73" s="176" t="e">
        <f ca="1">(PAJAK[[#This Row],[SUB T-DISC]]-PAJAK[[#This Row],[DISC DLL]])/111%</f>
        <v>#VALUE!</v>
      </c>
      <c r="P73" s="176" t="e">
        <f ca="1">PAJAK[[#This Row],[DPP]]*PAJAK[[#This Row],[PPN]]</f>
        <v>#VALUE!</v>
      </c>
      <c r="Q73" s="176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0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40" t="str">
        <f ca="1">HYPERLINK("[NOTA_.XLSX]NOTA!c"&amp;PAJAK[[#This Row],[//]],IF(PAJAK[[#This Row],[//]]="","",INDEX(INDIRECT("NOTA["&amp;PAJAK[#Headers]&amp;"]"),PAJAK[[#This Row],[//]]-2)))</f>
        <v/>
      </c>
      <c r="C74" s="40" t="str">
        <f ca="1">IF(PAJAK[[#This Row],[//]]="","",INDEX(INDIRECT("NOTA["&amp;PAJAK[#Headers]&amp;"]"),PAJAK[[#This Row],[//]]-2))</f>
        <v/>
      </c>
      <c r="D74" s="40">
        <f ca="1">MATCH(PAJAK[[#This Row],[ID]],[4]!Table1[ID],0)</f>
        <v>1</v>
      </c>
      <c r="E74" s="4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76" t="str">
        <f ca="1">IF(PAJAK[[#This Row],[//]]="","",SUMIF(NOTA[ID_H],PAJAK[[#This Row],[ID]],NOTA[JUMLAH]))</f>
        <v/>
      </c>
      <c r="L74" s="176" t="str">
        <f ca="1">IF(PAJAK[[#This Row],[//]]="","",SUMIF(NOTA[ID_H],PAJAK[[#This Row],[ID]],NOTA[DISC]))</f>
        <v/>
      </c>
      <c r="M74" s="176" t="e">
        <f ca="1">PAJAK[[#This Row],[SUB TOTAL]]-PAJAK[[#This Row],[DISKON]]</f>
        <v>#VALUE!</v>
      </c>
      <c r="N74" s="176" t="str">
        <f ca="1">IF(PAJAK[[#This Row],[//]]="","",INDEX(INDIRECT("NOTA["&amp;PAJAK[#Headers]&amp;"]"),PAJAK[[#This Row],[//]]-2+PAJAK[[#This Row],[QB]]-1))</f>
        <v/>
      </c>
      <c r="O74" s="176" t="e">
        <f ca="1">(PAJAK[[#This Row],[SUB T-DISC]]-PAJAK[[#This Row],[DISC DLL]])/111%</f>
        <v>#VALUE!</v>
      </c>
      <c r="P74" s="176" t="e">
        <f ca="1">PAJAK[[#This Row],[DPP]]*PAJAK[[#This Row],[PPN]]</f>
        <v>#VALUE!</v>
      </c>
      <c r="Q74" s="176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40" t="str">
        <f ca="1">HYPERLINK("[NOTA_.XLSX]NOTA!c"&amp;PAJAK[[#This Row],[//]],IF(PAJAK[[#This Row],[//]]="","",INDEX(INDIRECT("NOTA["&amp;PAJAK[#Headers]&amp;"]"),PAJAK[[#This Row],[//]]-2)))</f>
        <v/>
      </c>
      <c r="C75" s="40" t="str">
        <f ca="1">IF(PAJAK[[#This Row],[//]]="","",INDEX(INDIRECT("NOTA["&amp;PAJAK[#Headers]&amp;"]"),PAJAK[[#This Row],[//]]-2))</f>
        <v/>
      </c>
      <c r="D75" s="40">
        <f ca="1">MATCH(PAJAK[[#This Row],[ID]],[4]!Table1[ID],0)</f>
        <v>1</v>
      </c>
      <c r="E75" s="4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76" t="str">
        <f ca="1">IF(PAJAK[[#This Row],[//]]="","",SUMIF(NOTA[ID_H],PAJAK[[#This Row],[ID]],NOTA[JUMLAH]))</f>
        <v/>
      </c>
      <c r="L75" s="176" t="str">
        <f ca="1">IF(PAJAK[[#This Row],[//]]="","",SUMIF(NOTA[ID_H],PAJAK[[#This Row],[ID]],NOTA[DISC]))</f>
        <v/>
      </c>
      <c r="M75" s="176" t="e">
        <f ca="1">PAJAK[[#This Row],[SUB TOTAL]]-PAJAK[[#This Row],[DISKON]]</f>
        <v>#VALUE!</v>
      </c>
      <c r="N75" s="176" t="str">
        <f ca="1">IF(PAJAK[[#This Row],[//]]="","",INDEX(INDIRECT("NOTA["&amp;PAJAK[#Headers]&amp;"]"),PAJAK[[#This Row],[//]]-2+PAJAK[[#This Row],[QB]]-1))</f>
        <v/>
      </c>
      <c r="O75" s="176" t="e">
        <f ca="1">(PAJAK[[#This Row],[SUB T-DISC]]-PAJAK[[#This Row],[DISC DLL]])/111%</f>
        <v>#VALUE!</v>
      </c>
      <c r="P75" s="176" t="e">
        <f ca="1">PAJAK[[#This Row],[DPP]]*PAJAK[[#This Row],[PPN]]</f>
        <v>#VALUE!</v>
      </c>
      <c r="Q75" s="176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40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Row],[ID]],[4]!Table1[ID],0)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76" t="str">
        <f ca="1">IF(PAJAK[[#This Row],[//]]="","",SUMIF(NOTA[ID_H],PAJAK[[#This Row],[ID]],NOTA[JUMLAH]))</f>
        <v/>
      </c>
      <c r="L76" s="176" t="str">
        <f ca="1">IF(PAJAK[[#This Row],[//]]="","",SUMIF(NOTA[ID_H],PAJAK[[#This Row],[ID]],NOTA[DISC]))</f>
        <v/>
      </c>
      <c r="M76" s="176" t="e">
        <f ca="1">PAJAK[[#This Row],[SUB TOTAL]]-PAJAK[[#This Row],[DISKON]]</f>
        <v>#VALUE!</v>
      </c>
      <c r="N76" s="176" t="str">
        <f ca="1">IF(PAJAK[[#This Row],[//]]="","",INDEX(INDIRECT("NOTA["&amp;PAJAK[#Headers]&amp;"]"),PAJAK[[#This Row],[//]]-2+PAJAK[[#This Row],[QB]]-1))</f>
        <v/>
      </c>
      <c r="O76" s="176" t="e">
        <f ca="1">(PAJAK[[#This Row],[SUB T-DISC]]-PAJAK[[#This Row],[DISC DLL]])/111%</f>
        <v>#VALUE!</v>
      </c>
      <c r="P76" s="176" t="e">
        <f ca="1">PAJAK[[#This Row],[DPP]]*PAJAK[[#This Row],[PPN]]</f>
        <v>#VALUE!</v>
      </c>
      <c r="Q76" s="176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0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40" t="str">
        <f ca="1">HYPERLINK("[NOTA_.XLSX]NOTA!c"&amp;PAJAK[[#This Row],[//]],IF(PAJAK[[#This Row],[//]]="","",INDEX(INDIRECT("NOTA["&amp;PAJAK[#Headers]&amp;"]"),PAJAK[[#This Row],[//]]-2)))</f>
        <v/>
      </c>
      <c r="C77" s="40" t="str">
        <f ca="1">IF(PAJAK[[#This Row],[//]]="","",INDEX(INDIRECT("NOTA["&amp;PAJAK[#Headers]&amp;"]"),PAJAK[[#This Row],[//]]-2))</f>
        <v/>
      </c>
      <c r="D77" s="40">
        <f ca="1">MATCH(PAJAK[[#This Row],[ID]],[4]!Table1[ID],0)</f>
        <v>1</v>
      </c>
      <c r="E77" s="4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76" t="str">
        <f ca="1">IF(PAJAK[[#This Row],[//]]="","",SUMIF(NOTA[ID_H],PAJAK[[#This Row],[ID]],NOTA[JUMLAH]))</f>
        <v/>
      </c>
      <c r="L77" s="176" t="str">
        <f ca="1">IF(PAJAK[[#This Row],[//]]="","",SUMIF(NOTA[ID_H],PAJAK[[#This Row],[ID]],NOTA[DISC]))</f>
        <v/>
      </c>
      <c r="M77" s="176" t="e">
        <f ca="1">PAJAK[[#This Row],[SUB TOTAL]]-PAJAK[[#This Row],[DISKON]]</f>
        <v>#VALUE!</v>
      </c>
      <c r="N77" s="176" t="str">
        <f ca="1">IF(PAJAK[[#This Row],[//]]="","",INDEX(INDIRECT("NOTA["&amp;PAJAK[#Headers]&amp;"]"),PAJAK[[#This Row],[//]]-2+PAJAK[[#This Row],[QB]]-1))</f>
        <v/>
      </c>
      <c r="O77" s="176" t="e">
        <f ca="1">(PAJAK[[#This Row],[SUB T-DISC]]-PAJAK[[#This Row],[DISC DLL]])/111%</f>
        <v>#VALUE!</v>
      </c>
      <c r="P77" s="176" t="e">
        <f ca="1">PAJAK[[#This Row],[DPP]]*PAJAK[[#This Row],[PPN]]</f>
        <v>#VALUE!</v>
      </c>
      <c r="Q77" s="176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0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40" t="str">
        <f ca="1">HYPERLINK("[NOTA_.XLSX]NOTA!c"&amp;PAJAK[[#This Row],[//]],IF(PAJAK[[#This Row],[//]]="","",INDEX(INDIRECT("NOTA["&amp;PAJAK[#Headers]&amp;"]"),PAJAK[[#This Row],[//]]-2)))</f>
        <v/>
      </c>
      <c r="C78" s="40" t="str">
        <f ca="1">IF(PAJAK[[#This Row],[//]]="","",INDEX(INDIRECT("NOTA["&amp;PAJAK[#Headers]&amp;"]"),PAJAK[[#This Row],[//]]-2))</f>
        <v/>
      </c>
      <c r="D78" s="40">
        <f ca="1">MATCH(PAJAK[[#This Row],[ID]],[4]!Table1[ID],0)</f>
        <v>1</v>
      </c>
      <c r="E78" s="4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76" t="str">
        <f ca="1">IF(PAJAK[[#This Row],[//]]="","",SUMIF(NOTA[ID_H],PAJAK[[#This Row],[ID]],NOTA[JUMLAH]))</f>
        <v/>
      </c>
      <c r="L78" s="176" t="str">
        <f ca="1">IF(PAJAK[[#This Row],[//]]="","",SUMIF(NOTA[ID_H],PAJAK[[#This Row],[ID]],NOTA[DISC]))</f>
        <v/>
      </c>
      <c r="M78" s="176" t="e">
        <f ca="1">PAJAK[[#This Row],[SUB TOTAL]]-PAJAK[[#This Row],[DISKON]]</f>
        <v>#VALUE!</v>
      </c>
      <c r="N78" s="176" t="str">
        <f ca="1">IF(PAJAK[[#This Row],[//]]="","",INDEX(INDIRECT("NOTA["&amp;PAJAK[#Headers]&amp;"]"),PAJAK[[#This Row],[//]]-2+PAJAK[[#This Row],[QB]]-1))</f>
        <v/>
      </c>
      <c r="O78" s="176" t="e">
        <f ca="1">(PAJAK[[#This Row],[SUB T-DISC]]-PAJAK[[#This Row],[DISC DLL]])/111%</f>
        <v>#VALUE!</v>
      </c>
      <c r="P78" s="176" t="e">
        <f ca="1">PAJAK[[#This Row],[DPP]]*PAJAK[[#This Row],[PPN]]</f>
        <v>#VALUE!</v>
      </c>
      <c r="Q78" s="176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Row],[ID]],[4]!Table1[ID],0)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76" t="str">
        <f ca="1">IF(PAJAK[[#This Row],[//]]="","",SUMIF(NOTA[ID_H],PAJAK[[#This Row],[ID]],NOTA[JUMLAH]))</f>
        <v/>
      </c>
      <c r="L79" s="176" t="str">
        <f ca="1">IF(PAJAK[[#This Row],[//]]="","",SUMIF(NOTA[ID_H],PAJAK[[#This Row],[ID]],NOTA[DISC]))</f>
        <v/>
      </c>
      <c r="M79" s="176" t="e">
        <f ca="1">PAJAK[[#This Row],[SUB TOTAL]]-PAJAK[[#This Row],[DISKON]]</f>
        <v>#VALUE!</v>
      </c>
      <c r="N79" s="176" t="str">
        <f ca="1">IF(PAJAK[[#This Row],[//]]="","",INDEX(INDIRECT("NOTA["&amp;PAJAK[#Headers]&amp;"]"),PAJAK[[#This Row],[//]]-2+PAJAK[[#This Row],[QB]]-1))</f>
        <v/>
      </c>
      <c r="O79" s="176" t="e">
        <f ca="1">(PAJAK[[#This Row],[SUB T-DISC]]-PAJAK[[#This Row],[DISC DLL]])/111%</f>
        <v>#VALUE!</v>
      </c>
      <c r="P79" s="176" t="e">
        <f ca="1">PAJAK[[#This Row],[DPP]]*PAJAK[[#This Row],[PPN]]</f>
        <v>#VALUE!</v>
      </c>
      <c r="Q79" s="176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4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4" t="str">
        <f ca="1">IF(PAJAK[[#This Row],[//]]="","",INDEX(INDIRECT("NOTA["&amp;PAJAK[#Headers]&amp;"]"),PAJAK[[#This Row],[//]]-2))</f>
        <v/>
      </c>
      <c r="D80" s="44">
        <f ca="1">MATCH(PAJAK[[#This Row],[ID]],[4]!Table1[ID],0)</f>
        <v>1</v>
      </c>
      <c r="E80" s="152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76" t="str">
        <f ca="1">IF(PAJAK[[#This Row],[//]]="","",SUMIF(NOTA[ID_H],PAJAK[[#This Row],[ID]],NOTA[JUMLAH]))</f>
        <v/>
      </c>
      <c r="L80" s="176" t="str">
        <f ca="1">IF(PAJAK[[#This Row],[//]]="","",SUMIF(NOTA[ID_H],PAJAK[[#This Row],[ID]],NOTA[DISC]))</f>
        <v/>
      </c>
      <c r="M80" s="176" t="e">
        <f ca="1">PAJAK[[#This Row],[SUB TOTAL]]-PAJAK[[#This Row],[DISKON]]</f>
        <v>#VALUE!</v>
      </c>
      <c r="N80" s="176" t="str">
        <f ca="1">IF(PAJAK[[#This Row],[//]]="","",INDEX(INDIRECT("NOTA["&amp;PAJAK[#Headers]&amp;"]"),PAJAK[[#This Row],[//]]-2+PAJAK[[#This Row],[QB]]-1))</f>
        <v/>
      </c>
      <c r="O80" s="176" t="e">
        <f ca="1">(PAJAK[[#This Row],[SUB T-DISC]]-PAJAK[[#This Row],[DISC DLL]])/111%</f>
        <v>#VALUE!</v>
      </c>
      <c r="P80" s="176" t="e">
        <f ca="1">PAJAK[[#This Row],[DPP]]*PAJAK[[#This Row],[PPN]]</f>
        <v>#VALUE!</v>
      </c>
      <c r="Q80" s="176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4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3" t="str">
        <f ca="1">HYPERLINK("[NOTA_.XLSX]NOTA!c"&amp;PAJAK[[#This Row],[//]],IF(PAJAK[[#This Row],[//]]="","",INDEX(INDIRECT("NOTA["&amp;PAJAK[#Headers]&amp;"]"),PAJAK[[#This Row],[//]]-2)))</f>
        <v/>
      </c>
      <c r="C81" s="44" t="str">
        <f ca="1">IF(PAJAK[[#This Row],[//]]="","",INDEX(INDIRECT("NOTA["&amp;PAJAK[#Headers]&amp;"]"),PAJAK[[#This Row],[//]]-2))</f>
        <v/>
      </c>
      <c r="D81" s="44">
        <f ca="1">MATCH(PAJAK[[#This Row],[ID]],[4]!Table1[ID],0)</f>
        <v>1</v>
      </c>
      <c r="E81" s="152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76" t="str">
        <f ca="1">IF(PAJAK[[#This Row],[//]]="","",SUMIF(NOTA[ID_H],PAJAK[[#This Row],[ID]],NOTA[JUMLAH]))</f>
        <v/>
      </c>
      <c r="L81" s="176" t="str">
        <f ca="1">IF(PAJAK[[#This Row],[//]]="","",SUMIF(NOTA[ID_H],PAJAK[[#This Row],[ID]],NOTA[DISC]))</f>
        <v/>
      </c>
      <c r="M81" s="176" t="e">
        <f ca="1">PAJAK[[#This Row],[SUB TOTAL]]-PAJAK[[#This Row],[DISKON]]</f>
        <v>#VALUE!</v>
      </c>
      <c r="N81" s="176" t="str">
        <f ca="1">IF(PAJAK[[#This Row],[//]]="","",INDEX(INDIRECT("NOTA["&amp;PAJAK[#Headers]&amp;"]"),PAJAK[[#This Row],[//]]-2+PAJAK[[#This Row],[QB]]-1))</f>
        <v/>
      </c>
      <c r="O81" s="176" t="e">
        <f ca="1">(PAJAK[[#This Row],[SUB T-DISC]]-PAJAK[[#This Row],[DISC DLL]])/111%</f>
        <v>#VALUE!</v>
      </c>
      <c r="P81" s="176" t="e">
        <f ca="1">PAJAK[[#This Row],[DPP]]*PAJAK[[#This Row],[PPN]]</f>
        <v>#VALUE!</v>
      </c>
      <c r="Q81" s="176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4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3" t="str">
        <f ca="1">HYPERLINK("[NOTA_.XLSX]NOTA!c"&amp;PAJAK[[#This Row],[//]],IF(PAJAK[[#This Row],[//]]="","",INDEX(INDIRECT("NOTA["&amp;PAJAK[#Headers]&amp;"]"),PAJAK[[#This Row],[//]]-2)))</f>
        <v/>
      </c>
      <c r="C82" s="44" t="str">
        <f ca="1">IF(PAJAK[[#This Row],[//]]="","",INDEX(INDIRECT("NOTA["&amp;PAJAK[#Headers]&amp;"]"),PAJAK[[#This Row],[//]]-2))</f>
        <v/>
      </c>
      <c r="D82" s="44">
        <f ca="1">MATCH(PAJAK[[#This Row],[ID]],[4]!Table1[ID],0)</f>
        <v>1</v>
      </c>
      <c r="E82" s="152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76" t="str">
        <f ca="1">IF(PAJAK[[#This Row],[//]]="","",SUMIF(NOTA[ID_H],PAJAK[[#This Row],[ID]],NOTA[JUMLAH]))</f>
        <v/>
      </c>
      <c r="L82" s="176" t="str">
        <f ca="1">IF(PAJAK[[#This Row],[//]]="","",SUMIF(NOTA[ID_H],PAJAK[[#This Row],[ID]],NOTA[DISC]))</f>
        <v/>
      </c>
      <c r="M82" s="176" t="e">
        <f ca="1">PAJAK[[#This Row],[SUB TOTAL]]-PAJAK[[#This Row],[DISKON]]</f>
        <v>#VALUE!</v>
      </c>
      <c r="N82" s="176" t="str">
        <f ca="1">IF(PAJAK[[#This Row],[//]]="","",INDEX(INDIRECT("NOTA["&amp;PAJAK[#Headers]&amp;"]"),PAJAK[[#This Row],[//]]-2+PAJAK[[#This Row],[QB]]-1))</f>
        <v/>
      </c>
      <c r="O82" s="176" t="e">
        <f ca="1">(PAJAK[[#This Row],[SUB T-DISC]]-PAJAK[[#This Row],[DISC DLL]])/111%</f>
        <v>#VALUE!</v>
      </c>
      <c r="P82" s="176" t="e">
        <f ca="1">PAJAK[[#This Row],[DPP]]*PAJAK[[#This Row],[PPN]]</f>
        <v>#VALUE!</v>
      </c>
      <c r="Q82" s="176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Row],[ID]],[4]!Table1[ID],0)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76" t="str">
        <f ca="1">IF(PAJAK[[#This Row],[//]]="","",SUMIF(NOTA[ID_H],PAJAK[[#This Row],[ID]],NOTA[JUMLAH]))</f>
        <v/>
      </c>
      <c r="L83" s="176" t="str">
        <f ca="1">IF(PAJAK[[#This Row],[//]]="","",SUMIF(NOTA[ID_H],PAJAK[[#This Row],[ID]],NOTA[DISC]))</f>
        <v/>
      </c>
      <c r="M83" s="176" t="e">
        <f ca="1">PAJAK[[#This Row],[SUB TOTAL]]-PAJAK[[#This Row],[DISKON]]</f>
        <v>#VALUE!</v>
      </c>
      <c r="N83" s="176" t="str">
        <f ca="1">IF(PAJAK[[#This Row],[//]]="","",INDEX(INDIRECT("NOTA["&amp;PAJAK[#Headers]&amp;"]"),PAJAK[[#This Row],[//]]-2+PAJAK[[#This Row],[QB]]-1))</f>
        <v/>
      </c>
      <c r="O83" s="176" t="e">
        <f ca="1">(PAJAK[[#This Row],[SUB T-DISC]]-PAJAK[[#This Row],[DISC DLL]])/111%</f>
        <v>#VALUE!</v>
      </c>
      <c r="P83" s="176" t="e">
        <f ca="1">PAJAK[[#This Row],[DPP]]*PAJAK[[#This Row],[PPN]]</f>
        <v>#VALUE!</v>
      </c>
      <c r="Q83" s="176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0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40" t="str">
        <f ca="1">HYPERLINK("[NOTA_.XLSX]NOTA!c"&amp;PAJAK[[#This Row],[//]],IF(PAJAK[[#This Row],[//]]="","",INDEX(INDIRECT("NOTA["&amp;PAJAK[#Headers]&amp;"]"),PAJAK[[#This Row],[//]]-2)))</f>
        <v/>
      </c>
      <c r="C84" s="40" t="str">
        <f ca="1">IF(PAJAK[[#This Row],[//]]="","",INDEX(INDIRECT("NOTA["&amp;PAJAK[#Headers]&amp;"]"),PAJAK[[#This Row],[//]]-2))</f>
        <v/>
      </c>
      <c r="D84" s="40">
        <f ca="1">MATCH(PAJAK[[#This Row],[ID]],[4]!Table1[ID],0)</f>
        <v>1</v>
      </c>
      <c r="E84" s="4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76" t="str">
        <f ca="1">IF(PAJAK[[#This Row],[//]]="","",SUMIF(NOTA[ID_H],PAJAK[[#This Row],[ID]],NOTA[JUMLAH]))</f>
        <v/>
      </c>
      <c r="L84" s="176" t="str">
        <f ca="1">IF(PAJAK[[#This Row],[//]]="","",SUMIF(NOTA[ID_H],PAJAK[[#This Row],[ID]],NOTA[DISC]))</f>
        <v/>
      </c>
      <c r="M84" s="176" t="e">
        <f ca="1">PAJAK[[#This Row],[SUB TOTAL]]-PAJAK[[#This Row],[DISKON]]</f>
        <v>#VALUE!</v>
      </c>
      <c r="N84" s="176" t="str">
        <f ca="1">IF(PAJAK[[#This Row],[//]]="","",INDEX(INDIRECT("NOTA["&amp;PAJAK[#Headers]&amp;"]"),PAJAK[[#This Row],[//]]-2+PAJAK[[#This Row],[QB]]-1))</f>
        <v/>
      </c>
      <c r="O84" s="176" t="e">
        <f ca="1">(PAJAK[[#This Row],[SUB T-DISC]]-PAJAK[[#This Row],[DISC DLL]])/111%</f>
        <v>#VALUE!</v>
      </c>
      <c r="P84" s="176" t="e">
        <f ca="1">PAJAK[[#This Row],[DPP]]*PAJAK[[#This Row],[PPN]]</f>
        <v>#VALUE!</v>
      </c>
      <c r="Q84" s="176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4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53" t="str">
        <f ca="1">HYPERLINK("[NOTA_.XLSX]NOTA!c"&amp;PAJAK[[#This Row],[//]],IF(PAJAK[[#This Row],[//]]="","",INDEX(INDIRECT("NOTA["&amp;PAJAK[#Headers]&amp;"]"),PAJAK[[#This Row],[//]]-2)))</f>
        <v/>
      </c>
      <c r="C85" s="44" t="str">
        <f ca="1">IF(PAJAK[[#This Row],[//]]="","",INDEX(INDIRECT("NOTA["&amp;PAJAK[#Headers]&amp;"]"),PAJAK[[#This Row],[//]]-2))</f>
        <v/>
      </c>
      <c r="D85" s="44">
        <f ca="1">MATCH(PAJAK[[#This Row],[ID]],[4]!Table1[ID],0)</f>
        <v>1</v>
      </c>
      <c r="E85" s="152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76" t="str">
        <f ca="1">IF(PAJAK[[#This Row],[//]]="","",SUMIF(NOTA[ID_H],PAJAK[[#This Row],[ID]],NOTA[JUMLAH]))</f>
        <v/>
      </c>
      <c r="L85" s="176" t="str">
        <f ca="1">IF(PAJAK[[#This Row],[//]]="","",SUMIF(NOTA[ID_H],PAJAK[[#This Row],[ID]],NOTA[DISC]))</f>
        <v/>
      </c>
      <c r="M85" s="176" t="e">
        <f ca="1">PAJAK[[#This Row],[SUB TOTAL]]-PAJAK[[#This Row],[DISKON]]</f>
        <v>#VALUE!</v>
      </c>
      <c r="N85" s="176" t="str">
        <f ca="1">IF(PAJAK[[#This Row],[//]]="","",INDEX(INDIRECT("NOTA["&amp;PAJAK[#Headers]&amp;"]"),PAJAK[[#This Row],[//]]-2+PAJAK[[#This Row],[QB]]-1))</f>
        <v/>
      </c>
      <c r="O85" s="176" t="e">
        <f ca="1">(PAJAK[[#This Row],[SUB T-DISC]]-PAJAK[[#This Row],[DISC DLL]])/111%</f>
        <v>#VALUE!</v>
      </c>
      <c r="P85" s="176" t="e">
        <f ca="1">PAJAK[[#This Row],[DPP]]*PAJAK[[#This Row],[PPN]]</f>
        <v>#VALUE!</v>
      </c>
      <c r="Q85" s="176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Row],[ID]],[4]!Table1[ID],0)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76" t="str">
        <f ca="1">IF(PAJAK[[#This Row],[//]]="","",SUMIF(NOTA[ID_H],PAJAK[[#This Row],[ID]],NOTA[JUMLAH]))</f>
        <v/>
      </c>
      <c r="L86" s="176" t="str">
        <f ca="1">IF(PAJAK[[#This Row],[//]]="","",SUMIF(NOTA[ID_H],PAJAK[[#This Row],[ID]],NOTA[DISC]))</f>
        <v/>
      </c>
      <c r="M86" s="176" t="e">
        <f ca="1">PAJAK[[#This Row],[SUB TOTAL]]-PAJAK[[#This Row],[DISKON]]</f>
        <v>#VALUE!</v>
      </c>
      <c r="N86" s="176" t="str">
        <f ca="1">IF(PAJAK[[#This Row],[//]]="","",INDEX(INDIRECT("NOTA["&amp;PAJAK[#Headers]&amp;"]"),PAJAK[[#This Row],[//]]-2+PAJAK[[#This Row],[QB]]-1))</f>
        <v/>
      </c>
      <c r="O86" s="176" t="e">
        <f ca="1">(PAJAK[[#This Row],[SUB T-DISC]]-PAJAK[[#This Row],[DISC DLL]])/111%</f>
        <v>#VALUE!</v>
      </c>
      <c r="P86" s="176" t="e">
        <f ca="1">PAJAK[[#This Row],[DPP]]*PAJAK[[#This Row],[PPN]]</f>
        <v>#VALUE!</v>
      </c>
      <c r="Q86" s="176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Row],[ID]],[4]!Table1[ID],0)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76" t="str">
        <f ca="1">IF(PAJAK[[#This Row],[//]]="","",SUMIF(NOTA[ID_H],PAJAK[[#This Row],[ID]],NOTA[JUMLAH]))</f>
        <v/>
      </c>
      <c r="L87" s="176" t="str">
        <f ca="1">IF(PAJAK[[#This Row],[//]]="","",SUMIF(NOTA[ID_H],PAJAK[[#This Row],[ID]],NOTA[DISC]))</f>
        <v/>
      </c>
      <c r="M87" s="176" t="e">
        <f ca="1">PAJAK[[#This Row],[SUB TOTAL]]-PAJAK[[#This Row],[DISKON]]</f>
        <v>#VALUE!</v>
      </c>
      <c r="N87" s="176" t="str">
        <f ca="1">IF(PAJAK[[#This Row],[//]]="","",INDEX(INDIRECT("NOTA["&amp;PAJAK[#Headers]&amp;"]"),PAJAK[[#This Row],[//]]-2+PAJAK[[#This Row],[QB]]-1))</f>
        <v/>
      </c>
      <c r="O87" s="176" t="e">
        <f ca="1">(PAJAK[[#This Row],[SUB T-DISC]]-PAJAK[[#This Row],[DISC DLL]])/111%</f>
        <v>#VALUE!</v>
      </c>
      <c r="P87" s="176" t="e">
        <f ca="1">PAJAK[[#This Row],[DPP]]*PAJAK[[#This Row],[PPN]]</f>
        <v>#VALUE!</v>
      </c>
      <c r="Q87" s="176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Row],[ID]],[4]!Table1[ID],0)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76" t="str">
        <f ca="1">IF(PAJAK[[#This Row],[//]]="","",SUMIF(NOTA[ID_H],PAJAK[[#This Row],[ID]],NOTA[JUMLAH]))</f>
        <v/>
      </c>
      <c r="L88" s="176" t="str">
        <f ca="1">IF(PAJAK[[#This Row],[//]]="","",SUMIF(NOTA[ID_H],PAJAK[[#This Row],[ID]],NOTA[DISC]))</f>
        <v/>
      </c>
      <c r="M88" s="176" t="e">
        <f ca="1">PAJAK[[#This Row],[SUB TOTAL]]-PAJAK[[#This Row],[DISKON]]</f>
        <v>#VALUE!</v>
      </c>
      <c r="N88" s="176" t="str">
        <f ca="1">IF(PAJAK[[#This Row],[//]]="","",INDEX(INDIRECT("NOTA["&amp;PAJAK[#Headers]&amp;"]"),PAJAK[[#This Row],[//]]-2+PAJAK[[#This Row],[QB]]-1))</f>
        <v/>
      </c>
      <c r="O88" s="176" t="e">
        <f ca="1">(PAJAK[[#This Row],[SUB T-DISC]]-PAJAK[[#This Row],[DISC DLL]])/111%</f>
        <v>#VALUE!</v>
      </c>
      <c r="P88" s="176" t="e">
        <f ca="1">PAJAK[[#This Row],[DPP]]*PAJAK[[#This Row],[PPN]]</f>
        <v>#VALUE!</v>
      </c>
      <c r="Q88" s="176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4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4" t="str">
        <f ca="1">IF(PAJAK[[#This Row],[//]]="","",INDEX(INDIRECT("NOTA["&amp;PAJAK[#Headers]&amp;"]"),PAJAK[[#This Row],[//]]-2))</f>
        <v/>
      </c>
      <c r="D89" s="44">
        <f ca="1">MATCH(PAJAK[[#This Row],[ID]],[4]!Table1[ID],0)</f>
        <v>1</v>
      </c>
      <c r="E89" s="152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76" t="str">
        <f ca="1">IF(PAJAK[[#This Row],[//]]="","",SUMIF(NOTA[ID_H],PAJAK[[#This Row],[ID]],NOTA[JUMLAH]))</f>
        <v/>
      </c>
      <c r="L89" s="176" t="str">
        <f ca="1">IF(PAJAK[[#This Row],[//]]="","",SUMIF(NOTA[ID_H],PAJAK[[#This Row],[ID]],NOTA[DISC]))</f>
        <v/>
      </c>
      <c r="M89" s="176" t="e">
        <f ca="1">PAJAK[[#This Row],[SUB TOTAL]]-PAJAK[[#This Row],[DISKON]]</f>
        <v>#VALUE!</v>
      </c>
      <c r="N89" s="176" t="str">
        <f ca="1">IF(PAJAK[[#This Row],[//]]="","",INDEX(INDIRECT("NOTA["&amp;PAJAK[#Headers]&amp;"]"),PAJAK[[#This Row],[//]]-2+PAJAK[[#This Row],[QB]]-1))</f>
        <v/>
      </c>
      <c r="O89" s="176" t="e">
        <f ca="1">(PAJAK[[#This Row],[SUB T-DISC]]-PAJAK[[#This Row],[DISC DLL]])/111%</f>
        <v>#VALUE!</v>
      </c>
      <c r="P89" s="176" t="e">
        <f ca="1">PAJAK[[#This Row],[DPP]]*PAJAK[[#This Row],[PPN]]</f>
        <v>#VALUE!</v>
      </c>
      <c r="Q89" s="176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4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Row],[ID]],[4]!Table1[ID],0)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76" t="str">
        <f ca="1">IF(PAJAK[[#This Row],[//]]="","",SUMIF(NOTA[ID_H],PAJAK[[#This Row],[ID]],NOTA[JUMLAH]))</f>
        <v/>
      </c>
      <c r="L90" s="176" t="str">
        <f ca="1">IF(PAJAK[[#This Row],[//]]="","",SUMIF(NOTA[ID_H],PAJAK[[#This Row],[ID]],NOTA[DISC]))</f>
        <v/>
      </c>
      <c r="M90" s="176" t="e">
        <f ca="1">PAJAK[[#This Row],[SUB TOTAL]]-PAJAK[[#This Row],[DISKON]]</f>
        <v>#VALUE!</v>
      </c>
      <c r="N90" s="176" t="str">
        <f ca="1">IF(PAJAK[[#This Row],[//]]="","",INDEX(INDIRECT("NOTA["&amp;PAJAK[#Headers]&amp;"]"),PAJAK[[#This Row],[//]]-2+PAJAK[[#This Row],[QB]]-1))</f>
        <v/>
      </c>
      <c r="O90" s="176" t="e">
        <f ca="1">(PAJAK[[#This Row],[SUB T-DISC]]-PAJAK[[#This Row],[DISC DLL]])/111%</f>
        <v>#VALUE!</v>
      </c>
      <c r="P90" s="176" t="e">
        <f ca="1">PAJAK[[#This Row],[DPP]]*PAJAK[[#This Row],[PPN]]</f>
        <v>#VALUE!</v>
      </c>
      <c r="Q90" s="176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4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3" t="str">
        <f ca="1">HYPERLINK("[NOTA_.XLSX]NOTA!c"&amp;PAJAK[[#This Row],[//]],IF(PAJAK[[#This Row],[//]]="","",INDEX(INDIRECT("NOTA["&amp;PAJAK[#Headers]&amp;"]"),PAJAK[[#This Row],[//]]-2)))</f>
        <v/>
      </c>
      <c r="C91" s="44" t="str">
        <f ca="1">IF(PAJAK[[#This Row],[//]]="","",INDEX(INDIRECT("NOTA["&amp;PAJAK[#Headers]&amp;"]"),PAJAK[[#This Row],[//]]-2))</f>
        <v/>
      </c>
      <c r="D91" s="44">
        <f ca="1">MATCH(PAJAK[[#This Row],[ID]],[4]!Table1[ID],0)</f>
        <v>1</v>
      </c>
      <c r="E91" s="152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76" t="str">
        <f ca="1">IF(PAJAK[[#This Row],[//]]="","",SUMIF(NOTA[ID_H],PAJAK[[#This Row],[ID]],NOTA[JUMLAH]))</f>
        <v/>
      </c>
      <c r="L91" s="176" t="str">
        <f ca="1">IF(PAJAK[[#This Row],[//]]="","",SUMIF(NOTA[ID_H],PAJAK[[#This Row],[ID]],NOTA[DISC]))</f>
        <v/>
      </c>
      <c r="M91" s="176" t="e">
        <f ca="1">PAJAK[[#This Row],[SUB TOTAL]]-PAJAK[[#This Row],[DISKON]]</f>
        <v>#VALUE!</v>
      </c>
      <c r="N91" s="176" t="str">
        <f ca="1">IF(PAJAK[[#This Row],[//]]="","",INDEX(INDIRECT("NOTA["&amp;PAJAK[#Headers]&amp;"]"),PAJAK[[#This Row],[//]]-2+PAJAK[[#This Row],[QB]]-1))</f>
        <v/>
      </c>
      <c r="O91" s="176" t="e">
        <f ca="1">(PAJAK[[#This Row],[SUB T-DISC]]-PAJAK[[#This Row],[DISC DLL]])/111%</f>
        <v>#VALUE!</v>
      </c>
      <c r="P91" s="176" t="e">
        <f ca="1">PAJAK[[#This Row],[DPP]]*PAJAK[[#This Row],[PPN]]</f>
        <v>#VALUE!</v>
      </c>
      <c r="Q91" s="176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Row],[ID]],[4]!Table1[ID],0)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76" t="str">
        <f ca="1">IF(PAJAK[[#This Row],[//]]="","",SUMIF(NOTA[ID_H],PAJAK[[#This Row],[ID]],NOTA[JUMLAH]))</f>
        <v/>
      </c>
      <c r="L92" s="176" t="str">
        <f ca="1">IF(PAJAK[[#This Row],[//]]="","",SUMIF(NOTA[ID_H],PAJAK[[#This Row],[ID]],NOTA[DISC]))</f>
        <v/>
      </c>
      <c r="M92" s="176" t="e">
        <f ca="1">PAJAK[[#This Row],[SUB TOTAL]]-PAJAK[[#This Row],[DISKON]]</f>
        <v>#VALUE!</v>
      </c>
      <c r="N92" s="176" t="str">
        <f ca="1">IF(PAJAK[[#This Row],[//]]="","",INDEX(INDIRECT("NOTA["&amp;PAJAK[#Headers]&amp;"]"),PAJAK[[#This Row],[//]]-2+PAJAK[[#This Row],[QB]]-1))</f>
        <v/>
      </c>
      <c r="O92" s="176" t="e">
        <f ca="1">(PAJAK[[#This Row],[SUB T-DISC]]-PAJAK[[#This Row],[DISC DLL]])/111%</f>
        <v>#VALUE!</v>
      </c>
      <c r="P92" s="176" t="e">
        <f ca="1">PAJAK[[#This Row],[DPP]]*PAJAK[[#This Row],[PPN]]</f>
        <v>#VALUE!</v>
      </c>
      <c r="Q92" s="176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Row],[ID]],[4]!Table1[ID],0)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76" t="str">
        <f ca="1">IF(PAJAK[[#This Row],[//]]="","",SUMIF(NOTA[ID_H],PAJAK[[#This Row],[ID]],NOTA[JUMLAH]))</f>
        <v/>
      </c>
      <c r="L93" s="176" t="str">
        <f ca="1">IF(PAJAK[[#This Row],[//]]="","",SUMIF(NOTA[ID_H],PAJAK[[#This Row],[ID]],NOTA[DISC]))</f>
        <v/>
      </c>
      <c r="M93" s="176" t="e">
        <f ca="1">PAJAK[[#This Row],[SUB TOTAL]]-PAJAK[[#This Row],[DISKON]]</f>
        <v>#VALUE!</v>
      </c>
      <c r="N93" s="176" t="str">
        <f ca="1">IF(PAJAK[[#This Row],[//]]="","",INDEX(INDIRECT("NOTA["&amp;PAJAK[#Headers]&amp;"]"),PAJAK[[#This Row],[//]]-2+PAJAK[[#This Row],[QB]]-1))</f>
        <v/>
      </c>
      <c r="O93" s="176" t="e">
        <f ca="1">(PAJAK[[#This Row],[SUB T-DISC]]-PAJAK[[#This Row],[DISC DLL]])/111%</f>
        <v>#VALUE!</v>
      </c>
      <c r="P93" s="176" t="e">
        <f ca="1">PAJAK[[#This Row],[DPP]]*PAJAK[[#This Row],[PPN]]</f>
        <v>#VALUE!</v>
      </c>
      <c r="Q93" s="176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24</v>
      </c>
      <c r="F1" t="str">
        <f ca="1">MID(G1,FIND("]",G1)+1,LEN(G1)-FIND("]",G1))</f>
        <v>ATALI</v>
      </c>
      <c r="G1" s="4" t="str">
        <f ca="1">CELL("filename",G1)</f>
        <v>D:\kerja\BANK EXP\BARU\2023\04 APRIL\[NOTA 04 APRIL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14</v>
      </c>
      <c r="C3" s="12">
        <f ca="1">HYPERLINK("[NOTA_.xlsx]PAJAK!b"&amp;ATALI[[#This Row],[//PAJAK]],IF(ATALI[[#This Row],[//PAJAK]]="","",INDEX(INDIRECT("PAJAK["&amp;ATALI[#Headers]&amp;"]"),ATALI[[#This Row],[//PAJAK]]-1)))</f>
        <v>32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45024</v>
      </c>
      <c r="F3" s="2">
        <f ca="1">IF(ATALI[[#This Row],[//PAJAK]]="","",INDEX(INDIRECT("PAJAK["&amp;ATALI[#Headers]&amp;"]"),ATALI[[#This Row],[//PAJAK]]-1))</f>
        <v>45019</v>
      </c>
      <c r="G3" s="7" t="str">
        <f ca="1">IF(ATALI[[#This Row],[//PAJAK]]="","",INDEX(INDIRECT("PAJAK["&amp;ATALI[#Headers]&amp;"]"),ATALI[[#This Row],[//PAJAK]]-1))</f>
        <v>SA230405621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70460040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63477513.513513505</v>
      </c>
      <c r="L3" s="1">
        <f ca="1">ATALI[[#This Row],[DPP]]*11%</f>
        <v>6982526.4864864852</v>
      </c>
      <c r="M3" s="1">
        <f ca="1">ATALI[[#This Row],[DPP]]+ATALI[[#This Row],[PPN (11%)]]</f>
        <v>70460039.999999985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126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15</v>
      </c>
      <c r="C4" s="12">
        <f ca="1">HYPERLINK("[NOTA_.xlsx]PAJAK!b"&amp;ATALI[[#This Row],[//PAJAK]],IF(ATALI[[#This Row],[//PAJAK]]="","",INDEX(INDIRECT("PAJAK["&amp;ATALI[#Headers]&amp;"]"),ATALI[[#This Row],[//PAJAK]]-1)))</f>
        <v>33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45024</v>
      </c>
      <c r="F4" s="2">
        <f ca="1">IF(ATALI[[#This Row],[//PAJAK]]="","",INDEX(INDIRECT("PAJAK["&amp;ATALI[#Headers]&amp;"]"),ATALI[[#This Row],[//PAJAK]]-1))</f>
        <v>45019</v>
      </c>
      <c r="G4" s="5" t="str">
        <f ca="1">IF(ATALI[[#This Row],[//PAJAK]]="","",INDEX(INDIRECT("PAJAK["&amp;ATALI[#Headers]&amp;"]"),ATALI[[#This Row],[//PAJAK]]-1))</f>
        <v>SA230405588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10267404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9249913.5135135129</v>
      </c>
      <c r="L4" s="1">
        <f ca="1">ATALI[[#This Row],[DPP]]*11%</f>
        <v>1017490.4864864864</v>
      </c>
      <c r="M4" s="1">
        <f ca="1">ATALI[[#This Row],[DPP]]+ATALI[[#This Row],[PPN (11%)]]</f>
        <v>10267404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130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16</v>
      </c>
      <c r="C5" s="12">
        <f ca="1">HYPERLINK("[NOTA_.xlsx]PAJAK!b"&amp;ATALI[[#This Row],[//PAJAK]],IF(ATALI[[#This Row],[//PAJAK]]="","",INDEX(INDIRECT("PAJAK["&amp;ATALI[#Headers]&amp;"]"),ATALI[[#This Row],[//PAJAK]]-1)))</f>
        <v>34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45024</v>
      </c>
      <c r="F5" s="2">
        <f ca="1">IF(ATALI[[#This Row],[//PAJAK]]="","",INDEX(INDIRECT("PAJAK["&amp;ATALI[#Headers]&amp;"]"),ATALI[[#This Row],[//PAJAK]]-1))</f>
        <v>45020</v>
      </c>
      <c r="G5" s="5" t="str">
        <f ca="1">IF(ATALI[[#This Row],[//PAJAK]]="","",INDEX(INDIRECT("PAJAK["&amp;ATALI[#Headers]&amp;"]"),ATALI[[#This Row],[//PAJAK]]-1))</f>
        <v>SA230405765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18679185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16828094.594594594</v>
      </c>
      <c r="L5" s="1">
        <f ca="1">ATALI[[#This Row],[DPP]]*11%</f>
        <v>1851090.4054054054</v>
      </c>
      <c r="M5" s="1">
        <f ca="1">ATALI[[#This Row],[DPP]]+ATALI[[#This Row],[PPN (11%)]]</f>
        <v>18679185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17</v>
      </c>
      <c r="C6" s="12">
        <f ca="1">HYPERLINK("[NOTA_.xlsx]PAJAK!b"&amp;ATALI[[#This Row],[//PAJAK]],IF(ATALI[[#This Row],[//PAJAK]]="","",INDEX(INDIRECT("PAJAK["&amp;ATALI[#Headers]&amp;"]"),ATALI[[#This Row],[//PAJAK]]-1)))</f>
        <v>35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45024</v>
      </c>
      <c r="F6" s="2">
        <f ca="1">IF(ATALI[[#This Row],[//PAJAK]]="","",INDEX(INDIRECT("PAJAK["&amp;ATALI[#Headers]&amp;"]"),ATALI[[#This Row],[//PAJAK]]-1))</f>
        <v>45019</v>
      </c>
      <c r="G6" s="5" t="str">
        <f ca="1">IF(ATALI[[#This Row],[//PAJAK]]="","",INDEX(INDIRECT("PAJAK["&amp;ATALI[#Headers]&amp;"]"),ATALI[[#This Row],[//PAJAK]]-1))</f>
        <v>SA230405622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37065420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33392270.270270266</v>
      </c>
      <c r="L6" s="1">
        <f ca="1">ATALI[[#This Row],[DPP]]*11%</f>
        <v>3673149.7297297292</v>
      </c>
      <c r="M6" s="1">
        <f ca="1">ATALI[[#This Row],[DPP]]+ATALI[[#This Row],[PPN (11%)]]</f>
        <v>37065419.999999993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141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18</v>
      </c>
      <c r="C7" s="12">
        <f ca="1">HYPERLINK("[NOTA_.xlsx]PAJAK!b"&amp;ATALI[[#This Row],[//PAJAK]],IF(ATALI[[#This Row],[//PAJAK]]="","",INDEX(INDIRECT("PAJAK["&amp;ATALI[#Headers]&amp;"]"),ATALI[[#This Row],[//PAJAK]]-1)))</f>
        <v>36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45024</v>
      </c>
      <c r="F7" s="2">
        <f ca="1">IF(ATALI[[#This Row],[//PAJAK]]="","",INDEX(INDIRECT("PAJAK["&amp;ATALI[#Headers]&amp;"]"),ATALI[[#This Row],[//PAJAK]]-1))</f>
        <v>45019</v>
      </c>
      <c r="G7" s="5" t="str">
        <f ca="1">IF(ATALI[[#This Row],[//PAJAK]]="","",INDEX(INDIRECT("PAJAK["&amp;ATALI[#Headers]&amp;"]"),ATALI[[#This Row],[//PAJAK]]-1))</f>
        <v>SA230405587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11795603.75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10626670.045045044</v>
      </c>
      <c r="L7" s="1">
        <f ca="1">ATALI[[#This Row],[DPP]]*11%</f>
        <v>1168933.7049549548</v>
      </c>
      <c r="M7" s="1">
        <f ca="1">ATALI[[#This Row],[DPP]]+ATALI[[#This Row],[PPN (11%)]]</f>
        <v>11795603.75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19</v>
      </c>
      <c r="C8" s="12">
        <f ca="1">HYPERLINK("[NOTA_.xlsx]PAJAK!b"&amp;ATALI[[#This Row],[//PAJAK]],IF(ATALI[[#This Row],[//PAJAK]]="","",INDEX(INDIRECT("PAJAK["&amp;ATALI[#Headers]&amp;"]"),ATALI[[#This Row],[//PAJAK]]-1)))</f>
        <v>37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45024</v>
      </c>
      <c r="F8" s="2">
        <f ca="1">IF(ATALI[[#This Row],[//PAJAK]]="","",INDEX(INDIRECT("PAJAK["&amp;ATALI[#Headers]&amp;"]"),ATALI[[#This Row],[//PAJAK]]-1))</f>
        <v>45019</v>
      </c>
      <c r="G8" s="5" t="str">
        <f ca="1">IF(ATALI[[#This Row],[//PAJAK]]="","",INDEX(INDIRECT("PAJAK["&amp;ATALI[#Headers]&amp;"]"),ATALI[[#This Row],[//PAJAK]]-1))</f>
        <v>SA230405623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32010300</v>
      </c>
      <c r="J8" s="1">
        <f ca="1">IF(ATALI[[#This Row],[//PAJAK]]="","",INDEX(PAJAK[DISC DLL],ATALI[[#This Row],[//PAJAK]]-1))</f>
        <v>1316700</v>
      </c>
      <c r="K8" s="1">
        <f ca="1">(ATALI[[#This Row],[SUB TOTAL]]-ATALI[[#This Row],[DISKON]])/1.11</f>
        <v>27651891.891891889</v>
      </c>
      <c r="L8" s="1">
        <f ca="1">ATALI[[#This Row],[DPP]]*11%</f>
        <v>3041708.1081081079</v>
      </c>
      <c r="M8" s="1">
        <f ca="1">ATALI[[#This Row],[DPP]]+ATALI[[#This Row],[PPN (11%)]]</f>
        <v>30693599.999999996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194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25</v>
      </c>
      <c r="C9" s="12">
        <f ca="1">HYPERLINK("[NOTA_.xlsx]PAJAK!b"&amp;ATALI[[#This Row],[//PAJAK]],IF(ATALI[[#This Row],[//PAJAK]]="","",INDEX(INDIRECT("PAJAK["&amp;ATALI[#Headers]&amp;"]"),ATALI[[#This Row],[//PAJAK]]-1)))</f>
        <v>46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45028</v>
      </c>
      <c r="F9" s="2">
        <f ca="1">IF(ATALI[[#This Row],[//PAJAK]]="","",INDEX(INDIRECT("PAJAK["&amp;ATALI[#Headers]&amp;"]"),ATALI[[#This Row],[//PAJAK]]-1))</f>
        <v>45022</v>
      </c>
      <c r="G9" s="5" t="str">
        <f ca="1">IF(ATALI[[#This Row],[//PAJAK]]="","",INDEX(INDIRECT("PAJAK["&amp;ATALI[#Headers]&amp;"]"),ATALI[[#This Row],[//PAJAK]]-1))</f>
        <v>SA230405969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66785775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60167364.864864856</v>
      </c>
      <c r="L9" s="1">
        <f ca="1">ATALI[[#This Row],[DPP]]*11%</f>
        <v>6618410.1351351338</v>
      </c>
      <c r="M9" s="1">
        <f ca="1">ATALI[[#This Row],[DPP]]+ATALI[[#This Row],[PPN (11%)]]</f>
        <v>66785774.999999993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200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26</v>
      </c>
      <c r="C10" s="12">
        <f ca="1">HYPERLINK("[NOTA_.xlsx]PAJAK!b"&amp;ATALI[[#This Row],[//PAJAK]],IF(ATALI[[#This Row],[//PAJAK]]="","",INDEX(INDIRECT("PAJAK["&amp;ATALI[#Headers]&amp;"]"),ATALI[[#This Row],[//PAJAK]]-1)))</f>
        <v>47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45028</v>
      </c>
      <c r="F10" s="2">
        <f ca="1">IF(ATALI[[#This Row],[//PAJAK]]="","",INDEX(INDIRECT("PAJAK["&amp;ATALI[#Headers]&amp;"]"),ATALI[[#This Row],[//PAJAK]]-1))</f>
        <v>45021</v>
      </c>
      <c r="G10" s="5" t="str">
        <f ca="1">IF(ATALI[[#This Row],[//PAJAK]]="","",INDEX(INDIRECT("PAJAK["&amp;ATALI[#Headers]&amp;"]"),ATALI[[#This Row],[//PAJAK]]-1))</f>
        <v>SA230405889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13794480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12427459.459459458</v>
      </c>
      <c r="L10" s="1">
        <f ca="1">ATALI[[#This Row],[DPP]]*11%</f>
        <v>1367020.5405405404</v>
      </c>
      <c r="M10" s="1">
        <f ca="1">ATALI[[#This Row],[DPP]]+ATALI[[#This Row],[PPN (11%)]]</f>
        <v>13794479.999999998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202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48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45028</v>
      </c>
      <c r="F11" s="2">
        <f ca="1">IF(ATALI[[#This Row],[//PAJAK]]="","",INDEX(INDIRECT("PAJAK["&amp;ATALI[#Headers]&amp;"]"),ATALI[[#This Row],[//PAJAK]]-1))</f>
        <v>45021</v>
      </c>
      <c r="G11" s="5" t="str">
        <f ca="1">IF(ATALI[[#This Row],[//PAJAK]]="","",INDEX(INDIRECT("PAJAK["&amp;ATALI[#Headers]&amp;"]"),ATALI[[#This Row],[//PAJAK]]-1))</f>
        <v>SA230405832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27458829</v>
      </c>
      <c r="J11" s="1">
        <f ca="1">IF(ATALI[[#This Row],[//PAJAK]]="","",INDEX(PAJAK[DISC DLL],ATALI[[#This Row],[//PAJAK]]-1))</f>
        <v>270864</v>
      </c>
      <c r="K11" s="1">
        <f ca="1">(ATALI[[#This Row],[SUB TOTAL]]-ATALI[[#This Row],[DISKON]])/1.11</f>
        <v>24493662.162162159</v>
      </c>
      <c r="L11" s="1">
        <f ca="1">ATALI[[#This Row],[DPP]]*11%</f>
        <v>2694302.8378378376</v>
      </c>
      <c r="M11" s="1">
        <f ca="1">ATALI[[#This Row],[DPP]]+ATALI[[#This Row],[PPN (11%)]]</f>
        <v>27187964.999999996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209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49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45028</v>
      </c>
      <c r="F12" s="2">
        <f ca="1">IF(ATALI[[#This Row],[//PAJAK]]="","",INDEX(INDIRECT("PAJAK["&amp;ATALI[#Headers]&amp;"]"),ATALI[[#This Row],[//PAJAK]]-1))</f>
        <v>45022</v>
      </c>
      <c r="G12" s="5" t="str">
        <f ca="1">IF(ATALI[[#This Row],[//PAJAK]]="","",INDEX(INDIRECT("PAJAK["&amp;ATALI[#Headers]&amp;"]"),ATALI[[#This Row],[//PAJAK]]-1))</f>
        <v>SA230405968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27554773.75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24824120.495495494</v>
      </c>
      <c r="L12" s="1">
        <f ca="1">ATALI[[#This Row],[DPP]]*11%</f>
        <v>2730653.2545045046</v>
      </c>
      <c r="M12" s="1">
        <f ca="1">ATALI[[#This Row],[DPP]]+ATALI[[#This Row],[PPN (11%)]]</f>
        <v>27554773.75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221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29</v>
      </c>
      <c r="C13" s="12">
        <f ca="1">HYPERLINK("[NOTA_.xlsx]PAJAK!b"&amp;ATALI[[#This Row],[//PAJAK]],IF(ATALI[[#This Row],[//PAJAK]]="","",INDEX(INDIRECT("PAJAK["&amp;ATALI[#Headers]&amp;"]"),ATALI[[#This Row],[//PAJAK]]-1)))</f>
        <v>50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45028</v>
      </c>
      <c r="F13" s="2">
        <f ca="1">IF(ATALI[[#This Row],[//PAJAK]]="","",INDEX(INDIRECT("PAJAK["&amp;ATALI[#Headers]&amp;"]"),ATALI[[#This Row],[//PAJAK]]-1))</f>
        <v>45022</v>
      </c>
      <c r="G13" s="5" t="str">
        <f ca="1">IF(ATALI[[#This Row],[//PAJAK]]="","",INDEX(INDIRECT("PAJAK["&amp;ATALI[#Headers]&amp;"]"),ATALI[[#This Row],[//PAJAK]]-1))</f>
        <v>SA230405967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54306959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48925188.28828828</v>
      </c>
      <c r="L13" s="1">
        <f ca="1">ATALI[[#This Row],[DPP]]*11%</f>
        <v>5381770.7117117113</v>
      </c>
      <c r="M13" s="1">
        <f ca="1">ATALI[[#This Row],[DPP]]+ATALI[[#This Row],[PPN (11%)]]</f>
        <v>54306958.999999993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233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51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45028</v>
      </c>
      <c r="F14" s="2">
        <f ca="1">IF(ATALI[[#This Row],[//PAJAK]]="","",INDEX(INDIRECT("PAJAK["&amp;ATALI[#Headers]&amp;"]"),ATALI[[#This Row],[//PAJAK]]-1))</f>
        <v>45022</v>
      </c>
      <c r="G14" s="5" t="str">
        <f ca="1">IF(ATALI[[#This Row],[//PAJAK]]="","",INDEX(INDIRECT("PAJAK["&amp;ATALI[#Headers]&amp;"]"),ATALI[[#This Row],[//PAJAK]]-1))</f>
        <v>SA230405970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19814838.75</v>
      </c>
      <c r="J14" s="1">
        <f ca="1">IF(ATALI[[#This Row],[//PAJAK]]="","",INDEX(PAJAK[DISC DLL],ATALI[[#This Row],[//PAJAK]]-1))</f>
        <v>790020</v>
      </c>
      <c r="K14" s="1">
        <f ca="1">(ATALI[[#This Row],[SUB TOTAL]]-ATALI[[#This Row],[DISKON]])/1.11</f>
        <v>17139476.351351351</v>
      </c>
      <c r="L14" s="1">
        <f ca="1">ATALI[[#This Row],[DPP]]*11%</f>
        <v>1885342.3986486485</v>
      </c>
      <c r="M14" s="1">
        <f ca="1">ATALI[[#This Row],[DPP]]+ATALI[[#This Row],[PPN (11%)]]</f>
        <v>19024818.75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243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52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45028</v>
      </c>
      <c r="F15" s="2">
        <f ca="1">IF(ATALI[[#This Row],[//PAJAK]]="","",INDEX(INDIRECT("PAJAK["&amp;ATALI[#Headers]&amp;"]"),ATALI[[#This Row],[//PAJAK]]-1))</f>
        <v>45024</v>
      </c>
      <c r="G15" s="5" t="str">
        <f ca="1">IF(ATALI[[#This Row],[//PAJAK]]="","",INDEX(INDIRECT("PAJAK["&amp;ATALI[#Headers]&amp;"]"),ATALI[[#This Row],[//PAJAK]]-1))</f>
        <v>SA230406063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79946160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72023567.567567557</v>
      </c>
      <c r="L15" s="1">
        <f ca="1">ATALI[[#This Row],[DPP]]*11%</f>
        <v>7922592.4324324317</v>
      </c>
      <c r="M15" s="1">
        <f ca="1">ATALI[[#This Row],[DPP]]+ATALI[[#This Row],[PPN (11%)]]</f>
        <v>79946159.999999985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247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53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45028</v>
      </c>
      <c r="F16" s="2">
        <f ca="1">IF(ATALI[[#This Row],[//PAJAK]]="","",INDEX(INDIRECT("PAJAK["&amp;ATALI[#Headers]&amp;"]"),ATALI[[#This Row],[//PAJAK]]-1))</f>
        <v>45024</v>
      </c>
      <c r="G16" s="5" t="str">
        <f ca="1">IF(ATALI[[#This Row],[//PAJAK]]="","",INDEX(INDIRECT("PAJAK["&amp;ATALI[#Headers]&amp;"]"),ATALI[[#This Row],[//PAJAK]]-1))</f>
        <v>SA230406064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27154836</v>
      </c>
      <c r="J16" s="1">
        <f ca="1">IF(ATALI[[#This Row],[//PAJAK]]="","",INDEX(PAJAK[DISC DLL],ATALI[[#This Row],[//PAJAK]]-1))</f>
        <v>406296</v>
      </c>
      <c r="K16" s="1">
        <f ca="1">(ATALI[[#This Row],[SUB TOTAL]]-ATALI[[#This Row],[DISKON]])/1.11</f>
        <v>24097783.783783782</v>
      </c>
      <c r="L16" s="1">
        <f ca="1">ATALI[[#This Row],[DPP]]*11%</f>
        <v>2650756.2162162159</v>
      </c>
      <c r="M16" s="1">
        <f ca="1">ATALI[[#This Row],[DPP]]+ATALI[[#This Row],[PPN (11%)]]</f>
        <v>26748540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252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54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45028</v>
      </c>
      <c r="F17" s="2">
        <f ca="1">IF(ATALI[[#This Row],[//PAJAK]]="","",INDEX(INDIRECT("PAJAK["&amp;ATALI[#Headers]&amp;"]"),ATALI[[#This Row],[//PAJAK]]-1))</f>
        <v>45024</v>
      </c>
      <c r="G17" s="5" t="str">
        <f ca="1">IF(ATALI[[#This Row],[//PAJAK]]="","",INDEX(INDIRECT("PAJAK["&amp;ATALI[#Headers]&amp;"]"),ATALI[[#This Row],[//PAJAK]]-1))</f>
        <v>SA230406022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22521056.25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20289239.864864863</v>
      </c>
      <c r="L17" s="1">
        <f ca="1">ATALI[[#This Row],[DPP]]*11%</f>
        <v>2231816.3851351351</v>
      </c>
      <c r="M17" s="1">
        <f ca="1">ATALI[[#This Row],[DPP]]+ATALI[[#This Row],[PPN (11%)]]</f>
        <v>22521056.25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264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55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45028</v>
      </c>
      <c r="F18" s="2">
        <f ca="1">IF(ATALI[[#This Row],[//PAJAK]]="","",INDEX(INDIRECT("PAJAK["&amp;ATALI[#Headers]&amp;"]"),ATALI[[#This Row],[//PAJAK]]-1))</f>
        <v>45024</v>
      </c>
      <c r="G18" s="7" t="str">
        <f ca="1">IF(ATALI[[#This Row],[//PAJAK]]="","",INDEX(INDIRECT("PAJAK["&amp;ATALI[#Headers]&amp;"]"),ATALI[[#This Row],[//PAJAK]]-1))</f>
        <v>SA230406023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4444632</v>
      </c>
      <c r="J18" s="1">
        <f ca="1">IF(ATALI[[#This Row],[//PAJAK]]="","",INDEX(PAJAK[DISC DLL],ATALI[[#This Row],[//PAJAK]]-1))</f>
        <v>135432</v>
      </c>
      <c r="K18" s="1">
        <f ca="1">(ATALI[[#This Row],[SUB TOTAL]]-ATALI[[#This Row],[DISKON]])/1.11</f>
        <v>3882162.1621621619</v>
      </c>
      <c r="L18" s="1">
        <f ca="1">ATALI[[#This Row],[DPP]]*11%</f>
        <v>427037.83783783781</v>
      </c>
      <c r="M18" s="1">
        <f ca="1">ATALI[[#This Row],[DPP]]+ATALI[[#This Row],[PPN (11%)]]</f>
        <v>4309200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267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56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45028</v>
      </c>
      <c r="F19" s="2">
        <f ca="1">IF(ATALI[[#This Row],[//PAJAK]]="","",INDEX(INDIRECT("PAJAK["&amp;ATALI[#Headers]&amp;"]"),ATALI[[#This Row],[//PAJAK]]-1))</f>
        <v>45026</v>
      </c>
      <c r="G19" s="7" t="str">
        <f ca="1">IF(ATALI[[#This Row],[//PAJAK]]="","",INDEX(INDIRECT("PAJAK["&amp;ATALI[#Headers]&amp;"]"),ATALI[[#This Row],[//PAJAK]]-1))</f>
        <v>SA230406100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41528585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37413139.639639638</v>
      </c>
      <c r="L19" s="1">
        <f ca="1">ATALI[[#This Row],[DPP]]*11%</f>
        <v>4115445.3603603602</v>
      </c>
      <c r="M19" s="1">
        <f ca="1">ATALI[[#This Row],[DPP]]+ATALI[[#This Row],[PPN (11%)]]</f>
        <v>41528585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279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57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45028</v>
      </c>
      <c r="F20" s="2">
        <f ca="1">IF(ATALI[[#This Row],[//PAJAK]]="","",INDEX(INDIRECT("PAJAK["&amp;ATALI[#Headers]&amp;"]"),ATALI[[#This Row],[//PAJAK]]-1))</f>
        <v>45026</v>
      </c>
      <c r="G20" s="7" t="str">
        <f ca="1">IF(ATALI[[#This Row],[//PAJAK]]="","",INDEX(INDIRECT("PAJAK["&amp;ATALI[#Headers]&amp;"]"),ATALI[[#This Row],[//PAJAK]]-1))</f>
        <v>SA230406101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28692422.5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25849029.279279277</v>
      </c>
      <c r="L20" s="1">
        <f ca="1">ATALI[[#This Row],[DPP]]*11%</f>
        <v>2843393.2207207205</v>
      </c>
      <c r="M20" s="1">
        <f ca="1">ATALI[[#This Row],[DPP]]+ATALI[[#This Row],[PPN (11%)]]</f>
        <v>28692422.499999996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297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39</v>
      </c>
      <c r="C21" s="12">
        <f ca="1">HYPERLINK("[NOTA_.xlsx]PAJAK!b"&amp;ATALI[[#This Row],[//PAJAK]],IF(ATALI[[#This Row],[//PAJAK]]="","",INDEX(INDIRECT("PAJAK["&amp;ATALI[#Headers]&amp;"]"),ATALI[[#This Row],[//PAJAK]]-1)))</f>
        <v>61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45030</v>
      </c>
      <c r="F21" s="2">
        <f ca="1">IF(ATALI[[#This Row],[//PAJAK]]="","",INDEX(INDIRECT("PAJAK["&amp;ATALI[#Headers]&amp;"]"),ATALI[[#This Row],[//PAJAK]]-1))</f>
        <v>45027</v>
      </c>
      <c r="G21" s="7" t="str">
        <f ca="1">IF(ATALI[[#This Row],[//PAJAK]]="","",INDEX(INDIRECT("PAJAK["&amp;ATALI[#Headers]&amp;"]"),ATALI[[#This Row],[//PAJAK]]-1))</f>
        <v>SA230406164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8667111.25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7808208.333333333</v>
      </c>
      <c r="L21" s="1">
        <f ca="1">ATALI[[#This Row],[DPP]]*11%</f>
        <v>858902.91666666663</v>
      </c>
      <c r="M21" s="1">
        <f ca="1">ATALI[[#This Row],[DPP]]+ATALI[[#This Row],[PPN (11%)]]</f>
        <v>8667111.25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304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40</v>
      </c>
      <c r="C22" s="12">
        <f ca="1">HYPERLINK("[NOTA_.xlsx]PAJAK!b"&amp;ATALI[[#This Row],[//PAJAK]],IF(ATALI[[#This Row],[//PAJAK]]="","",INDEX(INDIRECT("PAJAK["&amp;ATALI[#Headers]&amp;"]"),ATALI[[#This Row],[//PAJAK]]-1)))</f>
        <v>62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45030</v>
      </c>
      <c r="F22" s="2">
        <f ca="1">IF(ATALI[[#This Row],[//PAJAK]]="","",INDEX(INDIRECT("PAJAK["&amp;ATALI[#Headers]&amp;"]"),ATALI[[#This Row],[//PAJAK]]-1))</f>
        <v>45028</v>
      </c>
      <c r="G22" s="7" t="str">
        <f ca="1">IF(ATALI[[#This Row],[//PAJAK]]="","",INDEX(INDIRECT("PAJAK["&amp;ATALI[#Headers]&amp;"]"),ATALI[[#This Row],[//PAJAK]]-1))</f>
        <v>SA230406190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52395682.5</v>
      </c>
      <c r="J22" s="1">
        <f ca="1">IF(ATALI[[#This Row],[//PAJAK]]="","",INDEX(PAJAK[DISC DLL],ATALI[[#This Row],[//PAJAK]]-1))</f>
        <v>3028410</v>
      </c>
      <c r="K22" s="1">
        <f ca="1">(ATALI[[#This Row],[SUB TOTAL]]-ATALI[[#This Row],[DISKON]])/1.11</f>
        <v>44475020.270270266</v>
      </c>
      <c r="L22" s="1">
        <f ca="1">ATALI[[#This Row],[DPP]]*11%</f>
        <v>4892252.2297297297</v>
      </c>
      <c r="M22" s="1">
        <f ca="1">ATALI[[#This Row],[DPP]]+ATALI[[#This Row],[PPN (11%)]]</f>
        <v>49367272.499999993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347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44</v>
      </c>
      <c r="C23" s="12">
        <f ca="1">HYPERLINK("[NOTA_.xlsx]PAJAK!b"&amp;ATALI[[#This Row],[//PAJAK]],IF(ATALI[[#This Row],[//PAJAK]]="","",INDEX(INDIRECT("PAJAK["&amp;ATALI[#Headers]&amp;"]"),ATALI[[#This Row],[//PAJAK]]-1)))</f>
        <v>69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45049</v>
      </c>
      <c r="F23" s="2">
        <f ca="1">IF(ATALI[[#This Row],[//PAJAK]]="","",INDEX(INDIRECT("PAJAK["&amp;ATALI[#Headers]&amp;"]"),ATALI[[#This Row],[//PAJAK]]-1))</f>
        <v>45030</v>
      </c>
      <c r="G23" s="7" t="str">
        <f ca="1">IF(ATALI[[#This Row],[//PAJAK]]="","",INDEX(INDIRECT("PAJAK["&amp;ATALI[#Headers]&amp;"]"),ATALI[[#This Row],[//PAJAK]]-1))</f>
        <v>SA230406293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11762520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10596864.864864863</v>
      </c>
      <c r="L23" s="1">
        <f ca="1">ATALI[[#This Row],[DPP]]*11%</f>
        <v>1165655.1351351349</v>
      </c>
      <c r="M23" s="1">
        <f ca="1">ATALI[[#This Row],[DPP]]+ATALI[[#This Row],[PPN (11%)]]</f>
        <v>11762519.999999998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357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45</v>
      </c>
      <c r="C24" s="12">
        <f ca="1">HYPERLINK("[NOTA_.xlsx]PAJAK!b"&amp;ATALI[[#This Row],[//PAJAK]],IF(ATALI[[#This Row],[//PAJAK]]="","",INDEX(INDIRECT("PAJAK["&amp;ATALI[#Headers]&amp;"]"),ATALI[[#This Row],[//PAJAK]]-1)))</f>
        <v>70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45049</v>
      </c>
      <c r="F24" s="2">
        <f ca="1">IF(ATALI[[#This Row],[//PAJAK]]="","",INDEX(INDIRECT("PAJAK["&amp;ATALI[#Headers]&amp;"]"),ATALI[[#This Row],[//PAJAK]]-1))</f>
        <v>45029</v>
      </c>
      <c r="G24" s="7" t="str">
        <f ca="1">IF(ATALI[[#This Row],[//PAJAK]]="","",INDEX(INDIRECT("PAJAK["&amp;ATALI[#Headers]&amp;"]"),ATALI[[#This Row],[//PAJAK]]-1))</f>
        <v>SA230406285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1175055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1058608.1081081079</v>
      </c>
      <c r="L24" s="1">
        <f ca="1">ATALI[[#This Row],[DPP]]*11%</f>
        <v>116446.89189189188</v>
      </c>
      <c r="M24" s="1">
        <f ca="1">ATALI[[#This Row],[DPP]]+ATALI[[#This Row],[PPN (11%)]]</f>
        <v>1175054.9999999998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359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46</v>
      </c>
      <c r="C25" s="12">
        <f ca="1">HYPERLINK("[NOTA_.xlsx]PAJAK!b"&amp;ATALI[[#This Row],[//PAJAK]],IF(ATALI[[#This Row],[//PAJAK]]="","",INDEX(INDIRECT("PAJAK["&amp;ATALI[#Headers]&amp;"]"),ATALI[[#This Row],[//PAJAK]]-1)))</f>
        <v>71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45049</v>
      </c>
      <c r="F25" s="2">
        <f ca="1">IF(ATALI[[#This Row],[//PAJAK]]="","",INDEX(INDIRECT("PAJAK["&amp;ATALI[#Headers]&amp;"]"),ATALI[[#This Row],[//PAJAK]]-1))</f>
        <v>45029</v>
      </c>
      <c r="G25" s="7" t="str">
        <f ca="1">IF(ATALI[[#This Row],[//PAJAK]]="","",INDEX(INDIRECT("PAJAK["&amp;ATALI[#Headers]&amp;"]"),ATALI[[#This Row],[//PAJAK]]-1))</f>
        <v>SA230406244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30509867.5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27486367.117117114</v>
      </c>
      <c r="L25" s="1">
        <f ca="1">ATALI[[#This Row],[DPP]]*11%</f>
        <v>3023500.3828828824</v>
      </c>
      <c r="M25" s="1">
        <f ca="1">ATALI[[#This Row],[DPP]]+ATALI[[#This Row],[PPN (11%)]]</f>
        <v>30509867.499999996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371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47</v>
      </c>
      <c r="C26" s="12">
        <f ca="1">HYPERLINK("[NOTA_.xlsx]PAJAK!b"&amp;ATALI[[#This Row],[//PAJAK]],IF(ATALI[[#This Row],[//PAJAK]]="","",INDEX(INDIRECT("PAJAK["&amp;ATALI[#Headers]&amp;"]"),ATALI[[#This Row],[//PAJAK]]-1)))</f>
        <v>72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45028</v>
      </c>
      <c r="F26" s="2">
        <f ca="1">IF(ATALI[[#This Row],[//PAJAK]]="","",INDEX(INDIRECT("PAJAK["&amp;ATALI[#Headers]&amp;"]"),ATALI[[#This Row],[//PAJAK]]-1))</f>
        <v>45022</v>
      </c>
      <c r="G26" s="7" t="str">
        <f ca="1">IF(ATALI[[#This Row],[//PAJAK]]="","",INDEX(INDIRECT("PAJAK["&amp;ATALI[#Headers]&amp;"]"),ATALI[[#This Row],[//PAJAK]]-1))</f>
        <v>SA230405930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3016440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2717513.5135135134</v>
      </c>
      <c r="L26" s="1">
        <f ca="1">ATALI[[#This Row],[DPP]]*11%</f>
        <v>298926.48648648645</v>
      </c>
      <c r="M26" s="1">
        <f ca="1">ATALI[[#This Row],[DPP]]+ATALI[[#This Row],[PPN (11%)]]</f>
        <v>3016440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20</v>
      </c>
      <c r="F1"/>
      <c r="G1" t="str">
        <f ca="1">CELL("filename",G1)</f>
        <v>D:\kerja\BANK EXP\BARU\2023\04 APRIL\[NOTA 04 APRIL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45019</v>
      </c>
      <c r="F3" s="2">
        <f ca="1">IF(KENKO[[#This Row],[//PAJAK]]="","",INDEX(INDIRECT("PAJAK["&amp;KENKO[#Headers]&amp;"]"),KENKO[[#This Row],[//PAJAK]]-1))</f>
        <v>45017</v>
      </c>
      <c r="G3" s="9" t="str">
        <f ca="1">IF(KENKO[[#This Row],[//PAJAK]]="","",INDEX(INDIRECT("PAJAK["&amp;KENKO[#Headers]&amp;"]"),KENKO[[#This Row],[//PAJAK]]-1))</f>
        <v>23040005</v>
      </c>
      <c r="H3" s="3" t="str">
        <f ca="1">IF(KENKO[[#This Row],[//PAJAK]]="","",INDEX(INDIRECT("PAJAK["&amp;KENKO[#Headers]&amp;"]"),KENKO[[#This Row],[//PAJAK]]-1))</f>
        <v>SA 40769</v>
      </c>
      <c r="I3" s="1">
        <f ca="1">IF(KENKO[[#This Row],[//PAJAK]]="","",INDEX(INDIRECT("PAJAK["&amp;KENKO[#Headers]&amp;"]"),KENKO[[#This Row],[//PAJAK]]-1))</f>
        <v>59916000</v>
      </c>
      <c r="J3" s="1">
        <f ca="1">IF(KENKO[[#This Row],[//PAJAK]]="","",INDEX(INDIRECT("PAJAK["&amp;KENKO[#Headers]&amp;"]"),KENKO[[#This Row],[//PAJAK]]-1))</f>
        <v>10185720</v>
      </c>
      <c r="K3" s="1">
        <f ca="1">(KENKO[[#This Row],[SUB TOTAL]]-KENKO[[#This Row],[DISKON]])/1.11</f>
        <v>44802054.054054052</v>
      </c>
      <c r="L3" s="1">
        <f ca="1">KENKO[[#This Row],[DPP]]*11%</f>
        <v>4928225.9459459456</v>
      </c>
      <c r="M3" s="1">
        <f ca="1">KENKO[[#This Row],[DPP]]+KENKO[[#This Row],[PPN (11%)]]</f>
        <v>49730280</v>
      </c>
      <c r="N3" s="1" t="str">
        <f ca="1">INDEX(PAJAK[ID_P],MATCH(KENKO[[#This Row],[ID]],PAJAK[ID],0))</f>
        <v>KEN_0304_005-9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13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45019</v>
      </c>
      <c r="F4" s="2">
        <f ca="1">IF(KENKO[[#This Row],[//PAJAK]]="","",INDEX(INDIRECT("PAJAK["&amp;KENKO[#Headers]&amp;"]"),KENKO[[#This Row],[//PAJAK]]-1))</f>
        <v>45017</v>
      </c>
      <c r="G4" s="9" t="str">
        <f ca="1">IF(KENKO[[#This Row],[//PAJAK]]="","",INDEX(INDIRECT("PAJAK["&amp;KENKO[#Headers]&amp;"]"),KENKO[[#This Row],[//PAJAK]]-1))</f>
        <v>23040058</v>
      </c>
      <c r="H4" s="3" t="str">
        <f ca="1">IF(KENKO[[#This Row],[//PAJAK]]="","",INDEX(INDIRECT("PAJAK["&amp;KENKO[#Headers]&amp;"]"),KENKO[[#This Row],[//PAJAK]]-1))</f>
        <v>SA 40792</v>
      </c>
      <c r="I4" s="1">
        <f ca="1">IF(KENKO[[#This Row],[//PAJAK]]="","",INDEX(INDIRECT("PAJAK["&amp;KENKO[#Headers]&amp;"]"),KENKO[[#This Row],[//PAJAK]]-1))</f>
        <v>59098400</v>
      </c>
      <c r="J4" s="1">
        <f ca="1">IF(KENKO[[#This Row],[//PAJAK]]="","",INDEX(INDIRECT("PAJAK["&amp;KENKO[#Headers]&amp;"]"),KENKO[[#This Row],[//PAJAK]]-1))</f>
        <v>10046728</v>
      </c>
      <c r="K4" s="1">
        <f ca="1">(KENKO[[#This Row],[SUB TOTAL]]-KENKO[[#This Row],[DISKON]])/1.11</f>
        <v>44190695.495495491</v>
      </c>
      <c r="L4" s="1">
        <f ca="1">KENKO[[#This Row],[DPP]]*11%</f>
        <v>4860976.5045045037</v>
      </c>
      <c r="M4" s="1">
        <f ca="1">KENKO[[#This Row],[DPP]]+KENKO[[#This Row],[PPN (11%)]]</f>
        <v>49051671.999999993</v>
      </c>
      <c r="N4" s="1" t="str">
        <f ca="1">INDEX(PAJAK[ID_P],MATCH(KENKO[[#This Row],[ID]],PAJAK[ID],0))</f>
        <v>KEN_0304_058-10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37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8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45020</v>
      </c>
      <c r="F5" s="2">
        <f ca="1">IF(KENKO[[#This Row],[//PAJAK]]="","",INDEX(INDIRECT("PAJAK["&amp;KENKO[#Headers]&amp;"]"),KENKO[[#This Row],[//PAJAK]]-1))</f>
        <v>45019</v>
      </c>
      <c r="G5" s="9" t="str">
        <f ca="1">IF(KENKO[[#This Row],[//PAJAK]]="","",INDEX(INDIRECT("PAJAK["&amp;KENKO[#Headers]&amp;"]"),KENKO[[#This Row],[//PAJAK]]-1))</f>
        <v>23040152</v>
      </c>
      <c r="H5" s="3" t="str">
        <f ca="1">IF(KENKO[[#This Row],[//PAJAK]]="","",INDEX(INDIRECT("PAJAK["&amp;KENKO[#Headers]&amp;"]"),KENKO[[#This Row],[//PAJAK]]-1))</f>
        <v>SA 40873</v>
      </c>
      <c r="I5" s="1">
        <f ca="1">IF(KENKO[[#This Row],[//PAJAK]]="","",INDEX(INDIRECT("PAJAK["&amp;KENKO[#Headers]&amp;"]"),KENKO[[#This Row],[//PAJAK]]-1))</f>
        <v>19440000</v>
      </c>
      <c r="J5" s="1">
        <f ca="1">IF(KENKO[[#This Row],[//PAJAK]]="","",INDEX(INDIRECT("PAJAK["&amp;KENKO[#Headers]&amp;"]"),KENKO[[#This Row],[//PAJAK]]-1))</f>
        <v>3304800.0000000005</v>
      </c>
      <c r="K5" s="1">
        <f ca="1">(KENKO[[#This Row],[SUB TOTAL]]-KENKO[[#This Row],[DISKON]])/1.11</f>
        <v>14536216.216216216</v>
      </c>
      <c r="L5" s="1">
        <f ca="1">KENKO[[#This Row],[DPP]]*11%</f>
        <v>1598983.7837837837</v>
      </c>
      <c r="M5" s="1">
        <f ca="1">KENKO[[#This Row],[DPP]]+KENKO[[#This Row],[PPN (11%)]]</f>
        <v>16135200</v>
      </c>
      <c r="N5" s="1" t="str">
        <f ca="1">INDEX(PAJAK[ID_P],MATCH(KENKO[[#This Row],[ID]],PAJAK[ID],0))</f>
        <v>KEN_0404_152-1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44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7</v>
      </c>
      <c r="C6" s="7">
        <f ca="1">HYPERLINK("[NOTA_.xlsx]PAJAK!b"&amp;KENKO[[#This Row],[//PAJAK]],IF(KENKO[[#This Row],[//PAJAK]]="","",INDEX(INDIRECT("PAJAK["&amp;KENKO[#Headers]&amp;"]"),KENKO[[#This Row],[//PAJAK]]-1)))</f>
        <v>11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45021</v>
      </c>
      <c r="F6" s="2">
        <f ca="1">IF(KENKO[[#This Row],[//PAJAK]]="","",INDEX(INDIRECT("PAJAK["&amp;KENKO[#Headers]&amp;"]"),KENKO[[#This Row],[//PAJAK]]-1))</f>
        <v>45019</v>
      </c>
      <c r="G6" s="9" t="str">
        <f ca="1">IF(KENKO[[#This Row],[//PAJAK]]="","",INDEX(INDIRECT("PAJAK["&amp;KENKO[#Headers]&amp;"]"),KENKO[[#This Row],[//PAJAK]]-1))</f>
        <v>23040230</v>
      </c>
      <c r="H6" s="3" t="str">
        <f ca="1">IF(KENKO[[#This Row],[//PAJAK]]="","",INDEX(INDIRECT("PAJAK["&amp;KENKO[#Headers]&amp;"]"),KENKO[[#This Row],[//PAJAK]]-1))</f>
        <v>SA 40908</v>
      </c>
      <c r="I6" s="1">
        <f ca="1">IF(KENKO[[#This Row],[//PAJAK]]="","",INDEX(INDIRECT("PAJAK["&amp;KENKO[#Headers]&amp;"]"),KENKO[[#This Row],[//PAJAK]]-1))</f>
        <v>31602400</v>
      </c>
      <c r="J6" s="1">
        <f ca="1">IF(KENKO[[#This Row],[//PAJAK]]="","",INDEX(INDIRECT("PAJAK["&amp;KENKO[#Headers]&amp;"]"),KENKO[[#This Row],[//PAJAK]]-1))</f>
        <v>5372408</v>
      </c>
      <c r="K6" s="1">
        <f ca="1">(KENKO[[#This Row],[SUB TOTAL]]-KENKO[[#This Row],[DISKON]])/1.11</f>
        <v>23630623.423423421</v>
      </c>
      <c r="L6" s="1">
        <f ca="1">KENKO[[#This Row],[DPP]]*11%</f>
        <v>2599368.5765765761</v>
      </c>
      <c r="M6" s="1">
        <f ca="1">KENKO[[#This Row],[DPP]]+KENKO[[#This Row],[PPN (11%)]]</f>
        <v>26229991.999999996</v>
      </c>
      <c r="N6" s="1" t="str">
        <f ca="1">INDEX(PAJAK[ID_P],MATCH(KENKO[[#This Row],[ID]],PAJAK[ID],0))</f>
        <v>KEN_0504_230-7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8</v>
      </c>
      <c r="C7" s="7">
        <f ca="1">HYPERLINK("[NOTA_.xlsx]PAJAK!b"&amp;KENKO[[#This Row],[//PAJAK]],IF(KENKO[[#This Row],[//PAJAK]]="","",INDEX(INDIRECT("PAJAK["&amp;KENKO[#Headers]&amp;"]"),KENKO[[#This Row],[//PAJAK]]-1)))</f>
        <v>12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45021</v>
      </c>
      <c r="F7" s="2">
        <f ca="1">IF(KENKO[[#This Row],[//PAJAK]]="","",INDEX(INDIRECT("PAJAK["&amp;KENKO[#Headers]&amp;"]"),KENKO[[#This Row],[//PAJAK]]-1))</f>
        <v>45019</v>
      </c>
      <c r="G7" s="9" t="str">
        <f ca="1">IF(KENKO[[#This Row],[//PAJAK]]="","",INDEX(INDIRECT("PAJAK["&amp;KENKO[#Headers]&amp;"]"),KENKO[[#This Row],[//PAJAK]]-1))</f>
        <v>23040242</v>
      </c>
      <c r="H7" s="3" t="str">
        <f ca="1">IF(KENKO[[#This Row],[//PAJAK]]="","",INDEX(INDIRECT("PAJAK["&amp;KENKO[#Headers]&amp;"]"),KENKO[[#This Row],[//PAJAK]]-1))</f>
        <v>SA 40921</v>
      </c>
      <c r="I7" s="1">
        <f ca="1">IF(KENKO[[#This Row],[//PAJAK]]="","",INDEX(INDIRECT("PAJAK["&amp;KENKO[#Headers]&amp;"]"),KENKO[[#This Row],[//PAJAK]]-1))</f>
        <v>14166000</v>
      </c>
      <c r="J7" s="1">
        <f ca="1">IF(KENKO[[#This Row],[//PAJAK]]="","",INDEX(INDIRECT("PAJAK["&amp;KENKO[#Headers]&amp;"]"),KENKO[[#This Row],[//PAJAK]]-1))</f>
        <v>2408220</v>
      </c>
      <c r="K7" s="1">
        <f ca="1">(KENKO[[#This Row],[SUB TOTAL]]-KENKO[[#This Row],[DISKON]])/1.11</f>
        <v>10592594.594594594</v>
      </c>
      <c r="L7" s="1">
        <f ca="1">KENKO[[#This Row],[DPP]]*11%</f>
        <v>1165185.4054054054</v>
      </c>
      <c r="M7" s="1">
        <f ca="1">KENKO[[#This Row],[DPP]]+KENKO[[#This Row],[PPN (11%)]]</f>
        <v>11757780</v>
      </c>
      <c r="N7" s="1" t="str">
        <f ca="1">INDEX(PAJAK[ID_P],MATCH(KENKO[[#This Row],[ID]],PAJAK[ID],0))</f>
        <v>KEN_0504_242-5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58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13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45022</v>
      </c>
      <c r="F8" s="2">
        <f ca="1">IF(KENKO[[#This Row],[//PAJAK]]="","",INDEX(INDIRECT("PAJAK["&amp;KENKO[#Headers]&amp;"]"),KENKO[[#This Row],[//PAJAK]]-1))</f>
        <v>45020</v>
      </c>
      <c r="G8" s="9" t="str">
        <f ca="1">IF(KENKO[[#This Row],[//PAJAK]]="","",INDEX(INDIRECT("PAJAK["&amp;KENKO[#Headers]&amp;"]"),KENKO[[#This Row],[//PAJAK]]-1))</f>
        <v>23040306</v>
      </c>
      <c r="H8" s="3" t="str">
        <f ca="1">IF(KENKO[[#This Row],[//PAJAK]]="","",INDEX(INDIRECT("PAJAK["&amp;KENKO[#Headers]&amp;"]"),KENKO[[#This Row],[//PAJAK]]-1))</f>
        <v>SA 40938</v>
      </c>
      <c r="I8" s="1">
        <f ca="1">IF(KENKO[[#This Row],[//PAJAK]]="","",INDEX(INDIRECT("PAJAK["&amp;KENKO[#Headers]&amp;"]"),KENKO[[#This Row],[//PAJAK]]-1))</f>
        <v>39745200</v>
      </c>
      <c r="J8" s="1">
        <f ca="1">IF(KENKO[[#This Row],[//PAJAK]]="","",INDEX(INDIRECT("PAJAK["&amp;KENKO[#Headers]&amp;"]"),KENKO[[#This Row],[//PAJAK]]-1))</f>
        <v>6756684</v>
      </c>
      <c r="K8" s="1">
        <f ca="1">(KENKO[[#This Row],[SUB TOTAL]]-KENKO[[#This Row],[DISKON]])/1.11</f>
        <v>29719383.783783782</v>
      </c>
      <c r="L8" s="1">
        <f ca="1">KENKO[[#This Row],[DPP]]*11%</f>
        <v>3269132.2162162159</v>
      </c>
      <c r="M8" s="1">
        <f ca="1">KENKO[[#This Row],[DPP]]+KENKO[[#This Row],[PPN (11%)]]</f>
        <v>32988516</v>
      </c>
      <c r="N8" s="1" t="str">
        <f ca="1">INDEX(PAJAK[ID_P],MATCH(KENKO[[#This Row],[ID]],PAJAK[ID],0))</f>
        <v>KEN_0604_306-10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69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14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45022</v>
      </c>
      <c r="F9" s="2">
        <f ca="1">IF(KENKO[[#This Row],[//PAJAK]]="","",INDEX(INDIRECT("PAJAK["&amp;KENKO[#Headers]&amp;"]"),KENKO[[#This Row],[//PAJAK]]-1))</f>
        <v>45020</v>
      </c>
      <c r="G9" s="9" t="str">
        <f ca="1">IF(KENKO[[#This Row],[//PAJAK]]="","",INDEX(INDIRECT("PAJAK["&amp;KENKO[#Headers]&amp;"]"),KENKO[[#This Row],[//PAJAK]]-1))</f>
        <v>23040289</v>
      </c>
      <c r="H9" s="3" t="str">
        <f ca="1">IF(KENKO[[#This Row],[//PAJAK]]="","",INDEX(INDIRECT("PAJAK["&amp;KENKO[#Headers]&amp;"]"),KENKO[[#This Row],[//PAJAK]]-1))</f>
        <v>SA 40942</v>
      </c>
      <c r="I9" s="1">
        <f ca="1">IF(KENKO[[#This Row],[//PAJAK]]="","",INDEX(INDIRECT("PAJAK["&amp;KENKO[#Headers]&amp;"]"),KENKO[[#This Row],[//PAJAK]]-1))</f>
        <v>7140000</v>
      </c>
      <c r="J9" s="1">
        <f ca="1">IF(KENKO[[#This Row],[//PAJAK]]="","",INDEX(INDIRECT("PAJAK["&amp;KENKO[#Headers]&amp;"]"),KENKO[[#This Row],[//PAJAK]]-1))</f>
        <v>1213800</v>
      </c>
      <c r="K9" s="1">
        <f ca="1">(KENKO[[#This Row],[SUB TOTAL]]-KENKO[[#This Row],[DISKON]])/1.11</f>
        <v>5338918.9189189188</v>
      </c>
      <c r="L9" s="1">
        <f ca="1">KENKO[[#This Row],[DPP]]*11%</f>
        <v>587281.08108108107</v>
      </c>
      <c r="M9" s="1">
        <f ca="1">KENKO[[#This Row],[DPP]]+KENKO[[#This Row],[PPN (11%)]]</f>
        <v>5926200</v>
      </c>
      <c r="N9" s="1" t="str">
        <f ca="1">INDEX(PAJAK[ID_P],MATCH(KENKO[[#This Row],[ID]],PAJAK[ID],0))</f>
        <v>KEN_0604_289-4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74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15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45022</v>
      </c>
      <c r="F10" s="2">
        <f ca="1">IF(KENKO[[#This Row],[//PAJAK]]="","",INDEX(INDIRECT("PAJAK["&amp;KENKO[#Headers]&amp;"]"),KENKO[[#This Row],[//PAJAK]]-1))</f>
        <v>45021</v>
      </c>
      <c r="G10" s="9" t="str">
        <f ca="1">IF(KENKO[[#This Row],[//PAJAK]]="","",INDEX(INDIRECT("PAJAK["&amp;KENKO[#Headers]&amp;"]"),KENKO[[#This Row],[//PAJAK]]-1))</f>
        <v>23040384</v>
      </c>
      <c r="H10" s="3" t="str">
        <f ca="1">IF(KENKO[[#This Row],[//PAJAK]]="","",INDEX(INDIRECT("PAJAK["&amp;KENKO[#Headers]&amp;"]"),KENKO[[#This Row],[//PAJAK]]-1))</f>
        <v>SA 40955</v>
      </c>
      <c r="I10" s="1">
        <f ca="1">IF(KENKO[[#This Row],[//PAJAK]]="","",INDEX(INDIRECT("PAJAK["&amp;KENKO[#Headers]&amp;"]"),KENKO[[#This Row],[//PAJAK]]-1))</f>
        <v>14942400</v>
      </c>
      <c r="J10" s="1">
        <f ca="1">IF(KENKO[[#This Row],[//PAJAK]]="","",INDEX(INDIRECT("PAJAK["&amp;KENKO[#Headers]&amp;"]"),KENKO[[#This Row],[//PAJAK]]-1))</f>
        <v>2540208</v>
      </c>
      <c r="K10" s="1">
        <f ca="1">(KENKO[[#This Row],[SUB TOTAL]]-KENKO[[#This Row],[DISKON]])/1.11</f>
        <v>11173145.945945945</v>
      </c>
      <c r="L10" s="1">
        <f ca="1">KENKO[[#This Row],[DPP]]*11%</f>
        <v>1229046.054054054</v>
      </c>
      <c r="M10" s="1">
        <f ca="1">KENKO[[#This Row],[DPP]]+KENKO[[#This Row],[PPN (11%)]]</f>
        <v>12402191.999999998</v>
      </c>
      <c r="N10" s="1" t="str">
        <f ca="1">INDEX(PAJAK[ID_P],MATCH(KENKO[[#This Row],[ID]],PAJAK[ID],0))</f>
        <v>KEN_0604_384-2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77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12</v>
      </c>
      <c r="C11" s="7">
        <f ca="1">HYPERLINK("[NOTA_.xlsx]PAJAK!b"&amp;KENKO[[#This Row],[//PAJAK]],IF(KENKO[[#This Row],[//PAJAK]]="","",INDEX(INDIRECT("PAJAK["&amp;KENKO[#Headers]&amp;"]"),KENKO[[#This Row],[//PAJAK]]-1)))</f>
        <v>16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45022</v>
      </c>
      <c r="F11" s="2">
        <f ca="1">IF(KENKO[[#This Row],[//PAJAK]]="","",INDEX(INDIRECT("PAJAK["&amp;KENKO[#Headers]&amp;"]"),KENKO[[#This Row],[//PAJAK]]-1))</f>
        <v>45021</v>
      </c>
      <c r="G11" s="9" t="str">
        <f ca="1">IF(KENKO[[#This Row],[//PAJAK]]="","",INDEX(INDIRECT("PAJAK["&amp;KENKO[#Headers]&amp;"]"),KENKO[[#This Row],[//PAJAK]]-1))</f>
        <v>23040401</v>
      </c>
      <c r="H11" s="3" t="str">
        <f ca="1">IF(KENKO[[#This Row],[//PAJAK]]="","",INDEX(INDIRECT("PAJAK["&amp;KENKO[#Headers]&amp;"]"),KENKO[[#This Row],[//PAJAK]]-1))</f>
        <v>SA 40971</v>
      </c>
      <c r="I11" s="1">
        <f ca="1">IF(KENKO[[#This Row],[//PAJAK]]="","",INDEX(INDIRECT("PAJAK["&amp;KENKO[#Headers]&amp;"]"),KENKO[[#This Row],[//PAJAK]]-1))</f>
        <v>7374000</v>
      </c>
      <c r="J11" s="1">
        <f ca="1">IF(KENKO[[#This Row],[//PAJAK]]="","",INDEX(INDIRECT("PAJAK["&amp;KENKO[#Headers]&amp;"]"),KENKO[[#This Row],[//PAJAK]]-1))</f>
        <v>1253580</v>
      </c>
      <c r="K11" s="1">
        <f ca="1">(KENKO[[#This Row],[SUB TOTAL]]-KENKO[[#This Row],[DISKON]])/1.11</f>
        <v>5513891.8918918911</v>
      </c>
      <c r="L11" s="1">
        <f ca="1">KENKO[[#This Row],[DPP]]*11%</f>
        <v>606528.10810810805</v>
      </c>
      <c r="M11" s="1">
        <f ca="1">KENKO[[#This Row],[DPP]]+KENKO[[#This Row],[PPN (11%)]]</f>
        <v>6120419.9999999991</v>
      </c>
      <c r="N11" s="1" t="str">
        <f ca="1">INDEX(PAJAK[ID_P],MATCH(KENKO[[#This Row],[ID]],PAJAK[ID],0))</f>
        <v>KEN_0604_401-2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119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13</v>
      </c>
      <c r="C12" s="7">
        <f ca="1">HYPERLINK("[NOTA_.xlsx]PAJAK!b"&amp;KENKO[[#This Row],[//PAJAK]],IF(KENKO[[#This Row],[//PAJAK]]="","",INDEX(INDIRECT("PAJAK["&amp;KENKO[#Headers]&amp;"]"),KENKO[[#This Row],[//PAJAK]]-1)))</f>
        <v>31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45024</v>
      </c>
      <c r="F12" s="2">
        <f ca="1">IF(KENKO[[#This Row],[//PAJAK]]="","",INDEX(INDIRECT("PAJAK["&amp;KENKO[#Headers]&amp;"]"),KENKO[[#This Row],[//PAJAK]]-1))</f>
        <v>45022</v>
      </c>
      <c r="G12" s="9" t="str">
        <f ca="1">IF(KENKO[[#This Row],[//PAJAK]]="","",INDEX(INDIRECT("PAJAK["&amp;KENKO[#Headers]&amp;"]"),KENKO[[#This Row],[//PAJAK]]-1))</f>
        <v>23040493</v>
      </c>
      <c r="H12" s="3" t="str">
        <f ca="1">IF(KENKO[[#This Row],[//PAJAK]]="","",INDEX(INDIRECT("PAJAK["&amp;KENKO[#Headers]&amp;"]"),KENKO[[#This Row],[//PAJAK]]-1))</f>
        <v>SA 70982</v>
      </c>
      <c r="I12" s="1">
        <f ca="1">IF(KENKO[[#This Row],[//PAJAK]]="","",INDEX(INDIRECT("PAJAK["&amp;KENKO[#Headers]&amp;"]"),KENKO[[#This Row],[//PAJAK]]-1))</f>
        <v>3600000</v>
      </c>
      <c r="J12" s="1">
        <f ca="1">IF(KENKO[[#This Row],[//PAJAK]]="","",INDEX(INDIRECT("PAJAK["&amp;KENKO[#Headers]&amp;"]"),KENKO[[#This Row],[//PAJAK]]-1))</f>
        <v>612000</v>
      </c>
      <c r="K12" s="1">
        <f ca="1">(KENKO[[#This Row],[SUB TOTAL]]-KENKO[[#This Row],[DISKON]])/1.11</f>
        <v>2691891.8918918916</v>
      </c>
      <c r="L12" s="1">
        <f ca="1">KENKO[[#This Row],[DPP]]*11%</f>
        <v>296108.10810810811</v>
      </c>
      <c r="M12" s="1">
        <f ca="1">KENKO[[#This Row],[DPP]]+KENKO[[#This Row],[PPN (11%)]]</f>
        <v>2987999.9999999995</v>
      </c>
      <c r="N12" s="1" t="str">
        <f ca="1">INDEX(PAJAK[ID_P],MATCH(KENKO[[#This Row],[ID]],PAJAK[ID],0))</f>
        <v>KEN_0804_493-2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159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20</v>
      </c>
      <c r="C13" s="12">
        <f ca="1">HYPERLINK("[NOTA_.xlsx]PAJAK!b"&amp;KENKO[[#This Row],[//PAJAK]],IF(KENKO[[#This Row],[//PAJAK]]="","",INDEX(INDIRECT("PAJAK["&amp;KENKO[#Headers]&amp;"]"),KENKO[[#This Row],[//PAJAK]]-1)))</f>
        <v>39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45027</v>
      </c>
      <c r="F13" s="2">
        <f ca="1">IF(KENKO[[#This Row],[//PAJAK]]="","",INDEX(INDIRECT("PAJAK["&amp;KENKO[#Headers]&amp;"]"),KENKO[[#This Row],[//PAJAK]]-1))</f>
        <v>45026</v>
      </c>
      <c r="G13" s="6" t="str">
        <f ca="1">IF(KENKO[[#This Row],[//PAJAK]]="","",INDEX(INDIRECT("PAJAK["&amp;KENKO[#Headers]&amp;"]"),KENKO[[#This Row],[//PAJAK]]-1))</f>
        <v>23040697</v>
      </c>
      <c r="H13" t="str">
        <f ca="1">IF(KENKO[[#This Row],[//PAJAK]]="","",INDEX(INDIRECT("PAJAK["&amp;KENKO[#Headers]&amp;"]"),KENKO[[#This Row],[//PAJAK]]-1))</f>
        <v>SA 41022</v>
      </c>
      <c r="I13" s="1">
        <f ca="1">IF(KENKO[[#This Row],[//PAJAK]]="","",INDEX(INDIRECT("PAJAK["&amp;KENKO[#Headers]&amp;"]"),KENKO[[#This Row],[//PAJAK]]-1))</f>
        <v>12588000</v>
      </c>
      <c r="J13" s="1">
        <f ca="1">IF(KENKO[[#This Row],[//PAJAK]]="","",INDEX(INDIRECT("PAJAK["&amp;KENKO[#Headers]&amp;"]"),KENKO[[#This Row],[//PAJAK]]-1))</f>
        <v>2139960</v>
      </c>
      <c r="K13" s="1">
        <f ca="1">(KENKO[[#This Row],[SUB TOTAL]]-KENKO[[#This Row],[DISKON]])/1.11</f>
        <v>9412648.6486486476</v>
      </c>
      <c r="L13" s="1">
        <f ca="1">KENKO[[#This Row],[DPP]]*11%</f>
        <v>1035391.3513513512</v>
      </c>
      <c r="M13" s="1">
        <f ca="1">KENKO[[#This Row],[DPP]]+KENKO[[#This Row],[PPN (11%)]]</f>
        <v>10448039.999999998</v>
      </c>
      <c r="N13" s="1" t="str">
        <f ca="1">INDEX(PAJAK[ID_P],MATCH(KENKO[[#This Row],[ID]],PAJAK[ID],0))</f>
        <v>KEN_1104_697-4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164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21</v>
      </c>
      <c r="C14" s="12">
        <f ca="1">HYPERLINK("[NOTA_.xlsx]PAJAK!b"&amp;KENKO[[#This Row],[//PAJAK]],IF(KENKO[[#This Row],[//PAJAK]]="","",INDEX(INDIRECT("PAJAK["&amp;KENKO[#Headers]&amp;"]"),KENKO[[#This Row],[//PAJAK]]-1)))</f>
        <v>40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45027</v>
      </c>
      <c r="F14" s="2">
        <f ca="1">IF(KENKO[[#This Row],[//PAJAK]]="","",INDEX(INDIRECT("PAJAK["&amp;KENKO[#Headers]&amp;"]"),KENKO[[#This Row],[//PAJAK]]-1))</f>
        <v>45024</v>
      </c>
      <c r="G14" s="6" t="str">
        <f ca="1">IF(KENKO[[#This Row],[//PAJAK]]="","",INDEX(INDIRECT("PAJAK["&amp;KENKO[#Headers]&amp;"]"),KENKO[[#This Row],[//PAJAK]]-1))</f>
        <v>23040597</v>
      </c>
      <c r="H14" t="str">
        <f ca="1">IF(KENKO[[#This Row],[//PAJAK]]="","",INDEX(INDIRECT("PAJAK["&amp;KENKO[#Headers]&amp;"]"),KENKO[[#This Row],[//PAJAK]]-1))</f>
        <v>SA 41017</v>
      </c>
      <c r="I14" s="1">
        <f ca="1">IF(KENKO[[#This Row],[//PAJAK]]="","",INDEX(INDIRECT("PAJAK["&amp;KENKO[#Headers]&amp;"]"),KENKO[[#This Row],[//PAJAK]]-1))</f>
        <v>12777200</v>
      </c>
      <c r="J14" s="1">
        <f ca="1">IF(KENKO[[#This Row],[//PAJAK]]="","",INDEX(INDIRECT("PAJAK["&amp;KENKO[#Headers]&amp;"]"),KENKO[[#This Row],[//PAJAK]]-1))</f>
        <v>2172124</v>
      </c>
      <c r="K14" s="1">
        <f ca="1">(KENKO[[#This Row],[SUB TOTAL]]-KENKO[[#This Row],[DISKON]])/1.11</f>
        <v>9554122.5225225221</v>
      </c>
      <c r="L14" s="1">
        <f ca="1">KENKO[[#This Row],[DPP]]*11%</f>
        <v>1050953.4774774774</v>
      </c>
      <c r="M14" s="1">
        <f ca="1">KENKO[[#This Row],[DPP]]+KENKO[[#This Row],[PPN (11%)]]</f>
        <v>10605076</v>
      </c>
      <c r="N14" s="1" t="str">
        <f ca="1">INDEX(PAJAK[ID_P],MATCH(KENKO[[#This Row],[ID]],PAJAK[ID],0))</f>
        <v>KEN_1104_597-7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172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22</v>
      </c>
      <c r="C15" s="12">
        <f ca="1">HYPERLINK("[NOTA_.xlsx]PAJAK!b"&amp;KENKO[[#This Row],[//PAJAK]],IF(KENKO[[#This Row],[//PAJAK]]="","",INDEX(INDIRECT("PAJAK["&amp;KENKO[#Headers]&amp;"]"),KENKO[[#This Row],[//PAJAK]]-1)))</f>
        <v>41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45027</v>
      </c>
      <c r="F15" s="2">
        <f ca="1">IF(KENKO[[#This Row],[//PAJAK]]="","",INDEX(INDIRECT("PAJAK["&amp;KENKO[#Headers]&amp;"]"),KENKO[[#This Row],[//PAJAK]]-1))</f>
        <v>45024</v>
      </c>
      <c r="G15" s="6" t="str">
        <f ca="1">IF(KENKO[[#This Row],[//PAJAK]]="","",INDEX(INDIRECT("PAJAK["&amp;KENKO[#Headers]&amp;"]"),KENKO[[#This Row],[//PAJAK]]-1))</f>
        <v>23040576</v>
      </c>
      <c r="H15" t="str">
        <f ca="1">IF(KENKO[[#This Row],[//PAJAK]]="","",INDEX(INDIRECT("PAJAK["&amp;KENKO[#Headers]&amp;"]"),KENKO[[#This Row],[//PAJAK]]-1))</f>
        <v>SA 40997</v>
      </c>
      <c r="I15" s="1">
        <f ca="1">IF(KENKO[[#This Row],[//PAJAK]]="","",INDEX(INDIRECT("PAJAK["&amp;KENKO[#Headers]&amp;"]"),KENKO[[#This Row],[//PAJAK]]-1))</f>
        <v>43610400</v>
      </c>
      <c r="J15" s="1">
        <f ca="1">IF(KENKO[[#This Row],[//PAJAK]]="","",INDEX(INDIRECT("PAJAK["&amp;KENKO[#Headers]&amp;"]"),KENKO[[#This Row],[//PAJAK]]-1))</f>
        <v>7413768</v>
      </c>
      <c r="K15" s="1">
        <f ca="1">(KENKO[[#This Row],[SUB TOTAL]]-KENKO[[#This Row],[DISKON]])/1.11</f>
        <v>32609578.378378376</v>
      </c>
      <c r="L15" s="1">
        <f ca="1">KENKO[[#This Row],[DPP]]*11%</f>
        <v>3587053.6216216213</v>
      </c>
      <c r="M15" s="1">
        <f ca="1">KENKO[[#This Row],[DPP]]+KENKO[[#This Row],[PPN (11%)]]</f>
        <v>36196632</v>
      </c>
      <c r="N15" s="1" t="str">
        <f ca="1">INDEX(PAJAK[ID_P],MATCH(KENKO[[#This Row],[ID]],PAJAK[ID],0))</f>
        <v>KEN_1104_576-8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187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23</v>
      </c>
      <c r="C16" s="7">
        <f ca="1">HYPERLINK("[NOTA_.xlsx]PAJAK!b"&amp;KENKO[[#This Row],[//PAJAK]],IF(KENKO[[#This Row],[//PAJAK]]="","",INDEX(INDIRECT("PAJAK["&amp;KENKO[#Headers]&amp;"]"),KENKO[[#This Row],[//PAJAK]]-1)))</f>
        <v>44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45028</v>
      </c>
      <c r="F16" s="2">
        <f ca="1">IF(KENKO[[#This Row],[//PAJAK]]="","",INDEX(INDIRECT("PAJAK["&amp;KENKO[#Headers]&amp;"]"),KENKO[[#This Row],[//PAJAK]]-1))</f>
        <v>45027</v>
      </c>
      <c r="G16" s="9" t="str">
        <f ca="1">IF(KENKO[[#This Row],[//PAJAK]]="","",INDEX(INDIRECT("PAJAK["&amp;KENKO[#Headers]&amp;"]"),KENKO[[#This Row],[//PAJAK]]-1))</f>
        <v>23040797</v>
      </c>
      <c r="H16" s="3" t="str">
        <f ca="1">IF(KENKO[[#This Row],[//PAJAK]]="","",INDEX(INDIRECT("PAJAK["&amp;KENKO[#Headers]&amp;"]"),KENKO[[#This Row],[//PAJAK]]-1))</f>
        <v>SA 41046</v>
      </c>
      <c r="I16" s="1">
        <f ca="1">IF(KENKO[[#This Row],[//PAJAK]]="","",INDEX(INDIRECT("PAJAK["&amp;KENKO[#Headers]&amp;"]"),KENKO[[#This Row],[//PAJAK]]-1))</f>
        <v>5566000</v>
      </c>
      <c r="J16" s="1">
        <f ca="1">IF(KENKO[[#This Row],[//PAJAK]]="","",INDEX(INDIRECT("PAJAK["&amp;KENKO[#Headers]&amp;"]"),KENKO[[#This Row],[//PAJAK]]-1))</f>
        <v>946220</v>
      </c>
      <c r="K16" s="1">
        <f ca="1">(KENKO[[#This Row],[SUB TOTAL]]-KENKO[[#This Row],[DISKON]])/1.11</f>
        <v>4161963.9639639636</v>
      </c>
      <c r="L16" s="1">
        <f ca="1">KENKO[[#This Row],[DPP]]*11%</f>
        <v>457816.03603603598</v>
      </c>
      <c r="M16" s="1">
        <f ca="1">KENKO[[#This Row],[DPP]]+KENKO[[#This Row],[PPN (11%)]]</f>
        <v>4619780</v>
      </c>
      <c r="N16" s="1" t="str">
        <f ca="1">INDEX(PAJAK[ID_P],MATCH(KENKO[[#This Row],[ID]],PAJAK[ID],0))</f>
        <v>KEN_1204_797-2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190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24</v>
      </c>
      <c r="C17" s="12">
        <f ca="1">HYPERLINK("[NOTA_.xlsx]PAJAK!b"&amp;KENKO[[#This Row],[//PAJAK]],IF(KENKO[[#This Row],[//PAJAK]]="","",INDEX(INDIRECT("PAJAK["&amp;KENKO[#Headers]&amp;"]"),KENKO[[#This Row],[//PAJAK]]-1)))</f>
        <v>45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45028</v>
      </c>
      <c r="F17" s="2">
        <f ca="1">IF(KENKO[[#This Row],[//PAJAK]]="","",INDEX(INDIRECT("PAJAK["&amp;KENKO[#Headers]&amp;"]"),KENKO[[#This Row],[//PAJAK]]-1))</f>
        <v>45027</v>
      </c>
      <c r="G17" s="6" t="str">
        <f ca="1">IF(KENKO[[#This Row],[//PAJAK]]="","",INDEX(INDIRECT("PAJAK["&amp;KENKO[#Headers]&amp;"]"),KENKO[[#This Row],[//PAJAK]]-1))</f>
        <v>23040745</v>
      </c>
      <c r="H17" t="str">
        <f ca="1">IF(KENKO[[#This Row],[//PAJAK]]="","",INDEX(INDIRECT("PAJAK["&amp;KENKO[#Headers]&amp;"]"),KENKO[[#This Row],[//PAJAK]]-1))</f>
        <v>SA 41043</v>
      </c>
      <c r="I17" s="1">
        <f ca="1">IF(KENKO[[#This Row],[//PAJAK]]="","",INDEX(INDIRECT("PAJAK["&amp;KENKO[#Headers]&amp;"]"),KENKO[[#This Row],[//PAJAK]]-1))</f>
        <v>26287200</v>
      </c>
      <c r="J17" s="1">
        <f ca="1">IF(KENKO[[#This Row],[//PAJAK]]="","",INDEX(INDIRECT("PAJAK["&amp;KENKO[#Headers]&amp;"]"),KENKO[[#This Row],[//PAJAK]]-1))</f>
        <v>4468824</v>
      </c>
      <c r="K17" s="1">
        <f ca="1">(KENKO[[#This Row],[SUB TOTAL]]-KENKO[[#This Row],[DISKON]])/1.11</f>
        <v>19656194.594594594</v>
      </c>
      <c r="L17" s="1">
        <f ca="1">KENKO[[#This Row],[DPP]]*11%</f>
        <v>2162181.4054054054</v>
      </c>
      <c r="M17" s="1">
        <f ca="1">KENKO[[#This Row],[DPP]]+KENKO[[#This Row],[PPN (11%)]]</f>
        <v>21818376</v>
      </c>
      <c r="N17" s="1" t="str">
        <f ca="1">INDEX(PAJAK[ID_P],MATCH(KENKO[[#This Row],[ID]],PAJAK[ID],0))</f>
        <v>KEN_1204_745-3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290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37</v>
      </c>
      <c r="C18" s="7">
        <f ca="1">HYPERLINK("[NOTA_.xlsx]PAJAK!b"&amp;KENKO[[#This Row],[//PAJAK]],IF(KENKO[[#This Row],[//PAJAK]]="","",INDEX(INDIRECT("PAJAK["&amp;KENKO[#Headers]&amp;"]"),KENKO[[#This Row],[//PAJAK]]-1)))</f>
        <v>59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45030</v>
      </c>
      <c r="F18" s="2">
        <f ca="1">IF(KENKO[[#This Row],[//PAJAK]]="","",INDEX(INDIRECT("PAJAK["&amp;KENKO[#Headers]&amp;"]"),KENKO[[#This Row],[//PAJAK]]-1))</f>
        <v>45028</v>
      </c>
      <c r="G18" s="9" t="str">
        <f ca="1">IF(KENKO[[#This Row],[//PAJAK]]="","",INDEX(INDIRECT("PAJAK["&amp;KENKO[#Headers]&amp;"]"),KENKO[[#This Row],[//PAJAK]]-1))</f>
        <v>23040860</v>
      </c>
      <c r="H18" s="3" t="str">
        <f ca="1">IF(KENKO[[#This Row],[//PAJAK]]="","",INDEX(INDIRECT("PAJAK["&amp;KENKO[#Headers]&amp;"]"),KENKO[[#This Row],[//PAJAK]]-1))</f>
        <v>SA 41064</v>
      </c>
      <c r="I18" s="1">
        <f ca="1">IF(KENKO[[#This Row],[//PAJAK]]="","",INDEX(INDIRECT("PAJAK["&amp;KENKO[#Headers]&amp;"]"),KENKO[[#This Row],[//PAJAK]]-1))</f>
        <v>14106000</v>
      </c>
      <c r="J18" s="1">
        <f ca="1">IF(KENKO[[#This Row],[//PAJAK]]="","",INDEX(INDIRECT("PAJAK["&amp;KENKO[#Headers]&amp;"]"),KENKO[[#This Row],[//PAJAK]]-1))</f>
        <v>2398020</v>
      </c>
      <c r="K18" s="1">
        <f ca="1">(KENKO[[#This Row],[SUB TOTAL]]-KENKO[[#This Row],[DISKON]])/1.11</f>
        <v>10547729.729729729</v>
      </c>
      <c r="L18" s="1">
        <f ca="1">KENKO[[#This Row],[DPP]]*11%</f>
        <v>1160250.2702702701</v>
      </c>
      <c r="M18" s="1">
        <f ca="1">KENKO[[#This Row],[DPP]]+KENKO[[#This Row],[PPN (11%)]]</f>
        <v>11707979.999999998</v>
      </c>
      <c r="N18" s="1" t="str">
        <f ca="1">INDEX(PAJAK[ID_P],MATCH(KENKO[[#This Row],[ID]],PAJAK[ID],0))</f>
        <v>KEN_1404_860-2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293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38</v>
      </c>
      <c r="C19" s="12">
        <f ca="1">HYPERLINK("[NOTA_.xlsx]PAJAK!b"&amp;KENKO[[#This Row],[//PAJAK]],IF(KENKO[[#This Row],[//PAJAK]]="","",INDEX(INDIRECT("PAJAK["&amp;KENKO[#Headers]&amp;"]"),KENKO[[#This Row],[//PAJAK]]-1)))</f>
        <v>60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45030</v>
      </c>
      <c r="F19" s="2">
        <f ca="1">IF(KENKO[[#This Row],[//PAJAK]]="","",INDEX(INDIRECT("PAJAK["&amp;KENKO[#Headers]&amp;"]"),KENKO[[#This Row],[//PAJAK]]-1))</f>
        <v>45029</v>
      </c>
      <c r="G19" s="6" t="str">
        <f ca="1">IF(KENKO[[#This Row],[//PAJAK]]="","",INDEX(INDIRECT("PAJAK["&amp;KENKO[#Headers]&amp;"]"),KENKO[[#This Row],[//PAJAK]]-1))</f>
        <v>23040951</v>
      </c>
      <c r="H19" t="str">
        <f ca="1">IF(KENKO[[#This Row],[//PAJAK]]="","",INDEX(INDIRECT("PAJAK["&amp;KENKO[#Headers]&amp;"]"),KENKO[[#This Row],[//PAJAK]]-1))</f>
        <v>SA 41074</v>
      </c>
      <c r="I19" s="1">
        <f ca="1">IF(KENKO[[#This Row],[//PAJAK]]="","",INDEX(INDIRECT("PAJAK["&amp;KENKO[#Headers]&amp;"]"),KENKO[[#This Row],[//PAJAK]]-1))</f>
        <v>10224000</v>
      </c>
      <c r="J19" s="1">
        <f ca="1">IF(KENKO[[#This Row],[//PAJAK]]="","",INDEX(INDIRECT("PAJAK["&amp;KENKO[#Headers]&amp;"]"),KENKO[[#This Row],[//PAJAK]]-1))</f>
        <v>1738080</v>
      </c>
      <c r="K19" s="1">
        <f ca="1">(KENKO[[#This Row],[SUB TOTAL]]-KENKO[[#This Row],[DISKON]])/1.11</f>
        <v>7644972.9729729723</v>
      </c>
      <c r="L19" s="1">
        <f ca="1">KENKO[[#This Row],[DPP]]*11%</f>
        <v>840947.02702702698</v>
      </c>
      <c r="M19" s="1">
        <f ca="1">KENKO[[#This Row],[DPP]]+KENKO[[#This Row],[PPN (11%)]]</f>
        <v>8485920</v>
      </c>
      <c r="N19" s="1" t="str">
        <f ca="1">INDEX(PAJAK[ID_P],MATCH(KENKO[[#This Row],[ID]],PAJAK[ID],0))</f>
        <v>KEN_1404_951-3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319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41</v>
      </c>
      <c r="C20" s="7">
        <f ca="1">HYPERLINK("[NOTA_.xlsx]PAJAK!b"&amp;KENKO[[#This Row],[//PAJAK]],IF(KENKO[[#This Row],[//PAJAK]]="","",INDEX(INDIRECT("PAJAK["&amp;KENKO[#Headers]&amp;"]"),KENKO[[#This Row],[//PAJAK]]-1)))</f>
        <v>66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45045</v>
      </c>
      <c r="F20" s="2">
        <f ca="1">IF(KENKO[[#This Row],[//PAJAK]]="","",INDEX(INDIRECT("PAJAK["&amp;KENKO[#Headers]&amp;"]"),KENKO[[#This Row],[//PAJAK]]-1))</f>
        <v>45031</v>
      </c>
      <c r="G20" s="9" t="str">
        <f ca="1">IF(KENKO[[#This Row],[//PAJAK]]="","",INDEX(INDIRECT("PAJAK["&amp;KENKO[#Headers]&amp;"]"),KENKO[[#This Row],[//PAJAK]]-1))</f>
        <v>23041239</v>
      </c>
      <c r="H20" s="3" t="str">
        <f ca="1">IF(KENKO[[#This Row],[//PAJAK]]="","",INDEX(INDIRECT("PAJAK["&amp;KENKO[#Headers]&amp;"]"),KENKO[[#This Row],[//PAJAK]]-1))</f>
        <v>SA 41157</v>
      </c>
      <c r="I20" s="1">
        <f ca="1">IF(KENKO[[#This Row],[//PAJAK]]="","",INDEX(INDIRECT("PAJAK["&amp;KENKO[#Headers]&amp;"]"),KENKO[[#This Row],[//PAJAK]]-1))</f>
        <v>66524400</v>
      </c>
      <c r="J20" s="1">
        <f ca="1">IF(KENKO[[#This Row],[//PAJAK]]="","",INDEX(INDIRECT("PAJAK["&amp;KENKO[#Headers]&amp;"]"),KENKO[[#This Row],[//PAJAK]]-1))</f>
        <v>11309148.000000002</v>
      </c>
      <c r="K20" s="1">
        <f ca="1">(KENKO[[#This Row],[SUB TOTAL]]-KENKO[[#This Row],[DISKON]])/1.11</f>
        <v>49743470.270270266</v>
      </c>
      <c r="L20" s="1">
        <f ca="1">KENKO[[#This Row],[DPP]]*11%</f>
        <v>5471781.7297297297</v>
      </c>
      <c r="M20" s="1">
        <f ca="1">KENKO[[#This Row],[DPP]]+KENKO[[#This Row],[PPN (11%)]]</f>
        <v>55215251.999999993</v>
      </c>
      <c r="N20" s="1" t="str">
        <f ca="1">INDEX(PAJAK[ID_P],MATCH(KENKO[[#This Row],[ID]],PAJAK[ID],0))</f>
        <v>KEN_2904_239-7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327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42</v>
      </c>
      <c r="C21" s="7">
        <f ca="1">HYPERLINK("[NOTA_.xlsx]PAJAK!b"&amp;KENKO[[#This Row],[//PAJAK]],IF(KENKO[[#This Row],[//PAJAK]]="","",INDEX(INDIRECT("PAJAK["&amp;KENKO[#Headers]&amp;"]"),KENKO[[#This Row],[//PAJAK]]-1)))</f>
        <v>67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45049</v>
      </c>
      <c r="F21" s="2">
        <f ca="1">IF(KENKO[[#This Row],[//PAJAK]]="","",INDEX(INDIRECT("PAJAK["&amp;KENKO[#Headers]&amp;"]"),KENKO[[#This Row],[//PAJAK]]-1))</f>
        <v>45030</v>
      </c>
      <c r="G21" s="9" t="str">
        <f ca="1">IF(KENKO[[#This Row],[//PAJAK]]="","",INDEX(INDIRECT("PAJAK["&amp;KENKO[#Headers]&amp;"]"),KENKO[[#This Row],[//PAJAK]]-1))</f>
        <v>23041064</v>
      </c>
      <c r="H21" s="3" t="str">
        <f ca="1">IF(KENKO[[#This Row],[//PAJAK]]="","",INDEX(INDIRECT("PAJAK["&amp;KENKO[#Headers]&amp;"]"),KENKO[[#This Row],[//PAJAK]]-1))</f>
        <v>SA 41125</v>
      </c>
      <c r="I21" s="1">
        <f ca="1">IF(KENKO[[#This Row],[//PAJAK]]="","",INDEX(INDIRECT("PAJAK["&amp;KENKO[#Headers]&amp;"]"),KENKO[[#This Row],[//PAJAK]]-1))</f>
        <v>40503200</v>
      </c>
      <c r="J21" s="1">
        <f ca="1">IF(KENKO[[#This Row],[//PAJAK]]="","",INDEX(INDIRECT("PAJAK["&amp;KENKO[#Headers]&amp;"]"),KENKO[[#This Row],[//PAJAK]]-1))</f>
        <v>6885544</v>
      </c>
      <c r="K21" s="1">
        <f ca="1">(KENKO[[#This Row],[SUB TOTAL]]-KENKO[[#This Row],[DISKON]])/1.11</f>
        <v>30286176.576576576</v>
      </c>
      <c r="L21" s="1">
        <f ca="1">KENKO[[#This Row],[DPP]]*11%</f>
        <v>3331479.4234234234</v>
      </c>
      <c r="M21" s="1">
        <f ca="1">KENKO[[#This Row],[DPP]]+KENKO[[#This Row],[PPN (11%)]]</f>
        <v>33617656</v>
      </c>
      <c r="N21" s="1" t="str">
        <f ca="1">INDEX(PAJAK[ID_P],MATCH(KENKO[[#This Row],[ID]],PAJAK[ID],0))</f>
        <v>KEN_0305_064-11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339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68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45049</v>
      </c>
      <c r="F22" s="2">
        <f ca="1">IF(KENKO[[#This Row],[//PAJAK]]="","",INDEX(INDIRECT("PAJAK["&amp;KENKO[#Headers]&amp;"]"),KENKO[[#This Row],[//PAJAK]]-1))</f>
        <v>45030</v>
      </c>
      <c r="G22" s="9" t="str">
        <f ca="1">IF(KENKO[[#This Row],[//PAJAK]]="","",INDEX(INDIRECT("PAJAK["&amp;KENKO[#Headers]&amp;"]"),KENKO[[#This Row],[//PAJAK]]-1))</f>
        <v>23041047</v>
      </c>
      <c r="H22" s="3" t="str">
        <f ca="1">IF(KENKO[[#This Row],[//PAJAK]]="","",INDEX(INDIRECT("PAJAK["&amp;KENKO[#Headers]&amp;"]"),KENKO[[#This Row],[//PAJAK]]-1))</f>
        <v>SA 41105</v>
      </c>
      <c r="I22" s="1">
        <f ca="1">IF(KENKO[[#This Row],[//PAJAK]]="","",INDEX(INDIRECT("PAJAK["&amp;KENKO[#Headers]&amp;"]"),KENKO[[#This Row],[//PAJAK]]-1))</f>
        <v>119620800</v>
      </c>
      <c r="J22" s="1">
        <f ca="1">IF(KENKO[[#This Row],[//PAJAK]]="","",INDEX(INDIRECT("PAJAK["&amp;KENKO[#Headers]&amp;"]"),KENKO[[#This Row],[//PAJAK]]-1))</f>
        <v>20335536</v>
      </c>
      <c r="K22" s="1">
        <f ca="1">(KENKO[[#This Row],[SUB TOTAL]]-KENKO[[#This Row],[DISKON]])/1.11</f>
        <v>89446183.783783779</v>
      </c>
      <c r="L22" s="1">
        <f ca="1">KENKO[[#This Row],[DPP]]*11%</f>
        <v>9839080.2162162159</v>
      </c>
      <c r="M22" s="1">
        <f ca="1">KENKO[[#This Row],[DPP]]+KENKO[[#This Row],[PPN (11%)]]</f>
        <v>99285264</v>
      </c>
      <c r="N22" s="1" t="str">
        <f ca="1">INDEX(PAJAK[ID_P],MATCH(KENKO[[#This Row],[ID]],PAJAK[ID],0))</f>
        <v>KEN_0305_047-7</v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EXP\BARU\2023\04 APRIL\[NOTA 04 APRIL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EXP\BARU\2023\04 APRIL\[NOTA 04 APRIL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79" bestFit="1" customWidth="1"/>
    <col min="9" max="9" width="14" style="179" bestFit="1" customWidth="1"/>
    <col min="10" max="10" width="15.28515625" style="179" bestFit="1" customWidth="1"/>
    <col min="11" max="11" width="16.28515625" style="179" bestFit="1" customWidth="1"/>
    <col min="12" max="12" width="15.28515625" style="17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EXP\BARU\2023\04 APRIL\[NOTA 04 APRIL 2023.xlsx]SDI</v>
      </c>
      <c r="K1" s="17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0" t="s">
        <v>39</v>
      </c>
      <c r="I2" s="180" t="s">
        <v>40</v>
      </c>
      <c r="J2" s="180" t="s">
        <v>42</v>
      </c>
      <c r="K2" s="180" t="s">
        <v>45</v>
      </c>
      <c r="L2" s="180" t="s">
        <v>22</v>
      </c>
      <c r="M2" s="11" t="s">
        <v>138</v>
      </c>
      <c r="N2" s="11" t="s">
        <v>139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78" t="str">
        <f ca="1">IF(SDI[[#This Row],[//PAJAK]]="","",(INDEX(INDIRECT("PAJAK["&amp;SDI[#Headers]&amp;"]"),SDI[[#This Row],[//PAJAK]]-1))-SDI[[#This Row],[H_DISKON]])</f>
        <v/>
      </c>
      <c r="I3" s="178" t="str">
        <f ca="1">IF(SDI[[#This Row],[//PAJAK]]="","",SDI[[#This Row],[H_DISC DLL]])</f>
        <v/>
      </c>
      <c r="J3" s="178" t="e">
        <f ca="1">(SDI[[#This Row],[SUB TOTAL]])/1.11</f>
        <v>#VALUE!</v>
      </c>
      <c r="K3" s="178" t="e">
        <f ca="1">SDI[[#This Row],[DPP]]*11%</f>
        <v>#VALUE!</v>
      </c>
      <c r="L3" s="178" t="e">
        <f ca="1">SDI[[#This Row],[DPP]]+SDI[[#This Row],[PPN (11%)]]</f>
        <v>#VALUE!</v>
      </c>
      <c r="M3" s="178" t="str">
        <f ca="1">IF(SDI[[#This Row],[//PAJAK]]="","",INDEX(PAJAK[DISKON],SDI[[#This Row],[//PAJAK]]-1))</f>
        <v/>
      </c>
      <c r="N3" s="17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79" t="str">
        <f ca="1">IF(SDI[[#This Row],[//PAJAK]]="","",(INDEX(INDIRECT("PAJAK["&amp;SDI[#Headers]&amp;"]"),SDI[[#This Row],[//PAJAK]]-1))-SDI[[#This Row],[H_DISKON]])</f>
        <v/>
      </c>
      <c r="I4" s="179" t="str">
        <f ca="1">IF(SDI[[#This Row],[//PAJAK]]="","",SDI[[#This Row],[H_DISC DLL]])</f>
        <v/>
      </c>
      <c r="J4" s="179" t="e">
        <f ca="1">(SDI[[#This Row],[SUB TOTAL]])/1.11</f>
        <v>#VALUE!</v>
      </c>
      <c r="K4" s="179" t="e">
        <f ca="1">SDI[[#This Row],[DPP]]*11%</f>
        <v>#VALUE!</v>
      </c>
      <c r="L4" s="179" t="e">
        <f ca="1">SDI[[#This Row],[DPP]]+SDI[[#This Row],[PPN (11%)]]</f>
        <v>#VALUE!</v>
      </c>
      <c r="M4" s="179" t="str">
        <f ca="1">IF(SDI[[#This Row],[//PAJAK]]="","",INDEX(PAJAK[DISKON],SDI[[#This Row],[//PAJAK]]-1))</f>
        <v/>
      </c>
      <c r="N4" s="17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79" t="str">
        <f ca="1">IF(SDI[[#This Row],[//PAJAK]]="","",(INDEX(INDIRECT("PAJAK["&amp;SDI[#Headers]&amp;"]"),SDI[[#This Row],[//PAJAK]]-1))-SDI[[#This Row],[H_DISKON]])</f>
        <v/>
      </c>
      <c r="I5" s="179" t="str">
        <f ca="1">IF(SDI[[#This Row],[//PAJAK]]="","",SDI[[#This Row],[H_DISC DLL]])</f>
        <v/>
      </c>
      <c r="J5" s="179" t="e">
        <f ca="1">(SDI[[#This Row],[SUB TOTAL]])/1.11</f>
        <v>#VALUE!</v>
      </c>
      <c r="K5" s="179" t="e">
        <f ca="1">SDI[[#This Row],[DPP]]*11%</f>
        <v>#VALUE!</v>
      </c>
      <c r="L5" s="179" t="e">
        <f ca="1">SDI[[#This Row],[DPP]]+SDI[[#This Row],[PPN (11%)]]</f>
        <v>#VALUE!</v>
      </c>
      <c r="M5" s="179" t="str">
        <f ca="1">IF(SDI[[#This Row],[//PAJAK]]="","",INDEX(PAJAK[DISKON],SDI[[#This Row],[//PAJAK]]-1))</f>
        <v/>
      </c>
      <c r="N5" s="17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79" t="str">
        <f ca="1">IF(SDI[[#This Row],[//PAJAK]]="","",(INDEX(INDIRECT("PAJAK["&amp;SDI[#Headers]&amp;"]"),SDI[[#This Row],[//PAJAK]]-1))-SDI[[#This Row],[H_DISKON]])</f>
        <v/>
      </c>
      <c r="I6" s="179" t="str">
        <f ca="1">IF(SDI[[#This Row],[//PAJAK]]="","",SDI[[#This Row],[H_DISC DLL]])</f>
        <v/>
      </c>
      <c r="J6" s="179" t="e">
        <f ca="1">(SDI[[#This Row],[SUB TOTAL]])/1.11</f>
        <v>#VALUE!</v>
      </c>
      <c r="K6" s="179" t="e">
        <f ca="1">SDI[[#This Row],[DPP]]*11%</f>
        <v>#VALUE!</v>
      </c>
      <c r="L6" s="179" t="e">
        <f ca="1">SDI[[#This Row],[DPP]]+SDI[[#This Row],[PPN (11%)]]</f>
        <v>#VALUE!</v>
      </c>
      <c r="M6" s="179" t="str">
        <f ca="1">IF(SDI[[#This Row],[//PAJAK]]="","",INDEX(PAJAK[DISKON],SDI[[#This Row],[//PAJAK]]-1))</f>
        <v/>
      </c>
      <c r="N6" s="17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79" t="str">
        <f ca="1">IF(SDI[[#This Row],[//PAJAK]]="","",(INDEX(INDIRECT("PAJAK["&amp;SDI[#Headers]&amp;"]"),SDI[[#This Row],[//PAJAK]]-1))-SDI[[#This Row],[H_DISKON]])</f>
        <v/>
      </c>
      <c r="I7" s="179" t="str">
        <f ca="1">IF(SDI[[#This Row],[//PAJAK]]="","",SDI[[#This Row],[H_DISC DLL]])</f>
        <v/>
      </c>
      <c r="J7" s="179" t="e">
        <f ca="1">(SDI[[#This Row],[SUB TOTAL]])/1.11</f>
        <v>#VALUE!</v>
      </c>
      <c r="K7" s="179" t="e">
        <f ca="1">SDI[[#This Row],[DPP]]*11%</f>
        <v>#VALUE!</v>
      </c>
      <c r="L7" s="179" t="e">
        <f ca="1">SDI[[#This Row],[DPP]]+SDI[[#This Row],[PPN (11%)]]</f>
        <v>#VALUE!</v>
      </c>
      <c r="M7" s="179" t="str">
        <f ca="1">IF(SDI[[#This Row],[//PAJAK]]="","",INDEX(PAJAK[DISKON],SDI[[#This Row],[//PAJAK]]-1))</f>
        <v/>
      </c>
      <c r="N7" s="17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79" t="str">
        <f ca="1">IF(SDI[[#This Row],[//PAJAK]]="","",(INDEX(INDIRECT("PAJAK["&amp;SDI[#Headers]&amp;"]"),SDI[[#This Row],[//PAJAK]]-1))-SDI[[#This Row],[H_DISKON]])</f>
        <v/>
      </c>
      <c r="I8" s="179" t="str">
        <f ca="1">IF(SDI[[#This Row],[//PAJAK]]="","",SDI[[#This Row],[H_DISC DLL]])</f>
        <v/>
      </c>
      <c r="J8" s="179" t="e">
        <f ca="1">(SDI[[#This Row],[SUB TOTAL]])/1.11</f>
        <v>#VALUE!</v>
      </c>
      <c r="K8" s="179" t="e">
        <f ca="1">SDI[[#This Row],[DPP]]*11%</f>
        <v>#VALUE!</v>
      </c>
      <c r="L8" s="179" t="e">
        <f ca="1">SDI[[#This Row],[DPP]]+SDI[[#This Row],[PPN (11%)]]</f>
        <v>#VALUE!</v>
      </c>
      <c r="M8" s="179" t="str">
        <f ca="1">IF(SDI[[#This Row],[//PAJAK]]="","",INDEX(PAJAK[DISKON],SDI[[#This Row],[//PAJAK]]-1))</f>
        <v/>
      </c>
      <c r="N8" s="17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79" t="str">
        <f ca="1">IF(SDI[[#This Row],[//PAJAK]]="","",(INDEX(INDIRECT("PAJAK["&amp;SDI[#Headers]&amp;"]"),SDI[[#This Row],[//PAJAK]]-1))-SDI[[#This Row],[H_DISKON]])</f>
        <v/>
      </c>
      <c r="I9" s="179" t="str">
        <f ca="1">IF(SDI[[#This Row],[//PAJAK]]="","",SDI[[#This Row],[H_DISC DLL]])</f>
        <v/>
      </c>
      <c r="J9" s="179" t="e">
        <f ca="1">(SDI[[#This Row],[SUB TOTAL]])/1.11</f>
        <v>#VALUE!</v>
      </c>
      <c r="K9" s="179" t="e">
        <f ca="1">SDI[[#This Row],[DPP]]*11%</f>
        <v>#VALUE!</v>
      </c>
      <c r="L9" s="179" t="e">
        <f ca="1">SDI[[#This Row],[DPP]]+SDI[[#This Row],[PPN (11%)]]</f>
        <v>#VALUE!</v>
      </c>
      <c r="M9" s="179" t="str">
        <f ca="1">IF(SDI[[#This Row],[//PAJAK]]="","",INDEX(PAJAK[DISKON],SDI[[#This Row],[//PAJAK]]-1))</f>
        <v/>
      </c>
      <c r="N9" s="17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79" t="str">
        <f ca="1">IF(SDI[[#This Row],[//PAJAK]]="","",(INDEX(INDIRECT("PAJAK["&amp;SDI[#Headers]&amp;"]"),SDI[[#This Row],[//PAJAK]]-1))-SDI[[#This Row],[H_DISKON]])</f>
        <v/>
      </c>
      <c r="I10" s="179" t="str">
        <f ca="1">IF(SDI[[#This Row],[//PAJAK]]="","",SDI[[#This Row],[H_DISC DLL]])</f>
        <v/>
      </c>
      <c r="J10" s="179" t="e">
        <f ca="1">(SDI[[#This Row],[SUB TOTAL]])/1.11</f>
        <v>#VALUE!</v>
      </c>
      <c r="K10" s="179" t="e">
        <f ca="1">SDI[[#This Row],[DPP]]*11%</f>
        <v>#VALUE!</v>
      </c>
      <c r="L10" s="179" t="e">
        <f ca="1">SDI[[#This Row],[DPP]]+SDI[[#This Row],[PPN (11%)]]</f>
        <v>#VALUE!</v>
      </c>
      <c r="M10" s="179" t="str">
        <f ca="1">IF(SDI[[#This Row],[//PAJAK]]="","",INDEX(PAJAK[DISKON],SDI[[#This Row],[//PAJAK]]-1))</f>
        <v/>
      </c>
      <c r="N10" s="17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79" t="str">
        <f ca="1">IF(SDI[[#This Row],[//PAJAK]]="","",(INDEX(INDIRECT("PAJAK["&amp;SDI[#Headers]&amp;"]"),SDI[[#This Row],[//PAJAK]]-1))-SDI[[#This Row],[H_DISKON]])</f>
        <v/>
      </c>
      <c r="I11" s="179" t="str">
        <f ca="1">IF(SDI[[#This Row],[//PAJAK]]="","",SDI[[#This Row],[H_DISC DLL]])</f>
        <v/>
      </c>
      <c r="J11" s="179" t="e">
        <f ca="1">(SDI[[#This Row],[SUB TOTAL]])/1.11</f>
        <v>#VALUE!</v>
      </c>
      <c r="K11" s="179" t="e">
        <f ca="1">SDI[[#This Row],[DPP]]*11%</f>
        <v>#VALUE!</v>
      </c>
      <c r="L11" s="179" t="e">
        <f ca="1">SDI[[#This Row],[DPP]]+SDI[[#This Row],[PPN (11%)]]</f>
        <v>#VALUE!</v>
      </c>
      <c r="M11" s="179" t="str">
        <f ca="1">IF(SDI[[#This Row],[//PAJAK]]="","",INDEX(PAJAK[DISKON],SDI[[#This Row],[//PAJAK]]-1))</f>
        <v/>
      </c>
      <c r="N11" s="17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EXP\BARU\2023\04 APRIL\[NOTA 04 APRIL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2</v>
      </c>
      <c r="G1" s="4" t="str">
        <f ca="1">CELL("filename",G1)</f>
        <v>D:\kerja\BANK EXP\BARU\2023\04 APRIL\[NOTA 04 APRIL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39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HYPERLINK("[NOTA_.xlsx]PAJAK!b"&amp;MGN[[#This Row],[//PAJAK]],IF(MGN[[#This Row],[//PAJAK]]="","",INDEX(INDIRECT("PAJAK["&amp;MGN[#Headers]&amp;"]"),MGN[[#This Row],[//PAJAK]]-1)))</f>
        <v>9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45021</v>
      </c>
      <c r="F3" s="2">
        <f ca="1">IF(MGN[[#This Row],[//PAJAK]]="","",INDEX(INDIRECT("PAJAK["&amp;MGN[#Headers]&amp;"]"),MGN[[#This Row],[//PAJAK]]-1))</f>
        <v>45019</v>
      </c>
      <c r="G3" s="25" t="str">
        <f ca="1">IF(MGN[[#This Row],[//PAJAK]]="","",INDEX(INDIRECT("PAJAK["&amp;MGN[#Headers]&amp;"]"),MGN[[#This Row],[//PAJAK]]-1))</f>
        <v>L104011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>
        <f ca="1">HYPERLINK("[NOTA_.xlsx]NOTA!A"&amp;MATCH(MGN[[#This Row],[ID]],NOTA[ID],0)+2,IF(MGN[[#This Row],[//PAJAK]]="","",MATCH(MGN[[#This Row],[ID]],NOTA[ID],0)+2))</f>
        <v>373</v>
      </c>
      <c r="B4" s="5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>48</v>
      </c>
      <c r="C4" s="12">
        <f ca="1">HYPERLINK("[NOTA_.xlsx]PAJAK!b"&amp;MGN[[#This Row],[//PAJAK]],IF(MGN[[#This Row],[//PAJAK]]="","",INDEX(INDIRECT("PAJAK["&amp;MGN[#Headers]&amp;"]"),MGN[[#This Row],[//PAJAK]]-1)))</f>
        <v>73</v>
      </c>
      <c r="D4" t="str">
        <f ca="1">IF(MGN[[#This Row],[//PAJAK]]="","",INDEX(INDIRECT("PAJAK["&amp;MGN[#Headers]&amp;"]"),MGN[[#This Row],[//PAJAK]]-1))</f>
        <v>PT MITRA GLOBAL NIAGA</v>
      </c>
      <c r="E4" s="2">
        <f ca="1">IF(MGN[[#This Row],[//PAJAK]]="","",INDEX(INDIRECT("PAJAK["&amp;MGN[#Headers]&amp;"]"),MGN[[#This Row],[//PAJAK]]-1))</f>
        <v>45019</v>
      </c>
      <c r="F4" s="2">
        <f ca="1">IF(MGN[[#This Row],[//PAJAK]]="","",INDEX(INDIRECT("PAJAK["&amp;MGN[#Headers]&amp;"]"),MGN[[#This Row],[//PAJAK]]-1))</f>
        <v>45019</v>
      </c>
      <c r="G4" t="str">
        <f ca="1">IF(MGN[[#This Row],[//PAJAK]]="","",INDEX(INDIRECT("PAJAK["&amp;MGN[#Headers]&amp;"]"),MGN[[#This Row],[//PAJAK]]-1))</f>
        <v>L104010</v>
      </c>
      <c r="H4" t="str">
        <f ca="1">IF(MGN[[#This Row],[//PAJAK]]="","",INDEX(INDIRECT("PAJAK["&amp;MGN[#Headers]&amp;"]"),MGN[[#This Row],[//PAJAK]]-1))</f>
        <v/>
      </c>
      <c r="I4" s="1">
        <f ca="1">IF(MGN[[#This Row],[//PAJAK]]="","",INDEX(INDIRECT("PAJAK["&amp;MGN[#Headers]&amp;"]"),MGN[[#This Row],[//PAJAK]]-1))</f>
        <v>6000000</v>
      </c>
      <c r="J4" s="1">
        <f ca="1">IF(MGN[[#This Row],[//PAJAK]]="","",INDEX(INDIRECT("PAJAK["&amp;MGN[#Headers]&amp;"]"),MGN[[#This Row],[//PAJAK]]-1))</f>
        <v>0</v>
      </c>
      <c r="K4" s="1">
        <f ca="1">(MGN[[#This Row],[SUB TOTAL]]-MGN[[#This Row],[DISKON]])/1.11</f>
        <v>5405405.405405405</v>
      </c>
      <c r="L4" s="1">
        <f ca="1">MGN[[#This Row],[DPP]]*11%</f>
        <v>594594.59459459456</v>
      </c>
      <c r="M4" s="1">
        <f ca="1">MGN[[#This Row],[DPP]]+MGN[[#This Row],[PPN (11%)]]</f>
        <v>6000000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EXP\BARU\2023\04 APRIL\[NOTA 04 APRIL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HYPERLINK("[NOTA_.xlsx]PAJAK!b"&amp;LIE[[#This Row],[//PAJAK]],IF(LIE[[#This Row],[//PAJAK]]="","",INDEX(INDIRECT("PAJAK["&amp;LIE[#Headers]&amp;"]"),LIE[[#This Row],[//PAJAK]]-1)))</f>
        <v>10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45022</v>
      </c>
      <c r="F3" s="2">
        <f ca="1">IF(LIE[[#This Row],[//PAJAK]]="","",INDEX(INDIRECT("PAJAK["&amp;LIE[#Headers]&amp;"]"),LIE[[#This Row],[//PAJAK]]-1))</f>
        <v>45020</v>
      </c>
      <c r="G3" s="25" t="str">
        <f ca="1">IF(LIE[[#This Row],[//PAJAK]]="","",INDEX(INDIRECT("PAJAK["&amp;LIE[#Headers]&amp;"]"),LIE[[#This Row],[//PAJAK]]-1))</f>
        <v>005506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5811405.0000000009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5235500</v>
      </c>
      <c r="L3" s="1">
        <f ca="1">LIE[[#This Row],[DPP]]*11%</f>
        <v>575905</v>
      </c>
      <c r="M3" s="1">
        <f ca="1">LIE[[#This Row],[DPP]]+LIE[[#This Row],[PPN (11%)]]</f>
        <v>5811405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EXP\BARU\2023\04 APRIL\[NOTA 04 APRIL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84"/>
  <sheetViews>
    <sheetView topLeftCell="A157" workbookViewId="0">
      <selection activeCell="A39" sqref="A39"/>
    </sheetView>
  </sheetViews>
  <sheetFormatPr defaultRowHeight="15" x14ac:dyDescent="0.25"/>
  <cols>
    <col min="1" max="1" width="48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73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373</v>
      </c>
      <c r="D2" t="s">
        <v>23</v>
      </c>
      <c r="E2" t="s">
        <v>60</v>
      </c>
      <c r="F2" t="s">
        <v>70</v>
      </c>
      <c r="G2">
        <f>COUNTIF(NOTA[SUPPLIER],CONV[[#This Row],[1]])</f>
        <v>20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24</v>
      </c>
    </row>
    <row r="4" spans="1:7" x14ac:dyDescent="0.25">
      <c r="A4" t="s">
        <v>35</v>
      </c>
      <c r="B4">
        <f>COUNTIF(NOTA[FAKTUR],NM_FAKTUR)</f>
        <v>47</v>
      </c>
      <c r="D4" t="s">
        <v>28</v>
      </c>
      <c r="E4" t="s">
        <v>62</v>
      </c>
      <c r="F4" t="s">
        <v>78</v>
      </c>
      <c r="G4">
        <f>COUNTIF(NOTA[SUPPLIER],CONV[[#This Row],[1]])</f>
        <v>2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73" t="s">
        <v>96</v>
      </c>
      <c r="B14" t="s">
        <v>24</v>
      </c>
    </row>
    <row r="16" spans="1:7" x14ac:dyDescent="0.25">
      <c r="A16" s="173" t="s">
        <v>94</v>
      </c>
      <c r="B16" t="s">
        <v>97</v>
      </c>
    </row>
    <row r="17" spans="1:2" x14ac:dyDescent="0.25">
      <c r="A17" s="4" t="s">
        <v>90</v>
      </c>
      <c r="B17" s="3">
        <v>3</v>
      </c>
    </row>
    <row r="18" spans="1:2" x14ac:dyDescent="0.25">
      <c r="A18" s="4" t="s">
        <v>88</v>
      </c>
      <c r="B18" s="3">
        <v>2</v>
      </c>
    </row>
    <row r="19" spans="1:2" x14ac:dyDescent="0.25">
      <c r="A19" s="4" t="s">
        <v>87</v>
      </c>
      <c r="B19" s="3">
        <v>7</v>
      </c>
    </row>
    <row r="20" spans="1:2" x14ac:dyDescent="0.25">
      <c r="A20" s="4" t="s">
        <v>89</v>
      </c>
      <c r="B20" s="3">
        <v>1</v>
      </c>
    </row>
    <row r="21" spans="1:2" x14ac:dyDescent="0.25">
      <c r="A21" s="4" t="s">
        <v>86</v>
      </c>
      <c r="B21" s="3">
        <v>5</v>
      </c>
    </row>
    <row r="22" spans="1:2" x14ac:dyDescent="0.25">
      <c r="A22" s="4" t="s">
        <v>91</v>
      </c>
      <c r="B22" s="3">
        <v>32</v>
      </c>
    </row>
    <row r="23" spans="1:2" x14ac:dyDescent="0.25">
      <c r="A23" s="4" t="s">
        <v>92</v>
      </c>
      <c r="B23" s="3">
        <v>3</v>
      </c>
    </row>
    <row r="24" spans="1:2" x14ac:dyDescent="0.25">
      <c r="A24" s="4" t="s">
        <v>93</v>
      </c>
      <c r="B24" s="3">
        <v>2</v>
      </c>
    </row>
    <row r="25" spans="1:2" x14ac:dyDescent="0.25">
      <c r="A25" s="4" t="s">
        <v>98</v>
      </c>
      <c r="B25" s="3">
        <v>1</v>
      </c>
    </row>
    <row r="26" spans="1:2" x14ac:dyDescent="0.25">
      <c r="A26" s="4" t="s">
        <v>99</v>
      </c>
      <c r="B26" s="3">
        <v>10</v>
      </c>
    </row>
    <row r="27" spans="1:2" x14ac:dyDescent="0.25">
      <c r="A27" s="4" t="s">
        <v>105</v>
      </c>
      <c r="B27" s="3">
        <v>11</v>
      </c>
    </row>
    <row r="28" spans="1:2" x14ac:dyDescent="0.25">
      <c r="A28" s="4" t="s">
        <v>100</v>
      </c>
      <c r="B28" s="3">
        <v>3</v>
      </c>
    </row>
    <row r="29" spans="1:2" x14ac:dyDescent="0.25">
      <c r="A29" s="4" t="s">
        <v>101</v>
      </c>
      <c r="B29" s="3">
        <v>8</v>
      </c>
    </row>
    <row r="30" spans="1:2" x14ac:dyDescent="0.25">
      <c r="A30" s="4" t="s">
        <v>102</v>
      </c>
      <c r="B30" s="3">
        <v>8</v>
      </c>
    </row>
    <row r="31" spans="1:2" x14ac:dyDescent="0.25">
      <c r="A31" s="4" t="s">
        <v>103</v>
      </c>
      <c r="B31" s="3">
        <v>4</v>
      </c>
    </row>
    <row r="32" spans="1:2" x14ac:dyDescent="0.25">
      <c r="A32" s="4" t="s">
        <v>104</v>
      </c>
      <c r="B32" s="3">
        <v>2</v>
      </c>
    </row>
    <row r="33" spans="1:2" x14ac:dyDescent="0.25">
      <c r="A33" s="4" t="s">
        <v>106</v>
      </c>
      <c r="B33" s="3">
        <v>4</v>
      </c>
    </row>
    <row r="34" spans="1:2" x14ac:dyDescent="0.25">
      <c r="A34" s="4" t="s">
        <v>107</v>
      </c>
      <c r="B34" s="3">
        <v>2</v>
      </c>
    </row>
    <row r="35" spans="1:2" x14ac:dyDescent="0.25">
      <c r="A35" s="4" t="s">
        <v>108</v>
      </c>
      <c r="B35" s="3">
        <v>4</v>
      </c>
    </row>
    <row r="36" spans="1:2" x14ac:dyDescent="0.25">
      <c r="A36" s="4" t="s">
        <v>109</v>
      </c>
      <c r="B36" s="3">
        <v>16</v>
      </c>
    </row>
    <row r="37" spans="1:2" x14ac:dyDescent="0.25">
      <c r="A37" s="4" t="s">
        <v>113</v>
      </c>
      <c r="B37" s="3">
        <v>35</v>
      </c>
    </row>
    <row r="38" spans="1:2" x14ac:dyDescent="0.25">
      <c r="A38" s="4" t="s">
        <v>114</v>
      </c>
      <c r="B38" s="3">
        <v>8</v>
      </c>
    </row>
    <row r="39" spans="1:2" x14ac:dyDescent="0.25">
      <c r="A39" s="4" t="s">
        <v>115</v>
      </c>
      <c r="B39" s="3">
        <v>3</v>
      </c>
    </row>
    <row r="40" spans="1:2" x14ac:dyDescent="0.25">
      <c r="A40" s="4" t="s">
        <v>116</v>
      </c>
      <c r="B40" s="3">
        <v>5</v>
      </c>
    </row>
    <row r="41" spans="1:2" x14ac:dyDescent="0.25">
      <c r="A41" s="4" t="s">
        <v>117</v>
      </c>
      <c r="B41" s="3">
        <v>8</v>
      </c>
    </row>
    <row r="42" spans="1:2" x14ac:dyDescent="0.25">
      <c r="A42" s="4" t="s">
        <v>118</v>
      </c>
      <c r="B42" s="3">
        <v>2</v>
      </c>
    </row>
    <row r="43" spans="1:2" x14ac:dyDescent="0.25">
      <c r="A43" s="4" t="s">
        <v>119</v>
      </c>
      <c r="B43" s="3">
        <v>2</v>
      </c>
    </row>
    <row r="44" spans="1:2" x14ac:dyDescent="0.25">
      <c r="A44" s="4" t="s">
        <v>120</v>
      </c>
      <c r="B44" s="3">
        <v>10</v>
      </c>
    </row>
    <row r="45" spans="1:2" x14ac:dyDescent="0.25">
      <c r="A45" s="4" t="s">
        <v>121</v>
      </c>
      <c r="B45" s="3">
        <v>1</v>
      </c>
    </row>
    <row r="46" spans="1:2" x14ac:dyDescent="0.25">
      <c r="A46" s="4" t="s">
        <v>122</v>
      </c>
      <c r="B46" s="3">
        <v>1</v>
      </c>
    </row>
    <row r="47" spans="1:2" x14ac:dyDescent="0.25">
      <c r="A47" s="4" t="s">
        <v>123</v>
      </c>
      <c r="B47" s="3">
        <v>1</v>
      </c>
    </row>
    <row r="48" spans="1:2" x14ac:dyDescent="0.25">
      <c r="A48" s="4" t="s">
        <v>124</v>
      </c>
      <c r="B48" s="3">
        <v>1</v>
      </c>
    </row>
    <row r="49" spans="1:2" x14ac:dyDescent="0.25">
      <c r="A49" s="4" t="s">
        <v>125</v>
      </c>
      <c r="B49" s="3">
        <v>1</v>
      </c>
    </row>
    <row r="50" spans="1:2" x14ac:dyDescent="0.25">
      <c r="A50" s="4" t="s">
        <v>126</v>
      </c>
      <c r="B50" s="3">
        <v>3</v>
      </c>
    </row>
    <row r="51" spans="1:2" x14ac:dyDescent="0.25">
      <c r="A51" s="4" t="s">
        <v>127</v>
      </c>
      <c r="B51" s="3">
        <v>2</v>
      </c>
    </row>
    <row r="52" spans="1:2" x14ac:dyDescent="0.25">
      <c r="A52" s="4" t="s">
        <v>128</v>
      </c>
      <c r="B52" s="3">
        <v>1</v>
      </c>
    </row>
    <row r="53" spans="1:2" x14ac:dyDescent="0.25">
      <c r="A53" s="4" t="s">
        <v>129</v>
      </c>
      <c r="B53" s="3">
        <v>6</v>
      </c>
    </row>
    <row r="54" spans="1:2" x14ac:dyDescent="0.25">
      <c r="A54" s="4" t="s">
        <v>130</v>
      </c>
      <c r="B54" s="3">
        <v>2</v>
      </c>
    </row>
    <row r="55" spans="1:2" x14ac:dyDescent="0.25">
      <c r="A55" s="4" t="s">
        <v>131</v>
      </c>
      <c r="B55" s="3">
        <v>3</v>
      </c>
    </row>
    <row r="56" spans="1:2" x14ac:dyDescent="0.25">
      <c r="A56" s="4" t="s">
        <v>132</v>
      </c>
      <c r="B56" s="3">
        <v>90</v>
      </c>
    </row>
    <row r="57" spans="1:2" x14ac:dyDescent="0.25">
      <c r="A57" s="4" t="s">
        <v>136</v>
      </c>
      <c r="B57" s="3">
        <v>20</v>
      </c>
    </row>
    <row r="58" spans="1:2" x14ac:dyDescent="0.25">
      <c r="A58" s="4" t="s">
        <v>133</v>
      </c>
      <c r="B58" s="3">
        <v>46</v>
      </c>
    </row>
    <row r="59" spans="1:2" x14ac:dyDescent="0.25">
      <c r="A59" s="4" t="s">
        <v>134</v>
      </c>
      <c r="B59" s="3">
        <v>2</v>
      </c>
    </row>
    <row r="60" spans="1:2" x14ac:dyDescent="0.25">
      <c r="A60" s="4" t="s">
        <v>135</v>
      </c>
      <c r="B60" s="3">
        <v>4</v>
      </c>
    </row>
    <row r="61" spans="1:2" x14ac:dyDescent="0.25">
      <c r="A61" s="4" t="s">
        <v>137</v>
      </c>
      <c r="B61" s="3">
        <v>7</v>
      </c>
    </row>
    <row r="62" spans="1:2" x14ac:dyDescent="0.25">
      <c r="A62" s="4" t="s">
        <v>140</v>
      </c>
      <c r="B62" s="3">
        <v>2</v>
      </c>
    </row>
    <row r="63" spans="1:2" x14ac:dyDescent="0.25">
      <c r="A63" s="4" t="s">
        <v>141</v>
      </c>
      <c r="B63" s="3">
        <v>3</v>
      </c>
    </row>
    <row r="64" spans="1:2" x14ac:dyDescent="0.25">
      <c r="A64" s="4" t="s">
        <v>142</v>
      </c>
      <c r="B64" s="3">
        <v>2</v>
      </c>
    </row>
    <row r="65" spans="1:2" x14ac:dyDescent="0.25">
      <c r="A65" s="4" t="s">
        <v>143</v>
      </c>
      <c r="B65" s="3">
        <v>2</v>
      </c>
    </row>
    <row r="66" spans="1:2" x14ac:dyDescent="0.25">
      <c r="A66" s="4" t="s">
        <v>148</v>
      </c>
      <c r="B66" s="3">
        <v>13</v>
      </c>
    </row>
    <row r="67" spans="1:2" x14ac:dyDescent="0.25">
      <c r="A67" s="4" t="s">
        <v>153</v>
      </c>
      <c r="B67" s="3">
        <v>2</v>
      </c>
    </row>
    <row r="68" spans="1:2" x14ac:dyDescent="0.25">
      <c r="A68" s="4" t="s">
        <v>208</v>
      </c>
      <c r="B68" s="3">
        <v>3</v>
      </c>
    </row>
    <row r="69" spans="1:2" x14ac:dyDescent="0.25">
      <c r="A69" s="4" t="s">
        <v>460</v>
      </c>
      <c r="B69" s="3">
        <v>2</v>
      </c>
    </row>
    <row r="70" spans="1:2" x14ac:dyDescent="0.25">
      <c r="A70" s="4" t="s">
        <v>461</v>
      </c>
      <c r="B70" s="3">
        <v>2</v>
      </c>
    </row>
    <row r="71" spans="1:2" x14ac:dyDescent="0.25">
      <c r="A71" s="4" t="s">
        <v>149</v>
      </c>
      <c r="B71" s="3">
        <v>2</v>
      </c>
    </row>
    <row r="72" spans="1:2" x14ac:dyDescent="0.25">
      <c r="A72" s="4" t="s">
        <v>150</v>
      </c>
      <c r="B72" s="3">
        <v>1</v>
      </c>
    </row>
    <row r="73" spans="1:2" x14ac:dyDescent="0.25">
      <c r="A73" s="4" t="s">
        <v>151</v>
      </c>
      <c r="B73" s="3">
        <v>2</v>
      </c>
    </row>
    <row r="74" spans="1:2" x14ac:dyDescent="0.25">
      <c r="A74" s="4" t="s">
        <v>152</v>
      </c>
      <c r="B74" s="3">
        <v>2</v>
      </c>
    </row>
    <row r="75" spans="1:2" x14ac:dyDescent="0.25">
      <c r="A75" s="4" t="s">
        <v>161</v>
      </c>
      <c r="B75" s="3">
        <v>1</v>
      </c>
    </row>
    <row r="76" spans="1:2" x14ac:dyDescent="0.25">
      <c r="A76" s="4" t="s">
        <v>458</v>
      </c>
      <c r="B76" s="3">
        <v>1</v>
      </c>
    </row>
    <row r="77" spans="1:2" x14ac:dyDescent="0.25">
      <c r="A77" s="4" t="s">
        <v>162</v>
      </c>
      <c r="B77" s="3">
        <v>5</v>
      </c>
    </row>
    <row r="78" spans="1:2" x14ac:dyDescent="0.25">
      <c r="A78" s="4" t="s">
        <v>163</v>
      </c>
      <c r="B78" s="3">
        <v>3</v>
      </c>
    </row>
    <row r="79" spans="1:2" x14ac:dyDescent="0.25">
      <c r="A79" s="4" t="s">
        <v>164</v>
      </c>
      <c r="B79" s="3">
        <v>12</v>
      </c>
    </row>
    <row r="80" spans="1:2" x14ac:dyDescent="0.25">
      <c r="A80" s="4" t="s">
        <v>165</v>
      </c>
      <c r="B80" s="3">
        <v>8</v>
      </c>
    </row>
    <row r="81" spans="1:2" x14ac:dyDescent="0.25">
      <c r="A81" s="4" t="s">
        <v>166</v>
      </c>
      <c r="B81" s="3">
        <v>2</v>
      </c>
    </row>
    <row r="82" spans="1:2" x14ac:dyDescent="0.25">
      <c r="A82" s="4" t="s">
        <v>167</v>
      </c>
      <c r="B82" s="3">
        <v>1</v>
      </c>
    </row>
    <row r="83" spans="1:2" x14ac:dyDescent="0.25">
      <c r="A83" s="4" t="s">
        <v>468</v>
      </c>
      <c r="B83" s="3">
        <v>10</v>
      </c>
    </row>
    <row r="84" spans="1:2" x14ac:dyDescent="0.25">
      <c r="A84" s="4" t="s">
        <v>202</v>
      </c>
      <c r="B84" s="3">
        <v>5</v>
      </c>
    </row>
    <row r="85" spans="1:2" x14ac:dyDescent="0.25">
      <c r="A85" s="4" t="s">
        <v>213</v>
      </c>
      <c r="B85" s="3">
        <v>2</v>
      </c>
    </row>
    <row r="86" spans="1:2" x14ac:dyDescent="0.25">
      <c r="A86" s="4" t="s">
        <v>209</v>
      </c>
      <c r="B86" s="3">
        <v>2</v>
      </c>
    </row>
    <row r="87" spans="1:2" x14ac:dyDescent="0.25">
      <c r="A87" s="4" t="s">
        <v>210</v>
      </c>
      <c r="B87" s="3">
        <v>5</v>
      </c>
    </row>
    <row r="88" spans="1:2" x14ac:dyDescent="0.25">
      <c r="A88" s="4" t="s">
        <v>211</v>
      </c>
      <c r="B88" s="3">
        <v>2</v>
      </c>
    </row>
    <row r="89" spans="1:2" x14ac:dyDescent="0.25">
      <c r="A89" s="4" t="s">
        <v>212</v>
      </c>
      <c r="B89" s="3">
        <v>1</v>
      </c>
    </row>
    <row r="90" spans="1:2" x14ac:dyDescent="0.25">
      <c r="A90" s="4" t="s">
        <v>214</v>
      </c>
      <c r="B90" s="3">
        <v>3</v>
      </c>
    </row>
    <row r="91" spans="1:2" x14ac:dyDescent="0.25">
      <c r="A91" s="4" t="s">
        <v>215</v>
      </c>
      <c r="B91" s="3">
        <v>2</v>
      </c>
    </row>
    <row r="92" spans="1:2" x14ac:dyDescent="0.25">
      <c r="A92" s="4" t="s">
        <v>216</v>
      </c>
      <c r="B92" s="3">
        <v>1</v>
      </c>
    </row>
    <row r="93" spans="1:2" x14ac:dyDescent="0.25">
      <c r="A93" s="4" t="s">
        <v>217</v>
      </c>
      <c r="B93" s="3">
        <v>2</v>
      </c>
    </row>
    <row r="94" spans="1:2" x14ac:dyDescent="0.25">
      <c r="A94" s="4" t="s">
        <v>218</v>
      </c>
      <c r="B94" s="3">
        <v>2</v>
      </c>
    </row>
    <row r="95" spans="1:2" x14ac:dyDescent="0.25">
      <c r="A95" s="4" t="s">
        <v>229</v>
      </c>
      <c r="B95" s="3">
        <v>1</v>
      </c>
    </row>
    <row r="96" spans="1:2" x14ac:dyDescent="0.25">
      <c r="A96" s="4" t="s">
        <v>230</v>
      </c>
      <c r="B96" s="3">
        <v>1</v>
      </c>
    </row>
    <row r="97" spans="1:2" x14ac:dyDescent="0.25">
      <c r="A97" s="4" t="s">
        <v>231</v>
      </c>
      <c r="B97" s="3">
        <v>1</v>
      </c>
    </row>
    <row r="98" spans="1:2" x14ac:dyDescent="0.25">
      <c r="A98" s="4" t="s">
        <v>232</v>
      </c>
      <c r="B98" s="3">
        <v>1</v>
      </c>
    </row>
    <row r="99" spans="1:2" x14ac:dyDescent="0.25">
      <c r="A99" s="4" t="s">
        <v>235</v>
      </c>
      <c r="B99" s="3">
        <v>4</v>
      </c>
    </row>
    <row r="100" spans="1:2" x14ac:dyDescent="0.25">
      <c r="A100" s="4" t="s">
        <v>233</v>
      </c>
      <c r="B100" s="3">
        <v>1</v>
      </c>
    </row>
    <row r="101" spans="1:2" x14ac:dyDescent="0.25">
      <c r="A101" s="4" t="s">
        <v>234</v>
      </c>
      <c r="B101" s="3">
        <v>1</v>
      </c>
    </row>
    <row r="102" spans="1:2" x14ac:dyDescent="0.25">
      <c r="A102" s="4" t="s">
        <v>462</v>
      </c>
      <c r="B102" s="3">
        <v>1</v>
      </c>
    </row>
    <row r="103" spans="1:2" x14ac:dyDescent="0.25">
      <c r="A103" s="4" t="s">
        <v>238</v>
      </c>
      <c r="B103" s="3">
        <v>1</v>
      </c>
    </row>
    <row r="104" spans="1:2" x14ac:dyDescent="0.25">
      <c r="A104" s="4" t="s">
        <v>239</v>
      </c>
      <c r="B104" s="3">
        <v>5</v>
      </c>
    </row>
    <row r="105" spans="1:2" x14ac:dyDescent="0.25">
      <c r="A105" s="4" t="s">
        <v>241</v>
      </c>
      <c r="B105" s="3">
        <v>1</v>
      </c>
    </row>
    <row r="106" spans="1:2" x14ac:dyDescent="0.25">
      <c r="A106" s="4" t="s">
        <v>242</v>
      </c>
      <c r="B106" s="3">
        <v>15</v>
      </c>
    </row>
    <row r="107" spans="1:2" x14ac:dyDescent="0.25">
      <c r="A107" s="4" t="s">
        <v>335</v>
      </c>
      <c r="B107" s="3">
        <v>7</v>
      </c>
    </row>
    <row r="108" spans="1:2" x14ac:dyDescent="0.25">
      <c r="A108" s="4" t="s">
        <v>336</v>
      </c>
      <c r="B108" s="3">
        <v>1</v>
      </c>
    </row>
    <row r="109" spans="1:2" x14ac:dyDescent="0.25">
      <c r="A109" s="4" t="s">
        <v>339</v>
      </c>
      <c r="B109" s="3">
        <v>5</v>
      </c>
    </row>
    <row r="110" spans="1:2" x14ac:dyDescent="0.25">
      <c r="A110" s="4" t="s">
        <v>341</v>
      </c>
      <c r="B110" s="3">
        <v>10</v>
      </c>
    </row>
    <row r="111" spans="1:2" x14ac:dyDescent="0.25">
      <c r="A111" s="4" t="s">
        <v>342</v>
      </c>
      <c r="B111" s="3">
        <v>10</v>
      </c>
    </row>
    <row r="112" spans="1:2" x14ac:dyDescent="0.25">
      <c r="A112" s="4" t="s">
        <v>344</v>
      </c>
      <c r="B112" s="3">
        <v>1</v>
      </c>
    </row>
    <row r="113" spans="1:2" x14ac:dyDescent="0.25">
      <c r="A113" s="4" t="s">
        <v>346</v>
      </c>
      <c r="B113" s="3"/>
    </row>
    <row r="114" spans="1:2" x14ac:dyDescent="0.25">
      <c r="A114" s="4" t="s">
        <v>347</v>
      </c>
      <c r="B114" s="3"/>
    </row>
    <row r="115" spans="1:2" x14ac:dyDescent="0.25">
      <c r="A115" s="4" t="s">
        <v>348</v>
      </c>
      <c r="B115" s="3"/>
    </row>
    <row r="116" spans="1:2" x14ac:dyDescent="0.25">
      <c r="A116" s="4" t="s">
        <v>350</v>
      </c>
      <c r="B116" s="3"/>
    </row>
    <row r="117" spans="1:2" x14ac:dyDescent="0.25">
      <c r="A117" s="4" t="s">
        <v>355</v>
      </c>
      <c r="B117" s="3">
        <v>7</v>
      </c>
    </row>
    <row r="118" spans="1:2" x14ac:dyDescent="0.25">
      <c r="A118" s="4" t="s">
        <v>357</v>
      </c>
      <c r="B118" s="3">
        <v>30</v>
      </c>
    </row>
    <row r="119" spans="1:2" x14ac:dyDescent="0.25">
      <c r="A119" s="4" t="s">
        <v>463</v>
      </c>
      <c r="B119" s="3"/>
    </row>
    <row r="120" spans="1:2" x14ac:dyDescent="0.25">
      <c r="A120" s="4" t="s">
        <v>362</v>
      </c>
      <c r="B120" s="3">
        <v>1</v>
      </c>
    </row>
    <row r="121" spans="1:2" x14ac:dyDescent="0.25">
      <c r="A121" s="4" t="s">
        <v>360</v>
      </c>
      <c r="B121" s="3">
        <v>2</v>
      </c>
    </row>
    <row r="122" spans="1:2" x14ac:dyDescent="0.25">
      <c r="A122" s="4" t="s">
        <v>361</v>
      </c>
      <c r="B122" s="3">
        <v>4</v>
      </c>
    </row>
    <row r="123" spans="1:2" x14ac:dyDescent="0.25">
      <c r="A123" s="4" t="s">
        <v>368</v>
      </c>
      <c r="B123" s="3">
        <v>1</v>
      </c>
    </row>
    <row r="124" spans="1:2" x14ac:dyDescent="0.25">
      <c r="A124" s="4" t="s">
        <v>366</v>
      </c>
      <c r="B124" s="3">
        <v>1</v>
      </c>
    </row>
    <row r="125" spans="1:2" x14ac:dyDescent="0.25">
      <c r="A125" s="4" t="s">
        <v>367</v>
      </c>
      <c r="B125" s="3">
        <v>1</v>
      </c>
    </row>
    <row r="126" spans="1:2" x14ac:dyDescent="0.25">
      <c r="A126" s="4" t="s">
        <v>371</v>
      </c>
      <c r="B126" s="3">
        <v>10</v>
      </c>
    </row>
    <row r="127" spans="1:2" x14ac:dyDescent="0.25">
      <c r="A127" s="4" t="s">
        <v>388</v>
      </c>
      <c r="B127" s="3">
        <v>1</v>
      </c>
    </row>
    <row r="128" spans="1:2" x14ac:dyDescent="0.25">
      <c r="A128" s="4" t="s">
        <v>387</v>
      </c>
      <c r="B128" s="3">
        <v>2</v>
      </c>
    </row>
    <row r="129" spans="1:2" x14ac:dyDescent="0.25">
      <c r="A129" s="4" t="s">
        <v>396</v>
      </c>
      <c r="B129" s="3">
        <v>3</v>
      </c>
    </row>
    <row r="130" spans="1:2" x14ac:dyDescent="0.25">
      <c r="A130" s="4" t="s">
        <v>398</v>
      </c>
      <c r="B130" s="3">
        <v>8</v>
      </c>
    </row>
    <row r="131" spans="1:2" x14ac:dyDescent="0.25">
      <c r="A131" s="4" t="s">
        <v>464</v>
      </c>
      <c r="B131" s="3"/>
    </row>
    <row r="132" spans="1:2" x14ac:dyDescent="0.25">
      <c r="A132" s="4" t="s">
        <v>401</v>
      </c>
      <c r="B132" s="3">
        <v>1</v>
      </c>
    </row>
    <row r="133" spans="1:2" x14ac:dyDescent="0.25">
      <c r="A133" s="4" t="s">
        <v>404</v>
      </c>
      <c r="B133" s="3">
        <v>2</v>
      </c>
    </row>
    <row r="134" spans="1:2" x14ac:dyDescent="0.25">
      <c r="A134" s="4" t="s">
        <v>405</v>
      </c>
      <c r="B134" s="3">
        <v>1</v>
      </c>
    </row>
    <row r="135" spans="1:2" x14ac:dyDescent="0.25">
      <c r="A135" s="4" t="s">
        <v>407</v>
      </c>
      <c r="B135" s="3">
        <v>1</v>
      </c>
    </row>
    <row r="136" spans="1:2" x14ac:dyDescent="0.25">
      <c r="A136" s="4" t="s">
        <v>408</v>
      </c>
      <c r="B136" s="3">
        <v>1</v>
      </c>
    </row>
    <row r="137" spans="1:2" x14ac:dyDescent="0.25">
      <c r="A137" s="4" t="s">
        <v>411</v>
      </c>
      <c r="B137" s="3">
        <v>1</v>
      </c>
    </row>
    <row r="138" spans="1:2" x14ac:dyDescent="0.25">
      <c r="A138" s="4" t="s">
        <v>412</v>
      </c>
      <c r="B138" s="3">
        <v>2</v>
      </c>
    </row>
    <row r="139" spans="1:2" x14ac:dyDescent="0.25">
      <c r="A139" s="4" t="s">
        <v>414</v>
      </c>
      <c r="B139" s="3">
        <v>1</v>
      </c>
    </row>
    <row r="140" spans="1:2" x14ac:dyDescent="0.25">
      <c r="A140" s="4" t="s">
        <v>415</v>
      </c>
      <c r="B140" s="3">
        <v>1</v>
      </c>
    </row>
    <row r="141" spans="1:2" x14ac:dyDescent="0.25">
      <c r="A141" s="4" t="s">
        <v>418</v>
      </c>
      <c r="B141" s="3">
        <v>5</v>
      </c>
    </row>
    <row r="142" spans="1:2" x14ac:dyDescent="0.25">
      <c r="A142" s="4" t="s">
        <v>420</v>
      </c>
      <c r="B142" s="3">
        <v>7</v>
      </c>
    </row>
    <row r="143" spans="1:2" x14ac:dyDescent="0.25">
      <c r="A143" s="4" t="s">
        <v>422</v>
      </c>
      <c r="B143" s="3">
        <v>7</v>
      </c>
    </row>
    <row r="144" spans="1:2" x14ac:dyDescent="0.25">
      <c r="A144" s="4" t="s">
        <v>423</v>
      </c>
      <c r="B144" s="3">
        <v>13</v>
      </c>
    </row>
    <row r="145" spans="1:2" x14ac:dyDescent="0.25">
      <c r="A145" s="4" t="s">
        <v>433</v>
      </c>
      <c r="B145" s="3">
        <v>1</v>
      </c>
    </row>
    <row r="146" spans="1:2" x14ac:dyDescent="0.25">
      <c r="A146" s="4" t="s">
        <v>434</v>
      </c>
      <c r="B146" s="3">
        <v>1</v>
      </c>
    </row>
    <row r="147" spans="1:2" x14ac:dyDescent="0.25">
      <c r="A147" s="4" t="s">
        <v>495</v>
      </c>
      <c r="B147" s="3"/>
    </row>
    <row r="148" spans="1:2" x14ac:dyDescent="0.25">
      <c r="A148" s="4" t="s">
        <v>430</v>
      </c>
      <c r="B148" s="3">
        <v>2</v>
      </c>
    </row>
    <row r="149" spans="1:2" x14ac:dyDescent="0.25">
      <c r="A149" s="4" t="s">
        <v>435</v>
      </c>
      <c r="B149" s="3">
        <v>1</v>
      </c>
    </row>
    <row r="150" spans="1:2" x14ac:dyDescent="0.25">
      <c r="A150" s="4" t="s">
        <v>459</v>
      </c>
      <c r="B150" s="3">
        <v>2</v>
      </c>
    </row>
    <row r="151" spans="1:2" x14ac:dyDescent="0.25">
      <c r="A151" s="4" t="s">
        <v>438</v>
      </c>
      <c r="B151" s="3">
        <v>2</v>
      </c>
    </row>
    <row r="152" spans="1:2" x14ac:dyDescent="0.25">
      <c r="A152" s="4" t="s">
        <v>443</v>
      </c>
      <c r="B152" s="3">
        <v>2</v>
      </c>
    </row>
    <row r="153" spans="1:2" x14ac:dyDescent="0.25">
      <c r="A153" s="4" t="s">
        <v>444</v>
      </c>
      <c r="B153" s="3">
        <v>2</v>
      </c>
    </row>
    <row r="154" spans="1:2" x14ac:dyDescent="0.25">
      <c r="A154" s="4" t="s">
        <v>446</v>
      </c>
      <c r="B154" s="3">
        <v>2</v>
      </c>
    </row>
    <row r="155" spans="1:2" x14ac:dyDescent="0.25">
      <c r="A155" s="4" t="s">
        <v>449</v>
      </c>
      <c r="B155" s="3">
        <v>2</v>
      </c>
    </row>
    <row r="156" spans="1:2" x14ac:dyDescent="0.25">
      <c r="A156" s="4" t="s">
        <v>451</v>
      </c>
      <c r="B156" s="3">
        <v>2</v>
      </c>
    </row>
    <row r="157" spans="1:2" x14ac:dyDescent="0.25">
      <c r="A157" s="4" t="s">
        <v>473</v>
      </c>
      <c r="B157" s="3">
        <v>5</v>
      </c>
    </row>
    <row r="158" spans="1:2" x14ac:dyDescent="0.25">
      <c r="A158" s="4" t="s">
        <v>474</v>
      </c>
      <c r="B158" s="3">
        <v>3</v>
      </c>
    </row>
    <row r="159" spans="1:2" x14ac:dyDescent="0.25">
      <c r="A159" s="4" t="s">
        <v>479</v>
      </c>
      <c r="B159" s="3">
        <v>1</v>
      </c>
    </row>
    <row r="160" spans="1:2" x14ac:dyDescent="0.25">
      <c r="A160" s="4" t="s">
        <v>480</v>
      </c>
      <c r="B160" s="3">
        <v>1</v>
      </c>
    </row>
    <row r="161" spans="1:2" x14ac:dyDescent="0.25">
      <c r="A161" s="4" t="s">
        <v>481</v>
      </c>
      <c r="B161" s="3">
        <v>1</v>
      </c>
    </row>
    <row r="162" spans="1:2" x14ac:dyDescent="0.25">
      <c r="A162" s="4" t="s">
        <v>483</v>
      </c>
      <c r="B162" s="3">
        <v>10</v>
      </c>
    </row>
    <row r="163" spans="1:2" x14ac:dyDescent="0.25">
      <c r="A163" s="4" t="s">
        <v>485</v>
      </c>
      <c r="B163" s="3">
        <v>4</v>
      </c>
    </row>
    <row r="164" spans="1:2" x14ac:dyDescent="0.25">
      <c r="A164" s="4" t="s">
        <v>494</v>
      </c>
      <c r="B164" s="3"/>
    </row>
    <row r="165" spans="1:2" x14ac:dyDescent="0.25">
      <c r="A165" s="4" t="s">
        <v>497</v>
      </c>
      <c r="B165" s="3">
        <v>2</v>
      </c>
    </row>
    <row r="166" spans="1:2" x14ac:dyDescent="0.25">
      <c r="A166" s="4" t="s">
        <v>498</v>
      </c>
      <c r="B166" s="3">
        <v>1</v>
      </c>
    </row>
    <row r="167" spans="1:2" x14ac:dyDescent="0.25">
      <c r="A167" s="4" t="s">
        <v>499</v>
      </c>
      <c r="B167" s="3">
        <v>4</v>
      </c>
    </row>
    <row r="168" spans="1:2" x14ac:dyDescent="0.25">
      <c r="A168" s="4" t="s">
        <v>502</v>
      </c>
      <c r="B168" s="3">
        <v>10</v>
      </c>
    </row>
    <row r="169" spans="1:2" x14ac:dyDescent="0.25">
      <c r="A169" s="4" t="s">
        <v>500</v>
      </c>
      <c r="B169" s="3">
        <v>2</v>
      </c>
    </row>
    <row r="170" spans="1:2" x14ac:dyDescent="0.25">
      <c r="A170" s="4" t="s">
        <v>501</v>
      </c>
      <c r="B170" s="3">
        <v>1</v>
      </c>
    </row>
    <row r="171" spans="1:2" x14ac:dyDescent="0.25">
      <c r="A171" s="4" t="s">
        <v>507</v>
      </c>
      <c r="B171" s="3">
        <v>3</v>
      </c>
    </row>
    <row r="172" spans="1:2" x14ac:dyDescent="0.25">
      <c r="A172" s="4" t="s">
        <v>508</v>
      </c>
      <c r="B172" s="3">
        <v>1</v>
      </c>
    </row>
    <row r="173" spans="1:2" x14ac:dyDescent="0.25">
      <c r="A173" s="4" t="s">
        <v>511</v>
      </c>
      <c r="B173" s="3">
        <v>2</v>
      </c>
    </row>
    <row r="174" spans="1:2" x14ac:dyDescent="0.25">
      <c r="A174" s="4" t="s">
        <v>509</v>
      </c>
      <c r="B174" s="3">
        <v>1</v>
      </c>
    </row>
    <row r="175" spans="1:2" x14ac:dyDescent="0.25">
      <c r="A175" s="4" t="s">
        <v>504</v>
      </c>
      <c r="B175" s="3">
        <v>2</v>
      </c>
    </row>
    <row r="176" spans="1:2" x14ac:dyDescent="0.25">
      <c r="A176" s="4" t="s">
        <v>510</v>
      </c>
      <c r="B176" s="3">
        <v>1</v>
      </c>
    </row>
    <row r="177" spans="1:2" x14ac:dyDescent="0.25">
      <c r="A177" s="4" t="s">
        <v>505</v>
      </c>
      <c r="B177" s="3">
        <v>1</v>
      </c>
    </row>
    <row r="178" spans="1:2" x14ac:dyDescent="0.25">
      <c r="A178" s="4" t="s">
        <v>513</v>
      </c>
      <c r="B178" s="3">
        <v>2</v>
      </c>
    </row>
    <row r="179" spans="1:2" x14ac:dyDescent="0.25">
      <c r="A179" s="4" t="s">
        <v>514</v>
      </c>
      <c r="B179" s="3">
        <v>10</v>
      </c>
    </row>
    <row r="180" spans="1:2" x14ac:dyDescent="0.25">
      <c r="A180" s="4" t="s">
        <v>503</v>
      </c>
      <c r="B180" s="3">
        <v>3</v>
      </c>
    </row>
    <row r="181" spans="1:2" x14ac:dyDescent="0.25">
      <c r="A181" s="4" t="s">
        <v>517</v>
      </c>
      <c r="B181" s="3"/>
    </row>
    <row r="182" spans="1:2" x14ac:dyDescent="0.25">
      <c r="A182" s="4" t="s">
        <v>518</v>
      </c>
      <c r="B182" s="3">
        <v>1</v>
      </c>
    </row>
    <row r="183" spans="1:2" x14ac:dyDescent="0.25">
      <c r="A183" s="4" t="s">
        <v>521</v>
      </c>
      <c r="B183" s="3"/>
    </row>
    <row r="184" spans="1:2" x14ac:dyDescent="0.25">
      <c r="A184" s="4" t="s">
        <v>95</v>
      </c>
      <c r="B184" s="3">
        <v>772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2023-05-17T03:00:39Z</dcterms:modified>
</cp:coreProperties>
</file>