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18" r:id="rId9"/>
  </pivotCaches>
</workbook>
</file>

<file path=xl/calcChain.xml><?xml version="1.0" encoding="utf-8"?>
<calcChain xmlns="http://schemas.openxmlformats.org/spreadsheetml/2006/main">
  <c r="B264" i="1" l="1"/>
  <c r="G264" i="1" s="1"/>
  <c r="A264" i="1" s="1"/>
  <c r="AD264" i="1" s="1"/>
  <c r="B266" i="1"/>
  <c r="G266" i="1" s="1"/>
  <c r="A266" i="1" s="1"/>
  <c r="AD266" i="1" s="1"/>
  <c r="B268" i="1"/>
  <c r="B270" i="1"/>
  <c r="G270" i="1" s="1"/>
  <c r="A270" i="1" s="1"/>
  <c r="AD270" i="1" s="1"/>
  <c r="C264" i="1"/>
  <c r="C265" i="1"/>
  <c r="C266" i="1"/>
  <c r="C267" i="1"/>
  <c r="C268" i="1"/>
  <c r="C269" i="1"/>
  <c r="C270" i="1"/>
  <c r="G268" i="1"/>
  <c r="A268" i="1" s="1"/>
  <c r="AD268" i="1" s="1"/>
  <c r="H264" i="1"/>
  <c r="H265" i="1"/>
  <c r="B265" i="1" s="1"/>
  <c r="G265" i="1" s="1"/>
  <c r="A265" i="1" s="1"/>
  <c r="AD265" i="1" s="1"/>
  <c r="H266" i="1"/>
  <c r="H267" i="1"/>
  <c r="B267" i="1" s="1"/>
  <c r="G267" i="1" s="1"/>
  <c r="A267" i="1" s="1"/>
  <c r="AD267" i="1" s="1"/>
  <c r="H268" i="1"/>
  <c r="H269" i="1"/>
  <c r="B269" i="1" s="1"/>
  <c r="G269" i="1" s="1"/>
  <c r="A269" i="1" s="1"/>
  <c r="AD269" i="1" s="1"/>
  <c r="H270" i="1"/>
  <c r="I264" i="1"/>
  <c r="I266" i="1"/>
  <c r="I268" i="1"/>
  <c r="I270" i="1"/>
  <c r="J264" i="1"/>
  <c r="J265" i="1"/>
  <c r="J266" i="1"/>
  <c r="J267" i="1"/>
  <c r="J268" i="1"/>
  <c r="J269" i="1"/>
  <c r="J270" i="1"/>
  <c r="O264" i="1"/>
  <c r="O265" i="1"/>
  <c r="O266" i="1"/>
  <c r="O267" i="1"/>
  <c r="O268" i="1"/>
  <c r="O269" i="1"/>
  <c r="O270" i="1"/>
  <c r="T265" i="1"/>
  <c r="T267" i="1"/>
  <c r="T269" i="1"/>
  <c r="W264" i="1"/>
  <c r="X264" i="1" s="1"/>
  <c r="W265" i="1"/>
  <c r="W266" i="1"/>
  <c r="X266" i="1" s="1"/>
  <c r="W267" i="1"/>
  <c r="X267" i="1" s="1"/>
  <c r="W268" i="1"/>
  <c r="X268" i="1" s="1"/>
  <c r="W269" i="1"/>
  <c r="X269" i="1" s="1"/>
  <c r="W270" i="1"/>
  <c r="X270" i="1" s="1"/>
  <c r="X265" i="1"/>
  <c r="Y264" i="1"/>
  <c r="Z264" i="1" s="1"/>
  <c r="Y265" i="1"/>
  <c r="Y266" i="1"/>
  <c r="Z266" i="1" s="1"/>
  <c r="Y267" i="1"/>
  <c r="Y268" i="1"/>
  <c r="Z268" i="1" s="1"/>
  <c r="Y269" i="1"/>
  <c r="Y270" i="1"/>
  <c r="Z270" i="1" s="1"/>
  <c r="Z265" i="1"/>
  <c r="Z267" i="1"/>
  <c r="Z269" i="1"/>
  <c r="AA264" i="1"/>
  <c r="AA265" i="1"/>
  <c r="AA266" i="1"/>
  <c r="AA267" i="1"/>
  <c r="AA268" i="1"/>
  <c r="AA269" i="1"/>
  <c r="AA270" i="1"/>
  <c r="AB264" i="1"/>
  <c r="AB265" i="1"/>
  <c r="AB266" i="1"/>
  <c r="AB267" i="1"/>
  <c r="AB268" i="1"/>
  <c r="AB269" i="1"/>
  <c r="AB270" i="1"/>
  <c r="AC264" i="1"/>
  <c r="T264" i="1" s="1"/>
  <c r="AC265" i="1"/>
  <c r="AC266" i="1"/>
  <c r="T266" i="1" s="1"/>
  <c r="AC267" i="1"/>
  <c r="AC268" i="1"/>
  <c r="T268" i="1" s="1"/>
  <c r="AC269" i="1"/>
  <c r="AC270" i="1"/>
  <c r="T270" i="1" s="1"/>
  <c r="AF264" i="1"/>
  <c r="AF265" i="1"/>
  <c r="AF266" i="1"/>
  <c r="AF267" i="1"/>
  <c r="AF268" i="1"/>
  <c r="AF269" i="1"/>
  <c r="AF270" i="1"/>
  <c r="I269" i="1" l="1"/>
  <c r="I267" i="1"/>
  <c r="I265" i="1"/>
  <c r="R58" i="4"/>
  <c r="R59" i="4"/>
  <c r="R60" i="4"/>
  <c r="R61" i="4"/>
  <c r="R62" i="4"/>
  <c r="R63" i="4"/>
  <c r="C247" i="1"/>
  <c r="C248" i="1"/>
  <c r="C249" i="1"/>
  <c r="C250" i="1"/>
  <c r="C251" i="1"/>
  <c r="C252" i="1"/>
  <c r="C253" i="1"/>
  <c r="C254" i="1"/>
  <c r="C255" i="1"/>
  <c r="C256" i="1"/>
  <c r="C257" i="1"/>
  <c r="H247" i="1"/>
  <c r="I247" i="1" s="1"/>
  <c r="H248" i="1"/>
  <c r="B248" i="1" s="1"/>
  <c r="G248" i="1" s="1"/>
  <c r="A248" i="1" s="1"/>
  <c r="AD248" i="1" s="1"/>
  <c r="H249" i="1"/>
  <c r="H250" i="1"/>
  <c r="B250" i="1" s="1"/>
  <c r="G250" i="1" s="1"/>
  <c r="A250" i="1" s="1"/>
  <c r="AD250" i="1" s="1"/>
  <c r="H251" i="1"/>
  <c r="I251" i="1" s="1"/>
  <c r="H252" i="1"/>
  <c r="B252" i="1" s="1"/>
  <c r="G252" i="1" s="1"/>
  <c r="A252" i="1" s="1"/>
  <c r="AD252" i="1" s="1"/>
  <c r="H253" i="1"/>
  <c r="H254" i="1"/>
  <c r="B254" i="1" s="1"/>
  <c r="G254" i="1" s="1"/>
  <c r="A254" i="1" s="1"/>
  <c r="AD254" i="1" s="1"/>
  <c r="H255" i="1"/>
  <c r="I255" i="1" s="1"/>
  <c r="H256" i="1"/>
  <c r="B256" i="1" s="1"/>
  <c r="G256" i="1" s="1"/>
  <c r="A256" i="1" s="1"/>
  <c r="AD256" i="1" s="1"/>
  <c r="H257" i="1"/>
  <c r="B257" i="1" s="1"/>
  <c r="G257" i="1" s="1"/>
  <c r="A257" i="1" s="1"/>
  <c r="AD257" i="1" s="1"/>
  <c r="I249" i="1"/>
  <c r="I257" i="1"/>
  <c r="J247" i="1"/>
  <c r="J248" i="1"/>
  <c r="J249" i="1"/>
  <c r="J250" i="1"/>
  <c r="J251" i="1"/>
  <c r="J252" i="1"/>
  <c r="J253" i="1"/>
  <c r="J254" i="1"/>
  <c r="J255" i="1"/>
  <c r="J256" i="1"/>
  <c r="J257" i="1"/>
  <c r="O247" i="1"/>
  <c r="O248" i="1"/>
  <c r="O249" i="1"/>
  <c r="O250" i="1"/>
  <c r="O251" i="1"/>
  <c r="O252" i="1"/>
  <c r="O253" i="1"/>
  <c r="O254" i="1"/>
  <c r="O255" i="1"/>
  <c r="O256" i="1"/>
  <c r="O257" i="1"/>
  <c r="T250" i="1"/>
  <c r="T254" i="1"/>
  <c r="W247" i="1"/>
  <c r="X247" i="1" s="1"/>
  <c r="W248" i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5" i="1"/>
  <c r="X255" i="1" s="1"/>
  <c r="W256" i="1"/>
  <c r="X256" i="1" s="1"/>
  <c r="W257" i="1"/>
  <c r="X257" i="1" s="1"/>
  <c r="X248" i="1"/>
  <c r="Y247" i="1"/>
  <c r="Z247" i="1" s="1"/>
  <c r="Y248" i="1"/>
  <c r="Y249" i="1"/>
  <c r="Z249" i="1" s="1"/>
  <c r="Y250" i="1"/>
  <c r="Y251" i="1"/>
  <c r="Z251" i="1" s="1"/>
  <c r="Y252" i="1"/>
  <c r="Y253" i="1"/>
  <c r="Z253" i="1" s="1"/>
  <c r="Y254" i="1"/>
  <c r="Y255" i="1"/>
  <c r="Z255" i="1" s="1"/>
  <c r="Y256" i="1"/>
  <c r="Y257" i="1"/>
  <c r="Z257" i="1" s="1"/>
  <c r="Z248" i="1"/>
  <c r="Z250" i="1"/>
  <c r="Z252" i="1"/>
  <c r="Z254" i="1"/>
  <c r="Z256" i="1"/>
  <c r="AA247" i="1"/>
  <c r="AA248" i="1"/>
  <c r="AA249" i="1"/>
  <c r="AA250" i="1"/>
  <c r="AA251" i="1"/>
  <c r="AA252" i="1"/>
  <c r="AA253" i="1"/>
  <c r="AA254" i="1"/>
  <c r="AA255" i="1"/>
  <c r="AA256" i="1"/>
  <c r="AA257" i="1"/>
  <c r="AB247" i="1"/>
  <c r="AB248" i="1"/>
  <c r="AB249" i="1"/>
  <c r="AB250" i="1"/>
  <c r="AB251" i="1"/>
  <c r="AB252" i="1"/>
  <c r="AB253" i="1"/>
  <c r="AB254" i="1"/>
  <c r="AB255" i="1"/>
  <c r="AB256" i="1"/>
  <c r="AB257" i="1"/>
  <c r="AC247" i="1"/>
  <c r="T247" i="1" s="1"/>
  <c r="AC248" i="1"/>
  <c r="T248" i="1" s="1"/>
  <c r="AC249" i="1"/>
  <c r="T249" i="1" s="1"/>
  <c r="AC250" i="1"/>
  <c r="AC251" i="1"/>
  <c r="T251" i="1" s="1"/>
  <c r="AC252" i="1"/>
  <c r="T252" i="1" s="1"/>
  <c r="AC253" i="1"/>
  <c r="T253" i="1" s="1"/>
  <c r="AC254" i="1"/>
  <c r="AC255" i="1"/>
  <c r="T255" i="1" s="1"/>
  <c r="AC256" i="1"/>
  <c r="T256" i="1" s="1"/>
  <c r="AC257" i="1"/>
  <c r="T257" i="1" s="1"/>
  <c r="AF247" i="1"/>
  <c r="AF248" i="1"/>
  <c r="AF249" i="1"/>
  <c r="AF250" i="1"/>
  <c r="AF251" i="1"/>
  <c r="AF252" i="1"/>
  <c r="AF253" i="1"/>
  <c r="AF254" i="1"/>
  <c r="AF255" i="1"/>
  <c r="AF256" i="1"/>
  <c r="AF257" i="1"/>
  <c r="C259" i="1"/>
  <c r="C260" i="1"/>
  <c r="C261" i="1"/>
  <c r="C262" i="1"/>
  <c r="C263" i="1"/>
  <c r="H259" i="1"/>
  <c r="H260" i="1"/>
  <c r="B260" i="1" s="1"/>
  <c r="G260" i="1" s="1"/>
  <c r="A260" i="1" s="1"/>
  <c r="AD260" i="1" s="1"/>
  <c r="H261" i="1"/>
  <c r="B261" i="1" s="1"/>
  <c r="G261" i="1" s="1"/>
  <c r="A261" i="1" s="1"/>
  <c r="AD261" i="1" s="1"/>
  <c r="H262" i="1"/>
  <c r="B262" i="1" s="1"/>
  <c r="G262" i="1" s="1"/>
  <c r="A262" i="1" s="1"/>
  <c r="AD262" i="1" s="1"/>
  <c r="H263" i="1"/>
  <c r="I263" i="1"/>
  <c r="J259" i="1"/>
  <c r="J260" i="1"/>
  <c r="J261" i="1"/>
  <c r="J262" i="1"/>
  <c r="J263" i="1"/>
  <c r="O259" i="1"/>
  <c r="O260" i="1"/>
  <c r="O261" i="1"/>
  <c r="O262" i="1"/>
  <c r="O263" i="1"/>
  <c r="W262" i="1"/>
  <c r="X262" i="1" s="1"/>
  <c r="Y259" i="1"/>
  <c r="Z259" i="1" s="1"/>
  <c r="Y260" i="1"/>
  <c r="Y261" i="1"/>
  <c r="Z261" i="1" s="1"/>
  <c r="Y262" i="1"/>
  <c r="Z262" i="1" s="1"/>
  <c r="Y263" i="1"/>
  <c r="Z263" i="1" s="1"/>
  <c r="Z260" i="1"/>
  <c r="AA260" i="1"/>
  <c r="AB260" i="1"/>
  <c r="AC260" i="1" s="1"/>
  <c r="T260" i="1" s="1"/>
  <c r="AB262" i="1"/>
  <c r="AC262" i="1"/>
  <c r="T262" i="1" s="1"/>
  <c r="AF259" i="1"/>
  <c r="AF260" i="1"/>
  <c r="AF261" i="1"/>
  <c r="AF262" i="1"/>
  <c r="AF263" i="1"/>
  <c r="B255" i="1" l="1"/>
  <c r="G255" i="1" s="1"/>
  <c r="A255" i="1" s="1"/>
  <c r="AD255" i="1" s="1"/>
  <c r="AA262" i="1"/>
  <c r="I253" i="1"/>
  <c r="AA263" i="1"/>
  <c r="AB263" i="1" s="1"/>
  <c r="AC263" i="1" s="1"/>
  <c r="T263" i="1" s="1"/>
  <c r="AA261" i="1"/>
  <c r="AB261" i="1" s="1"/>
  <c r="AC261" i="1" s="1"/>
  <c r="T261" i="1" s="1"/>
  <c r="AA259" i="1"/>
  <c r="AB259" i="1" s="1"/>
  <c r="AC259" i="1" s="1"/>
  <c r="T259" i="1" s="1"/>
  <c r="I261" i="1"/>
  <c r="I256" i="1"/>
  <c r="I254" i="1"/>
  <c r="I252" i="1"/>
  <c r="I250" i="1"/>
  <c r="I248" i="1"/>
  <c r="I259" i="1"/>
  <c r="I262" i="1"/>
  <c r="I260" i="1"/>
  <c r="O197" i="1"/>
  <c r="C198" i="1"/>
  <c r="C199" i="1"/>
  <c r="H198" i="1"/>
  <c r="B198" i="1" s="1"/>
  <c r="G198" i="1" s="1"/>
  <c r="A198" i="1" s="1"/>
  <c r="AD198" i="1" s="1"/>
  <c r="H199" i="1"/>
  <c r="B199" i="1" s="1"/>
  <c r="G199" i="1" s="1"/>
  <c r="A199" i="1" s="1"/>
  <c r="AD199" i="1" s="1"/>
  <c r="I198" i="1"/>
  <c r="I199" i="1"/>
  <c r="J198" i="1"/>
  <c r="J199" i="1"/>
  <c r="O198" i="1"/>
  <c r="O199" i="1"/>
  <c r="W198" i="1"/>
  <c r="X198" i="1" s="1"/>
  <c r="W199" i="1"/>
  <c r="X199" i="1" s="1"/>
  <c r="Y198" i="1"/>
  <c r="Y199" i="1"/>
  <c r="Z198" i="1"/>
  <c r="Z199" i="1"/>
  <c r="AA198" i="1"/>
  <c r="AA199" i="1"/>
  <c r="AB198" i="1"/>
  <c r="AB199" i="1"/>
  <c r="AC198" i="1"/>
  <c r="T198" i="1" s="1"/>
  <c r="AC199" i="1"/>
  <c r="T199" i="1" s="1"/>
  <c r="AF198" i="1"/>
  <c r="AF199" i="1"/>
  <c r="C223" i="1" l="1"/>
  <c r="C224" i="1"/>
  <c r="C225" i="1"/>
  <c r="C226" i="1"/>
  <c r="C227" i="1"/>
  <c r="C228" i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H225" i="1"/>
  <c r="B225" i="1" s="1"/>
  <c r="G225" i="1" s="1"/>
  <c r="A225" i="1" s="1"/>
  <c r="AD225" i="1" s="1"/>
  <c r="H226" i="1"/>
  <c r="B226" i="1" s="1"/>
  <c r="G226" i="1" s="1"/>
  <c r="A226" i="1" s="1"/>
  <c r="AD226" i="1" s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J223" i="1"/>
  <c r="J224" i="1"/>
  <c r="J225" i="1"/>
  <c r="J226" i="1"/>
  <c r="J227" i="1"/>
  <c r="J228" i="1"/>
  <c r="O223" i="1"/>
  <c r="O224" i="1"/>
  <c r="O225" i="1"/>
  <c r="O226" i="1"/>
  <c r="O227" i="1"/>
  <c r="O228" i="1"/>
  <c r="W228" i="1"/>
  <c r="X228" i="1" s="1"/>
  <c r="Y223" i="1"/>
  <c r="Z223" i="1" s="1"/>
  <c r="Y224" i="1"/>
  <c r="Z224" i="1" s="1"/>
  <c r="Y225" i="1"/>
  <c r="Z225" i="1" s="1"/>
  <c r="Y226" i="1"/>
  <c r="Z226" i="1" s="1"/>
  <c r="Y227" i="1"/>
  <c r="AA227" i="1" s="1"/>
  <c r="Y228" i="1"/>
  <c r="Z228" i="1" s="1"/>
  <c r="AA228" i="1"/>
  <c r="AB228" i="1"/>
  <c r="AC228" i="1"/>
  <c r="T228" i="1" s="1"/>
  <c r="AF223" i="1"/>
  <c r="AF224" i="1"/>
  <c r="AF225" i="1"/>
  <c r="AF226" i="1"/>
  <c r="AF227" i="1"/>
  <c r="AF228" i="1"/>
  <c r="AA224" i="1" l="1"/>
  <c r="AB224" i="1" s="1"/>
  <c r="AC224" i="1" s="1"/>
  <c r="T224" i="1" s="1"/>
  <c r="I226" i="1"/>
  <c r="AA225" i="1"/>
  <c r="AB225" i="1" s="1"/>
  <c r="AC225" i="1" s="1"/>
  <c r="T225" i="1" s="1"/>
  <c r="Z227" i="1"/>
  <c r="AB227" i="1" s="1"/>
  <c r="AC227" i="1" s="1"/>
  <c r="T227" i="1" s="1"/>
  <c r="I228" i="1"/>
  <c r="I224" i="1"/>
  <c r="AA226" i="1"/>
  <c r="AB226" i="1" s="1"/>
  <c r="AC226" i="1" s="1"/>
  <c r="T226" i="1" s="1"/>
  <c r="AA223" i="1"/>
  <c r="AB223" i="1" s="1"/>
  <c r="AC223" i="1" s="1"/>
  <c r="T223" i="1" s="1"/>
  <c r="I227" i="1"/>
  <c r="I225" i="1"/>
  <c r="I223" i="1"/>
  <c r="C195" i="1" l="1"/>
  <c r="H195" i="1"/>
  <c r="B195" i="1" s="1"/>
  <c r="G195" i="1" s="1"/>
  <c r="A195" i="1" s="1"/>
  <c r="AD195" i="1" s="1"/>
  <c r="J195" i="1"/>
  <c r="O195" i="1"/>
  <c r="W195" i="1"/>
  <c r="X195" i="1" s="1"/>
  <c r="Y195" i="1"/>
  <c r="Z195" i="1" s="1"/>
  <c r="AB195" i="1"/>
  <c r="AC195" i="1"/>
  <c r="T195" i="1" s="1"/>
  <c r="AF195" i="1"/>
  <c r="C196" i="1"/>
  <c r="H196" i="1"/>
  <c r="I196" i="1" s="1"/>
  <c r="J196" i="1"/>
  <c r="O196" i="1"/>
  <c r="Y196" i="1"/>
  <c r="Z196" i="1" s="1"/>
  <c r="AF196" i="1"/>
  <c r="AA196" i="1" l="1"/>
  <c r="AB196" i="1" s="1"/>
  <c r="AC196" i="1" s="1"/>
  <c r="T196" i="1" s="1"/>
  <c r="I195" i="1"/>
  <c r="AA195" i="1"/>
  <c r="C192" i="1"/>
  <c r="H192" i="1"/>
  <c r="B192" i="1" s="1"/>
  <c r="G192" i="1" s="1"/>
  <c r="A192" i="1" s="1"/>
  <c r="AD192" i="1" s="1"/>
  <c r="J192" i="1"/>
  <c r="O192" i="1"/>
  <c r="W192" i="1"/>
  <c r="X192" i="1" s="1"/>
  <c r="Y192" i="1"/>
  <c r="Z192" i="1" s="1"/>
  <c r="AB192" i="1"/>
  <c r="AC192" i="1"/>
  <c r="T192" i="1" s="1"/>
  <c r="AF192" i="1"/>
  <c r="AA192" i="1" l="1"/>
  <c r="I19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C119" i="1" l="1"/>
  <c r="C120" i="1"/>
  <c r="C121" i="1"/>
  <c r="C122" i="1"/>
  <c r="C123" i="1"/>
  <c r="C124" i="1"/>
  <c r="C125" i="1"/>
  <c r="C126" i="1"/>
  <c r="H119" i="1"/>
  <c r="B119" i="1" s="1"/>
  <c r="G119" i="1" s="1"/>
  <c r="A119" i="1" s="1"/>
  <c r="AD119" i="1" s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I119" i="1"/>
  <c r="I120" i="1"/>
  <c r="I121" i="1"/>
  <c r="I122" i="1"/>
  <c r="I123" i="1"/>
  <c r="I124" i="1"/>
  <c r="I125" i="1"/>
  <c r="I126" i="1"/>
  <c r="J119" i="1"/>
  <c r="J120" i="1"/>
  <c r="J121" i="1"/>
  <c r="J122" i="1"/>
  <c r="J123" i="1"/>
  <c r="J124" i="1"/>
  <c r="J125" i="1"/>
  <c r="J126" i="1"/>
  <c r="O119" i="1"/>
  <c r="O120" i="1"/>
  <c r="O121" i="1"/>
  <c r="O122" i="1"/>
  <c r="O123" i="1"/>
  <c r="O124" i="1"/>
  <c r="O125" i="1"/>
  <c r="O126" i="1"/>
  <c r="W126" i="1"/>
  <c r="X126" i="1" s="1"/>
  <c r="Y119" i="1"/>
  <c r="Y120" i="1"/>
  <c r="Y121" i="1"/>
  <c r="Y122" i="1"/>
  <c r="Y123" i="1"/>
  <c r="Y124" i="1"/>
  <c r="Y125" i="1"/>
  <c r="Y126" i="1"/>
  <c r="Z119" i="1"/>
  <c r="Z120" i="1"/>
  <c r="Z121" i="1"/>
  <c r="Z122" i="1"/>
  <c r="Z123" i="1"/>
  <c r="Z124" i="1"/>
  <c r="Z125" i="1"/>
  <c r="Z126" i="1"/>
  <c r="AA119" i="1"/>
  <c r="AA120" i="1"/>
  <c r="AA121" i="1"/>
  <c r="AA122" i="1"/>
  <c r="AA123" i="1"/>
  <c r="AA124" i="1"/>
  <c r="AA125" i="1"/>
  <c r="AA126" i="1"/>
  <c r="AB119" i="1"/>
  <c r="AB120" i="1"/>
  <c r="AB121" i="1"/>
  <c r="AB122" i="1"/>
  <c r="AB123" i="1"/>
  <c r="AB124" i="1"/>
  <c r="AB125" i="1"/>
  <c r="AB126" i="1"/>
  <c r="AC119" i="1"/>
  <c r="T119" i="1" s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F119" i="1"/>
  <c r="AF120" i="1"/>
  <c r="AF121" i="1"/>
  <c r="AF122" i="1"/>
  <c r="AF123" i="1"/>
  <c r="AF124" i="1"/>
  <c r="AF125" i="1"/>
  <c r="AF126" i="1"/>
  <c r="O139" i="1" l="1"/>
  <c r="C116" i="1" l="1"/>
  <c r="C117" i="1"/>
  <c r="H116" i="1"/>
  <c r="H117" i="1"/>
  <c r="I117" i="1" s="1"/>
  <c r="I116" i="1"/>
  <c r="J116" i="1"/>
  <c r="J117" i="1"/>
  <c r="O116" i="1"/>
  <c r="O117" i="1"/>
  <c r="W116" i="1"/>
  <c r="X116" i="1" s="1"/>
  <c r="Y116" i="1"/>
  <c r="AA116" i="1" s="1"/>
  <c r="Y117" i="1"/>
  <c r="Z117" i="1" s="1"/>
  <c r="Z116" i="1"/>
  <c r="AB116" i="1"/>
  <c r="AC116" i="1"/>
  <c r="T116" i="1" s="1"/>
  <c r="AF116" i="1"/>
  <c r="AF117" i="1"/>
  <c r="AA117" i="1" l="1"/>
  <c r="AB117" i="1" s="1"/>
  <c r="AC117" i="1" s="1"/>
  <c r="T117" i="1" s="1"/>
  <c r="B116" i="1"/>
  <c r="G116" i="1" s="1"/>
  <c r="A116" i="1" s="1"/>
  <c r="AD116" i="1" s="1"/>
  <c r="E31" i="3"/>
  <c r="E30" i="3" l="1"/>
  <c r="C106" i="1" l="1"/>
  <c r="H106" i="1"/>
  <c r="J106" i="1"/>
  <c r="O106" i="1"/>
  <c r="W106" i="1"/>
  <c r="X106" i="1" s="1"/>
  <c r="Y106" i="1"/>
  <c r="Z106" i="1" s="1"/>
  <c r="AB106" i="1"/>
  <c r="AC106" i="1"/>
  <c r="T106" i="1" s="1"/>
  <c r="AF106" i="1"/>
  <c r="B106" i="1" l="1"/>
  <c r="G106" i="1" s="1"/>
  <c r="A106" i="1" s="1"/>
  <c r="AD106" i="1" s="1"/>
  <c r="AA106" i="1"/>
  <c r="I106" i="1"/>
  <c r="C12" i="1"/>
  <c r="C13" i="1"/>
  <c r="H12" i="1"/>
  <c r="H13" i="1"/>
  <c r="I12" i="1"/>
  <c r="I13" i="1"/>
  <c r="J12" i="1"/>
  <c r="J13" i="1"/>
  <c r="O12" i="1"/>
  <c r="O13" i="1"/>
  <c r="W12" i="1"/>
  <c r="X12" i="1" s="1"/>
  <c r="W13" i="1"/>
  <c r="X13" i="1" s="1"/>
  <c r="Y12" i="1"/>
  <c r="Y13" i="1"/>
  <c r="Z13" i="1" s="1"/>
  <c r="Z12" i="1"/>
  <c r="AA12" i="1"/>
  <c r="AA13" i="1"/>
  <c r="AB12" i="1"/>
  <c r="AB13" i="1"/>
  <c r="AC12" i="1"/>
  <c r="T12" i="1" s="1"/>
  <c r="AC13" i="1"/>
  <c r="T13" i="1" s="1"/>
  <c r="AF12" i="1"/>
  <c r="AF13" i="1"/>
  <c r="B13" i="1" l="1"/>
  <c r="G13" i="1" s="1"/>
  <c r="A13" i="1" s="1"/>
  <c r="AD13" i="1" s="1"/>
  <c r="B12" i="1"/>
  <c r="G12" i="1" s="1"/>
  <c r="A12" i="1" s="1"/>
  <c r="AD12" i="1" s="1"/>
  <c r="AH50" i="1"/>
  <c r="O141" i="1" l="1"/>
  <c r="O14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8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3" i="1"/>
  <c r="O194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58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H63" i="1" l="1"/>
  <c r="C64" i="1"/>
  <c r="C65" i="1"/>
  <c r="C66" i="1"/>
  <c r="C67" i="1"/>
  <c r="C68" i="1"/>
  <c r="C69" i="1"/>
  <c r="H64" i="1"/>
  <c r="H65" i="1"/>
  <c r="H66" i="1"/>
  <c r="H67" i="1"/>
  <c r="H68" i="1"/>
  <c r="H69" i="1"/>
  <c r="I69" i="1" s="1"/>
  <c r="I64" i="1"/>
  <c r="I65" i="1"/>
  <c r="I66" i="1"/>
  <c r="I67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F64" i="1"/>
  <c r="AF65" i="1"/>
  <c r="AF66" i="1"/>
  <c r="AF67" i="1"/>
  <c r="AF68" i="1"/>
  <c r="AF69" i="1"/>
  <c r="C70" i="1"/>
  <c r="H70" i="1"/>
  <c r="Y70" i="1"/>
  <c r="Z70" i="1" s="1"/>
  <c r="AF70" i="1"/>
  <c r="C71" i="1"/>
  <c r="H71" i="1"/>
  <c r="J71" i="1"/>
  <c r="Y71" i="1"/>
  <c r="Z71" i="1" s="1"/>
  <c r="AF71" i="1"/>
  <c r="C72" i="1"/>
  <c r="H72" i="1"/>
  <c r="J72" i="1"/>
  <c r="I71" i="1" l="1"/>
  <c r="B71" i="1"/>
  <c r="B68" i="1"/>
  <c r="G68" i="1" s="1"/>
  <c r="A68" i="1" s="1"/>
  <c r="AD68" i="1" s="1"/>
  <c r="B66" i="1"/>
  <c r="G66" i="1" s="1"/>
  <c r="A66" i="1" s="1"/>
  <c r="AD66" i="1" s="1"/>
  <c r="B64" i="1"/>
  <c r="G64" i="1" s="1"/>
  <c r="A64" i="1" s="1"/>
  <c r="AD64" i="1" s="1"/>
  <c r="I72" i="1"/>
  <c r="B72" i="1"/>
  <c r="G72" i="1" s="1"/>
  <c r="A72" i="1" s="1"/>
  <c r="AD72" i="1" s="1"/>
  <c r="B69" i="1"/>
  <c r="G69" i="1" s="1"/>
  <c r="A69" i="1" s="1"/>
  <c r="AD69" i="1" s="1"/>
  <c r="B67" i="1"/>
  <c r="G67" i="1" s="1"/>
  <c r="A67" i="1" s="1"/>
  <c r="AD67" i="1" s="1"/>
  <c r="I68" i="1"/>
  <c r="I70" i="1"/>
  <c r="AA70" i="1"/>
  <c r="AB70" i="1" s="1"/>
  <c r="AC70" i="1" s="1"/>
  <c r="T70" i="1" s="1"/>
  <c r="AA71" i="1"/>
  <c r="AB71" i="1" s="1"/>
  <c r="AC71" i="1" s="1"/>
  <c r="T71" i="1" s="1"/>
  <c r="Y72" i="1"/>
  <c r="Z72" i="1" s="1"/>
  <c r="AF72" i="1"/>
  <c r="C73" i="1"/>
  <c r="H73" i="1"/>
  <c r="J73" i="1"/>
  <c r="Y73" i="1"/>
  <c r="Z73" i="1" s="1"/>
  <c r="AF73" i="1"/>
  <c r="B73" i="1" l="1"/>
  <c r="G73" i="1" s="1"/>
  <c r="A73" i="1" s="1"/>
  <c r="AA73" i="1"/>
  <c r="AB73" i="1" s="1"/>
  <c r="AC73" i="1" s="1"/>
  <c r="T73" i="1" s="1"/>
  <c r="I73" i="1"/>
  <c r="AA72" i="1"/>
  <c r="AB72" i="1" s="1"/>
  <c r="AC72" i="1" s="1"/>
  <c r="T72" i="1" s="1"/>
  <c r="C74" i="1"/>
  <c r="H74" i="1"/>
  <c r="J74" i="1"/>
  <c r="Y74" i="1"/>
  <c r="Z74" i="1" s="1"/>
  <c r="AF74" i="1"/>
  <c r="C75" i="1"/>
  <c r="H75" i="1"/>
  <c r="J75" i="1"/>
  <c r="Y75" i="1"/>
  <c r="Z75" i="1" s="1"/>
  <c r="AF75" i="1"/>
  <c r="I74" i="1" l="1"/>
  <c r="B74" i="1"/>
  <c r="I75" i="1"/>
  <c r="B75" i="1"/>
  <c r="G75" i="1" s="1"/>
  <c r="A75" i="1" s="1"/>
  <c r="AD75" i="1" s="1"/>
  <c r="AD73" i="1"/>
  <c r="AA74" i="1"/>
  <c r="AB74" i="1" s="1"/>
  <c r="AC74" i="1" s="1"/>
  <c r="T74" i="1" s="1"/>
  <c r="AA75" i="1"/>
  <c r="AB75" i="1" s="1"/>
  <c r="AC75" i="1" s="1"/>
  <c r="T75" i="1" s="1"/>
  <c r="C59" i="1" l="1"/>
  <c r="C60" i="1"/>
  <c r="C61" i="1"/>
  <c r="H59" i="1"/>
  <c r="H60" i="1"/>
  <c r="H61" i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1" i="1" s="1"/>
  <c r="AB60" i="1"/>
  <c r="AC60" i="1" s="1"/>
  <c r="T60" i="1" s="1"/>
  <c r="AF59" i="1"/>
  <c r="AF60" i="1"/>
  <c r="AF61" i="1"/>
  <c r="B61" i="1" l="1"/>
  <c r="G61" i="1" s="1"/>
  <c r="A61" i="1" s="1"/>
  <c r="B59" i="1"/>
  <c r="G59" i="1" s="1"/>
  <c r="A59" i="1" s="1"/>
  <c r="AD59" i="1" s="1"/>
  <c r="B60" i="1"/>
  <c r="G60" i="1" s="1"/>
  <c r="A60" i="1" s="1"/>
  <c r="AD60" i="1" s="1"/>
  <c r="AC61" i="1"/>
  <c r="T61" i="1" s="1"/>
  <c r="I61" i="1"/>
  <c r="I59" i="1"/>
  <c r="AB59" i="1"/>
  <c r="AC59" i="1" s="1"/>
  <c r="T59" i="1" s="1"/>
  <c r="I60" i="1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5" i="1"/>
  <c r="J70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O3" i="4"/>
  <c r="H3" i="4"/>
  <c r="X3" i="4" s="1"/>
  <c r="AF331" i="1"/>
  <c r="AC331" i="1"/>
  <c r="T331" i="1" s="1"/>
  <c r="AB331" i="1"/>
  <c r="Y331" i="1"/>
  <c r="AA331" i="1" s="1"/>
  <c r="W331" i="1"/>
  <c r="X331" i="1" s="1"/>
  <c r="J331" i="1"/>
  <c r="H331" i="1"/>
  <c r="C331" i="1"/>
  <c r="AF330" i="1"/>
  <c r="AC330" i="1"/>
  <c r="AB330" i="1"/>
  <c r="Y330" i="1"/>
  <c r="AA330" i="1" s="1"/>
  <c r="W330" i="1"/>
  <c r="X330" i="1" s="1"/>
  <c r="T330" i="1"/>
  <c r="J330" i="1"/>
  <c r="H330" i="1"/>
  <c r="B330" i="1" s="1"/>
  <c r="C330" i="1"/>
  <c r="AF329" i="1"/>
  <c r="AC329" i="1"/>
  <c r="AB329" i="1"/>
  <c r="Y329" i="1"/>
  <c r="AA329" i="1" s="1"/>
  <c r="W329" i="1"/>
  <c r="X329" i="1" s="1"/>
  <c r="T329" i="1"/>
  <c r="J329" i="1"/>
  <c r="H329" i="1"/>
  <c r="C329" i="1"/>
  <c r="AF328" i="1"/>
  <c r="AC328" i="1"/>
  <c r="AB328" i="1"/>
  <c r="Y328" i="1"/>
  <c r="AA328" i="1" s="1"/>
  <c r="W328" i="1"/>
  <c r="X328" i="1" s="1"/>
  <c r="T328" i="1"/>
  <c r="J328" i="1"/>
  <c r="H328" i="1"/>
  <c r="B328" i="1" s="1"/>
  <c r="C328" i="1"/>
  <c r="AF327" i="1"/>
  <c r="AC327" i="1"/>
  <c r="T327" i="1" s="1"/>
  <c r="AB327" i="1"/>
  <c r="Y327" i="1"/>
  <c r="AA327" i="1" s="1"/>
  <c r="W327" i="1"/>
  <c r="X327" i="1" s="1"/>
  <c r="J327" i="1"/>
  <c r="H327" i="1"/>
  <c r="B327" i="1" s="1"/>
  <c r="C327" i="1"/>
  <c r="AF326" i="1"/>
  <c r="AC326" i="1"/>
  <c r="T326" i="1" s="1"/>
  <c r="AB326" i="1"/>
  <c r="Y326" i="1"/>
  <c r="AA326" i="1" s="1"/>
  <c r="W326" i="1"/>
  <c r="X326" i="1" s="1"/>
  <c r="J326" i="1"/>
  <c r="H326" i="1"/>
  <c r="B326" i="1" s="1"/>
  <c r="C326" i="1"/>
  <c r="AF325" i="1"/>
  <c r="AC325" i="1"/>
  <c r="T325" i="1" s="1"/>
  <c r="AB325" i="1"/>
  <c r="Y325" i="1"/>
  <c r="AA325" i="1" s="1"/>
  <c r="W325" i="1"/>
  <c r="X325" i="1" s="1"/>
  <c r="J325" i="1"/>
  <c r="H325" i="1"/>
  <c r="B325" i="1" s="1"/>
  <c r="C325" i="1"/>
  <c r="AF324" i="1"/>
  <c r="AC324" i="1"/>
  <c r="AB324" i="1"/>
  <c r="Y324" i="1"/>
  <c r="AA324" i="1" s="1"/>
  <c r="W324" i="1"/>
  <c r="X324" i="1" s="1"/>
  <c r="T324" i="1"/>
  <c r="J324" i="1"/>
  <c r="H324" i="1"/>
  <c r="B324" i="1" s="1"/>
  <c r="C324" i="1"/>
  <c r="AF323" i="1"/>
  <c r="AC323" i="1"/>
  <c r="AB323" i="1"/>
  <c r="Y323" i="1"/>
  <c r="AA323" i="1" s="1"/>
  <c r="W323" i="1"/>
  <c r="X323" i="1" s="1"/>
  <c r="T323" i="1"/>
  <c r="J323" i="1"/>
  <c r="H323" i="1"/>
  <c r="B323" i="1" s="1"/>
  <c r="C323" i="1"/>
  <c r="AF322" i="1"/>
  <c r="AC322" i="1"/>
  <c r="AB322" i="1"/>
  <c r="Y322" i="1"/>
  <c r="AA322" i="1" s="1"/>
  <c r="W322" i="1"/>
  <c r="X322" i="1" s="1"/>
  <c r="T322" i="1"/>
  <c r="J322" i="1"/>
  <c r="H322" i="1"/>
  <c r="B322" i="1" s="1"/>
  <c r="C322" i="1"/>
  <c r="AF321" i="1"/>
  <c r="AC321" i="1"/>
  <c r="AB321" i="1"/>
  <c r="Y321" i="1"/>
  <c r="AA321" i="1" s="1"/>
  <c r="W321" i="1"/>
  <c r="X321" i="1" s="1"/>
  <c r="T321" i="1"/>
  <c r="J321" i="1"/>
  <c r="H321" i="1"/>
  <c r="B321" i="1" s="1"/>
  <c r="C321" i="1"/>
  <c r="AF320" i="1"/>
  <c r="AC320" i="1"/>
  <c r="T320" i="1" s="1"/>
  <c r="AB320" i="1"/>
  <c r="Y320" i="1"/>
  <c r="AA320" i="1" s="1"/>
  <c r="W320" i="1"/>
  <c r="X320" i="1" s="1"/>
  <c r="J320" i="1"/>
  <c r="H320" i="1"/>
  <c r="B320" i="1" s="1"/>
  <c r="C320" i="1"/>
  <c r="AF319" i="1"/>
  <c r="AC319" i="1"/>
  <c r="T319" i="1" s="1"/>
  <c r="AB319" i="1"/>
  <c r="Y319" i="1"/>
  <c r="AA319" i="1" s="1"/>
  <c r="W319" i="1"/>
  <c r="X319" i="1" s="1"/>
  <c r="J319" i="1"/>
  <c r="H319" i="1"/>
  <c r="B319" i="1" s="1"/>
  <c r="C319" i="1"/>
  <c r="AF318" i="1"/>
  <c r="AC318" i="1"/>
  <c r="T318" i="1" s="1"/>
  <c r="AB318" i="1"/>
  <c r="Y318" i="1"/>
  <c r="AA318" i="1" s="1"/>
  <c r="W318" i="1"/>
  <c r="X318" i="1" s="1"/>
  <c r="J318" i="1"/>
  <c r="H318" i="1"/>
  <c r="B318" i="1" s="1"/>
  <c r="C318" i="1"/>
  <c r="AF317" i="1"/>
  <c r="AC317" i="1"/>
  <c r="T317" i="1" s="1"/>
  <c r="AB317" i="1"/>
  <c r="Y317" i="1"/>
  <c r="AA317" i="1" s="1"/>
  <c r="W317" i="1"/>
  <c r="X317" i="1" s="1"/>
  <c r="J317" i="1"/>
  <c r="H317" i="1"/>
  <c r="C317" i="1"/>
  <c r="AF316" i="1"/>
  <c r="AC316" i="1"/>
  <c r="AB316" i="1"/>
  <c r="Y316" i="1"/>
  <c r="AA316" i="1" s="1"/>
  <c r="W316" i="1"/>
  <c r="X316" i="1" s="1"/>
  <c r="T316" i="1"/>
  <c r="J316" i="1"/>
  <c r="H316" i="1"/>
  <c r="B316" i="1" s="1"/>
  <c r="C316" i="1"/>
  <c r="AF315" i="1"/>
  <c r="AC315" i="1"/>
  <c r="AB315" i="1"/>
  <c r="Y315" i="1"/>
  <c r="AA315" i="1" s="1"/>
  <c r="W315" i="1"/>
  <c r="X315" i="1" s="1"/>
  <c r="T315" i="1"/>
  <c r="J315" i="1"/>
  <c r="H315" i="1"/>
  <c r="B315" i="1" s="1"/>
  <c r="C315" i="1"/>
  <c r="AF314" i="1"/>
  <c r="AC314" i="1"/>
  <c r="AB314" i="1"/>
  <c r="Y314" i="1"/>
  <c r="AA314" i="1" s="1"/>
  <c r="W314" i="1"/>
  <c r="X314" i="1" s="1"/>
  <c r="T314" i="1"/>
  <c r="J314" i="1"/>
  <c r="H314" i="1"/>
  <c r="B314" i="1" s="1"/>
  <c r="C314" i="1"/>
  <c r="AF313" i="1"/>
  <c r="AC313" i="1"/>
  <c r="AB313" i="1"/>
  <c r="Y313" i="1"/>
  <c r="AA313" i="1" s="1"/>
  <c r="W313" i="1"/>
  <c r="X313" i="1" s="1"/>
  <c r="T313" i="1"/>
  <c r="J313" i="1"/>
  <c r="H313" i="1"/>
  <c r="B313" i="1" s="1"/>
  <c r="C313" i="1"/>
  <c r="AF312" i="1"/>
  <c r="AC312" i="1"/>
  <c r="T312" i="1" s="1"/>
  <c r="AB312" i="1"/>
  <c r="Y312" i="1"/>
  <c r="AA312" i="1" s="1"/>
  <c r="W312" i="1"/>
  <c r="X312" i="1" s="1"/>
  <c r="J312" i="1"/>
  <c r="H312" i="1"/>
  <c r="B312" i="1" s="1"/>
  <c r="C312" i="1"/>
  <c r="AF311" i="1"/>
  <c r="AC311" i="1"/>
  <c r="T311" i="1" s="1"/>
  <c r="AB311" i="1"/>
  <c r="Y311" i="1"/>
  <c r="AA311" i="1" s="1"/>
  <c r="W311" i="1"/>
  <c r="X311" i="1" s="1"/>
  <c r="J311" i="1"/>
  <c r="H311" i="1"/>
  <c r="B311" i="1" s="1"/>
  <c r="C311" i="1"/>
  <c r="AF310" i="1"/>
  <c r="AC310" i="1"/>
  <c r="T310" i="1" s="1"/>
  <c r="AB310" i="1"/>
  <c r="Y310" i="1"/>
  <c r="AA310" i="1" s="1"/>
  <c r="W310" i="1"/>
  <c r="X310" i="1" s="1"/>
  <c r="J310" i="1"/>
  <c r="H310" i="1"/>
  <c r="B310" i="1" s="1"/>
  <c r="C310" i="1"/>
  <c r="AF309" i="1"/>
  <c r="AC309" i="1"/>
  <c r="T309" i="1" s="1"/>
  <c r="AB309" i="1"/>
  <c r="Y309" i="1"/>
  <c r="AA309" i="1" s="1"/>
  <c r="W309" i="1"/>
  <c r="X309" i="1" s="1"/>
  <c r="J309" i="1"/>
  <c r="H309" i="1"/>
  <c r="B309" i="1" s="1"/>
  <c r="C309" i="1"/>
  <c r="AF308" i="1"/>
  <c r="AC308" i="1"/>
  <c r="AB308" i="1"/>
  <c r="Y308" i="1"/>
  <c r="AA308" i="1" s="1"/>
  <c r="W308" i="1"/>
  <c r="X308" i="1" s="1"/>
  <c r="T308" i="1"/>
  <c r="J308" i="1"/>
  <c r="H308" i="1"/>
  <c r="B308" i="1" s="1"/>
  <c r="C308" i="1"/>
  <c r="AF307" i="1"/>
  <c r="AC307" i="1"/>
  <c r="AB307" i="1"/>
  <c r="Y307" i="1"/>
  <c r="AA307" i="1" s="1"/>
  <c r="W307" i="1"/>
  <c r="X307" i="1" s="1"/>
  <c r="T307" i="1"/>
  <c r="J307" i="1"/>
  <c r="H307" i="1"/>
  <c r="B307" i="1" s="1"/>
  <c r="C307" i="1"/>
  <c r="AF306" i="1"/>
  <c r="AC306" i="1"/>
  <c r="AB306" i="1"/>
  <c r="Y306" i="1"/>
  <c r="AA306" i="1" s="1"/>
  <c r="W306" i="1"/>
  <c r="X306" i="1" s="1"/>
  <c r="T306" i="1"/>
  <c r="J306" i="1"/>
  <c r="H306" i="1"/>
  <c r="B306" i="1" s="1"/>
  <c r="C306" i="1"/>
  <c r="AF305" i="1"/>
  <c r="AC305" i="1"/>
  <c r="T305" i="1" s="1"/>
  <c r="AB305" i="1"/>
  <c r="Y305" i="1"/>
  <c r="AA305" i="1" s="1"/>
  <c r="W305" i="1"/>
  <c r="X305" i="1" s="1"/>
  <c r="J305" i="1"/>
  <c r="H305" i="1"/>
  <c r="C305" i="1"/>
  <c r="AF304" i="1"/>
  <c r="AC304" i="1"/>
  <c r="AB304" i="1"/>
  <c r="Y304" i="1"/>
  <c r="AA304" i="1" s="1"/>
  <c r="W304" i="1"/>
  <c r="X304" i="1" s="1"/>
  <c r="T304" i="1"/>
  <c r="J304" i="1"/>
  <c r="H304" i="1"/>
  <c r="B304" i="1" s="1"/>
  <c r="C304" i="1"/>
  <c r="AF303" i="1"/>
  <c r="AC303" i="1"/>
  <c r="T303" i="1" s="1"/>
  <c r="AB303" i="1"/>
  <c r="Y303" i="1"/>
  <c r="AA303" i="1" s="1"/>
  <c r="W303" i="1"/>
  <c r="X303" i="1" s="1"/>
  <c r="J303" i="1"/>
  <c r="H303" i="1"/>
  <c r="B303" i="1" s="1"/>
  <c r="C303" i="1"/>
  <c r="AF302" i="1"/>
  <c r="AC302" i="1"/>
  <c r="T302" i="1" s="1"/>
  <c r="AB302" i="1"/>
  <c r="Y302" i="1"/>
  <c r="AA302" i="1" s="1"/>
  <c r="W302" i="1"/>
  <c r="X302" i="1" s="1"/>
  <c r="J302" i="1"/>
  <c r="H302" i="1"/>
  <c r="B302" i="1" s="1"/>
  <c r="C302" i="1"/>
  <c r="AF301" i="1"/>
  <c r="AC301" i="1"/>
  <c r="T301" i="1" s="1"/>
  <c r="AB301" i="1"/>
  <c r="Y301" i="1"/>
  <c r="AA301" i="1" s="1"/>
  <c r="W301" i="1"/>
  <c r="X301" i="1" s="1"/>
  <c r="J301" i="1"/>
  <c r="H301" i="1"/>
  <c r="B301" i="1" s="1"/>
  <c r="C301" i="1"/>
  <c r="AF300" i="1"/>
  <c r="AC300" i="1"/>
  <c r="AB300" i="1"/>
  <c r="Y300" i="1"/>
  <c r="AA300" i="1" s="1"/>
  <c r="W300" i="1"/>
  <c r="X300" i="1" s="1"/>
  <c r="T300" i="1"/>
  <c r="J300" i="1"/>
  <c r="H300" i="1"/>
  <c r="B300" i="1" s="1"/>
  <c r="C300" i="1"/>
  <c r="AF299" i="1"/>
  <c r="AC299" i="1"/>
  <c r="AB299" i="1"/>
  <c r="Y299" i="1"/>
  <c r="AA299" i="1" s="1"/>
  <c r="W299" i="1"/>
  <c r="X299" i="1" s="1"/>
  <c r="T299" i="1"/>
  <c r="J299" i="1"/>
  <c r="H299" i="1"/>
  <c r="B299" i="1" s="1"/>
  <c r="C299" i="1"/>
  <c r="AF298" i="1"/>
  <c r="AC298" i="1"/>
  <c r="AB298" i="1"/>
  <c r="Y298" i="1"/>
  <c r="AA298" i="1" s="1"/>
  <c r="W298" i="1"/>
  <c r="X298" i="1" s="1"/>
  <c r="T298" i="1"/>
  <c r="J298" i="1"/>
  <c r="H298" i="1"/>
  <c r="B298" i="1" s="1"/>
  <c r="C298" i="1"/>
  <c r="AF297" i="1"/>
  <c r="AC297" i="1"/>
  <c r="AB297" i="1"/>
  <c r="Y297" i="1"/>
  <c r="AA297" i="1" s="1"/>
  <c r="W297" i="1"/>
  <c r="X297" i="1" s="1"/>
  <c r="T297" i="1"/>
  <c r="J297" i="1"/>
  <c r="H297" i="1"/>
  <c r="B297" i="1" s="1"/>
  <c r="C297" i="1"/>
  <c r="AF296" i="1"/>
  <c r="AC296" i="1"/>
  <c r="AB296" i="1"/>
  <c r="Y296" i="1"/>
  <c r="AA296" i="1" s="1"/>
  <c r="W296" i="1"/>
  <c r="X296" i="1" s="1"/>
  <c r="T296" i="1"/>
  <c r="J296" i="1"/>
  <c r="H296" i="1"/>
  <c r="B296" i="1" s="1"/>
  <c r="C296" i="1"/>
  <c r="AF295" i="1"/>
  <c r="AC295" i="1"/>
  <c r="AB295" i="1"/>
  <c r="Y295" i="1"/>
  <c r="AA295" i="1" s="1"/>
  <c r="W295" i="1"/>
  <c r="X295" i="1" s="1"/>
  <c r="T295" i="1"/>
  <c r="J295" i="1"/>
  <c r="H295" i="1"/>
  <c r="B295" i="1" s="1"/>
  <c r="C295" i="1"/>
  <c r="AF294" i="1"/>
  <c r="AC294" i="1"/>
  <c r="AB294" i="1"/>
  <c r="Y294" i="1"/>
  <c r="AA294" i="1" s="1"/>
  <c r="W294" i="1"/>
  <c r="X294" i="1" s="1"/>
  <c r="T294" i="1"/>
  <c r="J294" i="1"/>
  <c r="H294" i="1"/>
  <c r="B294" i="1" s="1"/>
  <c r="C294" i="1"/>
  <c r="AF293" i="1"/>
  <c r="AC293" i="1"/>
  <c r="AB293" i="1"/>
  <c r="Y293" i="1"/>
  <c r="AA293" i="1" s="1"/>
  <c r="W293" i="1"/>
  <c r="X293" i="1" s="1"/>
  <c r="T293" i="1"/>
  <c r="J293" i="1"/>
  <c r="H293" i="1"/>
  <c r="B293" i="1" s="1"/>
  <c r="C293" i="1"/>
  <c r="AF292" i="1"/>
  <c r="AC292" i="1"/>
  <c r="T292" i="1" s="1"/>
  <c r="AB292" i="1"/>
  <c r="Y292" i="1"/>
  <c r="AA292" i="1" s="1"/>
  <c r="W292" i="1"/>
  <c r="X292" i="1" s="1"/>
  <c r="J292" i="1"/>
  <c r="H292" i="1"/>
  <c r="B292" i="1" s="1"/>
  <c r="C292" i="1"/>
  <c r="AF291" i="1"/>
  <c r="AC291" i="1"/>
  <c r="T291" i="1" s="1"/>
  <c r="AB291" i="1"/>
  <c r="Y291" i="1"/>
  <c r="AA291" i="1" s="1"/>
  <c r="W291" i="1"/>
  <c r="X291" i="1" s="1"/>
  <c r="J291" i="1"/>
  <c r="H291" i="1"/>
  <c r="B291" i="1" s="1"/>
  <c r="C291" i="1"/>
  <c r="AF290" i="1"/>
  <c r="AC290" i="1"/>
  <c r="T290" i="1" s="1"/>
  <c r="AB290" i="1"/>
  <c r="Y290" i="1"/>
  <c r="AA290" i="1" s="1"/>
  <c r="W290" i="1"/>
  <c r="X290" i="1" s="1"/>
  <c r="J290" i="1"/>
  <c r="H290" i="1"/>
  <c r="B290" i="1" s="1"/>
  <c r="C290" i="1"/>
  <c r="AF289" i="1"/>
  <c r="AC289" i="1"/>
  <c r="T289" i="1" s="1"/>
  <c r="AB289" i="1"/>
  <c r="Y289" i="1"/>
  <c r="AA289" i="1" s="1"/>
  <c r="W289" i="1"/>
  <c r="X289" i="1" s="1"/>
  <c r="J289" i="1"/>
  <c r="H289" i="1"/>
  <c r="C289" i="1"/>
  <c r="AF288" i="1"/>
  <c r="AC288" i="1"/>
  <c r="AB288" i="1"/>
  <c r="Y288" i="1"/>
  <c r="AA288" i="1" s="1"/>
  <c r="W288" i="1"/>
  <c r="X288" i="1" s="1"/>
  <c r="T288" i="1"/>
  <c r="J288" i="1"/>
  <c r="H288" i="1"/>
  <c r="B288" i="1" s="1"/>
  <c r="C288" i="1"/>
  <c r="AF287" i="1"/>
  <c r="AC287" i="1"/>
  <c r="T287" i="1" s="1"/>
  <c r="AB287" i="1"/>
  <c r="Y287" i="1"/>
  <c r="AA287" i="1" s="1"/>
  <c r="W287" i="1"/>
  <c r="X287" i="1" s="1"/>
  <c r="J287" i="1"/>
  <c r="H287" i="1"/>
  <c r="B287" i="1" s="1"/>
  <c r="C287" i="1"/>
  <c r="AF286" i="1"/>
  <c r="AC286" i="1"/>
  <c r="T286" i="1" s="1"/>
  <c r="AB286" i="1"/>
  <c r="Y286" i="1"/>
  <c r="AA286" i="1" s="1"/>
  <c r="W286" i="1"/>
  <c r="X286" i="1" s="1"/>
  <c r="J286" i="1"/>
  <c r="H286" i="1"/>
  <c r="B286" i="1" s="1"/>
  <c r="C286" i="1"/>
  <c r="AF285" i="1"/>
  <c r="AC285" i="1"/>
  <c r="T285" i="1" s="1"/>
  <c r="AB285" i="1"/>
  <c r="Y285" i="1"/>
  <c r="AA285" i="1" s="1"/>
  <c r="W285" i="1"/>
  <c r="X285" i="1" s="1"/>
  <c r="J285" i="1"/>
  <c r="H285" i="1"/>
  <c r="B285" i="1" s="1"/>
  <c r="C285" i="1"/>
  <c r="AF284" i="1"/>
  <c r="AC284" i="1"/>
  <c r="AB284" i="1"/>
  <c r="Y284" i="1"/>
  <c r="AA284" i="1" s="1"/>
  <c r="W284" i="1"/>
  <c r="X284" i="1" s="1"/>
  <c r="T284" i="1"/>
  <c r="J284" i="1"/>
  <c r="H284" i="1"/>
  <c r="B284" i="1" s="1"/>
  <c r="C284" i="1"/>
  <c r="AF283" i="1"/>
  <c r="AC283" i="1"/>
  <c r="AB283" i="1"/>
  <c r="Y283" i="1"/>
  <c r="AA283" i="1" s="1"/>
  <c r="W283" i="1"/>
  <c r="X283" i="1" s="1"/>
  <c r="T283" i="1"/>
  <c r="J283" i="1"/>
  <c r="H283" i="1"/>
  <c r="B283" i="1" s="1"/>
  <c r="C283" i="1"/>
  <c r="AF282" i="1"/>
  <c r="AC282" i="1"/>
  <c r="AB282" i="1"/>
  <c r="Y282" i="1"/>
  <c r="AA282" i="1" s="1"/>
  <c r="W282" i="1"/>
  <c r="X282" i="1" s="1"/>
  <c r="T282" i="1"/>
  <c r="J282" i="1"/>
  <c r="H282" i="1"/>
  <c r="B282" i="1" s="1"/>
  <c r="C282" i="1"/>
  <c r="AF281" i="1"/>
  <c r="AC281" i="1"/>
  <c r="AB281" i="1"/>
  <c r="Y281" i="1"/>
  <c r="AA281" i="1" s="1"/>
  <c r="W281" i="1"/>
  <c r="X281" i="1" s="1"/>
  <c r="T281" i="1"/>
  <c r="J281" i="1"/>
  <c r="H281" i="1"/>
  <c r="B281" i="1" s="1"/>
  <c r="C281" i="1"/>
  <c r="AF280" i="1"/>
  <c r="AC280" i="1"/>
  <c r="T280" i="1" s="1"/>
  <c r="AB280" i="1"/>
  <c r="Y280" i="1"/>
  <c r="AA280" i="1" s="1"/>
  <c r="W280" i="1"/>
  <c r="X280" i="1" s="1"/>
  <c r="J280" i="1"/>
  <c r="H280" i="1"/>
  <c r="B280" i="1" s="1"/>
  <c r="C280" i="1"/>
  <c r="AF279" i="1"/>
  <c r="AC279" i="1"/>
  <c r="T279" i="1" s="1"/>
  <c r="AB279" i="1"/>
  <c r="Y279" i="1"/>
  <c r="AA279" i="1" s="1"/>
  <c r="W279" i="1"/>
  <c r="X279" i="1" s="1"/>
  <c r="J279" i="1"/>
  <c r="H279" i="1"/>
  <c r="B279" i="1" s="1"/>
  <c r="C279" i="1"/>
  <c r="AF278" i="1"/>
  <c r="AC278" i="1"/>
  <c r="T278" i="1" s="1"/>
  <c r="AB278" i="1"/>
  <c r="Y278" i="1"/>
  <c r="AA278" i="1" s="1"/>
  <c r="W278" i="1"/>
  <c r="X278" i="1" s="1"/>
  <c r="J278" i="1"/>
  <c r="H278" i="1"/>
  <c r="B278" i="1" s="1"/>
  <c r="C278" i="1"/>
  <c r="AF277" i="1"/>
  <c r="AC277" i="1"/>
  <c r="T277" i="1" s="1"/>
  <c r="AB277" i="1"/>
  <c r="Y277" i="1"/>
  <c r="AA277" i="1" s="1"/>
  <c r="W277" i="1"/>
  <c r="X277" i="1" s="1"/>
  <c r="J277" i="1"/>
  <c r="H277" i="1"/>
  <c r="C277" i="1"/>
  <c r="AF276" i="1"/>
  <c r="AC276" i="1"/>
  <c r="AB276" i="1"/>
  <c r="Y276" i="1"/>
  <c r="AA276" i="1" s="1"/>
  <c r="W276" i="1"/>
  <c r="X276" i="1" s="1"/>
  <c r="T276" i="1"/>
  <c r="J276" i="1"/>
  <c r="H276" i="1"/>
  <c r="B276" i="1" s="1"/>
  <c r="C276" i="1"/>
  <c r="AF275" i="1"/>
  <c r="Y275" i="1"/>
  <c r="AA275" i="1" s="1"/>
  <c r="J275" i="1"/>
  <c r="H275" i="1"/>
  <c r="B275" i="1" s="1"/>
  <c r="C275" i="1"/>
  <c r="AF274" i="1"/>
  <c r="Y274" i="1"/>
  <c r="AA274" i="1" s="1"/>
  <c r="J274" i="1"/>
  <c r="H274" i="1"/>
  <c r="B274" i="1" s="1"/>
  <c r="C274" i="1"/>
  <c r="AF273" i="1"/>
  <c r="Y273" i="1"/>
  <c r="AA273" i="1" s="1"/>
  <c r="W273" i="1"/>
  <c r="J273" i="1"/>
  <c r="H273" i="1"/>
  <c r="AF272" i="1"/>
  <c r="AC272" i="1"/>
  <c r="T272" i="1" s="1"/>
  <c r="AB272" i="1"/>
  <c r="Y272" i="1"/>
  <c r="AA272" i="1" s="1"/>
  <c r="W272" i="1"/>
  <c r="X272" i="1" s="1"/>
  <c r="J272" i="1"/>
  <c r="H272" i="1"/>
  <c r="B272" i="1" s="1"/>
  <c r="C272" i="1"/>
  <c r="AF271" i="1"/>
  <c r="Y271" i="1"/>
  <c r="AA271" i="1" s="1"/>
  <c r="J271" i="1"/>
  <c r="H271" i="1"/>
  <c r="AF258" i="1"/>
  <c r="AC258" i="1"/>
  <c r="T258" i="1" s="1"/>
  <c r="AB258" i="1"/>
  <c r="Y258" i="1"/>
  <c r="AA258" i="1" s="1"/>
  <c r="W258" i="1"/>
  <c r="X258" i="1" s="1"/>
  <c r="J258" i="1"/>
  <c r="H258" i="1"/>
  <c r="B258" i="1" s="1"/>
  <c r="C258" i="1"/>
  <c r="AF246" i="1"/>
  <c r="Y246" i="1"/>
  <c r="AA246" i="1" s="1"/>
  <c r="J246" i="1"/>
  <c r="H246" i="1"/>
  <c r="B246" i="1" s="1"/>
  <c r="C246" i="1"/>
  <c r="AF245" i="1"/>
  <c r="Y245" i="1"/>
  <c r="AA245" i="1" s="1"/>
  <c r="J245" i="1"/>
  <c r="H245" i="1"/>
  <c r="B245" i="1" s="1"/>
  <c r="C245" i="1"/>
  <c r="AF244" i="1"/>
  <c r="Y244" i="1"/>
  <c r="AA244" i="1" s="1"/>
  <c r="J244" i="1"/>
  <c r="H244" i="1"/>
  <c r="C244" i="1"/>
  <c r="AF243" i="1"/>
  <c r="AC243" i="1"/>
  <c r="AB243" i="1"/>
  <c r="Y243" i="1"/>
  <c r="AA243" i="1" s="1"/>
  <c r="W243" i="1"/>
  <c r="X243" i="1" s="1"/>
  <c r="T243" i="1"/>
  <c r="J243" i="1"/>
  <c r="H243" i="1"/>
  <c r="B243" i="1" s="1"/>
  <c r="C243" i="1"/>
  <c r="AF242" i="1"/>
  <c r="Y242" i="1"/>
  <c r="AA242" i="1" s="1"/>
  <c r="J242" i="1"/>
  <c r="H242" i="1"/>
  <c r="C242" i="1"/>
  <c r="AF241" i="1"/>
  <c r="AC241" i="1"/>
  <c r="T241" i="1" s="1"/>
  <c r="AB241" i="1"/>
  <c r="Y241" i="1"/>
  <c r="AA241" i="1" s="1"/>
  <c r="W241" i="1"/>
  <c r="X241" i="1" s="1"/>
  <c r="J241" i="1"/>
  <c r="H241" i="1"/>
  <c r="B241" i="1" s="1"/>
  <c r="C241" i="1"/>
  <c r="AF240" i="1"/>
  <c r="Y240" i="1"/>
  <c r="AA240" i="1" s="1"/>
  <c r="J240" i="1"/>
  <c r="H240" i="1"/>
  <c r="C240" i="1"/>
  <c r="AF239" i="1"/>
  <c r="AC239" i="1"/>
  <c r="T239" i="1" s="1"/>
  <c r="AB239" i="1"/>
  <c r="Y239" i="1"/>
  <c r="AA239" i="1" s="1"/>
  <c r="W239" i="1"/>
  <c r="X239" i="1" s="1"/>
  <c r="J239" i="1"/>
  <c r="H239" i="1"/>
  <c r="B239" i="1" s="1"/>
  <c r="C239" i="1"/>
  <c r="AF238" i="1"/>
  <c r="Y238" i="1"/>
  <c r="AA238" i="1" s="1"/>
  <c r="J238" i="1"/>
  <c r="H238" i="1"/>
  <c r="C238" i="1"/>
  <c r="AF237" i="1"/>
  <c r="Y237" i="1"/>
  <c r="AA237" i="1" s="1"/>
  <c r="J237" i="1"/>
  <c r="H237" i="1"/>
  <c r="C237" i="1"/>
  <c r="AF236" i="1"/>
  <c r="AC236" i="1"/>
  <c r="AB236" i="1"/>
  <c r="Y236" i="1"/>
  <c r="AA236" i="1" s="1"/>
  <c r="W236" i="1"/>
  <c r="X236" i="1" s="1"/>
  <c r="T236" i="1"/>
  <c r="J236" i="1"/>
  <c r="H236" i="1"/>
  <c r="B236" i="1" s="1"/>
  <c r="C236" i="1"/>
  <c r="AF235" i="1"/>
  <c r="Y235" i="1"/>
  <c r="AA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B234" i="1" s="1"/>
  <c r="C234" i="1"/>
  <c r="AF233" i="1"/>
  <c r="Y233" i="1"/>
  <c r="AA233" i="1" s="1"/>
  <c r="J233" i="1"/>
  <c r="H233" i="1"/>
  <c r="B233" i="1" s="1"/>
  <c r="C233" i="1"/>
  <c r="AF232" i="1"/>
  <c r="Y232" i="1"/>
  <c r="AA232" i="1" s="1"/>
  <c r="J232" i="1"/>
  <c r="H232" i="1"/>
  <c r="C232" i="1"/>
  <c r="AF231" i="1"/>
  <c r="AC231" i="1"/>
  <c r="T231" i="1" s="1"/>
  <c r="AB231" i="1"/>
  <c r="Y231" i="1"/>
  <c r="AA231" i="1" s="1"/>
  <c r="W231" i="1"/>
  <c r="X231" i="1" s="1"/>
  <c r="J231" i="1"/>
  <c r="H231" i="1"/>
  <c r="B231" i="1" s="1"/>
  <c r="C231" i="1"/>
  <c r="AF230" i="1"/>
  <c r="Y230" i="1"/>
  <c r="AA230" i="1" s="1"/>
  <c r="J230" i="1"/>
  <c r="H230" i="1"/>
  <c r="B230" i="1" s="1"/>
  <c r="C230" i="1"/>
  <c r="AF229" i="1"/>
  <c r="Y229" i="1"/>
  <c r="AA229" i="1" s="1"/>
  <c r="J229" i="1"/>
  <c r="H229" i="1"/>
  <c r="C229" i="1"/>
  <c r="AF222" i="1"/>
  <c r="Y222" i="1"/>
  <c r="AA222" i="1" s="1"/>
  <c r="J222" i="1"/>
  <c r="H222" i="1"/>
  <c r="C222" i="1"/>
  <c r="AF221" i="1"/>
  <c r="AC221" i="1"/>
  <c r="AB221" i="1"/>
  <c r="Y221" i="1"/>
  <c r="AA221" i="1" s="1"/>
  <c r="W221" i="1"/>
  <c r="X221" i="1" s="1"/>
  <c r="T221" i="1"/>
  <c r="J221" i="1"/>
  <c r="H221" i="1"/>
  <c r="B221" i="1" s="1"/>
  <c r="C221" i="1"/>
  <c r="AF220" i="1"/>
  <c r="Y220" i="1"/>
  <c r="AA220" i="1" s="1"/>
  <c r="J220" i="1"/>
  <c r="H220" i="1"/>
  <c r="B220" i="1" s="1"/>
  <c r="C220" i="1"/>
  <c r="AF219" i="1"/>
  <c r="Y219" i="1"/>
  <c r="J219" i="1"/>
  <c r="H219" i="1"/>
  <c r="C219" i="1"/>
  <c r="AF218" i="1"/>
  <c r="AC218" i="1"/>
  <c r="T218" i="1" s="1"/>
  <c r="AB218" i="1"/>
  <c r="Y218" i="1"/>
  <c r="Z218" i="1" s="1"/>
  <c r="W218" i="1"/>
  <c r="X218" i="1" s="1"/>
  <c r="J218" i="1"/>
  <c r="H218" i="1"/>
  <c r="B218" i="1" s="1"/>
  <c r="C218" i="1"/>
  <c r="AF217" i="1"/>
  <c r="Y217" i="1"/>
  <c r="Z217" i="1" s="1"/>
  <c r="J217" i="1"/>
  <c r="H217" i="1"/>
  <c r="B217" i="1" s="1"/>
  <c r="C217" i="1"/>
  <c r="AF216" i="1"/>
  <c r="Y216" i="1"/>
  <c r="Z216" i="1" s="1"/>
  <c r="J216" i="1"/>
  <c r="H216" i="1"/>
  <c r="C216" i="1"/>
  <c r="AF215" i="1"/>
  <c r="AC215" i="1"/>
  <c r="T215" i="1" s="1"/>
  <c r="AB215" i="1"/>
  <c r="Y215" i="1"/>
  <c r="Z215" i="1" s="1"/>
  <c r="W215" i="1"/>
  <c r="X215" i="1" s="1"/>
  <c r="J215" i="1"/>
  <c r="H215" i="1"/>
  <c r="B215" i="1" s="1"/>
  <c r="C215" i="1"/>
  <c r="AF214" i="1"/>
  <c r="Y214" i="1"/>
  <c r="J214" i="1"/>
  <c r="H214" i="1"/>
  <c r="C214" i="1"/>
  <c r="AF213" i="1"/>
  <c r="AC213" i="1"/>
  <c r="T213" i="1" s="1"/>
  <c r="AB213" i="1"/>
  <c r="Y213" i="1"/>
  <c r="Z213" i="1" s="1"/>
  <c r="W213" i="1"/>
  <c r="X213" i="1" s="1"/>
  <c r="J213" i="1"/>
  <c r="H213" i="1"/>
  <c r="B213" i="1" s="1"/>
  <c r="C213" i="1"/>
  <c r="AF212" i="1"/>
  <c r="Y212" i="1"/>
  <c r="J212" i="1"/>
  <c r="H212" i="1"/>
  <c r="B212" i="1" s="1"/>
  <c r="C212" i="1"/>
  <c r="AF211" i="1"/>
  <c r="Y211" i="1"/>
  <c r="Z211" i="1" s="1"/>
  <c r="J211" i="1"/>
  <c r="H211" i="1"/>
  <c r="B211" i="1" s="1"/>
  <c r="C211" i="1"/>
  <c r="AF210" i="1"/>
  <c r="Y210" i="1"/>
  <c r="J210" i="1"/>
  <c r="H210" i="1"/>
  <c r="B210" i="1" s="1"/>
  <c r="C210" i="1"/>
  <c r="AF209" i="1"/>
  <c r="Y209" i="1"/>
  <c r="Z209" i="1" s="1"/>
  <c r="J209" i="1"/>
  <c r="H209" i="1"/>
  <c r="B209" i="1" s="1"/>
  <c r="C209" i="1"/>
  <c r="AF208" i="1"/>
  <c r="Y208" i="1"/>
  <c r="Z208" i="1" s="1"/>
  <c r="J208" i="1"/>
  <c r="H208" i="1"/>
  <c r="B208" i="1" s="1"/>
  <c r="C208" i="1"/>
  <c r="AF207" i="1"/>
  <c r="Y207" i="1"/>
  <c r="Z207" i="1" s="1"/>
  <c r="J207" i="1"/>
  <c r="H207" i="1"/>
  <c r="B207" i="1" s="1"/>
  <c r="C207" i="1"/>
  <c r="AF206" i="1"/>
  <c r="Y206" i="1"/>
  <c r="Z206" i="1" s="1"/>
  <c r="J206" i="1"/>
  <c r="H206" i="1"/>
  <c r="B206" i="1" s="1"/>
  <c r="C206" i="1"/>
  <c r="AF205" i="1"/>
  <c r="Y205" i="1"/>
  <c r="Z205" i="1" s="1"/>
  <c r="J205" i="1"/>
  <c r="H205" i="1"/>
  <c r="B205" i="1" s="1"/>
  <c r="C205" i="1"/>
  <c r="AF204" i="1"/>
  <c r="Y204" i="1"/>
  <c r="Z204" i="1" s="1"/>
  <c r="J204" i="1"/>
  <c r="H204" i="1"/>
  <c r="B204" i="1" s="1"/>
  <c r="C204" i="1"/>
  <c r="AF203" i="1"/>
  <c r="Y203" i="1"/>
  <c r="Z203" i="1" s="1"/>
  <c r="J203" i="1"/>
  <c r="H203" i="1"/>
  <c r="B203" i="1" s="1"/>
  <c r="C203" i="1"/>
  <c r="AF202" i="1"/>
  <c r="Y202" i="1"/>
  <c r="Z202" i="1" s="1"/>
  <c r="J202" i="1"/>
  <c r="H202" i="1"/>
  <c r="B202" i="1" s="1"/>
  <c r="C202" i="1"/>
  <c r="AF201" i="1"/>
  <c r="Y201" i="1"/>
  <c r="Z201" i="1" s="1"/>
  <c r="J201" i="1"/>
  <c r="H201" i="1"/>
  <c r="B201" i="1" s="1"/>
  <c r="C201" i="1"/>
  <c r="AF200" i="1"/>
  <c r="Y200" i="1"/>
  <c r="Z200" i="1" s="1"/>
  <c r="J200" i="1"/>
  <c r="H200" i="1"/>
  <c r="C200" i="1"/>
  <c r="AF197" i="1"/>
  <c r="Y197" i="1"/>
  <c r="Z197" i="1" s="1"/>
  <c r="J197" i="1"/>
  <c r="H197" i="1"/>
  <c r="B197" i="1" s="1"/>
  <c r="C197" i="1"/>
  <c r="AF194" i="1"/>
  <c r="Y194" i="1"/>
  <c r="Z194" i="1" s="1"/>
  <c r="J194" i="1"/>
  <c r="H194" i="1"/>
  <c r="B194" i="1" s="1"/>
  <c r="C194" i="1"/>
  <c r="AF193" i="1"/>
  <c r="Y193" i="1"/>
  <c r="Z193" i="1" s="1"/>
  <c r="J193" i="1"/>
  <c r="H193" i="1"/>
  <c r="C193" i="1"/>
  <c r="AF191" i="1"/>
  <c r="Y191" i="1"/>
  <c r="Z191" i="1" s="1"/>
  <c r="J191" i="1"/>
  <c r="H191" i="1"/>
  <c r="B191" i="1" s="1"/>
  <c r="C191" i="1"/>
  <c r="AF190" i="1"/>
  <c r="Y190" i="1"/>
  <c r="Z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B189" i="1" s="1"/>
  <c r="C189" i="1"/>
  <c r="AF188" i="1"/>
  <c r="Y188" i="1"/>
  <c r="Z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B187" i="1" s="1"/>
  <c r="C187" i="1"/>
  <c r="AF186" i="1"/>
  <c r="Y186" i="1"/>
  <c r="Z186" i="1" s="1"/>
  <c r="J186" i="1"/>
  <c r="H186" i="1"/>
  <c r="B186" i="1" s="1"/>
  <c r="C186" i="1"/>
  <c r="AF185" i="1"/>
  <c r="Y185" i="1"/>
  <c r="Z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B184" i="1" s="1"/>
  <c r="C184" i="1"/>
  <c r="AF183" i="1"/>
  <c r="Y183" i="1"/>
  <c r="AA183" i="1" s="1"/>
  <c r="J183" i="1"/>
  <c r="H183" i="1"/>
  <c r="B183" i="1" s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B181" i="1" s="1"/>
  <c r="C181" i="1"/>
  <c r="AF180" i="1"/>
  <c r="Y180" i="1"/>
  <c r="AA180" i="1" s="1"/>
  <c r="J180" i="1"/>
  <c r="H180" i="1"/>
  <c r="B180" i="1" s="1"/>
  <c r="C180" i="1"/>
  <c r="AF179" i="1"/>
  <c r="Y179" i="1"/>
  <c r="AA179" i="1" s="1"/>
  <c r="J179" i="1"/>
  <c r="H179" i="1"/>
  <c r="B179" i="1" s="1"/>
  <c r="C179" i="1"/>
  <c r="AF178" i="1"/>
  <c r="Y178" i="1"/>
  <c r="AA178" i="1" s="1"/>
  <c r="J178" i="1"/>
  <c r="H178" i="1"/>
  <c r="B178" i="1" s="1"/>
  <c r="C178" i="1"/>
  <c r="AF177" i="1"/>
  <c r="Y177" i="1"/>
  <c r="AA177" i="1" s="1"/>
  <c r="J177" i="1"/>
  <c r="H177" i="1"/>
  <c r="B177" i="1" s="1"/>
  <c r="C177" i="1"/>
  <c r="AF176" i="1"/>
  <c r="Y176" i="1"/>
  <c r="AA176" i="1" s="1"/>
  <c r="J176" i="1"/>
  <c r="H176" i="1"/>
  <c r="C176" i="1"/>
  <c r="AF175" i="1"/>
  <c r="AC175" i="1"/>
  <c r="AB175" i="1"/>
  <c r="Y175" i="1"/>
  <c r="Z175" i="1" s="1"/>
  <c r="W175" i="1"/>
  <c r="X175" i="1" s="1"/>
  <c r="T175" i="1"/>
  <c r="J175" i="1"/>
  <c r="H175" i="1"/>
  <c r="B175" i="1" s="1"/>
  <c r="C175" i="1"/>
  <c r="AF174" i="1"/>
  <c r="Y174" i="1"/>
  <c r="AA174" i="1" s="1"/>
  <c r="J174" i="1"/>
  <c r="H174" i="1"/>
  <c r="C174" i="1"/>
  <c r="AF173" i="1"/>
  <c r="AC173" i="1"/>
  <c r="AB173" i="1"/>
  <c r="Y173" i="1"/>
  <c r="Z173" i="1" s="1"/>
  <c r="W173" i="1"/>
  <c r="X173" i="1" s="1"/>
  <c r="T173" i="1"/>
  <c r="J173" i="1"/>
  <c r="H173" i="1"/>
  <c r="B173" i="1" s="1"/>
  <c r="C173" i="1"/>
  <c r="AF172" i="1"/>
  <c r="Y172" i="1"/>
  <c r="AA172" i="1" s="1"/>
  <c r="J172" i="1"/>
  <c r="H172" i="1"/>
  <c r="B172" i="1" s="1"/>
  <c r="C172" i="1"/>
  <c r="AF171" i="1"/>
  <c r="Y171" i="1"/>
  <c r="AA171" i="1" s="1"/>
  <c r="J171" i="1"/>
  <c r="H171" i="1"/>
  <c r="B171" i="1" s="1"/>
  <c r="C171" i="1"/>
  <c r="AF170" i="1"/>
  <c r="Y170" i="1"/>
  <c r="AA170" i="1" s="1"/>
  <c r="J170" i="1"/>
  <c r="H170" i="1"/>
  <c r="B170" i="1" s="1"/>
  <c r="C170" i="1"/>
  <c r="AF169" i="1"/>
  <c r="Y169" i="1"/>
  <c r="Z169" i="1" s="1"/>
  <c r="J169" i="1"/>
  <c r="H169" i="1"/>
  <c r="B169" i="1" s="1"/>
  <c r="C169" i="1"/>
  <c r="AF168" i="1"/>
  <c r="Y168" i="1"/>
  <c r="AA168" i="1" s="1"/>
  <c r="J168" i="1"/>
  <c r="H168" i="1"/>
  <c r="B168" i="1" s="1"/>
  <c r="C168" i="1"/>
  <c r="AF167" i="1"/>
  <c r="Y167" i="1"/>
  <c r="AA167" i="1" s="1"/>
  <c r="J167" i="1"/>
  <c r="H167" i="1"/>
  <c r="B167" i="1" s="1"/>
  <c r="C167" i="1"/>
  <c r="AF166" i="1"/>
  <c r="Y166" i="1"/>
  <c r="AA166" i="1" s="1"/>
  <c r="J166" i="1"/>
  <c r="H166" i="1"/>
  <c r="B166" i="1" s="1"/>
  <c r="C166" i="1"/>
  <c r="AF165" i="1"/>
  <c r="Y165" i="1"/>
  <c r="AA165" i="1" s="1"/>
  <c r="J165" i="1"/>
  <c r="H165" i="1"/>
  <c r="B165" i="1" s="1"/>
  <c r="C165" i="1"/>
  <c r="AF164" i="1"/>
  <c r="Y164" i="1"/>
  <c r="Z164" i="1" s="1"/>
  <c r="J164" i="1"/>
  <c r="H164" i="1"/>
  <c r="B164" i="1" s="1"/>
  <c r="C164" i="1"/>
  <c r="AF163" i="1"/>
  <c r="Y163" i="1"/>
  <c r="AA163" i="1" s="1"/>
  <c r="J163" i="1"/>
  <c r="H163" i="1"/>
  <c r="B163" i="1" s="1"/>
  <c r="C163" i="1"/>
  <c r="AF162" i="1"/>
  <c r="Y162" i="1"/>
  <c r="AA162" i="1" s="1"/>
  <c r="J162" i="1"/>
  <c r="H162" i="1"/>
  <c r="C162" i="1"/>
  <c r="AF161" i="1"/>
  <c r="AC161" i="1"/>
  <c r="T161" i="1" s="1"/>
  <c r="AB161" i="1"/>
  <c r="Y161" i="1"/>
  <c r="Z161" i="1" s="1"/>
  <c r="W161" i="1"/>
  <c r="X161" i="1" s="1"/>
  <c r="J161" i="1"/>
  <c r="H161" i="1"/>
  <c r="B161" i="1" s="1"/>
  <c r="C161" i="1"/>
  <c r="AF160" i="1"/>
  <c r="Y160" i="1"/>
  <c r="AA160" i="1" s="1"/>
  <c r="J160" i="1"/>
  <c r="H160" i="1"/>
  <c r="B160" i="1" s="1"/>
  <c r="C160" i="1"/>
  <c r="AF159" i="1"/>
  <c r="Y159" i="1"/>
  <c r="Z159" i="1" s="1"/>
  <c r="J159" i="1"/>
  <c r="H159" i="1"/>
  <c r="B159" i="1" s="1"/>
  <c r="C159" i="1"/>
  <c r="AF158" i="1"/>
  <c r="Y158" i="1"/>
  <c r="Z158" i="1" s="1"/>
  <c r="J158" i="1"/>
  <c r="H158" i="1"/>
  <c r="B158" i="1" s="1"/>
  <c r="C158" i="1"/>
  <c r="AF157" i="1"/>
  <c r="Y157" i="1"/>
  <c r="AA157" i="1" s="1"/>
  <c r="J157" i="1"/>
  <c r="H157" i="1"/>
  <c r="B157" i="1" s="1"/>
  <c r="C157" i="1"/>
  <c r="AF156" i="1"/>
  <c r="Y156" i="1"/>
  <c r="AA156" i="1" s="1"/>
  <c r="J156" i="1"/>
  <c r="H156" i="1"/>
  <c r="B156" i="1" s="1"/>
  <c r="C156" i="1"/>
  <c r="AF155" i="1"/>
  <c r="Y155" i="1"/>
  <c r="Z155" i="1" s="1"/>
  <c r="J155" i="1"/>
  <c r="H155" i="1"/>
  <c r="B155" i="1" s="1"/>
  <c r="C155" i="1"/>
  <c r="AF154" i="1"/>
  <c r="Y154" i="1"/>
  <c r="AA154" i="1" s="1"/>
  <c r="J154" i="1"/>
  <c r="H154" i="1"/>
  <c r="B154" i="1" s="1"/>
  <c r="C154" i="1"/>
  <c r="AF153" i="1"/>
  <c r="Y153" i="1"/>
  <c r="AA153" i="1" s="1"/>
  <c r="J153" i="1"/>
  <c r="H153" i="1"/>
  <c r="C153" i="1"/>
  <c r="AF152" i="1"/>
  <c r="Y152" i="1"/>
  <c r="Z152" i="1" s="1"/>
  <c r="J152" i="1"/>
  <c r="H152" i="1"/>
  <c r="B152" i="1" s="1"/>
  <c r="C152" i="1"/>
  <c r="AF151" i="1"/>
  <c r="Y151" i="1"/>
  <c r="Z151" i="1" s="1"/>
  <c r="J151" i="1"/>
  <c r="H151" i="1"/>
  <c r="B151" i="1" s="1"/>
  <c r="C151" i="1"/>
  <c r="AF150" i="1"/>
  <c r="Y150" i="1"/>
  <c r="AA150" i="1" s="1"/>
  <c r="J150" i="1"/>
  <c r="H150" i="1"/>
  <c r="B150" i="1" s="1"/>
  <c r="C150" i="1"/>
  <c r="AF149" i="1"/>
  <c r="Y149" i="1"/>
  <c r="AA149" i="1" s="1"/>
  <c r="J149" i="1"/>
  <c r="H149" i="1"/>
  <c r="C149" i="1"/>
  <c r="AF148" i="1"/>
  <c r="AC148" i="1"/>
  <c r="T148" i="1" s="1"/>
  <c r="AB148" i="1"/>
  <c r="Y148" i="1"/>
  <c r="Z148" i="1" s="1"/>
  <c r="W148" i="1"/>
  <c r="X148" i="1" s="1"/>
  <c r="J148" i="1"/>
  <c r="H148" i="1"/>
  <c r="B148" i="1" s="1"/>
  <c r="C148" i="1"/>
  <c r="AF147" i="1"/>
  <c r="Y147" i="1"/>
  <c r="Z147" i="1" s="1"/>
  <c r="J147" i="1"/>
  <c r="H147" i="1"/>
  <c r="B147" i="1" s="1"/>
  <c r="C147" i="1"/>
  <c r="AF146" i="1"/>
  <c r="Y146" i="1"/>
  <c r="AA146" i="1" s="1"/>
  <c r="J146" i="1"/>
  <c r="H146" i="1"/>
  <c r="B146" i="1" s="1"/>
  <c r="C146" i="1"/>
  <c r="AF145" i="1"/>
  <c r="Y145" i="1"/>
  <c r="AA145" i="1" s="1"/>
  <c r="J145" i="1"/>
  <c r="H145" i="1"/>
  <c r="B145" i="1" s="1"/>
  <c r="C145" i="1"/>
  <c r="AF144" i="1"/>
  <c r="Y144" i="1"/>
  <c r="AA144" i="1" s="1"/>
  <c r="J144" i="1"/>
  <c r="H144" i="1"/>
  <c r="B144" i="1" s="1"/>
  <c r="C144" i="1"/>
  <c r="AF143" i="1"/>
  <c r="Y143" i="1"/>
  <c r="AA143" i="1" s="1"/>
  <c r="J143" i="1"/>
  <c r="H143" i="1"/>
  <c r="B143" i="1" s="1"/>
  <c r="C143" i="1"/>
  <c r="AF142" i="1"/>
  <c r="Y142" i="1"/>
  <c r="Z142" i="1" s="1"/>
  <c r="J142" i="1"/>
  <c r="H142" i="1"/>
  <c r="C142" i="1"/>
  <c r="AF141" i="1"/>
  <c r="Y141" i="1"/>
  <c r="Z141" i="1" s="1"/>
  <c r="J141" i="1"/>
  <c r="H141" i="1"/>
  <c r="B141" i="1" s="1"/>
  <c r="C141" i="1"/>
  <c r="AF140" i="1"/>
  <c r="Y140" i="1"/>
  <c r="Z140" i="1" s="1"/>
  <c r="J140" i="1"/>
  <c r="H140" i="1"/>
  <c r="B140" i="1" s="1"/>
  <c r="C140" i="1"/>
  <c r="AF139" i="1"/>
  <c r="Y139" i="1"/>
  <c r="AA139" i="1" s="1"/>
  <c r="J139" i="1"/>
  <c r="H139" i="1"/>
  <c r="C139" i="1"/>
  <c r="AF138" i="1"/>
  <c r="AC138" i="1"/>
  <c r="T138" i="1" s="1"/>
  <c r="AB138" i="1"/>
  <c r="Y138" i="1"/>
  <c r="AA138" i="1" s="1"/>
  <c r="J138" i="1"/>
  <c r="H138" i="1"/>
  <c r="B138" i="1" s="1"/>
  <c r="C138" i="1"/>
  <c r="AF137" i="1"/>
  <c r="Y137" i="1"/>
  <c r="Z137" i="1" s="1"/>
  <c r="J137" i="1"/>
  <c r="H137" i="1"/>
  <c r="B137" i="1" s="1"/>
  <c r="C137" i="1"/>
  <c r="AF136" i="1"/>
  <c r="Y136" i="1"/>
  <c r="Z136" i="1" s="1"/>
  <c r="J136" i="1"/>
  <c r="H136" i="1"/>
  <c r="B136" i="1" s="1"/>
  <c r="C136" i="1"/>
  <c r="AF135" i="1"/>
  <c r="Y135" i="1"/>
  <c r="AA135" i="1" s="1"/>
  <c r="J135" i="1"/>
  <c r="H135" i="1"/>
  <c r="B135" i="1" s="1"/>
  <c r="C135" i="1"/>
  <c r="AF134" i="1"/>
  <c r="Y134" i="1"/>
  <c r="AA134" i="1" s="1"/>
  <c r="J134" i="1"/>
  <c r="H134" i="1"/>
  <c r="C134" i="1"/>
  <c r="AF133" i="1"/>
  <c r="Y133" i="1"/>
  <c r="Z133" i="1" s="1"/>
  <c r="J133" i="1"/>
  <c r="H133" i="1"/>
  <c r="B133" i="1" s="1"/>
  <c r="C133" i="1"/>
  <c r="AF132" i="1"/>
  <c r="Y132" i="1"/>
  <c r="AA132" i="1" s="1"/>
  <c r="J132" i="1"/>
  <c r="H132" i="1"/>
  <c r="B132" i="1" s="1"/>
  <c r="C132" i="1"/>
  <c r="AF131" i="1"/>
  <c r="Y131" i="1"/>
  <c r="AA131" i="1" s="1"/>
  <c r="J131" i="1"/>
  <c r="H131" i="1"/>
  <c r="C131" i="1"/>
  <c r="AF130" i="1"/>
  <c r="Y130" i="1"/>
  <c r="AA130" i="1" s="1"/>
  <c r="J130" i="1"/>
  <c r="H130" i="1"/>
  <c r="B130" i="1" s="1"/>
  <c r="C130" i="1"/>
  <c r="AF129" i="1"/>
  <c r="Y129" i="1"/>
  <c r="Z129" i="1" s="1"/>
  <c r="J129" i="1"/>
  <c r="H129" i="1"/>
  <c r="B129" i="1" s="1"/>
  <c r="C129" i="1"/>
  <c r="AF128" i="1"/>
  <c r="Y128" i="1"/>
  <c r="AA128" i="1" s="1"/>
  <c r="J128" i="1"/>
  <c r="H128" i="1"/>
  <c r="B128" i="1" s="1"/>
  <c r="C128" i="1"/>
  <c r="AF127" i="1"/>
  <c r="Y127" i="1"/>
  <c r="AA127" i="1" s="1"/>
  <c r="J127" i="1"/>
  <c r="H127" i="1"/>
  <c r="C127" i="1"/>
  <c r="AF118" i="1"/>
  <c r="Y118" i="1"/>
  <c r="Z118" i="1" s="1"/>
  <c r="J118" i="1"/>
  <c r="H118" i="1"/>
  <c r="B118" i="1" s="1"/>
  <c r="C118" i="1"/>
  <c r="AF115" i="1"/>
  <c r="Y115" i="1"/>
  <c r="AA115" i="1" s="1"/>
  <c r="J115" i="1"/>
  <c r="H115" i="1"/>
  <c r="C115" i="1"/>
  <c r="AF114" i="1"/>
  <c r="Y114" i="1"/>
  <c r="Z114" i="1" s="1"/>
  <c r="J114" i="1"/>
  <c r="H114" i="1"/>
  <c r="B114" i="1" s="1"/>
  <c r="C114" i="1"/>
  <c r="AF113" i="1"/>
  <c r="Y113" i="1"/>
  <c r="Z113" i="1" s="1"/>
  <c r="J113" i="1"/>
  <c r="H113" i="1"/>
  <c r="C113" i="1"/>
  <c r="AF112" i="1"/>
  <c r="Y112" i="1"/>
  <c r="AA112" i="1" s="1"/>
  <c r="J112" i="1"/>
  <c r="H112" i="1"/>
  <c r="B112" i="1" s="1"/>
  <c r="C112" i="1"/>
  <c r="AF111" i="1"/>
  <c r="Y111" i="1"/>
  <c r="AA111" i="1" s="1"/>
  <c r="J111" i="1"/>
  <c r="H111" i="1"/>
  <c r="C111" i="1"/>
  <c r="AF110" i="1"/>
  <c r="Y110" i="1"/>
  <c r="Z110" i="1" s="1"/>
  <c r="J110" i="1"/>
  <c r="H110" i="1"/>
  <c r="B110" i="1" s="1"/>
  <c r="C110" i="1"/>
  <c r="AF109" i="1"/>
  <c r="Y109" i="1"/>
  <c r="J109" i="1"/>
  <c r="H109" i="1"/>
  <c r="B109" i="1" s="1"/>
  <c r="C109" i="1"/>
  <c r="AF108" i="1"/>
  <c r="Y108" i="1"/>
  <c r="Z108" i="1" s="1"/>
  <c r="J108" i="1"/>
  <c r="H108" i="1"/>
  <c r="B108" i="1" s="1"/>
  <c r="C108" i="1"/>
  <c r="AF107" i="1"/>
  <c r="Y107" i="1"/>
  <c r="AA107" i="1" s="1"/>
  <c r="J107" i="1"/>
  <c r="H107" i="1"/>
  <c r="C107" i="1"/>
  <c r="AF105" i="1"/>
  <c r="Y105" i="1"/>
  <c r="Z105" i="1" s="1"/>
  <c r="J105" i="1"/>
  <c r="H105" i="1"/>
  <c r="B105" i="1" s="1"/>
  <c r="C105" i="1"/>
  <c r="AF104" i="1"/>
  <c r="Y104" i="1"/>
  <c r="AA104" i="1" s="1"/>
  <c r="J104" i="1"/>
  <c r="H104" i="1"/>
  <c r="B104" i="1" s="1"/>
  <c r="C104" i="1"/>
  <c r="AF103" i="1"/>
  <c r="Y103" i="1"/>
  <c r="AA103" i="1" s="1"/>
  <c r="J103" i="1"/>
  <c r="H103" i="1"/>
  <c r="B103" i="1" s="1"/>
  <c r="C103" i="1"/>
  <c r="AF102" i="1"/>
  <c r="Y102" i="1"/>
  <c r="Z102" i="1" s="1"/>
  <c r="J102" i="1"/>
  <c r="H102" i="1"/>
  <c r="B102" i="1" s="1"/>
  <c r="C102" i="1"/>
  <c r="AF101" i="1"/>
  <c r="Y101" i="1"/>
  <c r="AA101" i="1" s="1"/>
  <c r="J101" i="1"/>
  <c r="H101" i="1"/>
  <c r="B101" i="1" s="1"/>
  <c r="C101" i="1"/>
  <c r="AF100" i="1"/>
  <c r="Y100" i="1"/>
  <c r="Z100" i="1" s="1"/>
  <c r="J100" i="1"/>
  <c r="H100" i="1"/>
  <c r="B100" i="1" s="1"/>
  <c r="C100" i="1"/>
  <c r="AF99" i="1"/>
  <c r="Y99" i="1"/>
  <c r="AA99" i="1" s="1"/>
  <c r="J99" i="1"/>
  <c r="H99" i="1"/>
  <c r="B99" i="1" s="1"/>
  <c r="C99" i="1"/>
  <c r="AF98" i="1"/>
  <c r="Y98" i="1"/>
  <c r="AA98" i="1" s="1"/>
  <c r="J98" i="1"/>
  <c r="H98" i="1"/>
  <c r="B98" i="1" s="1"/>
  <c r="C98" i="1"/>
  <c r="AF97" i="1"/>
  <c r="Y97" i="1"/>
  <c r="AA97" i="1" s="1"/>
  <c r="J97" i="1"/>
  <c r="H97" i="1"/>
  <c r="B97" i="1" s="1"/>
  <c r="C97" i="1"/>
  <c r="AF96" i="1"/>
  <c r="Y96" i="1"/>
  <c r="AA96" i="1" s="1"/>
  <c r="J96" i="1"/>
  <c r="H96" i="1"/>
  <c r="B96" i="1" s="1"/>
  <c r="C96" i="1"/>
  <c r="AF95" i="1"/>
  <c r="Y95" i="1"/>
  <c r="J95" i="1"/>
  <c r="H95" i="1"/>
  <c r="B95" i="1" s="1"/>
  <c r="C95" i="1"/>
  <c r="AF94" i="1"/>
  <c r="Y94" i="1"/>
  <c r="Z94" i="1" s="1"/>
  <c r="J94" i="1"/>
  <c r="H94" i="1"/>
  <c r="B94" i="1" s="1"/>
  <c r="C94" i="1"/>
  <c r="AF93" i="1"/>
  <c r="Y93" i="1"/>
  <c r="Z93" i="1" s="1"/>
  <c r="J93" i="1"/>
  <c r="H93" i="1"/>
  <c r="B93" i="1" s="1"/>
  <c r="C93" i="1"/>
  <c r="AF92" i="1"/>
  <c r="Y92" i="1"/>
  <c r="Z92" i="1" s="1"/>
  <c r="J92" i="1"/>
  <c r="H92" i="1"/>
  <c r="B92" i="1" s="1"/>
  <c r="C92" i="1"/>
  <c r="AF91" i="1"/>
  <c r="Y91" i="1"/>
  <c r="J91" i="1"/>
  <c r="H91" i="1"/>
  <c r="B91" i="1" s="1"/>
  <c r="C91" i="1"/>
  <c r="AF90" i="1"/>
  <c r="Y90" i="1"/>
  <c r="Z90" i="1" s="1"/>
  <c r="J90" i="1"/>
  <c r="H90" i="1"/>
  <c r="B90" i="1" s="1"/>
  <c r="C90" i="1"/>
  <c r="AF89" i="1"/>
  <c r="Y89" i="1"/>
  <c r="Z89" i="1" s="1"/>
  <c r="J89" i="1"/>
  <c r="H89" i="1"/>
  <c r="C89" i="1"/>
  <c r="AF88" i="1"/>
  <c r="Y88" i="1"/>
  <c r="AA88" i="1" s="1"/>
  <c r="J88" i="1"/>
  <c r="H88" i="1"/>
  <c r="B88" i="1" s="1"/>
  <c r="C88" i="1"/>
  <c r="AF87" i="1"/>
  <c r="Y87" i="1"/>
  <c r="Z87" i="1" s="1"/>
  <c r="J87" i="1"/>
  <c r="H87" i="1"/>
  <c r="B87" i="1" s="1"/>
  <c r="C87" i="1"/>
  <c r="AF86" i="1"/>
  <c r="Y86" i="1"/>
  <c r="Z86" i="1" s="1"/>
  <c r="J86" i="1"/>
  <c r="H86" i="1"/>
  <c r="B86" i="1" s="1"/>
  <c r="C86" i="1"/>
  <c r="AF85" i="1"/>
  <c r="Y85" i="1"/>
  <c r="J85" i="1"/>
  <c r="H85" i="1"/>
  <c r="C85" i="1"/>
  <c r="AF84" i="1"/>
  <c r="AC84" i="1"/>
  <c r="T84" i="1" s="1"/>
  <c r="AB84" i="1"/>
  <c r="Y84" i="1"/>
  <c r="AA84" i="1" s="1"/>
  <c r="W84" i="1"/>
  <c r="X84" i="1" s="1"/>
  <c r="J84" i="1"/>
  <c r="H84" i="1"/>
  <c r="B84" i="1" s="1"/>
  <c r="C84" i="1"/>
  <c r="AF83" i="1"/>
  <c r="Y83" i="1"/>
  <c r="AA83" i="1" s="1"/>
  <c r="J83" i="1"/>
  <c r="H83" i="1"/>
  <c r="B83" i="1" s="1"/>
  <c r="C83" i="1"/>
  <c r="AF82" i="1"/>
  <c r="Y82" i="1"/>
  <c r="Z82" i="1" s="1"/>
  <c r="J82" i="1"/>
  <c r="H82" i="1"/>
  <c r="B82" i="1" s="1"/>
  <c r="C82" i="1"/>
  <c r="AF81" i="1"/>
  <c r="Y81" i="1"/>
  <c r="Z81" i="1" s="1"/>
  <c r="J81" i="1"/>
  <c r="H81" i="1"/>
  <c r="C81" i="1"/>
  <c r="AF80" i="1"/>
  <c r="Y80" i="1"/>
  <c r="J80" i="1"/>
  <c r="H80" i="1"/>
  <c r="B80" i="1" s="1"/>
  <c r="C80" i="1"/>
  <c r="AF79" i="1"/>
  <c r="Y79" i="1"/>
  <c r="Z79" i="1" s="1"/>
  <c r="J79" i="1"/>
  <c r="H79" i="1"/>
  <c r="B79" i="1" s="1"/>
  <c r="C79" i="1"/>
  <c r="AF78" i="1"/>
  <c r="Y78" i="1"/>
  <c r="J78" i="1"/>
  <c r="H78" i="1"/>
  <c r="B78" i="1" s="1"/>
  <c r="C78" i="1"/>
  <c r="AF77" i="1"/>
  <c r="Y77" i="1"/>
  <c r="Z77" i="1" s="1"/>
  <c r="J77" i="1"/>
  <c r="H77" i="1"/>
  <c r="B77" i="1" s="1"/>
  <c r="C77" i="1"/>
  <c r="AF76" i="1"/>
  <c r="Y76" i="1"/>
  <c r="Z76" i="1" s="1"/>
  <c r="J76" i="1"/>
  <c r="H76" i="1"/>
  <c r="B76" i="1" s="1"/>
  <c r="C76" i="1"/>
  <c r="AF63" i="1"/>
  <c r="Y63" i="1"/>
  <c r="Z63" i="1" s="1"/>
  <c r="J63" i="1"/>
  <c r="C63" i="1"/>
  <c r="AF62" i="1"/>
  <c r="AC62" i="1"/>
  <c r="T62" i="1" s="1"/>
  <c r="AB62" i="1"/>
  <c r="Y62" i="1"/>
  <c r="AA62" i="1" s="1"/>
  <c r="J62" i="1"/>
  <c r="H62" i="1"/>
  <c r="B62" i="1" s="1"/>
  <c r="C62" i="1"/>
  <c r="AF58" i="1"/>
  <c r="Y58" i="1"/>
  <c r="J58" i="1"/>
  <c r="H58" i="1"/>
  <c r="B58" i="1" s="1"/>
  <c r="C58" i="1"/>
  <c r="AF57" i="1"/>
  <c r="Y57" i="1"/>
  <c r="AA57" i="1" s="1"/>
  <c r="J57" i="1"/>
  <c r="H57" i="1"/>
  <c r="B57" i="1" s="1"/>
  <c r="C57" i="1"/>
  <c r="AF56" i="1"/>
  <c r="Y56" i="1"/>
  <c r="J56" i="1"/>
  <c r="H56" i="1"/>
  <c r="B56" i="1" s="1"/>
  <c r="C56" i="1"/>
  <c r="AF55" i="1"/>
  <c r="Y55" i="1"/>
  <c r="Z55" i="1" s="1"/>
  <c r="J55" i="1"/>
  <c r="H55" i="1"/>
  <c r="B55" i="1" s="1"/>
  <c r="C55" i="1"/>
  <c r="AF54" i="1"/>
  <c r="Y54" i="1"/>
  <c r="Z54" i="1" s="1"/>
  <c r="J54" i="1"/>
  <c r="H54" i="1"/>
  <c r="C54" i="1"/>
  <c r="AF53" i="1"/>
  <c r="Y53" i="1"/>
  <c r="J53" i="1"/>
  <c r="H53" i="1"/>
  <c r="B53" i="1" s="1"/>
  <c r="C53" i="1"/>
  <c r="AF52" i="1"/>
  <c r="Y52" i="1"/>
  <c r="Z52" i="1" s="1"/>
  <c r="J52" i="1"/>
  <c r="H52" i="1"/>
  <c r="B52" i="1" s="1"/>
  <c r="C52" i="1"/>
  <c r="AF51" i="1"/>
  <c r="Y51" i="1"/>
  <c r="J51" i="1"/>
  <c r="H51" i="1"/>
  <c r="C51" i="1"/>
  <c r="AF50" i="1"/>
  <c r="Y50" i="1"/>
  <c r="J50" i="1"/>
  <c r="H50" i="1"/>
  <c r="B50" i="1" s="1"/>
  <c r="C50" i="1"/>
  <c r="AF49" i="1"/>
  <c r="Y49" i="1"/>
  <c r="Z49" i="1" s="1"/>
  <c r="J49" i="1"/>
  <c r="H49" i="1"/>
  <c r="B49" i="1" s="1"/>
  <c r="C49" i="1"/>
  <c r="AF48" i="1"/>
  <c r="Y48" i="1"/>
  <c r="J48" i="1"/>
  <c r="H48" i="1"/>
  <c r="B48" i="1" s="1"/>
  <c r="C48" i="1"/>
  <c r="AF47" i="1"/>
  <c r="Y47" i="1"/>
  <c r="Z47" i="1" s="1"/>
  <c r="J47" i="1"/>
  <c r="H47" i="1"/>
  <c r="B47" i="1" s="1"/>
  <c r="C47" i="1"/>
  <c r="AF46" i="1"/>
  <c r="Y46" i="1"/>
  <c r="Z46" i="1" s="1"/>
  <c r="J46" i="1"/>
  <c r="H46" i="1"/>
  <c r="B46" i="1" s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B44" i="1" s="1"/>
  <c r="C44" i="1"/>
  <c r="AF43" i="1"/>
  <c r="Y43" i="1"/>
  <c r="Z43" i="1" s="1"/>
  <c r="J43" i="1"/>
  <c r="H43" i="1"/>
  <c r="B43" i="1" s="1"/>
  <c r="C43" i="1"/>
  <c r="AF42" i="1"/>
  <c r="Y42" i="1"/>
  <c r="AA42" i="1" s="1"/>
  <c r="J42" i="1"/>
  <c r="H42" i="1"/>
  <c r="B42" i="1" s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B40" i="1" s="1"/>
  <c r="C40" i="1"/>
  <c r="AF39" i="1"/>
  <c r="Y39" i="1"/>
  <c r="AA39" i="1" s="1"/>
  <c r="J39" i="1"/>
  <c r="H39" i="1"/>
  <c r="B39" i="1" s="1"/>
  <c r="C39" i="1"/>
  <c r="AF38" i="1"/>
  <c r="Y38" i="1"/>
  <c r="AA38" i="1" s="1"/>
  <c r="J38" i="1"/>
  <c r="H38" i="1"/>
  <c r="B38" i="1" s="1"/>
  <c r="C38" i="1"/>
  <c r="AF37" i="1"/>
  <c r="Y37" i="1"/>
  <c r="AA37" i="1" s="1"/>
  <c r="J37" i="1"/>
  <c r="H37" i="1"/>
  <c r="B37" i="1" s="1"/>
  <c r="C37" i="1"/>
  <c r="AF36" i="1"/>
  <c r="Y36" i="1"/>
  <c r="Z36" i="1" s="1"/>
  <c r="J36" i="1"/>
  <c r="H36" i="1"/>
  <c r="B36" i="1" s="1"/>
  <c r="C36" i="1"/>
  <c r="AF35" i="1"/>
  <c r="Y35" i="1"/>
  <c r="AA35" i="1" s="1"/>
  <c r="J35" i="1"/>
  <c r="H35" i="1"/>
  <c r="B35" i="1" s="1"/>
  <c r="C35" i="1"/>
  <c r="AF34" i="1"/>
  <c r="Y34" i="1"/>
  <c r="AA34" i="1" s="1"/>
  <c r="J34" i="1"/>
  <c r="H34" i="1"/>
  <c r="C34" i="1"/>
  <c r="AF33" i="1"/>
  <c r="AC33" i="1"/>
  <c r="AB33" i="1"/>
  <c r="Y33" i="1"/>
  <c r="Z33" i="1" s="1"/>
  <c r="W33" i="1"/>
  <c r="X33" i="1" s="1"/>
  <c r="T33" i="1"/>
  <c r="J33" i="1"/>
  <c r="H33" i="1"/>
  <c r="B33" i="1" s="1"/>
  <c r="C33" i="1"/>
  <c r="AF32" i="1"/>
  <c r="Y32" i="1"/>
  <c r="Z32" i="1" s="1"/>
  <c r="J32" i="1"/>
  <c r="H32" i="1"/>
  <c r="C32" i="1"/>
  <c r="AF31" i="1"/>
  <c r="AC31" i="1"/>
  <c r="AB31" i="1"/>
  <c r="Y31" i="1"/>
  <c r="AA31" i="1" s="1"/>
  <c r="W31" i="1"/>
  <c r="X31" i="1" s="1"/>
  <c r="T31" i="1"/>
  <c r="J31" i="1"/>
  <c r="H31" i="1"/>
  <c r="B31" i="1" s="1"/>
  <c r="C31" i="1"/>
  <c r="AF30" i="1"/>
  <c r="Y30" i="1"/>
  <c r="AA30" i="1" s="1"/>
  <c r="H30" i="1"/>
  <c r="C30" i="1"/>
  <c r="AF29" i="1"/>
  <c r="AC29" i="1"/>
  <c r="AB29" i="1"/>
  <c r="Y29" i="1"/>
  <c r="Z29" i="1" s="1"/>
  <c r="W29" i="1"/>
  <c r="X29" i="1" s="1"/>
  <c r="T29" i="1"/>
  <c r="J29" i="1"/>
  <c r="H29" i="1"/>
  <c r="B29" i="1" s="1"/>
  <c r="C29" i="1"/>
  <c r="AF28" i="1"/>
  <c r="Y28" i="1"/>
  <c r="Z28" i="1" s="1"/>
  <c r="J28" i="1"/>
  <c r="H28" i="1"/>
  <c r="B28" i="1" s="1"/>
  <c r="C28" i="1"/>
  <c r="AF27" i="1"/>
  <c r="Y27" i="1"/>
  <c r="AA27" i="1" s="1"/>
  <c r="J27" i="1"/>
  <c r="H27" i="1"/>
  <c r="B27" i="1" s="1"/>
  <c r="C27" i="1"/>
  <c r="AF26" i="1"/>
  <c r="Y26" i="1"/>
  <c r="AA26" i="1" s="1"/>
  <c r="J26" i="1"/>
  <c r="H26" i="1"/>
  <c r="C26" i="1"/>
  <c r="AF25" i="1"/>
  <c r="AC25" i="1"/>
  <c r="T25" i="1" s="1"/>
  <c r="AB25" i="1"/>
  <c r="Y25" i="1"/>
  <c r="Z25" i="1" s="1"/>
  <c r="J25" i="1"/>
  <c r="H25" i="1"/>
  <c r="B25" i="1" s="1"/>
  <c r="C25" i="1"/>
  <c r="AF24" i="1"/>
  <c r="Y24" i="1"/>
  <c r="AA24" i="1" s="1"/>
  <c r="J24" i="1"/>
  <c r="H24" i="1"/>
  <c r="B24" i="1" s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B22" i="1" s="1"/>
  <c r="C22" i="1"/>
  <c r="AF21" i="1"/>
  <c r="Y21" i="1"/>
  <c r="AA21" i="1" s="1"/>
  <c r="J21" i="1"/>
  <c r="H21" i="1"/>
  <c r="B21" i="1" s="1"/>
  <c r="C21" i="1"/>
  <c r="AF20" i="1"/>
  <c r="Y20" i="1"/>
  <c r="AA20" i="1" s="1"/>
  <c r="J20" i="1"/>
  <c r="H20" i="1"/>
  <c r="B20" i="1" s="1"/>
  <c r="C20" i="1"/>
  <c r="AF19" i="1"/>
  <c r="Y19" i="1"/>
  <c r="Z19" i="1" s="1"/>
  <c r="J19" i="1"/>
  <c r="H19" i="1"/>
  <c r="B19" i="1" s="1"/>
  <c r="C19" i="1"/>
  <c r="AF18" i="1"/>
  <c r="Y18" i="1"/>
  <c r="AA18" i="1" s="1"/>
  <c r="J18" i="1"/>
  <c r="H18" i="1"/>
  <c r="B18" i="1" s="1"/>
  <c r="C18" i="1"/>
  <c r="AF17" i="1"/>
  <c r="Y17" i="1"/>
  <c r="AA17" i="1" s="1"/>
  <c r="J17" i="1"/>
  <c r="H17" i="1"/>
  <c r="B17" i="1" s="1"/>
  <c r="C17" i="1"/>
  <c r="AF16" i="1"/>
  <c r="Y16" i="1"/>
  <c r="AA16" i="1" s="1"/>
  <c r="H16" i="1"/>
  <c r="C16" i="1"/>
  <c r="AF15" i="1"/>
  <c r="Y15" i="1"/>
  <c r="AA15" i="1" s="1"/>
  <c r="J15" i="1"/>
  <c r="H15" i="1"/>
  <c r="B15" i="1" s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B11" i="1" s="1"/>
  <c r="C11" i="1"/>
  <c r="AF10" i="1"/>
  <c r="Y10" i="1"/>
  <c r="Z10" i="1" s="1"/>
  <c r="H10" i="1"/>
  <c r="C10" i="1"/>
  <c r="AF9" i="1"/>
  <c r="AC9" i="1"/>
  <c r="T9" i="1" s="1"/>
  <c r="AB9" i="1"/>
  <c r="Y9" i="1"/>
  <c r="AA9" i="1" s="1"/>
  <c r="J9" i="1"/>
  <c r="H9" i="1"/>
  <c r="B9" i="1" s="1"/>
  <c r="C9" i="1"/>
  <c r="AF8" i="1"/>
  <c r="Y8" i="1"/>
  <c r="Z8" i="1" s="1"/>
  <c r="J8" i="1"/>
  <c r="H8" i="1"/>
  <c r="B8" i="1" s="1"/>
  <c r="C8" i="1"/>
  <c r="AF7" i="1"/>
  <c r="Y7" i="1"/>
  <c r="Z7" i="1" s="1"/>
  <c r="J7" i="1"/>
  <c r="H7" i="1"/>
  <c r="B7" i="1" s="1"/>
  <c r="C7" i="1"/>
  <c r="AF6" i="1"/>
  <c r="Y6" i="1"/>
  <c r="AA6" i="1" s="1"/>
  <c r="J6" i="1"/>
  <c r="H6" i="1"/>
  <c r="B6" i="1" s="1"/>
  <c r="C6" i="1"/>
  <c r="AF5" i="1"/>
  <c r="Y5" i="1"/>
  <c r="Z5" i="1" s="1"/>
  <c r="J5" i="1"/>
  <c r="H5" i="1"/>
  <c r="B5" i="1" s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B3" i="1" s="1"/>
  <c r="C3" i="1"/>
  <c r="A1" i="1"/>
  <c r="B4" i="1"/>
  <c r="AC273" i="1" l="1"/>
  <c r="T273" i="1" s="1"/>
  <c r="S57" i="4"/>
  <c r="S58" i="4"/>
  <c r="S60" i="4"/>
  <c r="S62" i="4"/>
  <c r="S59" i="4"/>
  <c r="S61" i="4"/>
  <c r="S63" i="4"/>
  <c r="B54" i="1"/>
  <c r="G54" i="1" s="1"/>
  <c r="A54" i="1" s="1"/>
  <c r="AD54" i="1" s="1"/>
  <c r="B289" i="1"/>
  <c r="G289" i="1" s="1"/>
  <c r="A289" i="1" s="1"/>
  <c r="AD289" i="1" s="1"/>
  <c r="B317" i="1"/>
  <c r="G317" i="1" s="1"/>
  <c r="A317" i="1" s="1"/>
  <c r="AD317" i="1" s="1"/>
  <c r="I45" i="1"/>
  <c r="B45" i="1"/>
  <c r="B81" i="1"/>
  <c r="G81" i="1" s="1"/>
  <c r="A81" i="1" s="1"/>
  <c r="AD81" i="1" s="1"/>
  <c r="B238" i="1"/>
  <c r="G238" i="1" s="1"/>
  <c r="A238" i="1" s="1"/>
  <c r="B277" i="1"/>
  <c r="G277" i="1" s="1"/>
  <c r="A277" i="1" s="1"/>
  <c r="AD277" i="1" s="1"/>
  <c r="B305" i="1"/>
  <c r="G305" i="1" s="1"/>
  <c r="A305" i="1" s="1"/>
  <c r="AD305" i="1" s="1"/>
  <c r="B329" i="1"/>
  <c r="G329" i="1" s="1"/>
  <c r="A329" i="1" s="1"/>
  <c r="AD329" i="1" s="1"/>
  <c r="B331" i="1"/>
  <c r="G331" i="1" s="1"/>
  <c r="A331" i="1" s="1"/>
  <c r="AD331" i="1" s="1"/>
  <c r="Z241" i="1"/>
  <c r="Z154" i="1"/>
  <c r="AB154" i="1" s="1"/>
  <c r="AC154" i="1" s="1"/>
  <c r="T154" i="1" s="1"/>
  <c r="Z220" i="1"/>
  <c r="AB220" i="1" s="1"/>
  <c r="AC220" i="1" s="1"/>
  <c r="T220" i="1" s="1"/>
  <c r="Z280" i="1"/>
  <c r="Z233" i="1"/>
  <c r="AB233" i="1" s="1"/>
  <c r="AC233" i="1" s="1"/>
  <c r="T233" i="1" s="1"/>
  <c r="Z272" i="1"/>
  <c r="I289" i="1"/>
  <c r="Z231" i="1"/>
  <c r="Z239" i="1"/>
  <c r="Z258" i="1"/>
  <c r="Z278" i="1"/>
  <c r="Z286" i="1"/>
  <c r="Z230" i="1"/>
  <c r="AB230" i="1" s="1"/>
  <c r="AC230" i="1" s="1"/>
  <c r="T230" i="1" s="1"/>
  <c r="Z232" i="1"/>
  <c r="AB232" i="1" s="1"/>
  <c r="AC232" i="1" s="1"/>
  <c r="T232" i="1" s="1"/>
  <c r="Z238" i="1"/>
  <c r="AB238" i="1" s="1"/>
  <c r="AC238" i="1" s="1"/>
  <c r="T238" i="1" s="1"/>
  <c r="Z240" i="1"/>
  <c r="AB240" i="1" s="1"/>
  <c r="AC240" i="1" s="1"/>
  <c r="T240" i="1" s="1"/>
  <c r="Z246" i="1"/>
  <c r="AB246" i="1" s="1"/>
  <c r="AC246" i="1" s="1"/>
  <c r="T246" i="1" s="1"/>
  <c r="Z271" i="1"/>
  <c r="AB271" i="1" s="1"/>
  <c r="AC271" i="1" s="1"/>
  <c r="T271" i="1" s="1"/>
  <c r="Z277" i="1"/>
  <c r="Z279" i="1"/>
  <c r="Z285" i="1"/>
  <c r="Z287" i="1"/>
  <c r="Z331" i="1"/>
  <c r="AA151" i="1"/>
  <c r="AB151" i="1" s="1"/>
  <c r="AC151" i="1" s="1"/>
  <c r="T151" i="1" s="1"/>
  <c r="AA187" i="1"/>
  <c r="AA203" i="1"/>
  <c r="AB203" i="1" s="1"/>
  <c r="AC203" i="1" s="1"/>
  <c r="T203" i="1" s="1"/>
  <c r="Z78" i="1"/>
  <c r="Z91" i="1"/>
  <c r="AA105" i="1"/>
  <c r="AB105" i="1" s="1"/>
  <c r="AC105" i="1" s="1"/>
  <c r="T105" i="1" s="1"/>
  <c r="Z107" i="1"/>
  <c r="AB107" i="1" s="1"/>
  <c r="AC107" i="1" s="1"/>
  <c r="T107" i="1" s="1"/>
  <c r="AA211" i="1"/>
  <c r="AB211" i="1" s="1"/>
  <c r="AC211" i="1" s="1"/>
  <c r="T211" i="1" s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T101" i="1" s="1"/>
  <c r="Z115" i="1"/>
  <c r="AB115" i="1" s="1"/>
  <c r="AC115" i="1" s="1"/>
  <c r="T115" i="1" s="1"/>
  <c r="Z131" i="1"/>
  <c r="AB131" i="1" s="1"/>
  <c r="AC131" i="1" s="1"/>
  <c r="T131" i="1" s="1"/>
  <c r="Z134" i="1"/>
  <c r="AB134" i="1" s="1"/>
  <c r="AC134" i="1" s="1"/>
  <c r="T134" i="1" s="1"/>
  <c r="Z156" i="1"/>
  <c r="AB156" i="1" s="1"/>
  <c r="AC156" i="1" s="1"/>
  <c r="T156" i="1" s="1"/>
  <c r="AA191" i="1"/>
  <c r="AB191" i="1" s="1"/>
  <c r="AC191" i="1" s="1"/>
  <c r="T191" i="1" s="1"/>
  <c r="AA193" i="1"/>
  <c r="AB193" i="1" s="1"/>
  <c r="AC193" i="1" s="1"/>
  <c r="T193" i="1" s="1"/>
  <c r="AA194" i="1"/>
  <c r="AB194" i="1" s="1"/>
  <c r="AC194" i="1" s="1"/>
  <c r="T194" i="1" s="1"/>
  <c r="AA197" i="1"/>
  <c r="AB197" i="1" s="1"/>
  <c r="AC197" i="1" s="1"/>
  <c r="T197" i="1" s="1"/>
  <c r="AA207" i="1"/>
  <c r="AB207" i="1" s="1"/>
  <c r="AC207" i="1" s="1"/>
  <c r="T207" i="1" s="1"/>
  <c r="AA215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T57" i="1" s="1"/>
  <c r="Z58" i="1"/>
  <c r="Z84" i="1"/>
  <c r="Z85" i="1"/>
  <c r="Z96" i="1"/>
  <c r="AB96" i="1" s="1"/>
  <c r="AC96" i="1" s="1"/>
  <c r="T96" i="1" s="1"/>
  <c r="Z97" i="1"/>
  <c r="AB97" i="1" s="1"/>
  <c r="AC97" i="1" s="1"/>
  <c r="T97" i="1" s="1"/>
  <c r="Z104" i="1"/>
  <c r="AB104" i="1" s="1"/>
  <c r="AC104" i="1" s="1"/>
  <c r="T104" i="1" s="1"/>
  <c r="AA118" i="1"/>
  <c r="AB118" i="1" s="1"/>
  <c r="AC118" i="1" s="1"/>
  <c r="T118" i="1" s="1"/>
  <c r="Z127" i="1"/>
  <c r="AB127" i="1" s="1"/>
  <c r="AC127" i="1" s="1"/>
  <c r="T127" i="1" s="1"/>
  <c r="Z128" i="1"/>
  <c r="AB128" i="1" s="1"/>
  <c r="AC128" i="1" s="1"/>
  <c r="T128" i="1" s="1"/>
  <c r="Z138" i="1"/>
  <c r="Z144" i="1"/>
  <c r="AB144" i="1" s="1"/>
  <c r="AC144" i="1" s="1"/>
  <c r="T144" i="1" s="1"/>
  <c r="Z145" i="1"/>
  <c r="AB145" i="1" s="1"/>
  <c r="AC145" i="1" s="1"/>
  <c r="T145" i="1" s="1"/>
  <c r="Z146" i="1"/>
  <c r="AB146" i="1" s="1"/>
  <c r="AC146" i="1" s="1"/>
  <c r="T146" i="1" s="1"/>
  <c r="AA148" i="1"/>
  <c r="Z149" i="1"/>
  <c r="AB149" i="1" s="1"/>
  <c r="AC149" i="1" s="1"/>
  <c r="T149" i="1" s="1"/>
  <c r="Z160" i="1"/>
  <c r="AB160" i="1" s="1"/>
  <c r="AC160" i="1" s="1"/>
  <c r="T160" i="1" s="1"/>
  <c r="AA184" i="1"/>
  <c r="AA185" i="1"/>
  <c r="AB185" i="1" s="1"/>
  <c r="AC185" i="1" s="1"/>
  <c r="T185" i="1" s="1"/>
  <c r="AA189" i="1"/>
  <c r="AA201" i="1"/>
  <c r="AB201" i="1" s="1"/>
  <c r="AC201" i="1" s="1"/>
  <c r="T201" i="1" s="1"/>
  <c r="AA205" i="1"/>
  <c r="AB205" i="1" s="1"/>
  <c r="AC205" i="1" s="1"/>
  <c r="T205" i="1" s="1"/>
  <c r="AA209" i="1"/>
  <c r="AB209" i="1" s="1"/>
  <c r="AC209" i="1" s="1"/>
  <c r="T209" i="1" s="1"/>
  <c r="AA213" i="1"/>
  <c r="AA217" i="1"/>
  <c r="AB217" i="1" s="1"/>
  <c r="AC217" i="1" s="1"/>
  <c r="T217" i="1" s="1"/>
  <c r="Z289" i="1"/>
  <c r="Z290" i="1"/>
  <c r="Z291" i="1"/>
  <c r="Z292" i="1"/>
  <c r="Z301" i="1"/>
  <c r="Z302" i="1"/>
  <c r="Z303" i="1"/>
  <c r="Z305" i="1"/>
  <c r="Z309" i="1"/>
  <c r="Z310" i="1"/>
  <c r="Z311" i="1"/>
  <c r="Z312" i="1"/>
  <c r="Z317" i="1"/>
  <c r="Z318" i="1"/>
  <c r="Z319" i="1"/>
  <c r="Z320" i="1"/>
  <c r="Z325" i="1"/>
  <c r="Z326" i="1"/>
  <c r="Z327" i="1"/>
  <c r="Z329" i="1"/>
  <c r="I41" i="1"/>
  <c r="I81" i="1"/>
  <c r="I238" i="1"/>
  <c r="I317" i="1"/>
  <c r="I6" i="1"/>
  <c r="I15" i="1"/>
  <c r="I16" i="1"/>
  <c r="I3" i="1"/>
  <c r="I4" i="1"/>
  <c r="I8" i="1"/>
  <c r="G8" i="1"/>
  <c r="I19" i="1"/>
  <c r="G19" i="1"/>
  <c r="I20" i="1"/>
  <c r="I24" i="1"/>
  <c r="G24" i="1"/>
  <c r="G25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G49" i="1"/>
  <c r="I50" i="1"/>
  <c r="I62" i="1"/>
  <c r="G62" i="1"/>
  <c r="I63" i="1"/>
  <c r="G76" i="1"/>
  <c r="I78" i="1"/>
  <c r="I91" i="1"/>
  <c r="G91" i="1"/>
  <c r="I103" i="1"/>
  <c r="G103" i="1"/>
  <c r="I104" i="1"/>
  <c r="G104" i="1"/>
  <c r="I134" i="1"/>
  <c r="I137" i="1"/>
  <c r="G137" i="1"/>
  <c r="I142" i="1"/>
  <c r="I145" i="1"/>
  <c r="G145" i="1"/>
  <c r="I157" i="1"/>
  <c r="G157" i="1"/>
  <c r="I5" i="1"/>
  <c r="G5" i="1"/>
  <c r="I14" i="1"/>
  <c r="I17" i="1"/>
  <c r="I33" i="1"/>
  <c r="G33" i="1"/>
  <c r="I34" i="1"/>
  <c r="I42" i="1"/>
  <c r="I43" i="1"/>
  <c r="I46" i="1"/>
  <c r="G46" i="1"/>
  <c r="I52" i="1"/>
  <c r="G52" i="1"/>
  <c r="I53" i="1"/>
  <c r="G53" i="1"/>
  <c r="I83" i="1"/>
  <c r="I86" i="1"/>
  <c r="G86" i="1"/>
  <c r="I87" i="1"/>
  <c r="I88" i="1"/>
  <c r="I89" i="1"/>
  <c r="I95" i="1"/>
  <c r="G95" i="1"/>
  <c r="I98" i="1"/>
  <c r="G98" i="1"/>
  <c r="I99" i="1"/>
  <c r="I100" i="1"/>
  <c r="I111" i="1"/>
  <c r="I112" i="1"/>
  <c r="I114" i="1"/>
  <c r="G114" i="1"/>
  <c r="I115" i="1"/>
  <c r="I130" i="1"/>
  <c r="G130" i="1"/>
  <c r="I131" i="1"/>
  <c r="I139" i="1"/>
  <c r="I140" i="1"/>
  <c r="G140" i="1"/>
  <c r="I148" i="1"/>
  <c r="G148" i="1"/>
  <c r="I149" i="1"/>
  <c r="I153" i="1"/>
  <c r="I154" i="1"/>
  <c r="G154" i="1"/>
  <c r="I155" i="1"/>
  <c r="I158" i="1"/>
  <c r="G158" i="1"/>
  <c r="I160" i="1"/>
  <c r="G160" i="1"/>
  <c r="I162" i="1"/>
  <c r="I164" i="1"/>
  <c r="G164" i="1"/>
  <c r="I165" i="1"/>
  <c r="I167" i="1"/>
  <c r="G167" i="1"/>
  <c r="I170" i="1"/>
  <c r="G170" i="1"/>
  <c r="I173" i="1"/>
  <c r="G173" i="1"/>
  <c r="I174" i="1"/>
  <c r="I177" i="1"/>
  <c r="G177" i="1"/>
  <c r="I179" i="1"/>
  <c r="G179" i="1"/>
  <c r="I180" i="1"/>
  <c r="I182" i="1"/>
  <c r="I184" i="1"/>
  <c r="G184" i="1"/>
  <c r="I186" i="1"/>
  <c r="G186" i="1"/>
  <c r="I187" i="1"/>
  <c r="G187" i="1"/>
  <c r="I190" i="1"/>
  <c r="I191" i="1"/>
  <c r="G191" i="1"/>
  <c r="I194" i="1"/>
  <c r="G194" i="1"/>
  <c r="I200" i="1"/>
  <c r="I201" i="1"/>
  <c r="G201" i="1"/>
  <c r="I204" i="1"/>
  <c r="G204" i="1"/>
  <c r="I205" i="1"/>
  <c r="G205" i="1"/>
  <c r="I208" i="1"/>
  <c r="G208" i="1"/>
  <c r="I209" i="1"/>
  <c r="G209" i="1"/>
  <c r="I212" i="1"/>
  <c r="G212" i="1"/>
  <c r="I213" i="1"/>
  <c r="G213" i="1"/>
  <c r="I216" i="1"/>
  <c r="I217" i="1"/>
  <c r="G217" i="1"/>
  <c r="I220" i="1"/>
  <c r="G220" i="1"/>
  <c r="I222" i="1"/>
  <c r="I229" i="1"/>
  <c r="I231" i="1"/>
  <c r="G231" i="1"/>
  <c r="I233" i="1"/>
  <c r="G233" i="1"/>
  <c r="I235" i="1"/>
  <c r="I237" i="1"/>
  <c r="I240" i="1"/>
  <c r="I242" i="1"/>
  <c r="I244" i="1"/>
  <c r="I246" i="1"/>
  <c r="G246" i="1"/>
  <c r="I271" i="1"/>
  <c r="G271" i="1"/>
  <c r="I273" i="1"/>
  <c r="G273" i="1"/>
  <c r="I275" i="1"/>
  <c r="G275" i="1"/>
  <c r="I278" i="1"/>
  <c r="G278" i="1"/>
  <c r="I280" i="1"/>
  <c r="G280" i="1"/>
  <c r="I282" i="1"/>
  <c r="G282" i="1"/>
  <c r="I284" i="1"/>
  <c r="G284" i="1"/>
  <c r="I286" i="1"/>
  <c r="G286" i="1"/>
  <c r="I288" i="1"/>
  <c r="G288" i="1"/>
  <c r="I291" i="1"/>
  <c r="G291" i="1"/>
  <c r="I293" i="1"/>
  <c r="G293" i="1"/>
  <c r="I295" i="1"/>
  <c r="G295" i="1"/>
  <c r="I297" i="1"/>
  <c r="G297" i="1"/>
  <c r="I299" i="1"/>
  <c r="G299" i="1"/>
  <c r="I301" i="1"/>
  <c r="G301" i="1"/>
  <c r="I303" i="1"/>
  <c r="G303" i="1"/>
  <c r="I306" i="1"/>
  <c r="G306" i="1"/>
  <c r="I308" i="1"/>
  <c r="G308" i="1"/>
  <c r="I310" i="1"/>
  <c r="G310" i="1"/>
  <c r="I312" i="1"/>
  <c r="G312" i="1"/>
  <c r="I314" i="1"/>
  <c r="G314" i="1"/>
  <c r="I316" i="1"/>
  <c r="G316" i="1"/>
  <c r="I319" i="1"/>
  <c r="G319" i="1"/>
  <c r="I321" i="1"/>
  <c r="G321" i="1"/>
  <c r="I323" i="1"/>
  <c r="G323" i="1"/>
  <c r="I325" i="1"/>
  <c r="G325" i="1"/>
  <c r="I327" i="1"/>
  <c r="G327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G35" i="1"/>
  <c r="I36" i="1"/>
  <c r="I40" i="1"/>
  <c r="G40" i="1"/>
  <c r="I44" i="1"/>
  <c r="G44" i="1"/>
  <c r="I47" i="1"/>
  <c r="G47" i="1"/>
  <c r="I51" i="1"/>
  <c r="I55" i="1"/>
  <c r="G55" i="1"/>
  <c r="I56" i="1"/>
  <c r="I57" i="1"/>
  <c r="G57" i="1"/>
  <c r="I58" i="1"/>
  <c r="I77" i="1"/>
  <c r="G77" i="1"/>
  <c r="I79" i="1"/>
  <c r="G79" i="1"/>
  <c r="A79" i="1" s="1"/>
  <c r="I80" i="1"/>
  <c r="I82" i="1"/>
  <c r="G82" i="1"/>
  <c r="G84" i="1"/>
  <c r="I85" i="1"/>
  <c r="I90" i="1"/>
  <c r="I92" i="1"/>
  <c r="G92" i="1"/>
  <c r="I93" i="1"/>
  <c r="I94" i="1"/>
  <c r="G94" i="1"/>
  <c r="I96" i="1"/>
  <c r="G96" i="1"/>
  <c r="I97" i="1"/>
  <c r="I101" i="1"/>
  <c r="G101" i="1"/>
  <c r="G102" i="1"/>
  <c r="I105" i="1"/>
  <c r="G105" i="1"/>
  <c r="I108" i="1"/>
  <c r="G108" i="1"/>
  <c r="G109" i="1"/>
  <c r="I110" i="1"/>
  <c r="G110" i="1"/>
  <c r="I118" i="1"/>
  <c r="I127" i="1"/>
  <c r="I128" i="1"/>
  <c r="I129" i="1"/>
  <c r="G129" i="1"/>
  <c r="I132" i="1"/>
  <c r="G132" i="1"/>
  <c r="I133" i="1"/>
  <c r="I135" i="1"/>
  <c r="I136" i="1"/>
  <c r="G136" i="1"/>
  <c r="I138" i="1"/>
  <c r="G138" i="1"/>
  <c r="I141" i="1"/>
  <c r="I143" i="1"/>
  <c r="G143" i="1"/>
  <c r="I144" i="1"/>
  <c r="I146" i="1"/>
  <c r="G146" i="1"/>
  <c r="I147" i="1"/>
  <c r="I150" i="1"/>
  <c r="G150" i="1"/>
  <c r="I151" i="1"/>
  <c r="I152" i="1"/>
  <c r="I156" i="1"/>
  <c r="G156" i="1"/>
  <c r="I159" i="1"/>
  <c r="G159" i="1"/>
  <c r="I161" i="1"/>
  <c r="G161" i="1"/>
  <c r="I163" i="1"/>
  <c r="G163" i="1"/>
  <c r="I166" i="1"/>
  <c r="G166" i="1"/>
  <c r="I168" i="1"/>
  <c r="G168" i="1"/>
  <c r="I169" i="1"/>
  <c r="I171" i="1"/>
  <c r="G171" i="1"/>
  <c r="I172" i="1"/>
  <c r="G172" i="1"/>
  <c r="I175" i="1"/>
  <c r="G175" i="1"/>
  <c r="I176" i="1"/>
  <c r="I178" i="1"/>
  <c r="G178" i="1"/>
  <c r="I181" i="1"/>
  <c r="G181" i="1"/>
  <c r="I183" i="1"/>
  <c r="G183" i="1"/>
  <c r="I185" i="1"/>
  <c r="I188" i="1"/>
  <c r="I189" i="1"/>
  <c r="G189" i="1"/>
  <c r="I193" i="1"/>
  <c r="I197" i="1"/>
  <c r="G197" i="1"/>
  <c r="I202" i="1"/>
  <c r="G202" i="1"/>
  <c r="I203" i="1"/>
  <c r="G203" i="1"/>
  <c r="I206" i="1"/>
  <c r="G206" i="1"/>
  <c r="I207" i="1"/>
  <c r="G207" i="1"/>
  <c r="I210" i="1"/>
  <c r="G210" i="1"/>
  <c r="I211" i="1"/>
  <c r="G211" i="1"/>
  <c r="I214" i="1"/>
  <c r="I215" i="1"/>
  <c r="G215" i="1"/>
  <c r="I218" i="1"/>
  <c r="G218" i="1"/>
  <c r="I219" i="1"/>
  <c r="I221" i="1"/>
  <c r="G221" i="1"/>
  <c r="I230" i="1"/>
  <c r="G230" i="1"/>
  <c r="I232" i="1"/>
  <c r="I234" i="1"/>
  <c r="G234" i="1"/>
  <c r="I236" i="1"/>
  <c r="G236" i="1"/>
  <c r="I239" i="1"/>
  <c r="G239" i="1"/>
  <c r="I241" i="1"/>
  <c r="G241" i="1"/>
  <c r="I243" i="1"/>
  <c r="G243" i="1"/>
  <c r="I245" i="1"/>
  <c r="G245" i="1"/>
  <c r="I258" i="1"/>
  <c r="G258" i="1"/>
  <c r="I272" i="1"/>
  <c r="G272" i="1"/>
  <c r="I274" i="1"/>
  <c r="G274" i="1"/>
  <c r="I276" i="1"/>
  <c r="G276" i="1"/>
  <c r="I277" i="1"/>
  <c r="I279" i="1"/>
  <c r="G279" i="1"/>
  <c r="I281" i="1"/>
  <c r="G281" i="1"/>
  <c r="I283" i="1"/>
  <c r="G283" i="1"/>
  <c r="I285" i="1"/>
  <c r="G285" i="1"/>
  <c r="I287" i="1"/>
  <c r="G287" i="1"/>
  <c r="I290" i="1"/>
  <c r="G290" i="1"/>
  <c r="I292" i="1"/>
  <c r="G292" i="1"/>
  <c r="I294" i="1"/>
  <c r="G294" i="1"/>
  <c r="I296" i="1"/>
  <c r="G296" i="1"/>
  <c r="I298" i="1"/>
  <c r="G298" i="1"/>
  <c r="I300" i="1"/>
  <c r="G300" i="1"/>
  <c r="I302" i="1"/>
  <c r="G302" i="1"/>
  <c r="I304" i="1"/>
  <c r="G304" i="1"/>
  <c r="I305" i="1"/>
  <c r="I307" i="1"/>
  <c r="G307" i="1"/>
  <c r="I309" i="1"/>
  <c r="G309" i="1"/>
  <c r="I311" i="1"/>
  <c r="G311" i="1"/>
  <c r="I313" i="1"/>
  <c r="G313" i="1"/>
  <c r="I315" i="1"/>
  <c r="G315" i="1"/>
  <c r="I318" i="1"/>
  <c r="G318" i="1"/>
  <c r="I320" i="1"/>
  <c r="G320" i="1"/>
  <c r="I322" i="1"/>
  <c r="G322" i="1"/>
  <c r="I324" i="1"/>
  <c r="G324" i="1"/>
  <c r="I326" i="1"/>
  <c r="G326" i="1"/>
  <c r="I328" i="1"/>
  <c r="G328" i="1"/>
  <c r="I329" i="1"/>
  <c r="I330" i="1"/>
  <c r="G330" i="1"/>
  <c r="I331" i="1"/>
  <c r="Z51" i="1"/>
  <c r="AA45" i="1"/>
  <c r="AB45" i="1" s="1"/>
  <c r="AC45" i="1" s="1"/>
  <c r="T45" i="1" s="1"/>
  <c r="Z48" i="1"/>
  <c r="Z50" i="1"/>
  <c r="Z80" i="1"/>
  <c r="Z83" i="1"/>
  <c r="AB83" i="1" s="1"/>
  <c r="AC83" i="1" s="1"/>
  <c r="T83" i="1" s="1"/>
  <c r="Z88" i="1"/>
  <c r="AB88" i="1" s="1"/>
  <c r="AC88" i="1" s="1"/>
  <c r="T88" i="1" s="1"/>
  <c r="AA161" i="1"/>
  <c r="Z162" i="1"/>
  <c r="AB162" i="1" s="1"/>
  <c r="AC162" i="1" s="1"/>
  <c r="T162" i="1" s="1"/>
  <c r="Z165" i="1"/>
  <c r="AB165" i="1" s="1"/>
  <c r="AC165" i="1" s="1"/>
  <c r="T165" i="1" s="1"/>
  <c r="Z168" i="1"/>
  <c r="AB168" i="1" s="1"/>
  <c r="AC168" i="1" s="1"/>
  <c r="T168" i="1" s="1"/>
  <c r="Z179" i="1"/>
  <c r="AB179" i="1" s="1"/>
  <c r="AC179" i="1" s="1"/>
  <c r="T179" i="1" s="1"/>
  <c r="Z181" i="1"/>
  <c r="AB181" i="1" s="1"/>
  <c r="AC181" i="1" s="1"/>
  <c r="T181" i="1" s="1"/>
  <c r="AA200" i="1"/>
  <c r="AB200" i="1" s="1"/>
  <c r="AC200" i="1" s="1"/>
  <c r="T200" i="1" s="1"/>
  <c r="AA202" i="1"/>
  <c r="AB202" i="1" s="1"/>
  <c r="AC202" i="1" s="1"/>
  <c r="T202" i="1" s="1"/>
  <c r="AA204" i="1"/>
  <c r="AB204" i="1" s="1"/>
  <c r="AC204" i="1" s="1"/>
  <c r="T204" i="1" s="1"/>
  <c r="AA206" i="1"/>
  <c r="AB206" i="1" s="1"/>
  <c r="AC206" i="1" s="1"/>
  <c r="T206" i="1" s="1"/>
  <c r="AA208" i="1"/>
  <c r="AB208" i="1" s="1"/>
  <c r="AC208" i="1" s="1"/>
  <c r="T208" i="1" s="1"/>
  <c r="Z212" i="1"/>
  <c r="AA212" i="1"/>
  <c r="Z3" i="1"/>
  <c r="Z31" i="1"/>
  <c r="Z37" i="1"/>
  <c r="AB37" i="1" s="1"/>
  <c r="AC37" i="1" s="1"/>
  <c r="T37" i="1" s="1"/>
  <c r="Z53" i="1"/>
  <c r="Z56" i="1"/>
  <c r="Z62" i="1"/>
  <c r="Z95" i="1"/>
  <c r="Z98" i="1"/>
  <c r="AB98" i="1" s="1"/>
  <c r="AC98" i="1" s="1"/>
  <c r="T98" i="1" s="1"/>
  <c r="Z99" i="1"/>
  <c r="AB99" i="1" s="1"/>
  <c r="AC99" i="1" s="1"/>
  <c r="T99" i="1" s="1"/>
  <c r="Z103" i="1"/>
  <c r="AB103" i="1" s="1"/>
  <c r="AC103" i="1" s="1"/>
  <c r="T103" i="1" s="1"/>
  <c r="Z109" i="1"/>
  <c r="AA110" i="1"/>
  <c r="AB110" i="1" s="1"/>
  <c r="AC110" i="1" s="1"/>
  <c r="T110" i="1" s="1"/>
  <c r="Z111" i="1"/>
  <c r="AB111" i="1" s="1"/>
  <c r="AC111" i="1" s="1"/>
  <c r="T111" i="1" s="1"/>
  <c r="Z112" i="1"/>
  <c r="AB112" i="1" s="1"/>
  <c r="AC112" i="1" s="1"/>
  <c r="T112" i="1" s="1"/>
  <c r="Z130" i="1"/>
  <c r="AB130" i="1" s="1"/>
  <c r="AC130" i="1" s="1"/>
  <c r="T130" i="1" s="1"/>
  <c r="Z132" i="1"/>
  <c r="AB132" i="1" s="1"/>
  <c r="AC132" i="1" s="1"/>
  <c r="T132" i="1" s="1"/>
  <c r="Z135" i="1"/>
  <c r="AB135" i="1" s="1"/>
  <c r="AC135" i="1" s="1"/>
  <c r="T135" i="1" s="1"/>
  <c r="AA136" i="1"/>
  <c r="AB136" i="1" s="1"/>
  <c r="AC136" i="1" s="1"/>
  <c r="T136" i="1" s="1"/>
  <c r="AA137" i="1"/>
  <c r="AB137" i="1" s="1"/>
  <c r="AC137" i="1" s="1"/>
  <c r="T137" i="1" s="1"/>
  <c r="Z139" i="1"/>
  <c r="AB139" i="1" s="1"/>
  <c r="AC139" i="1" s="1"/>
  <c r="T139" i="1" s="1"/>
  <c r="Z143" i="1"/>
  <c r="AB143" i="1" s="1"/>
  <c r="AC143" i="1" s="1"/>
  <c r="T143" i="1" s="1"/>
  <c r="AA147" i="1"/>
  <c r="AB147" i="1" s="1"/>
  <c r="AC147" i="1" s="1"/>
  <c r="T147" i="1" s="1"/>
  <c r="Z150" i="1"/>
  <c r="AB150" i="1" s="1"/>
  <c r="AC150" i="1" s="1"/>
  <c r="T150" i="1" s="1"/>
  <c r="AA152" i="1"/>
  <c r="AB152" i="1" s="1"/>
  <c r="AC152" i="1" s="1"/>
  <c r="T152" i="1" s="1"/>
  <c r="Z153" i="1"/>
  <c r="AB153" i="1" s="1"/>
  <c r="AC153" i="1" s="1"/>
  <c r="T153" i="1" s="1"/>
  <c r="AA155" i="1"/>
  <c r="AB155" i="1" s="1"/>
  <c r="AC155" i="1" s="1"/>
  <c r="T155" i="1" s="1"/>
  <c r="Z157" i="1"/>
  <c r="AB157" i="1" s="1"/>
  <c r="AC157" i="1" s="1"/>
  <c r="T157" i="1" s="1"/>
  <c r="AA186" i="1"/>
  <c r="AB186" i="1" s="1"/>
  <c r="AC186" i="1" s="1"/>
  <c r="T186" i="1" s="1"/>
  <c r="AA188" i="1"/>
  <c r="AB188" i="1" s="1"/>
  <c r="AC188" i="1" s="1"/>
  <c r="T188" i="1" s="1"/>
  <c r="AA190" i="1"/>
  <c r="AB190" i="1" s="1"/>
  <c r="AC190" i="1" s="1"/>
  <c r="T190" i="1" s="1"/>
  <c r="Z210" i="1"/>
  <c r="AA210" i="1"/>
  <c r="Z214" i="1"/>
  <c r="AA214" i="1"/>
  <c r="Z288" i="1"/>
  <c r="Z293" i="1"/>
  <c r="Z294" i="1"/>
  <c r="Z295" i="1"/>
  <c r="Z296" i="1"/>
  <c r="Z304" i="1"/>
  <c r="Z328" i="1"/>
  <c r="W3" i="4"/>
  <c r="AA216" i="1"/>
  <c r="AB216" i="1" s="1"/>
  <c r="AC216" i="1" s="1"/>
  <c r="T216" i="1" s="1"/>
  <c r="AA218" i="1"/>
  <c r="Z221" i="1"/>
  <c r="Z222" i="1"/>
  <c r="AB222" i="1" s="1"/>
  <c r="AC222" i="1" s="1"/>
  <c r="T222" i="1" s="1"/>
  <c r="Z229" i="1"/>
  <c r="AB229" i="1" s="1"/>
  <c r="AC229" i="1" s="1"/>
  <c r="T229" i="1" s="1"/>
  <c r="Z234" i="1"/>
  <c r="Z235" i="1"/>
  <c r="AB235" i="1" s="1"/>
  <c r="AC235" i="1" s="1"/>
  <c r="T235" i="1" s="1"/>
  <c r="Z236" i="1"/>
  <c r="Z237" i="1"/>
  <c r="AB237" i="1" s="1"/>
  <c r="AC237" i="1" s="1"/>
  <c r="T237" i="1" s="1"/>
  <c r="Z242" i="1"/>
  <c r="AB242" i="1" s="1"/>
  <c r="AC242" i="1" s="1"/>
  <c r="T242" i="1" s="1"/>
  <c r="Z243" i="1"/>
  <c r="Z244" i="1"/>
  <c r="AB244" i="1" s="1"/>
  <c r="AC244" i="1" s="1"/>
  <c r="T244" i="1" s="1"/>
  <c r="Z245" i="1"/>
  <c r="AB245" i="1" s="1"/>
  <c r="AC245" i="1" s="1"/>
  <c r="T245" i="1" s="1"/>
  <c r="Z273" i="1"/>
  <c r="AB273" i="1" s="1"/>
  <c r="Z274" i="1"/>
  <c r="AB274" i="1" s="1"/>
  <c r="AC274" i="1" s="1"/>
  <c r="T274" i="1" s="1"/>
  <c r="Z275" i="1"/>
  <c r="AB275" i="1" s="1"/>
  <c r="AC275" i="1" s="1"/>
  <c r="T275" i="1" s="1"/>
  <c r="Z276" i="1"/>
  <c r="Z281" i="1"/>
  <c r="Z282" i="1"/>
  <c r="Z283" i="1"/>
  <c r="Z284" i="1"/>
  <c r="Z297" i="1"/>
  <c r="Z298" i="1"/>
  <c r="Z299" i="1"/>
  <c r="Z300" i="1"/>
  <c r="Z306" i="1"/>
  <c r="Z307" i="1"/>
  <c r="Z308" i="1"/>
  <c r="Z313" i="1"/>
  <c r="Z314" i="1"/>
  <c r="Z315" i="1"/>
  <c r="Z316" i="1"/>
  <c r="Z321" i="1"/>
  <c r="Z322" i="1"/>
  <c r="Z323" i="1"/>
  <c r="Z324" i="1"/>
  <c r="Z330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T100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A28" i="1"/>
  <c r="AB28" i="1" s="1"/>
  <c r="AC28" i="1" s="1"/>
  <c r="T28" i="1" s="1"/>
  <c r="AA29" i="1"/>
  <c r="AA32" i="1"/>
  <c r="AB32" i="1" s="1"/>
  <c r="AC32" i="1" s="1"/>
  <c r="T32" i="1" s="1"/>
  <c r="AA33" i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49" i="1"/>
  <c r="AB49" i="1" s="1"/>
  <c r="AC49" i="1" s="1"/>
  <c r="T49" i="1" s="1"/>
  <c r="AA52" i="1"/>
  <c r="AB52" i="1" s="1"/>
  <c r="AC52" i="1" s="1"/>
  <c r="T52" i="1" s="1"/>
  <c r="AA54" i="1"/>
  <c r="AB54" i="1" s="1"/>
  <c r="AC54" i="1" s="1"/>
  <c r="T54" i="1" s="1"/>
  <c r="AA55" i="1"/>
  <c r="AB55" i="1" s="1"/>
  <c r="AC55" i="1" s="1"/>
  <c r="T55" i="1" s="1"/>
  <c r="AA63" i="1"/>
  <c r="AB63" i="1" s="1"/>
  <c r="AC63" i="1" s="1"/>
  <c r="T63" i="1" s="1"/>
  <c r="AA76" i="1"/>
  <c r="AB76" i="1" s="1"/>
  <c r="AC76" i="1" s="1"/>
  <c r="T76" i="1" s="1"/>
  <c r="AA77" i="1"/>
  <c r="AB77" i="1" s="1"/>
  <c r="AC77" i="1" s="1"/>
  <c r="T77" i="1" s="1"/>
  <c r="AA79" i="1"/>
  <c r="AB79" i="1" s="1"/>
  <c r="AC79" i="1" s="1"/>
  <c r="T79" i="1" s="1"/>
  <c r="AA81" i="1"/>
  <c r="AB81" i="1" s="1"/>
  <c r="AC81" i="1" s="1"/>
  <c r="T81" i="1" s="1"/>
  <c r="AA82" i="1"/>
  <c r="AB82" i="1" s="1"/>
  <c r="AC82" i="1" s="1"/>
  <c r="T82" i="1" s="1"/>
  <c r="AA86" i="1"/>
  <c r="AB86" i="1" s="1"/>
  <c r="AC86" i="1" s="1"/>
  <c r="T86" i="1" s="1"/>
  <c r="AA87" i="1"/>
  <c r="AB87" i="1" s="1"/>
  <c r="AC87" i="1" s="1"/>
  <c r="T87" i="1" s="1"/>
  <c r="AA89" i="1"/>
  <c r="AB89" i="1" s="1"/>
  <c r="AC89" i="1" s="1"/>
  <c r="T89" i="1" s="1"/>
  <c r="AA90" i="1"/>
  <c r="AB90" i="1" s="1"/>
  <c r="AC90" i="1" s="1"/>
  <c r="T90" i="1" s="1"/>
  <c r="AA92" i="1"/>
  <c r="AB92" i="1" s="1"/>
  <c r="AC92" i="1" s="1"/>
  <c r="T92" i="1" s="1"/>
  <c r="AA93" i="1"/>
  <c r="AB93" i="1" s="1"/>
  <c r="AC93" i="1" s="1"/>
  <c r="T93" i="1" s="1"/>
  <c r="AA94" i="1"/>
  <c r="AB94" i="1" s="1"/>
  <c r="AC94" i="1" s="1"/>
  <c r="T94" i="1" s="1"/>
  <c r="AA102" i="1"/>
  <c r="AB102" i="1" s="1"/>
  <c r="AC102" i="1" s="1"/>
  <c r="T102" i="1" s="1"/>
  <c r="AA108" i="1"/>
  <c r="AB108" i="1" s="1"/>
  <c r="AC108" i="1" s="1"/>
  <c r="T108" i="1" s="1"/>
  <c r="AA113" i="1"/>
  <c r="AB113" i="1" s="1"/>
  <c r="AC113" i="1" s="1"/>
  <c r="T113" i="1" s="1"/>
  <c r="AA114" i="1"/>
  <c r="AB114" i="1" s="1"/>
  <c r="AC114" i="1" s="1"/>
  <c r="T114" i="1" s="1"/>
  <c r="AA129" i="1"/>
  <c r="AB129" i="1" s="1"/>
  <c r="AC129" i="1" s="1"/>
  <c r="T129" i="1" s="1"/>
  <c r="AA133" i="1"/>
  <c r="AB133" i="1" s="1"/>
  <c r="AC133" i="1" s="1"/>
  <c r="T133" i="1" s="1"/>
  <c r="AA140" i="1"/>
  <c r="AB140" i="1" s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58" i="1"/>
  <c r="AB158" i="1" s="1"/>
  <c r="AC158" i="1" s="1"/>
  <c r="T158" i="1" s="1"/>
  <c r="AA159" i="1"/>
  <c r="AB159" i="1" s="1"/>
  <c r="AC159" i="1" s="1"/>
  <c r="T159" i="1" s="1"/>
  <c r="AA164" i="1"/>
  <c r="AB164" i="1" s="1"/>
  <c r="AC164" i="1" s="1"/>
  <c r="T164" i="1" s="1"/>
  <c r="AA173" i="1"/>
  <c r="AA175" i="1"/>
  <c r="AA219" i="1"/>
  <c r="Z219" i="1"/>
  <c r="Z180" i="1"/>
  <c r="AB180" i="1" s="1"/>
  <c r="AC180" i="1" s="1"/>
  <c r="T180" i="1" s="1"/>
  <c r="Z182" i="1"/>
  <c r="AB182" i="1" s="1"/>
  <c r="AC182" i="1" s="1"/>
  <c r="T182" i="1" s="1"/>
  <c r="Z183" i="1"/>
  <c r="AB183" i="1" s="1"/>
  <c r="AC183" i="1" s="1"/>
  <c r="T183" i="1" s="1"/>
  <c r="I49" i="1"/>
  <c r="I76" i="1"/>
  <c r="I84" i="1"/>
  <c r="I102" i="1"/>
  <c r="I107" i="1"/>
  <c r="I109" i="1"/>
  <c r="I113" i="1"/>
  <c r="Z178" i="1"/>
  <c r="AB178" i="1" s="1"/>
  <c r="AC178" i="1" s="1"/>
  <c r="T178" i="1" s="1"/>
  <c r="Z177" i="1"/>
  <c r="AB177" i="1" s="1"/>
  <c r="AC177" i="1" s="1"/>
  <c r="T177" i="1" s="1"/>
  <c r="Z176" i="1"/>
  <c r="AB176" i="1" s="1"/>
  <c r="AC176" i="1" s="1"/>
  <c r="T176" i="1" s="1"/>
  <c r="Z174" i="1"/>
  <c r="AB174" i="1" s="1"/>
  <c r="AC174" i="1" s="1"/>
  <c r="T174" i="1" s="1"/>
  <c r="Z170" i="1"/>
  <c r="AB170" i="1" s="1"/>
  <c r="AC170" i="1" s="1"/>
  <c r="T170" i="1" s="1"/>
  <c r="Z172" i="1"/>
  <c r="AB172" i="1" s="1"/>
  <c r="AC172" i="1" s="1"/>
  <c r="T172" i="1" s="1"/>
  <c r="Z171" i="1"/>
  <c r="AB171" i="1" s="1"/>
  <c r="AC171" i="1" s="1"/>
  <c r="T171" i="1" s="1"/>
  <c r="AA169" i="1"/>
  <c r="AB169" i="1" s="1"/>
  <c r="AC169" i="1" s="1"/>
  <c r="T169" i="1" s="1"/>
  <c r="Z167" i="1"/>
  <c r="AB167" i="1" s="1"/>
  <c r="AC167" i="1" s="1"/>
  <c r="T167" i="1" s="1"/>
  <c r="Z166" i="1"/>
  <c r="AB166" i="1" s="1"/>
  <c r="AC166" i="1" s="1"/>
  <c r="T166" i="1" s="1"/>
  <c r="Z163" i="1"/>
  <c r="AB163" i="1" s="1"/>
  <c r="AC163" i="1" s="1"/>
  <c r="T163" i="1" s="1"/>
  <c r="B10" i="1"/>
  <c r="B14" i="1"/>
  <c r="B16" i="1"/>
  <c r="B23" i="1"/>
  <c r="B26" i="1"/>
  <c r="B30" i="1"/>
  <c r="B32" i="1"/>
  <c r="B34" i="1"/>
  <c r="B51" i="1"/>
  <c r="B63" i="1"/>
  <c r="B65" i="1"/>
  <c r="B70" i="1"/>
  <c r="B85" i="1"/>
  <c r="B89" i="1"/>
  <c r="B107" i="1"/>
  <c r="B111" i="1"/>
  <c r="B113" i="1"/>
  <c r="B115" i="1"/>
  <c r="B117" i="1"/>
  <c r="B127" i="1"/>
  <c r="B131" i="1"/>
  <c r="B134" i="1"/>
  <c r="B139" i="1"/>
  <c r="B142" i="1"/>
  <c r="AD238" i="1" l="1"/>
  <c r="AB214" i="1"/>
  <c r="AC214" i="1" s="1"/>
  <c r="T214" i="1" s="1"/>
  <c r="AB219" i="1"/>
  <c r="AC219" i="1" s="1"/>
  <c r="T219" i="1" s="1"/>
  <c r="AB210" i="1"/>
  <c r="AC210" i="1" s="1"/>
  <c r="T210" i="1" s="1"/>
  <c r="AB212" i="1"/>
  <c r="AC212" i="1" s="1"/>
  <c r="T212" i="1" s="1"/>
  <c r="AA109" i="1"/>
  <c r="AB109" i="1" s="1"/>
  <c r="AC109" i="1" s="1"/>
  <c r="T109" i="1" s="1"/>
  <c r="G14" i="1"/>
  <c r="A14" i="1" s="1"/>
  <c r="AA91" i="1"/>
  <c r="AB91" i="1" s="1"/>
  <c r="AC91" i="1" s="1"/>
  <c r="T91" i="1" s="1"/>
  <c r="AA95" i="1"/>
  <c r="AB95" i="1" s="1"/>
  <c r="AC95" i="1" s="1"/>
  <c r="T95" i="1" s="1"/>
  <c r="AA85" i="1"/>
  <c r="AB85" i="1" s="1"/>
  <c r="AC85" i="1" s="1"/>
  <c r="T85" i="1" s="1"/>
  <c r="A330" i="1"/>
  <c r="AD330" i="1" s="1"/>
  <c r="A304" i="1"/>
  <c r="AD304" i="1" s="1"/>
  <c r="A302" i="1"/>
  <c r="AD302" i="1" s="1"/>
  <c r="A300" i="1"/>
  <c r="AD300" i="1" s="1"/>
  <c r="A298" i="1"/>
  <c r="AD298" i="1" s="1"/>
  <c r="A296" i="1"/>
  <c r="AD296" i="1" s="1"/>
  <c r="A294" i="1"/>
  <c r="AD294" i="1" s="1"/>
  <c r="A292" i="1"/>
  <c r="AD292" i="1" s="1"/>
  <c r="A290" i="1"/>
  <c r="AD290" i="1" s="1"/>
  <c r="A287" i="1"/>
  <c r="AD287" i="1" s="1"/>
  <c r="A285" i="1"/>
  <c r="AD285" i="1" s="1"/>
  <c r="A283" i="1"/>
  <c r="AD283" i="1" s="1"/>
  <c r="A281" i="1"/>
  <c r="AD281" i="1" s="1"/>
  <c r="A279" i="1"/>
  <c r="AD279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327" i="1"/>
  <c r="AD327" i="1" s="1"/>
  <c r="A325" i="1"/>
  <c r="AD325" i="1" s="1"/>
  <c r="A323" i="1"/>
  <c r="AD323" i="1" s="1"/>
  <c r="A321" i="1"/>
  <c r="AD321" i="1" s="1"/>
  <c r="A319" i="1"/>
  <c r="AD319" i="1" s="1"/>
  <c r="A316" i="1"/>
  <c r="AD316" i="1" s="1"/>
  <c r="A314" i="1"/>
  <c r="AD314" i="1" s="1"/>
  <c r="A312" i="1"/>
  <c r="AD312" i="1" s="1"/>
  <c r="A310" i="1"/>
  <c r="AD310" i="1" s="1"/>
  <c r="A308" i="1"/>
  <c r="AD308" i="1" s="1"/>
  <c r="A306" i="1"/>
  <c r="AD306" i="1" s="1"/>
  <c r="A303" i="1"/>
  <c r="AD303" i="1" s="1"/>
  <c r="A301" i="1"/>
  <c r="AD301" i="1" s="1"/>
  <c r="A299" i="1"/>
  <c r="AD299" i="1" s="1"/>
  <c r="A297" i="1"/>
  <c r="AD297" i="1" s="1"/>
  <c r="A295" i="1"/>
  <c r="AD295" i="1" s="1"/>
  <c r="A293" i="1"/>
  <c r="AD293" i="1" s="1"/>
  <c r="A291" i="1"/>
  <c r="AD291" i="1" s="1"/>
  <c r="A288" i="1"/>
  <c r="AD288" i="1" s="1"/>
  <c r="A286" i="1"/>
  <c r="AD286" i="1" s="1"/>
  <c r="A284" i="1"/>
  <c r="AD284" i="1" s="1"/>
  <c r="A282" i="1"/>
  <c r="AD282" i="1" s="1"/>
  <c r="A280" i="1"/>
  <c r="AD280" i="1" s="1"/>
  <c r="A278" i="1"/>
  <c r="AD278" i="1" s="1"/>
  <c r="A275" i="1"/>
  <c r="A273" i="1"/>
  <c r="A271" i="1"/>
  <c r="W271" i="1" s="1"/>
  <c r="A246" i="1"/>
  <c r="A233" i="1"/>
  <c r="A231" i="1"/>
  <c r="AD231" i="1" s="1"/>
  <c r="A220" i="1"/>
  <c r="A217" i="1"/>
  <c r="A213" i="1"/>
  <c r="AD213" i="1" s="1"/>
  <c r="A212" i="1"/>
  <c r="A209" i="1"/>
  <c r="A208" i="1"/>
  <c r="A205" i="1"/>
  <c r="A204" i="1"/>
  <c r="A201" i="1"/>
  <c r="A194" i="1"/>
  <c r="A191" i="1"/>
  <c r="A187" i="1"/>
  <c r="AD187" i="1" s="1"/>
  <c r="A186" i="1"/>
  <c r="A184" i="1"/>
  <c r="AD184" i="1" s="1"/>
  <c r="A179" i="1"/>
  <c r="A177" i="1"/>
  <c r="AD177" i="1" s="1"/>
  <c r="A173" i="1"/>
  <c r="AD173" i="1" s="1"/>
  <c r="A170" i="1"/>
  <c r="AD170" i="1" s="1"/>
  <c r="A167" i="1"/>
  <c r="AD167" i="1" s="1"/>
  <c r="A164" i="1"/>
  <c r="A160" i="1"/>
  <c r="AD160" i="1" s="1"/>
  <c r="A158" i="1"/>
  <c r="AD158" i="1" s="1"/>
  <c r="A154" i="1"/>
  <c r="A148" i="1"/>
  <c r="AD148" i="1" s="1"/>
  <c r="A140" i="1"/>
  <c r="AD140" i="1" s="1"/>
  <c r="A130" i="1"/>
  <c r="AD130" i="1" s="1"/>
  <c r="A114" i="1"/>
  <c r="A76" i="1"/>
  <c r="AD76" i="1" s="1"/>
  <c r="A62" i="1"/>
  <c r="AD62" i="1" s="1"/>
  <c r="A48" i="1"/>
  <c r="AD48" i="1" s="1"/>
  <c r="A25" i="1"/>
  <c r="AD25" i="1" s="1"/>
  <c r="A19" i="1"/>
  <c r="AD19" i="1" s="1"/>
  <c r="A8" i="1"/>
  <c r="AD8" i="1" s="1"/>
  <c r="A328" i="1"/>
  <c r="AD328" i="1" s="1"/>
  <c r="A326" i="1"/>
  <c r="AD326" i="1" s="1"/>
  <c r="A324" i="1"/>
  <c r="AD324" i="1" s="1"/>
  <c r="A322" i="1"/>
  <c r="AD322" i="1" s="1"/>
  <c r="A320" i="1"/>
  <c r="AD320" i="1" s="1"/>
  <c r="A318" i="1"/>
  <c r="AD318" i="1" s="1"/>
  <c r="A315" i="1"/>
  <c r="AD315" i="1" s="1"/>
  <c r="A313" i="1"/>
  <c r="AD313" i="1" s="1"/>
  <c r="A311" i="1"/>
  <c r="AD311" i="1" s="1"/>
  <c r="A309" i="1"/>
  <c r="AD309" i="1" s="1"/>
  <c r="A307" i="1"/>
  <c r="AD307" i="1" s="1"/>
  <c r="A276" i="1"/>
  <c r="AD276" i="1" s="1"/>
  <c r="A274" i="1"/>
  <c r="A272" i="1"/>
  <c r="AD272" i="1" s="1"/>
  <c r="A258" i="1"/>
  <c r="AD258" i="1" s="1"/>
  <c r="A245" i="1"/>
  <c r="A243" i="1"/>
  <c r="AD243" i="1" s="1"/>
  <c r="A241" i="1"/>
  <c r="AD241" i="1" s="1"/>
  <c r="A239" i="1"/>
  <c r="AD239" i="1" s="1"/>
  <c r="A236" i="1"/>
  <c r="AD236" i="1" s="1"/>
  <c r="A234" i="1"/>
  <c r="AD234" i="1" s="1"/>
  <c r="A230" i="1"/>
  <c r="A221" i="1"/>
  <c r="AD221" i="1" s="1"/>
  <c r="A218" i="1"/>
  <c r="AD218" i="1" s="1"/>
  <c r="A215" i="1"/>
  <c r="AD215" i="1" s="1"/>
  <c r="A211" i="1"/>
  <c r="A210" i="1"/>
  <c r="A207" i="1"/>
  <c r="A206" i="1"/>
  <c r="A203" i="1"/>
  <c r="A202" i="1"/>
  <c r="A197" i="1"/>
  <c r="A189" i="1"/>
  <c r="AD189" i="1" s="1"/>
  <c r="A183" i="1"/>
  <c r="AD183" i="1" s="1"/>
  <c r="A181" i="1"/>
  <c r="AD181" i="1" s="1"/>
  <c r="A178" i="1"/>
  <c r="AD178" i="1" s="1"/>
  <c r="A175" i="1"/>
  <c r="AD175" i="1" s="1"/>
  <c r="A172" i="1"/>
  <c r="AD172" i="1" s="1"/>
  <c r="A171" i="1"/>
  <c r="AD171" i="1" s="1"/>
  <c r="A168" i="1"/>
  <c r="A166" i="1"/>
  <c r="AD166" i="1" s="1"/>
  <c r="A163" i="1"/>
  <c r="AD163" i="1" s="1"/>
  <c r="A161" i="1"/>
  <c r="AD161" i="1" s="1"/>
  <c r="A159" i="1"/>
  <c r="AD159" i="1" s="1"/>
  <c r="A156" i="1"/>
  <c r="AD156" i="1" s="1"/>
  <c r="A150" i="1"/>
  <c r="A146" i="1"/>
  <c r="A143" i="1"/>
  <c r="AD143" i="1" s="1"/>
  <c r="A138" i="1"/>
  <c r="AD138" i="1" s="1"/>
  <c r="A136" i="1"/>
  <c r="AD136" i="1" s="1"/>
  <c r="A132" i="1"/>
  <c r="A129" i="1"/>
  <c r="AD129" i="1" s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7" i="1"/>
  <c r="AD157" i="1" s="1"/>
  <c r="A145" i="1"/>
  <c r="A137" i="1"/>
  <c r="AD137" i="1" s="1"/>
  <c r="A104" i="1"/>
  <c r="AD104" i="1" s="1"/>
  <c r="A103" i="1"/>
  <c r="AD103" i="1" s="1"/>
  <c r="A91" i="1"/>
  <c r="AD91" i="1" s="1"/>
  <c r="A49" i="1"/>
  <c r="AD49" i="1" s="1"/>
  <c r="A29" i="1"/>
  <c r="AD29" i="1" s="1"/>
  <c r="A24" i="1"/>
  <c r="AD24" i="1" s="1"/>
  <c r="AA80" i="1"/>
  <c r="AB80" i="1" s="1"/>
  <c r="AC80" i="1" s="1"/>
  <c r="T80" i="1" s="1"/>
  <c r="AD79" i="1"/>
  <c r="AA78" i="1"/>
  <c r="AB78" i="1" s="1"/>
  <c r="AC78" i="1" s="1"/>
  <c r="T78" i="1" s="1"/>
  <c r="AA58" i="1"/>
  <c r="AB58" i="1" s="1"/>
  <c r="AC58" i="1" s="1"/>
  <c r="T58" i="1" s="1"/>
  <c r="G4" i="1"/>
  <c r="G3" i="1"/>
  <c r="AA56" i="1"/>
  <c r="AB56" i="1" s="1"/>
  <c r="AC56" i="1" s="1"/>
  <c r="T56" i="1" s="1"/>
  <c r="AA53" i="1"/>
  <c r="AB53" i="1" s="1"/>
  <c r="AC53" i="1" s="1"/>
  <c r="T53" i="1" s="1"/>
  <c r="AA51" i="1"/>
  <c r="AB51" i="1" s="1"/>
  <c r="AC51" i="1" s="1"/>
  <c r="T51" i="1" s="1"/>
  <c r="AA50" i="1"/>
  <c r="AB50" i="1" s="1"/>
  <c r="AC50" i="1" s="1"/>
  <c r="T50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5" i="1"/>
  <c r="A155" i="1" s="1"/>
  <c r="G151" i="1"/>
  <c r="A151" i="1" s="1"/>
  <c r="G147" i="1"/>
  <c r="A147" i="1" s="1"/>
  <c r="G128" i="1"/>
  <c r="A12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9" i="1"/>
  <c r="G165" i="1"/>
  <c r="W62" i="1"/>
  <c r="W25" i="1"/>
  <c r="B149" i="1"/>
  <c r="B153" i="1"/>
  <c r="AD275" i="1" l="1"/>
  <c r="AD274" i="1"/>
  <c r="AD246" i="1"/>
  <c r="AD245" i="1"/>
  <c r="AD197" i="1"/>
  <c r="AD233" i="1"/>
  <c r="AD230" i="1"/>
  <c r="AD220" i="1"/>
  <c r="AD217" i="1"/>
  <c r="AD207" i="1"/>
  <c r="AD211" i="1"/>
  <c r="AD205" i="1"/>
  <c r="AD209" i="1"/>
  <c r="AD206" i="1"/>
  <c r="AD210" i="1"/>
  <c r="AD208" i="1"/>
  <c r="AD212" i="1"/>
  <c r="AD204" i="1"/>
  <c r="AD203" i="1"/>
  <c r="AD202" i="1"/>
  <c r="AD201" i="1"/>
  <c r="AD194" i="1"/>
  <c r="AD191" i="1"/>
  <c r="AD186" i="1"/>
  <c r="AD179" i="1"/>
  <c r="AD164" i="1"/>
  <c r="AD168" i="1"/>
  <c r="AD154" i="1"/>
  <c r="G16" i="1"/>
  <c r="A16" i="1" s="1"/>
  <c r="AD132" i="1"/>
  <c r="AD96" i="1"/>
  <c r="AD77" i="1"/>
  <c r="AD57" i="1"/>
  <c r="AD44" i="1"/>
  <c r="G23" i="1"/>
  <c r="A23" i="1" s="1"/>
  <c r="AD150" i="1"/>
  <c r="AD146" i="1"/>
  <c r="AD145" i="1"/>
  <c r="G71" i="1"/>
  <c r="A71" i="1" s="1"/>
  <c r="AD114" i="1"/>
  <c r="AD92" i="1"/>
  <c r="AD86" i="1"/>
  <c r="A58" i="1"/>
  <c r="A100" i="1"/>
  <c r="A3" i="1"/>
  <c r="AD3" i="1" s="1"/>
  <c r="A165" i="1"/>
  <c r="A41" i="1"/>
  <c r="A93" i="1"/>
  <c r="A7" i="1"/>
  <c r="A169" i="1"/>
  <c r="A21" i="1"/>
  <c r="A27" i="1"/>
  <c r="A87" i="1"/>
  <c r="A112" i="1"/>
  <c r="A4" i="1"/>
  <c r="W4" i="1" s="1"/>
  <c r="G10" i="1"/>
  <c r="G20" i="1"/>
  <c r="G22" i="1"/>
  <c r="G180" i="1"/>
  <c r="W181" i="1"/>
  <c r="W9" i="1"/>
  <c r="W64" i="1"/>
  <c r="W274" i="1"/>
  <c r="W275" i="1" s="1"/>
  <c r="B162" i="1"/>
  <c r="B174" i="1"/>
  <c r="W5" i="1"/>
  <c r="B176" i="1"/>
  <c r="G174" i="1" l="1"/>
  <c r="A174" i="1" s="1"/>
  <c r="W174" i="1" s="1"/>
  <c r="G176" i="1"/>
  <c r="G78" i="1"/>
  <c r="A78" i="1" s="1"/>
  <c r="G74" i="1"/>
  <c r="A74" i="1" s="1"/>
  <c r="G83" i="1"/>
  <c r="A83" i="1" s="1"/>
  <c r="A176" i="1"/>
  <c r="W176" i="1" s="1"/>
  <c r="A180" i="1"/>
  <c r="A22" i="1"/>
  <c r="A10" i="1"/>
  <c r="W10" i="1" s="1"/>
  <c r="A20" i="1"/>
  <c r="G26" i="1"/>
  <c r="W22" i="1"/>
  <c r="W23" i="1"/>
  <c r="W6" i="1"/>
  <c r="B182" i="1"/>
  <c r="W177" i="1"/>
  <c r="B185" i="1"/>
  <c r="B188" i="1"/>
  <c r="G185" i="1" l="1"/>
  <c r="A185" i="1" s="1"/>
  <c r="W185" i="1" s="1"/>
  <c r="G182" i="1"/>
  <c r="A182" i="1" s="1"/>
  <c r="W182" i="1" s="1"/>
  <c r="G188" i="1"/>
  <c r="A188" i="1" s="1"/>
  <c r="W188" i="1" s="1"/>
  <c r="G88" i="1"/>
  <c r="A88" i="1" s="1"/>
  <c r="G90" i="1"/>
  <c r="A90" i="1" s="1"/>
  <c r="A26" i="1"/>
  <c r="G28" i="1"/>
  <c r="G34" i="1"/>
  <c r="G32" i="1"/>
  <c r="G30" i="1"/>
  <c r="W88" i="1"/>
  <c r="W26" i="1"/>
  <c r="W14" i="1"/>
  <c r="W183" i="1"/>
  <c r="W7" i="1"/>
  <c r="W24" i="1"/>
  <c r="W27" i="1"/>
  <c r="B190" i="1"/>
  <c r="W11" i="1"/>
  <c r="W186" i="1"/>
  <c r="W178" i="1"/>
  <c r="B193" i="1"/>
  <c r="B196" i="1"/>
  <c r="G193" i="1" l="1"/>
  <c r="A193" i="1" s="1"/>
  <c r="W193" i="1" s="1"/>
  <c r="G190" i="1"/>
  <c r="A190" i="1" s="1"/>
  <c r="W190" i="1" s="1"/>
  <c r="G196" i="1"/>
  <c r="A196" i="1" s="1"/>
  <c r="W196" i="1" s="1"/>
  <c r="G51" i="1"/>
  <c r="A51" i="1" s="1"/>
  <c r="G99" i="1"/>
  <c r="A99" i="1" s="1"/>
  <c r="G97" i="1"/>
  <c r="A97" i="1" s="1"/>
  <c r="A32" i="1"/>
  <c r="W32" i="1" s="1"/>
  <c r="A28" i="1"/>
  <c r="A30" i="1"/>
  <c r="W30" i="1" s="1"/>
  <c r="A34" i="1"/>
  <c r="W34" i="1" s="1"/>
  <c r="G45" i="1"/>
  <c r="G42" i="1"/>
  <c r="W138" i="1"/>
  <c r="W15" i="1"/>
  <c r="W194" i="1"/>
  <c r="W197" i="1"/>
  <c r="W191" i="1"/>
  <c r="B200" i="1"/>
  <c r="W179" i="1"/>
  <c r="W28" i="1"/>
  <c r="W8" i="1"/>
  <c r="W35" i="1"/>
  <c r="G200" i="1" l="1"/>
  <c r="A200" i="1" s="1"/>
  <c r="W200" i="1" s="1"/>
  <c r="G65" i="1"/>
  <c r="A65" i="1" s="1"/>
  <c r="W65" i="1" s="1"/>
  <c r="G63" i="1"/>
  <c r="A63" i="1" s="1"/>
  <c r="W63" i="1" s="1"/>
  <c r="G89" i="1"/>
  <c r="A89" i="1" s="1"/>
  <c r="W89" i="1" s="1"/>
  <c r="G85" i="1"/>
  <c r="A85" i="1" s="1"/>
  <c r="W85" i="1" s="1"/>
  <c r="G70" i="1"/>
  <c r="A70" i="1" s="1"/>
  <c r="W70" i="1" s="1"/>
  <c r="G118" i="1"/>
  <c r="A118" i="1" s="1"/>
  <c r="G133" i="1"/>
  <c r="A133" i="1" s="1"/>
  <c r="G141" i="1"/>
  <c r="A141" i="1" s="1"/>
  <c r="G135" i="1"/>
  <c r="A135" i="1" s="1"/>
  <c r="A45" i="1"/>
  <c r="A42" i="1"/>
  <c r="G56" i="1"/>
  <c r="G50" i="1"/>
  <c r="W141" i="1"/>
  <c r="W16" i="1"/>
  <c r="W133" i="1"/>
  <c r="W66" i="1"/>
  <c r="W90" i="1"/>
  <c r="B214" i="1"/>
  <c r="W36" i="1"/>
  <c r="W86" i="1"/>
  <c r="W71" i="1"/>
  <c r="W180" i="1"/>
  <c r="W201" i="1"/>
  <c r="B216" i="1"/>
  <c r="B219" i="1"/>
  <c r="G214" i="1" l="1"/>
  <c r="A214" i="1" s="1"/>
  <c r="W214" i="1" s="1"/>
  <c r="G219" i="1"/>
  <c r="A219" i="1" s="1"/>
  <c r="W219" i="1" s="1"/>
  <c r="G216" i="1"/>
  <c r="A216" i="1" s="1"/>
  <c r="W216" i="1" s="1"/>
  <c r="G107" i="1"/>
  <c r="A107" i="1" s="1"/>
  <c r="G144" i="1"/>
  <c r="A144" i="1" s="1"/>
  <c r="A56" i="1"/>
  <c r="A50" i="1"/>
  <c r="W50" i="1"/>
  <c r="W51" i="1"/>
  <c r="W130" i="1"/>
  <c r="W202" i="1"/>
  <c r="W91" i="1"/>
  <c r="W217" i="1"/>
  <c r="W37" i="1"/>
  <c r="W87" i="1"/>
  <c r="W17" i="1"/>
  <c r="B222" i="1"/>
  <c r="W203" i="1"/>
  <c r="W220" i="1"/>
  <c r="W72" i="1"/>
  <c r="W67" i="1"/>
  <c r="B229" i="1"/>
  <c r="B232" i="1"/>
  <c r="B235" i="1"/>
  <c r="G229" i="1" l="1"/>
  <c r="A229" i="1" s="1"/>
  <c r="W229" i="1" s="1"/>
  <c r="G222" i="1"/>
  <c r="A222" i="1" s="1"/>
  <c r="W222" i="1" s="1"/>
  <c r="G232" i="1"/>
  <c r="A232" i="1" s="1"/>
  <c r="W232" i="1" s="1"/>
  <c r="G235" i="1"/>
  <c r="A235" i="1" s="1"/>
  <c r="W235" i="1" s="1"/>
  <c r="G113" i="1"/>
  <c r="A113" i="1" s="1"/>
  <c r="G111" i="1"/>
  <c r="A111" i="1" s="1"/>
  <c r="G115" i="1"/>
  <c r="A115" i="1" s="1"/>
  <c r="W115" i="1" s="1"/>
  <c r="G152" i="1"/>
  <c r="A152" i="1" s="1"/>
  <c r="X181" i="1"/>
  <c r="AD180" i="1"/>
  <c r="AD147" i="1"/>
  <c r="AD36" i="1"/>
  <c r="AD39" i="1"/>
  <c r="AD41" i="1"/>
  <c r="X62" i="1"/>
  <c r="AD15" i="1"/>
  <c r="AD169" i="1"/>
  <c r="AD128" i="1"/>
  <c r="AD87" i="1"/>
  <c r="AD6" i="1"/>
  <c r="AD27" i="1"/>
  <c r="AD80" i="1"/>
  <c r="AD11" i="1"/>
  <c r="AD17" i="1"/>
  <c r="AD21" i="1"/>
  <c r="AD155" i="1"/>
  <c r="AD165" i="1"/>
  <c r="X25" i="1"/>
  <c r="AD112" i="1"/>
  <c r="AD151" i="1"/>
  <c r="AD43" i="1"/>
  <c r="X9" i="1"/>
  <c r="AD100" i="1"/>
  <c r="AD93" i="1"/>
  <c r="X138" i="1"/>
  <c r="W152" i="1"/>
  <c r="B237" i="1"/>
  <c r="W52" i="1"/>
  <c r="W68" i="1"/>
  <c r="W223" i="1"/>
  <c r="W224" i="1" s="1"/>
  <c r="W230" i="1"/>
  <c r="W233" i="1"/>
  <c r="W204" i="1"/>
  <c r="W92" i="1"/>
  <c r="B240" i="1"/>
  <c r="W73" i="1"/>
  <c r="W18" i="1"/>
  <c r="B242" i="1"/>
  <c r="B244" i="1"/>
  <c r="B247" i="1"/>
  <c r="B249" i="1"/>
  <c r="B251" i="1"/>
  <c r="B253" i="1"/>
  <c r="B259" i="1"/>
  <c r="B263" i="1" s="1"/>
  <c r="G263" i="1" l="1"/>
  <c r="A263" i="1" s="1"/>
  <c r="W263" i="1" s="1"/>
  <c r="G253" i="1"/>
  <c r="A253" i="1" s="1"/>
  <c r="G251" i="1"/>
  <c r="A251" i="1" s="1"/>
  <c r="G249" i="1"/>
  <c r="A249" i="1" s="1"/>
  <c r="G247" i="1"/>
  <c r="A247" i="1" s="1"/>
  <c r="G259" i="1"/>
  <c r="A259" i="1" s="1"/>
  <c r="W259" i="1" s="1"/>
  <c r="G242" i="1"/>
  <c r="A242" i="1" s="1"/>
  <c r="W242" i="1" s="1"/>
  <c r="G240" i="1"/>
  <c r="A240" i="1" s="1"/>
  <c r="W240" i="1" s="1"/>
  <c r="G237" i="1"/>
  <c r="A237" i="1" s="1"/>
  <c r="W237" i="1" s="1"/>
  <c r="G244" i="1"/>
  <c r="A244" i="1" s="1"/>
  <c r="W244" i="1" s="1"/>
  <c r="G127" i="1"/>
  <c r="A127" i="1" s="1"/>
  <c r="W127" i="1" s="1"/>
  <c r="G117" i="1"/>
  <c r="A117" i="1" s="1"/>
  <c r="W117" i="1" s="1"/>
  <c r="W105" i="1"/>
  <c r="W260" i="1"/>
  <c r="W93" i="1"/>
  <c r="W74" i="1"/>
  <c r="W245" i="1"/>
  <c r="W225" i="1"/>
  <c r="W19" i="1"/>
  <c r="W205" i="1"/>
  <c r="W118" i="1"/>
  <c r="W238" i="1"/>
  <c r="W128" i="1"/>
  <c r="W261" i="1"/>
  <c r="G134" i="1" l="1"/>
  <c r="A134" i="1" s="1"/>
  <c r="W134" i="1" s="1"/>
  <c r="G131" i="1"/>
  <c r="A131" i="1" s="1"/>
  <c r="W131" i="1" s="1"/>
  <c r="G139" i="1"/>
  <c r="A139" i="1" s="1"/>
  <c r="W139" i="1" s="1"/>
  <c r="W107" i="1"/>
  <c r="W246" i="1"/>
  <c r="W20" i="1"/>
  <c r="W75" i="1"/>
  <c r="W206" i="1"/>
  <c r="W226" i="1"/>
  <c r="W119" i="1"/>
  <c r="W129" i="1"/>
  <c r="W135" i="1"/>
  <c r="W94" i="1"/>
  <c r="W132" i="1"/>
  <c r="W140" i="1"/>
  <c r="G162" i="1" l="1"/>
  <c r="A162" i="1" s="1"/>
  <c r="W162" i="1" s="1"/>
  <c r="G153" i="1"/>
  <c r="A153" i="1" s="1"/>
  <c r="W153" i="1" s="1"/>
  <c r="G142" i="1"/>
  <c r="A142" i="1" s="1"/>
  <c r="W142" i="1" s="1"/>
  <c r="G149" i="1"/>
  <c r="A149" i="1" s="1"/>
  <c r="W149" i="1" s="1"/>
  <c r="W227" i="1"/>
  <c r="W163" i="1"/>
  <c r="W143" i="1"/>
  <c r="W207" i="1"/>
  <c r="W21" i="1"/>
  <c r="W136" i="1"/>
  <c r="W53" i="1"/>
  <c r="W38" i="1"/>
  <c r="W154" i="1"/>
  <c r="W150" i="1"/>
  <c r="W76" i="1"/>
  <c r="W108" i="1"/>
  <c r="W120" i="1"/>
  <c r="W95" i="1"/>
  <c r="A1" i="6" l="1"/>
  <c r="D5" i="6" s="1"/>
  <c r="D43" i="6" s="1"/>
  <c r="D81" i="6" s="1"/>
  <c r="A1" i="2"/>
  <c r="E1" i="2" s="1"/>
  <c r="H3" i="2" s="1"/>
  <c r="H41" i="2" s="1"/>
  <c r="H79" i="2" s="1"/>
  <c r="E3" i="4"/>
  <c r="W144" i="1"/>
  <c r="W151" i="1"/>
  <c r="W109" i="1"/>
  <c r="W96" i="1"/>
  <c r="W208" i="1"/>
  <c r="W39" i="1"/>
  <c r="W164" i="1"/>
  <c r="W121" i="1"/>
  <c r="W137" i="1"/>
  <c r="W77" i="1"/>
  <c r="W54" i="1"/>
  <c r="W155" i="1"/>
  <c r="D11" i="4" l="1"/>
  <c r="O11" i="4" s="1"/>
  <c r="D58" i="4"/>
  <c r="D60" i="4"/>
  <c r="D62" i="4"/>
  <c r="D59" i="4"/>
  <c r="D61" i="4"/>
  <c r="D63" i="4"/>
  <c r="E3" i="2"/>
  <c r="E41" i="2" s="1"/>
  <c r="E79" i="2" s="1"/>
  <c r="E3" i="6"/>
  <c r="E41" i="6" s="1"/>
  <c r="E79" i="6" s="1"/>
  <c r="D7" i="6"/>
  <c r="D45" i="6" s="1"/>
  <c r="D83" i="6" s="1"/>
  <c r="D56" i="4"/>
  <c r="D57" i="4"/>
  <c r="G57" i="4" s="1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H28" i="4" s="1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D41" i="4"/>
  <c r="G41" i="4" s="1"/>
  <c r="D42" i="4"/>
  <c r="D36" i="4"/>
  <c r="N36" i="4" s="1"/>
  <c r="O17" i="4"/>
  <c r="D5" i="2"/>
  <c r="D43" i="2" s="1"/>
  <c r="D81" i="2" s="1"/>
  <c r="H6" i="2"/>
  <c r="H44" i="2" s="1"/>
  <c r="H82" i="2" s="1"/>
  <c r="H5" i="2"/>
  <c r="H43" i="2" s="1"/>
  <c r="H81" i="2" s="1"/>
  <c r="D55" i="4"/>
  <c r="D7" i="4"/>
  <c r="D33" i="4"/>
  <c r="AD78" i="1"/>
  <c r="AD135" i="1"/>
  <c r="X64" i="1"/>
  <c r="AD56" i="1"/>
  <c r="X133" i="1"/>
  <c r="AD22" i="1"/>
  <c r="AD42" i="1"/>
  <c r="AD88" i="1"/>
  <c r="X88" i="1"/>
  <c r="X152" i="1"/>
  <c r="AD50" i="1"/>
  <c r="X15" i="1"/>
  <c r="AD58" i="1"/>
  <c r="AD141" i="1"/>
  <c r="AD83" i="1"/>
  <c r="AD71" i="1"/>
  <c r="AD20" i="1"/>
  <c r="X50" i="1"/>
  <c r="X105" i="1"/>
  <c r="AD74" i="1"/>
  <c r="AD7" i="1"/>
  <c r="AD28" i="1"/>
  <c r="AD133" i="1"/>
  <c r="AD144" i="1"/>
  <c r="AD90" i="1"/>
  <c r="AD45" i="1"/>
  <c r="AD99" i="1"/>
  <c r="X22" i="1"/>
  <c r="AD97" i="1"/>
  <c r="AD152" i="1"/>
  <c r="X130" i="1"/>
  <c r="X141" i="1"/>
  <c r="AD118" i="1"/>
  <c r="W110" i="1"/>
  <c r="W111" i="1"/>
  <c r="W112" i="1"/>
  <c r="W113" i="1"/>
  <c r="W114" i="1"/>
  <c r="W40" i="1"/>
  <c r="W156" i="1"/>
  <c r="W78" i="1"/>
  <c r="W122" i="1"/>
  <c r="T11" i="4"/>
  <c r="W55" i="1"/>
  <c r="T44" i="4"/>
  <c r="W209" i="1"/>
  <c r="T27" i="4"/>
  <c r="W165" i="1"/>
  <c r="T13" i="4"/>
  <c r="W97" i="1"/>
  <c r="T43" i="4"/>
  <c r="W145" i="1"/>
  <c r="T15" i="4"/>
  <c r="N11" i="4" l="1"/>
  <c r="G11" i="4"/>
  <c r="H11" i="4"/>
  <c r="F11" i="4"/>
  <c r="E63" i="4"/>
  <c r="F63" i="4"/>
  <c r="H63" i="4"/>
  <c r="J63" i="4"/>
  <c r="L63" i="4"/>
  <c r="N63" i="4"/>
  <c r="G63" i="4"/>
  <c r="I63" i="4"/>
  <c r="K63" i="4"/>
  <c r="M63" i="4" s="1"/>
  <c r="O63" i="4"/>
  <c r="E59" i="4"/>
  <c r="F59" i="4"/>
  <c r="H59" i="4"/>
  <c r="N59" i="4"/>
  <c r="G59" i="4"/>
  <c r="O59" i="4"/>
  <c r="E60" i="4"/>
  <c r="F60" i="4"/>
  <c r="G60" i="4"/>
  <c r="H60" i="4"/>
  <c r="N60" i="4"/>
  <c r="O60" i="4"/>
  <c r="E61" i="4"/>
  <c r="F61" i="4"/>
  <c r="G61" i="4"/>
  <c r="I61" i="4"/>
  <c r="K61" i="4"/>
  <c r="M61" i="4" s="1"/>
  <c r="O61" i="4"/>
  <c r="H61" i="4"/>
  <c r="J61" i="4"/>
  <c r="L61" i="4"/>
  <c r="N61" i="4"/>
  <c r="E62" i="4"/>
  <c r="F62" i="4"/>
  <c r="G62" i="4"/>
  <c r="H62" i="4"/>
  <c r="I62" i="4"/>
  <c r="J62" i="4"/>
  <c r="K62" i="4"/>
  <c r="M62" i="4" s="1"/>
  <c r="L62" i="4"/>
  <c r="N62" i="4"/>
  <c r="O62" i="4"/>
  <c r="E58" i="4"/>
  <c r="F58" i="4"/>
  <c r="G58" i="4"/>
  <c r="H58" i="4"/>
  <c r="N58" i="4"/>
  <c r="O58" i="4"/>
  <c r="H9" i="4"/>
  <c r="G9" i="4"/>
  <c r="E50" i="4"/>
  <c r="H13" i="4"/>
  <c r="F38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F43" i="4"/>
  <c r="N19" i="4"/>
  <c r="G43" i="4"/>
  <c r="N56" i="4"/>
  <c r="H38" i="4"/>
  <c r="E9" i="4"/>
  <c r="H6" i="4"/>
  <c r="E45" i="4"/>
  <c r="H10" i="4"/>
  <c r="N44" i="4"/>
  <c r="O44" i="4"/>
  <c r="N32" i="4"/>
  <c r="G22" i="4"/>
  <c r="N13" i="4"/>
  <c r="F5" i="4"/>
  <c r="O57" i="4"/>
  <c r="N51" i="4"/>
  <c r="E57" i="4"/>
  <c r="H3" i="6"/>
  <c r="H41" i="6" s="1"/>
  <c r="H79" i="6" s="1"/>
  <c r="G26" i="4"/>
  <c r="F12" i="4"/>
  <c r="F44" i="4"/>
  <c r="H57" i="4"/>
  <c r="H44" i="4"/>
  <c r="E41" i="4"/>
  <c r="H5" i="6"/>
  <c r="H43" i="6" s="1"/>
  <c r="H81" i="6" s="1"/>
  <c r="F57" i="4"/>
  <c r="E21" i="4"/>
  <c r="E10" i="4"/>
  <c r="H21" i="4"/>
  <c r="G23" i="4"/>
  <c r="G10" i="4"/>
  <c r="H40" i="4"/>
  <c r="N12" i="4"/>
  <c r="G44" i="4"/>
  <c r="F10" i="4"/>
  <c r="O10" i="4"/>
  <c r="F52" i="4"/>
  <c r="G25" i="4"/>
  <c r="G31" i="4"/>
  <c r="H31" i="4"/>
  <c r="N46" i="4"/>
  <c r="N34" i="4"/>
  <c r="F21" i="4"/>
  <c r="H30" i="4"/>
  <c r="H35" i="4"/>
  <c r="H41" i="4"/>
  <c r="G37" i="4"/>
  <c r="G34" i="4"/>
  <c r="F26" i="4"/>
  <c r="H49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N53" i="4"/>
  <c r="H26" i="4"/>
  <c r="O34" i="4"/>
  <c r="N26" i="4"/>
  <c r="H47" i="4"/>
  <c r="E47" i="4"/>
  <c r="G46" i="4"/>
  <c r="E35" i="4"/>
  <c r="F27" i="4"/>
  <c r="F40" i="4"/>
  <c r="H53" i="4"/>
  <c r="O53" i="4"/>
  <c r="H27" i="4"/>
  <c r="N23" i="4"/>
  <c r="G47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F37" i="4"/>
  <c r="G50" i="4"/>
  <c r="G49" i="4"/>
  <c r="F24" i="4"/>
  <c r="E5" i="4"/>
  <c r="E19" i="4"/>
  <c r="N5" i="4"/>
  <c r="O19" i="4"/>
  <c r="E49" i="4"/>
  <c r="F25" i="4"/>
  <c r="N39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O47" i="4"/>
  <c r="H46" i="4"/>
  <c r="O35" i="4"/>
  <c r="O31" i="4"/>
  <c r="E22" i="4"/>
  <c r="O46" i="4"/>
  <c r="F46" i="4"/>
  <c r="G40" i="4"/>
  <c r="N40" i="4"/>
  <c r="E40" i="4"/>
  <c r="E23" i="4"/>
  <c r="H23" i="4"/>
  <c r="N47" i="4"/>
  <c r="G13" i="4"/>
  <c r="F48" i="4"/>
  <c r="O18" i="4"/>
  <c r="N48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G52" i="4"/>
  <c r="O52" i="4"/>
  <c r="N25" i="4"/>
  <c r="E24" i="4"/>
  <c r="F49" i="4"/>
  <c r="N49" i="4"/>
  <c r="N52" i="4"/>
  <c r="E52" i="4"/>
  <c r="H17" i="4"/>
  <c r="F54" i="4"/>
  <c r="G54" i="4"/>
  <c r="O54" i="4"/>
  <c r="E42" i="4"/>
  <c r="O16" i="4"/>
  <c r="E16" i="4"/>
  <c r="N14" i="4"/>
  <c r="H52" i="4"/>
  <c r="F41" i="4"/>
  <c r="E12" i="4"/>
  <c r="G12" i="4"/>
  <c r="F18" i="4"/>
  <c r="N18" i="4"/>
  <c r="O30" i="4"/>
  <c r="E30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F55" i="4"/>
  <c r="G55" i="4"/>
  <c r="E55" i="4"/>
  <c r="X114" i="1"/>
  <c r="X112" i="1"/>
  <c r="X110" i="1"/>
  <c r="T63" i="4"/>
  <c r="T59" i="4"/>
  <c r="T60" i="4"/>
  <c r="T61" i="4"/>
  <c r="T62" i="4"/>
  <c r="T58" i="4"/>
  <c r="W157" i="1"/>
  <c r="W158" i="1"/>
  <c r="W166" i="1"/>
  <c r="W56" i="1"/>
  <c r="W123" i="1"/>
  <c r="W79" i="1"/>
  <c r="W167" i="1"/>
  <c r="W210" i="1"/>
  <c r="W63" i="4"/>
  <c r="U63" i="4"/>
  <c r="V63" i="4"/>
  <c r="X63" i="4"/>
  <c r="U59" i="4"/>
  <c r="V59" i="4"/>
  <c r="X59" i="4"/>
  <c r="U60" i="4"/>
  <c r="V60" i="4"/>
  <c r="X60" i="4"/>
  <c r="W61" i="4"/>
  <c r="U61" i="4"/>
  <c r="V61" i="4"/>
  <c r="X61" i="4"/>
  <c r="W62" i="4"/>
  <c r="U62" i="4"/>
  <c r="V62" i="4"/>
  <c r="X62" i="4"/>
  <c r="U58" i="4"/>
  <c r="V58" i="4"/>
  <c r="X58" i="4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W168" i="1"/>
  <c r="U43" i="4"/>
  <c r="T51" i="4"/>
  <c r="T7" i="4"/>
  <c r="X7" i="4"/>
  <c r="T30" i="4"/>
  <c r="T45" i="4"/>
  <c r="U13" i="4"/>
  <c r="T10" i="4"/>
  <c r="U51" i="4"/>
  <c r="T39" i="4"/>
  <c r="V43" i="4"/>
  <c r="T9" i="4"/>
  <c r="T24" i="4"/>
  <c r="T35" i="4"/>
  <c r="X15" i="4"/>
  <c r="U39" i="4"/>
  <c r="T32" i="4"/>
  <c r="X11" i="4"/>
  <c r="T26" i="4"/>
  <c r="X39" i="4"/>
  <c r="X24" i="4"/>
  <c r="X26" i="4"/>
  <c r="W124" i="1"/>
  <c r="W125" i="1"/>
  <c r="T57" i="4"/>
  <c r="T18" i="4"/>
  <c r="T21" i="4"/>
  <c r="T50" i="4"/>
  <c r="V7" i="4"/>
  <c r="X21" i="4"/>
  <c r="T47" i="4"/>
  <c r="X45" i="4"/>
  <c r="X47" i="4"/>
  <c r="X10" i="4"/>
  <c r="T49" i="4"/>
  <c r="T56" i="4"/>
  <c r="V27" i="4"/>
  <c r="T36" i="4"/>
  <c r="T22" i="4"/>
  <c r="T53" i="4"/>
  <c r="T6" i="4"/>
  <c r="X50" i="4"/>
  <c r="X57" i="4"/>
  <c r="V53" i="4"/>
  <c r="U9" i="4"/>
  <c r="V9" i="4"/>
  <c r="W169" i="1"/>
  <c r="U15" i="4"/>
  <c r="T28" i="4"/>
  <c r="T34" i="4"/>
  <c r="T25" i="4"/>
  <c r="V35" i="4"/>
  <c r="U6" i="4"/>
  <c r="U7" i="4"/>
  <c r="V10" i="4"/>
  <c r="X32" i="4"/>
  <c r="V30" i="4"/>
  <c r="U49" i="4"/>
  <c r="X56" i="4"/>
  <c r="V39" i="4"/>
  <c r="V36" i="4"/>
  <c r="X53" i="4"/>
  <c r="V24" i="4"/>
  <c r="V34" i="4"/>
  <c r="V32" i="4"/>
  <c r="U26" i="4"/>
  <c r="X22" i="4"/>
  <c r="U24" i="4"/>
  <c r="V25" i="4"/>
  <c r="V26" i="4"/>
  <c r="V57" i="4"/>
  <c r="U21" i="4"/>
  <c r="X49" i="4"/>
  <c r="X36" i="4"/>
  <c r="V28" i="4"/>
  <c r="X28" i="4"/>
  <c r="W170" i="1"/>
  <c r="V18" i="4"/>
  <c r="W159" i="1"/>
  <c r="W160" i="1" s="1"/>
  <c r="W211" i="1"/>
  <c r="W212" i="1" s="1"/>
  <c r="T29" i="4"/>
  <c r="U11" i="4"/>
  <c r="T33" i="4"/>
  <c r="U33" i="4" s="1"/>
  <c r="T12" i="4"/>
  <c r="X43" i="4"/>
  <c r="V33" i="4"/>
  <c r="T42" i="4"/>
  <c r="T38" i="4"/>
  <c r="T8" i="4"/>
  <c r="X38" i="4"/>
  <c r="W41" i="1"/>
  <c r="T17" i="4"/>
  <c r="T54" i="4"/>
  <c r="V54" i="4" s="1"/>
  <c r="V51" i="4"/>
  <c r="X30" i="4"/>
  <c r="U38" i="4"/>
  <c r="W57" i="1"/>
  <c r="W58" i="1" s="1"/>
  <c r="T20" i="4"/>
  <c r="U20" i="4" s="1"/>
  <c r="T14" i="4"/>
  <c r="U27" i="4"/>
  <c r="U14" i="4"/>
  <c r="V15" i="4"/>
  <c r="T41" i="4"/>
  <c r="V41" i="4" s="1"/>
  <c r="V42" i="4"/>
  <c r="T19" i="4"/>
  <c r="U10" i="4"/>
  <c r="U17" i="4"/>
  <c r="U32" i="4"/>
  <c r="U19" i="4"/>
  <c r="W146" i="1"/>
  <c r="T31" i="4"/>
  <c r="X27" i="4"/>
  <c r="T37" i="4"/>
  <c r="X37" i="4" s="1"/>
  <c r="X13" i="4"/>
  <c r="V13" i="4"/>
  <c r="T40" i="4"/>
  <c r="V50" i="4"/>
  <c r="T5" i="4"/>
  <c r="V5" i="4" s="1"/>
  <c r="T46" i="4"/>
  <c r="V46" i="4" s="1"/>
  <c r="U44" i="4"/>
  <c r="X5" i="4"/>
  <c r="X18" i="4"/>
  <c r="X12" i="4"/>
  <c r="X42" i="4"/>
  <c r="V38" i="4"/>
  <c r="W98" i="1"/>
  <c r="W99" i="1" s="1"/>
  <c r="X44" i="4"/>
  <c r="V11" i="4"/>
  <c r="X51" i="4"/>
  <c r="U56" i="4"/>
  <c r="U30" i="4"/>
  <c r="U5" i="4"/>
  <c r="T55" i="4"/>
  <c r="T52" i="4"/>
  <c r="U54" i="4"/>
  <c r="U42" i="4"/>
  <c r="V52" i="4"/>
  <c r="V45" i="4"/>
  <c r="W80" i="1"/>
  <c r="V44" i="4"/>
  <c r="T48" i="4"/>
  <c r="T23" i="4"/>
  <c r="X33" i="4"/>
  <c r="X35" i="4"/>
  <c r="U28" i="4"/>
  <c r="T16" i="4"/>
  <c r="X16" i="4" s="1"/>
  <c r="U45" i="4"/>
  <c r="X20" i="4"/>
  <c r="U47" i="4"/>
  <c r="V16" i="4"/>
  <c r="X19" i="4"/>
  <c r="V23" i="4"/>
  <c r="V17" i="4"/>
  <c r="V56" i="4"/>
  <c r="X54" i="4"/>
  <c r="U22" i="4"/>
  <c r="U52" i="4"/>
  <c r="V20" i="4"/>
  <c r="U34" i="4"/>
  <c r="U25" i="4"/>
  <c r="X41" i="4"/>
  <c r="V19" i="4"/>
  <c r="X52" i="4"/>
  <c r="U48" i="4"/>
  <c r="U41" i="4"/>
  <c r="U31" i="4"/>
  <c r="U57" i="4"/>
  <c r="V37" i="4"/>
  <c r="U37" i="4"/>
  <c r="V21" i="4"/>
  <c r="U40" i="4"/>
  <c r="X46" i="4"/>
  <c r="V49" i="4"/>
  <c r="U36" i="4"/>
  <c r="X6" i="4"/>
  <c r="V55" i="4"/>
  <c r="X23" i="4"/>
  <c r="U16" i="4"/>
  <c r="X55" i="4"/>
  <c r="U46" i="4"/>
  <c r="U23" i="4"/>
  <c r="V6" i="4"/>
  <c r="X9" i="4"/>
  <c r="X17" i="4"/>
  <c r="U53" i="4"/>
  <c r="W59" i="1"/>
  <c r="W60" i="1" s="1"/>
  <c r="W61" i="1" s="1"/>
  <c r="U35" i="4"/>
  <c r="W81" i="1"/>
  <c r="W82" i="1"/>
  <c r="W83" i="1" s="1"/>
  <c r="W171" i="1"/>
  <c r="W172" i="1"/>
  <c r="W100" i="1"/>
  <c r="W101" i="1" s="1"/>
  <c r="W102" i="1" s="1"/>
  <c r="W103" i="1" s="1"/>
  <c r="W104" i="1"/>
  <c r="X29" i="4"/>
  <c r="U29" i="4"/>
  <c r="V29" i="4"/>
  <c r="V12" i="4"/>
  <c r="U12" i="4"/>
  <c r="X8" i="4"/>
  <c r="V8" i="4"/>
  <c r="U8" i="4"/>
  <c r="V14" i="4"/>
  <c r="X14" i="4"/>
  <c r="X31" i="4"/>
  <c r="V31" i="4"/>
  <c r="X40" i="4"/>
  <c r="V40" i="4"/>
  <c r="U55" i="4"/>
  <c r="X48" i="4"/>
  <c r="W42" i="1"/>
  <c r="W43" i="1" s="1"/>
  <c r="W44" i="1" s="1"/>
  <c r="W45" i="1" s="1"/>
  <c r="W46" i="1" s="1"/>
  <c r="W47" i="1" s="1"/>
  <c r="W48" i="1" s="1"/>
  <c r="W49" i="1" s="1"/>
  <c r="V48" i="4"/>
  <c r="X25" i="4"/>
  <c r="V22" i="4"/>
  <c r="V47" i="4"/>
  <c r="U18" i="4"/>
  <c r="W147" i="1"/>
  <c r="X34" i="4"/>
  <c r="U50" i="4"/>
  <c r="X275" i="1" l="1"/>
  <c r="X274" i="1"/>
  <c r="X273" i="1"/>
  <c r="J60" i="4"/>
  <c r="I60" i="4"/>
  <c r="K60" i="4"/>
  <c r="AD273" i="1"/>
  <c r="X263" i="1"/>
  <c r="J59" i="4"/>
  <c r="I59" i="4"/>
  <c r="K59" i="4"/>
  <c r="AD263" i="1"/>
  <c r="X261" i="1"/>
  <c r="J58" i="4"/>
  <c r="K58" i="4"/>
  <c r="X259" i="1"/>
  <c r="I58" i="4"/>
  <c r="X260" i="1"/>
  <c r="AD253" i="1"/>
  <c r="J56" i="4"/>
  <c r="J57" i="4"/>
  <c r="I57" i="4"/>
  <c r="AD249" i="1"/>
  <c r="K56" i="4"/>
  <c r="I56" i="4"/>
  <c r="K57" i="4"/>
  <c r="AD251" i="1"/>
  <c r="K55" i="4"/>
  <c r="I55" i="4"/>
  <c r="J55" i="4"/>
  <c r="AD247" i="1"/>
  <c r="J54" i="4"/>
  <c r="K54" i="4"/>
  <c r="I54" i="4"/>
  <c r="AD259" i="1"/>
  <c r="J53" i="4"/>
  <c r="K53" i="4"/>
  <c r="X104" i="1"/>
  <c r="X101" i="1"/>
  <c r="X81" i="1"/>
  <c r="K26" i="4"/>
  <c r="X207" i="1"/>
  <c r="X224" i="1"/>
  <c r="J11" i="4"/>
  <c r="I23" i="4"/>
  <c r="X168" i="1"/>
  <c r="X34" i="1"/>
  <c r="K34" i="4"/>
  <c r="X5" i="1"/>
  <c r="K45" i="4"/>
  <c r="J51" i="4"/>
  <c r="X56" i="1"/>
  <c r="J16" i="4"/>
  <c r="X211" i="1"/>
  <c r="X176" i="1"/>
  <c r="X124" i="1"/>
  <c r="X240" i="1"/>
  <c r="K12" i="4"/>
  <c r="AD190" i="1"/>
  <c r="AD200" i="1"/>
  <c r="X90" i="1"/>
  <c r="K25" i="4"/>
  <c r="X49" i="1"/>
  <c r="J17" i="4"/>
  <c r="X201" i="1"/>
  <c r="J7" i="4"/>
  <c r="X142" i="1"/>
  <c r="I17" i="4"/>
  <c r="X51" i="1"/>
  <c r="X78" i="1"/>
  <c r="X178" i="1"/>
  <c r="K17" i="4"/>
  <c r="X97" i="1"/>
  <c r="X127" i="1"/>
  <c r="I15" i="4"/>
  <c r="X233" i="1"/>
  <c r="X118" i="1"/>
  <c r="K18" i="4"/>
  <c r="K5" i="4"/>
  <c r="I42" i="4"/>
  <c r="X21" i="1"/>
  <c r="X149" i="1"/>
  <c r="X14" i="1"/>
  <c r="J46" i="4"/>
  <c r="I24" i="4"/>
  <c r="I9" i="4"/>
  <c r="X46" i="1"/>
  <c r="K24" i="4"/>
  <c r="X98" i="1"/>
  <c r="J38" i="4"/>
  <c r="K7" i="4"/>
  <c r="K31" i="4"/>
  <c r="X107" i="1"/>
  <c r="AD229" i="1"/>
  <c r="I26" i="4"/>
  <c r="AD107" i="1"/>
  <c r="AD117" i="1"/>
  <c r="X242" i="1"/>
  <c r="X165" i="1"/>
  <c r="K38" i="4"/>
  <c r="AD139" i="1"/>
  <c r="X226" i="1"/>
  <c r="I33" i="4"/>
  <c r="K51" i="4"/>
  <c r="X122" i="1"/>
  <c r="X151" i="1"/>
  <c r="X190" i="1"/>
  <c r="J9" i="4"/>
  <c r="X94" i="1"/>
  <c r="X60" i="1"/>
  <c r="K16" i="4"/>
  <c r="X121" i="1"/>
  <c r="K35" i="4"/>
  <c r="AD235" i="1"/>
  <c r="X143" i="1"/>
  <c r="X6" i="1"/>
  <c r="I8" i="4"/>
  <c r="X271" i="1"/>
  <c r="I53" i="4"/>
  <c r="AD271" i="1"/>
  <c r="X103" i="1"/>
  <c r="X48" i="1"/>
  <c r="X235" i="1"/>
  <c r="K42" i="4"/>
  <c r="X156" i="1"/>
  <c r="I22" i="4"/>
  <c r="X4" i="1"/>
  <c r="K52" i="4"/>
  <c r="X11" i="1"/>
  <c r="K44" i="4"/>
  <c r="AD182" i="1"/>
  <c r="J50" i="4"/>
  <c r="K37" i="4"/>
  <c r="X70" i="1"/>
  <c r="AD176" i="1"/>
  <c r="J22" i="4"/>
  <c r="AD134" i="1"/>
  <c r="X186" i="1"/>
  <c r="X216" i="1"/>
  <c r="I45" i="4"/>
  <c r="AD237" i="1"/>
  <c r="K6" i="4"/>
  <c r="X158" i="1"/>
  <c r="X202" i="1"/>
  <c r="K43" i="4"/>
  <c r="X43" i="1"/>
  <c r="X154" i="1"/>
  <c r="X135" i="1"/>
  <c r="J45" i="4"/>
  <c r="I51" i="4"/>
  <c r="X238" i="1"/>
  <c r="J48" i="4"/>
  <c r="J30" i="4"/>
  <c r="X188" i="1"/>
  <c r="K10" i="4"/>
  <c r="X137" i="1"/>
  <c r="I49" i="4"/>
  <c r="AD196" i="1"/>
  <c r="X117" i="1"/>
  <c r="J41" i="4"/>
  <c r="X23" i="1"/>
  <c r="X100" i="1"/>
  <c r="AD10" i="1"/>
  <c r="I25" i="4"/>
  <c r="X203" i="1"/>
  <c r="I50" i="4"/>
  <c r="J18" i="4"/>
  <c r="X95" i="1"/>
  <c r="I18" i="4"/>
  <c r="AD232" i="1"/>
  <c r="X191" i="1"/>
  <c r="J33" i="4"/>
  <c r="K14" i="4"/>
  <c r="X47" i="1"/>
  <c r="AD16" i="1"/>
  <c r="AD4" i="1"/>
  <c r="K15" i="4"/>
  <c r="X163" i="1"/>
  <c r="X108" i="1"/>
  <c r="I46" i="4"/>
  <c r="AD244" i="1"/>
  <c r="K23" i="4"/>
  <c r="I12" i="4"/>
  <c r="X131" i="1"/>
  <c r="I43" i="4"/>
  <c r="J35" i="4"/>
  <c r="J49" i="4"/>
  <c r="I34" i="4"/>
  <c r="AD26" i="1"/>
  <c r="AD70" i="1"/>
  <c r="K41" i="4"/>
  <c r="K49" i="4"/>
  <c r="X232" i="1"/>
  <c r="X172" i="1"/>
  <c r="AD65" i="1"/>
  <c r="X162" i="1"/>
  <c r="X134" i="1"/>
  <c r="J37" i="4"/>
  <c r="I52" i="4"/>
  <c r="X120" i="1"/>
  <c r="I48" i="4"/>
  <c r="X17" i="1"/>
  <c r="X128" i="1"/>
  <c r="J8" i="4"/>
  <c r="X217" i="1"/>
  <c r="J12" i="4"/>
  <c r="K13" i="4"/>
  <c r="K30" i="4"/>
  <c r="I35" i="4"/>
  <c r="AD149" i="1"/>
  <c r="X68" i="1"/>
  <c r="AD14" i="1"/>
  <c r="X123" i="1"/>
  <c r="X157" i="1"/>
  <c r="K48" i="4"/>
  <c r="X87" i="1"/>
  <c r="AD131" i="1"/>
  <c r="X170" i="1"/>
  <c r="X83" i="1"/>
  <c r="X196" i="1"/>
  <c r="X42" i="1"/>
  <c r="K33" i="4"/>
  <c r="X54" i="1"/>
  <c r="K32" i="4"/>
  <c r="X26" i="1"/>
  <c r="J19" i="4"/>
  <c r="X204" i="1"/>
  <c r="X37" i="1"/>
  <c r="AD111" i="1"/>
  <c r="X30" i="1"/>
  <c r="I32" i="4"/>
  <c r="J34" i="4"/>
  <c r="AD34" i="1"/>
  <c r="J31" i="4"/>
  <c r="J39" i="4"/>
  <c r="X206" i="1"/>
  <c r="AD63" i="1"/>
  <c r="I10" i="4"/>
  <c r="J36" i="4"/>
  <c r="X89" i="1"/>
  <c r="X129" i="1"/>
  <c r="X41" i="1"/>
  <c r="X39" i="1"/>
  <c r="X150" i="1"/>
  <c r="X164" i="1"/>
  <c r="X230" i="1"/>
  <c r="AD162" i="1"/>
  <c r="X24" i="1"/>
  <c r="X145" i="1"/>
  <c r="X125" i="1"/>
  <c r="X96" i="1"/>
  <c r="I5" i="4"/>
  <c r="J28" i="4"/>
  <c r="X245" i="1"/>
  <c r="X76" i="1"/>
  <c r="I19" i="4"/>
  <c r="X227" i="1"/>
  <c r="X75" i="1"/>
  <c r="K50" i="4"/>
  <c r="I47" i="4"/>
  <c r="X205" i="1"/>
  <c r="J43" i="4"/>
  <c r="I29" i="4"/>
  <c r="AD115" i="1"/>
  <c r="X147" i="1"/>
  <c r="J52" i="4"/>
  <c r="X109" i="1"/>
  <c r="K11" i="4"/>
  <c r="X220" i="1"/>
  <c r="X65" i="1"/>
  <c r="X225" i="1"/>
  <c r="J40" i="4"/>
  <c r="X53" i="1"/>
  <c r="AD89" i="1"/>
  <c r="X167" i="1"/>
  <c r="J15" i="4"/>
  <c r="X171" i="1"/>
  <c r="I11" i="4"/>
  <c r="X73" i="1"/>
  <c r="X80" i="1"/>
  <c r="I14" i="4"/>
  <c r="AD185" i="1"/>
  <c r="I13" i="4"/>
  <c r="K28" i="4"/>
  <c r="X16" i="1"/>
  <c r="I21" i="4"/>
  <c r="AD214" i="1"/>
  <c r="X214" i="1"/>
  <c r="X61" i="1"/>
  <c r="X132" i="1"/>
  <c r="X208" i="1"/>
  <c r="X93" i="1"/>
  <c r="J24" i="4"/>
  <c r="I6" i="4"/>
  <c r="X169" i="1"/>
  <c r="X179" i="1"/>
  <c r="J29" i="4"/>
  <c r="X219" i="1"/>
  <c r="X111" i="1"/>
  <c r="AD30" i="1"/>
  <c r="X102" i="1"/>
  <c r="X44" i="1"/>
  <c r="X209" i="1"/>
  <c r="X20" i="1"/>
  <c r="X229" i="1"/>
  <c r="X55" i="1"/>
  <c r="X28" i="1"/>
  <c r="I16" i="4"/>
  <c r="AD188" i="1"/>
  <c r="X7" i="1"/>
  <c r="I30" i="4"/>
  <c r="X210" i="1"/>
  <c r="X79" i="1"/>
  <c r="I37" i="4"/>
  <c r="K39" i="4"/>
  <c r="J13" i="4"/>
  <c r="K36" i="4"/>
  <c r="X36" i="1"/>
  <c r="X72" i="1"/>
  <c r="X35" i="1"/>
  <c r="I27" i="4"/>
  <c r="X119" i="1"/>
  <c r="AD174" i="1"/>
  <c r="J14" i="4"/>
  <c r="J23" i="4"/>
  <c r="X52" i="1"/>
  <c r="X45" i="1"/>
  <c r="X159" i="1"/>
  <c r="I20" i="4"/>
  <c r="X200" i="1"/>
  <c r="X92" i="1"/>
  <c r="X180" i="1"/>
  <c r="X166" i="1"/>
  <c r="J5" i="4"/>
  <c r="AD142" i="1"/>
  <c r="X197" i="1"/>
  <c r="J21" i="4"/>
  <c r="J10" i="4"/>
  <c r="AD240" i="1"/>
  <c r="AD32" i="1"/>
  <c r="J26" i="4"/>
  <c r="AD216" i="1"/>
  <c r="AD23" i="1"/>
  <c r="J42" i="4"/>
  <c r="K29" i="4"/>
  <c r="AD193" i="1"/>
  <c r="J25" i="4"/>
  <c r="X144" i="1"/>
  <c r="J20" i="4"/>
  <c r="X58" i="1"/>
  <c r="X183" i="1"/>
  <c r="X66" i="1"/>
  <c r="AD85" i="1"/>
  <c r="AD219" i="1"/>
  <c r="X19" i="1"/>
  <c r="K9" i="4"/>
  <c r="X40" i="1"/>
  <c r="K27" i="4"/>
  <c r="X63" i="1"/>
  <c r="X67" i="1"/>
  <c r="I44" i="4"/>
  <c r="X99" i="1"/>
  <c r="X223" i="1"/>
  <c r="J32" i="4"/>
  <c r="K22" i="4"/>
  <c r="I36" i="4"/>
  <c r="J47" i="4"/>
  <c r="X57" i="1"/>
  <c r="AD242" i="1"/>
  <c r="AD153" i="1"/>
  <c r="I28" i="4"/>
  <c r="I40" i="4"/>
  <c r="X59" i="1"/>
  <c r="X222" i="1"/>
  <c r="I41" i="4"/>
  <c r="X85" i="1"/>
  <c r="X212" i="1"/>
  <c r="X77" i="1"/>
  <c r="I38" i="4"/>
  <c r="X174" i="1"/>
  <c r="AD127" i="1"/>
  <c r="K19" i="4"/>
  <c r="K47" i="4"/>
  <c r="X140" i="1"/>
  <c r="K46" i="4"/>
  <c r="K40" i="4"/>
  <c r="X193" i="1"/>
  <c r="X115" i="1"/>
  <c r="X86" i="1"/>
  <c r="X244" i="1"/>
  <c r="X146" i="1"/>
  <c r="X113" i="1"/>
  <c r="X32" i="1"/>
  <c r="X177" i="1"/>
  <c r="K20" i="4"/>
  <c r="I7" i="4"/>
  <c r="X136" i="1"/>
  <c r="I39" i="4"/>
  <c r="AD113" i="1"/>
  <c r="X139" i="1"/>
  <c r="X82" i="1"/>
  <c r="J27" i="4"/>
  <c r="X160" i="1"/>
  <c r="AD51" i="1"/>
  <c r="AD222" i="1"/>
  <c r="X182" i="1"/>
  <c r="X27" i="1"/>
  <c r="J44" i="4"/>
  <c r="X10" i="1"/>
  <c r="X194" i="1"/>
  <c r="J6" i="4"/>
  <c r="X246" i="1"/>
  <c r="I31" i="4"/>
  <c r="X153" i="1"/>
  <c r="K8" i="4"/>
  <c r="X91" i="1"/>
  <c r="X74" i="1"/>
  <c r="X237" i="1"/>
  <c r="X38" i="1"/>
  <c r="X155" i="1"/>
  <c r="K21" i="4"/>
  <c r="X18" i="1"/>
  <c r="X185" i="1"/>
  <c r="X8" i="1"/>
  <c r="X71" i="1"/>
  <c r="M60" i="4" l="1"/>
  <c r="L60" i="4"/>
  <c r="M59" i="4"/>
  <c r="L59" i="4"/>
  <c r="M58" i="4"/>
  <c r="L58" i="4"/>
  <c r="J29" i="2"/>
  <c r="J29" i="6"/>
  <c r="M57" i="4"/>
  <c r="L57" i="4"/>
  <c r="M56" i="4"/>
  <c r="L56" i="4"/>
  <c r="M55" i="4"/>
  <c r="L55" i="4"/>
  <c r="M54" i="4"/>
  <c r="L54" i="4"/>
  <c r="L21" i="4"/>
  <c r="M21" i="4"/>
  <c r="L46" i="4"/>
  <c r="M46" i="4"/>
  <c r="L22" i="4"/>
  <c r="M22" i="4"/>
  <c r="L29" i="4"/>
  <c r="M29" i="4"/>
  <c r="L36" i="4"/>
  <c r="M36" i="4"/>
  <c r="L39" i="4"/>
  <c r="M39" i="4"/>
  <c r="M50" i="4"/>
  <c r="L50" i="4"/>
  <c r="L48" i="4"/>
  <c r="M48" i="4"/>
  <c r="L13" i="4"/>
  <c r="M13" i="4"/>
  <c r="M41" i="4"/>
  <c r="L41" i="4"/>
  <c r="M15" i="4"/>
  <c r="L15" i="4"/>
  <c r="L14" i="4"/>
  <c r="M14" i="4"/>
  <c r="L10" i="4"/>
  <c r="M10" i="4"/>
  <c r="M43" i="4"/>
  <c r="L43" i="4"/>
  <c r="M37" i="4"/>
  <c r="L37" i="4"/>
  <c r="L35" i="4"/>
  <c r="M35" i="4"/>
  <c r="M16" i="4"/>
  <c r="L16" i="4"/>
  <c r="M7" i="4"/>
  <c r="L7" i="4"/>
  <c r="L5" i="4"/>
  <c r="M5" i="4"/>
  <c r="K64" i="4"/>
  <c r="L26" i="4"/>
  <c r="M26" i="4"/>
  <c r="M53" i="4"/>
  <c r="L53" i="4"/>
  <c r="L8" i="4"/>
  <c r="M8" i="4"/>
  <c r="L20" i="4"/>
  <c r="M20" i="4"/>
  <c r="L47" i="4"/>
  <c r="M47" i="4"/>
  <c r="L40" i="4"/>
  <c r="M40" i="4"/>
  <c r="M19" i="4"/>
  <c r="L19" i="4"/>
  <c r="M27" i="4"/>
  <c r="L27" i="4"/>
  <c r="L9" i="4"/>
  <c r="M9" i="4"/>
  <c r="J64" i="4"/>
  <c r="M28" i="4"/>
  <c r="L28" i="4"/>
  <c r="L11" i="4"/>
  <c r="M11" i="4"/>
  <c r="I64" i="4"/>
  <c r="M32" i="4"/>
  <c r="L32" i="4"/>
  <c r="L33" i="4"/>
  <c r="M33" i="4"/>
  <c r="M30" i="4"/>
  <c r="L30" i="4"/>
  <c r="L49" i="4"/>
  <c r="M49" i="4"/>
  <c r="M23" i="4"/>
  <c r="L23" i="4"/>
  <c r="L6" i="4"/>
  <c r="M6" i="4"/>
  <c r="L44" i="4"/>
  <c r="M44" i="4"/>
  <c r="L52" i="4"/>
  <c r="M52" i="4"/>
  <c r="M42" i="4"/>
  <c r="L42" i="4"/>
  <c r="G1" i="6"/>
  <c r="G1" i="2"/>
  <c r="M51" i="4"/>
  <c r="L51" i="4"/>
  <c r="L38" i="4"/>
  <c r="M38" i="4"/>
  <c r="M31" i="4"/>
  <c r="L31" i="4"/>
  <c r="L24" i="4"/>
  <c r="M24" i="4"/>
  <c r="M18" i="4"/>
  <c r="L18" i="4"/>
  <c r="L17" i="4"/>
  <c r="M17" i="4"/>
  <c r="M25" i="4"/>
  <c r="L25" i="4"/>
  <c r="L12" i="4"/>
  <c r="M12" i="4"/>
  <c r="M45" i="4"/>
  <c r="L45" i="4"/>
  <c r="M34" i="4"/>
  <c r="L34" i="4"/>
  <c r="W60" i="4"/>
  <c r="W59" i="4"/>
  <c r="W58" i="4"/>
  <c r="W57" i="4"/>
  <c r="W56" i="4"/>
  <c r="W55" i="4"/>
  <c r="W54" i="4"/>
  <c r="W50" i="4"/>
  <c r="W41" i="4"/>
  <c r="W15" i="4"/>
  <c r="W43" i="4"/>
  <c r="W37" i="4"/>
  <c r="W16" i="4"/>
  <c r="W7" i="4"/>
  <c r="W26" i="4"/>
  <c r="W8" i="4"/>
  <c r="W20" i="4"/>
  <c r="W47" i="4"/>
  <c r="W40" i="4"/>
  <c r="W9" i="4"/>
  <c r="W28" i="4"/>
  <c r="W33" i="4"/>
  <c r="W49" i="4"/>
  <c r="W6" i="4"/>
  <c r="W44" i="4"/>
  <c r="W52" i="4"/>
  <c r="W38" i="4"/>
  <c r="W24" i="4"/>
  <c r="W17" i="4"/>
  <c r="W12" i="4"/>
  <c r="W21" i="4"/>
  <c r="W46" i="4"/>
  <c r="W22" i="4"/>
  <c r="W29" i="4"/>
  <c r="W36" i="4"/>
  <c r="W39" i="4"/>
  <c r="W48" i="4"/>
  <c r="W13" i="4"/>
  <c r="W14" i="4"/>
  <c r="W10" i="4"/>
  <c r="W35" i="4"/>
  <c r="W5" i="4"/>
  <c r="W53" i="4"/>
  <c r="W19" i="4"/>
  <c r="W27" i="4"/>
  <c r="W11" i="4"/>
  <c r="W32" i="4"/>
  <c r="W30" i="4"/>
  <c r="W23" i="4"/>
  <c r="W42" i="4"/>
  <c r="W51" i="4"/>
  <c r="W31" i="4"/>
  <c r="W18" i="4"/>
  <c r="W25" i="4"/>
  <c r="W45" i="4"/>
  <c r="W34" i="4"/>
  <c r="K31" i="6" l="1"/>
  <c r="K69" i="6" s="1"/>
  <c r="K107" i="6" s="1"/>
  <c r="J67" i="6"/>
  <c r="J105" i="6" s="1"/>
  <c r="J33" i="6"/>
  <c r="J71" i="6" s="1"/>
  <c r="J109" i="6" s="1"/>
  <c r="J33" i="2"/>
  <c r="J71" i="2" s="1"/>
  <c r="J109" i="2" s="1"/>
  <c r="J67" i="2"/>
  <c r="J105" i="2" s="1"/>
  <c r="K31" i="2"/>
  <c r="K69" i="2" s="1"/>
  <c r="K107" i="2" s="1"/>
  <c r="K35" i="6"/>
  <c r="K73" i="6" s="1"/>
  <c r="K111" i="6" s="1"/>
  <c r="K35" i="2"/>
  <c r="K73" i="2" s="1"/>
  <c r="K111" i="2" s="1"/>
  <c r="B12" i="6"/>
  <c r="B50" i="6" s="1"/>
  <c r="B88" i="6" s="1"/>
  <c r="B11" i="6"/>
  <c r="B49" i="6" s="1"/>
  <c r="B87" i="6" s="1"/>
  <c r="I12" i="6"/>
  <c r="I50" i="6" s="1"/>
  <c r="I88" i="6" s="1"/>
  <c r="J17" i="6"/>
  <c r="J55" i="6" s="1"/>
  <c r="J93" i="6" s="1"/>
  <c r="I23" i="6"/>
  <c r="I61" i="6" s="1"/>
  <c r="I99" i="6" s="1"/>
  <c r="K22" i="6"/>
  <c r="K60" i="6" s="1"/>
  <c r="K98" i="6" s="1"/>
  <c r="D22" i="6"/>
  <c r="D60" i="6" s="1"/>
  <c r="D98" i="6" s="1"/>
  <c r="E20" i="6"/>
  <c r="E58" i="6" s="1"/>
  <c r="E96" i="6" s="1"/>
  <c r="B26" i="6"/>
  <c r="B64" i="6" s="1"/>
  <c r="B102" i="6" s="1"/>
  <c r="H21" i="6"/>
  <c r="H59" i="6" s="1"/>
  <c r="H97" i="6" s="1"/>
  <c r="E12" i="6"/>
  <c r="E50" i="6" s="1"/>
  <c r="E88" i="6" s="1"/>
  <c r="I19" i="6"/>
  <c r="I57" i="6" s="1"/>
  <c r="I95" i="6" s="1"/>
  <c r="D14" i="6"/>
  <c r="D52" i="6" s="1"/>
  <c r="D90" i="6" s="1"/>
  <c r="C25" i="6"/>
  <c r="C63" i="6" s="1"/>
  <c r="C101" i="6" s="1"/>
  <c r="I26" i="6"/>
  <c r="I64" i="6" s="1"/>
  <c r="I102" i="6" s="1"/>
  <c r="H17" i="6"/>
  <c r="H55" i="6" s="1"/>
  <c r="H93" i="6" s="1"/>
  <c r="I21" i="6"/>
  <c r="I59" i="6" s="1"/>
  <c r="I97" i="6" s="1"/>
  <c r="J26" i="6"/>
  <c r="J64" i="6" s="1"/>
  <c r="J102" i="6" s="1"/>
  <c r="B20" i="6"/>
  <c r="B58" i="6" s="1"/>
  <c r="B96" i="6" s="1"/>
  <c r="E21" i="6"/>
  <c r="E59" i="6" s="1"/>
  <c r="E97" i="6" s="1"/>
  <c r="J23" i="6"/>
  <c r="J61" i="6" s="1"/>
  <c r="J99" i="6" s="1"/>
  <c r="K16" i="6"/>
  <c r="K54" i="6" s="1"/>
  <c r="K92" i="6" s="1"/>
  <c r="I14" i="6"/>
  <c r="I52" i="6" s="1"/>
  <c r="I90" i="6" s="1"/>
  <c r="H25" i="6"/>
  <c r="H63" i="6" s="1"/>
  <c r="H101" i="6" s="1"/>
  <c r="K12" i="6"/>
  <c r="K50" i="6" s="1"/>
  <c r="K88" i="6" s="1"/>
  <c r="K21" i="6"/>
  <c r="K59" i="6" s="1"/>
  <c r="K97" i="6" s="1"/>
  <c r="I17" i="6"/>
  <c r="I55" i="6" s="1"/>
  <c r="I93" i="6" s="1"/>
  <c r="E14" i="6"/>
  <c r="E52" i="6" s="1"/>
  <c r="E90" i="6" s="1"/>
  <c r="J22" i="6"/>
  <c r="J60" i="6" s="1"/>
  <c r="J98" i="6" s="1"/>
  <c r="H11" i="6"/>
  <c r="H49" i="6" s="1"/>
  <c r="H87" i="6" s="1"/>
  <c r="H15" i="6"/>
  <c r="H53" i="6" s="1"/>
  <c r="H91" i="6" s="1"/>
  <c r="C26" i="6"/>
  <c r="C64" i="6" s="1"/>
  <c r="C102" i="6" s="1"/>
  <c r="H14" i="6"/>
  <c r="H52" i="6" s="1"/>
  <c r="H90" i="6" s="1"/>
  <c r="B17" i="6"/>
  <c r="B55" i="6" s="1"/>
  <c r="B93" i="6" s="1"/>
  <c r="I20" i="6"/>
  <c r="I58" i="6" s="1"/>
  <c r="I96" i="6" s="1"/>
  <c r="E17" i="6"/>
  <c r="E55" i="6" s="1"/>
  <c r="E93" i="6" s="1"/>
  <c r="H24" i="6"/>
  <c r="H62" i="6" s="1"/>
  <c r="H100" i="6" s="1"/>
  <c r="C22" i="6"/>
  <c r="C60" i="6" s="1"/>
  <c r="C98" i="6" s="1"/>
  <c r="D25" i="6"/>
  <c r="D63" i="6" s="1"/>
  <c r="D101" i="6" s="1"/>
  <c r="E22" i="6"/>
  <c r="E60" i="6" s="1"/>
  <c r="E98" i="6" s="1"/>
  <c r="K25" i="6"/>
  <c r="K63" i="6" s="1"/>
  <c r="K101" i="6" s="1"/>
  <c r="I11" i="6"/>
  <c r="I49" i="6" s="1"/>
  <c r="I87" i="6" s="1"/>
  <c r="B16" i="6"/>
  <c r="B54" i="6" s="1"/>
  <c r="B92" i="6" s="1"/>
  <c r="H13" i="6"/>
  <c r="H51" i="6" s="1"/>
  <c r="H89" i="6" s="1"/>
  <c r="B22" i="6"/>
  <c r="B60" i="6" s="1"/>
  <c r="B98" i="6" s="1"/>
  <c r="C20" i="6"/>
  <c r="C58" i="6" s="1"/>
  <c r="C96" i="6" s="1"/>
  <c r="I16" i="6"/>
  <c r="I54" i="6" s="1"/>
  <c r="I92" i="6" s="1"/>
  <c r="J14" i="6"/>
  <c r="J52" i="6" s="1"/>
  <c r="J90" i="6" s="1"/>
  <c r="J20" i="6"/>
  <c r="J58" i="6" s="1"/>
  <c r="J96" i="6" s="1"/>
  <c r="C17" i="6"/>
  <c r="C55" i="6" s="1"/>
  <c r="C93" i="6" s="1"/>
  <c r="D12" i="6"/>
  <c r="D50" i="6" s="1"/>
  <c r="D88" i="6" s="1"/>
  <c r="J16" i="6"/>
  <c r="J54" i="6" s="1"/>
  <c r="J92" i="6" s="1"/>
  <c r="B19" i="6"/>
  <c r="B57" i="6" s="1"/>
  <c r="B95" i="6" s="1"/>
  <c r="B15" i="6"/>
  <c r="B53" i="6" s="1"/>
  <c r="B91" i="6" s="1"/>
  <c r="J12" i="6"/>
  <c r="J50" i="6" s="1"/>
  <c r="J88" i="6" s="1"/>
  <c r="J15" i="6"/>
  <c r="J53" i="6" s="1"/>
  <c r="J91" i="6" s="1"/>
  <c r="C13" i="6"/>
  <c r="C51" i="6" s="1"/>
  <c r="C89" i="6" s="1"/>
  <c r="K26" i="6"/>
  <c r="K64" i="6" s="1"/>
  <c r="K102" i="6" s="1"/>
  <c r="E15" i="6"/>
  <c r="E53" i="6" s="1"/>
  <c r="E91" i="6" s="1"/>
  <c r="I18" i="6"/>
  <c r="I56" i="6" s="1"/>
  <c r="I94" i="6" s="1"/>
  <c r="D24" i="6"/>
  <c r="D62" i="6" s="1"/>
  <c r="D100" i="6" s="1"/>
  <c r="K18" i="6"/>
  <c r="K56" i="6" s="1"/>
  <c r="K94" i="6" s="1"/>
  <c r="D13" i="6"/>
  <c r="D51" i="6" s="1"/>
  <c r="D89" i="6" s="1"/>
  <c r="C21" i="6"/>
  <c r="C59" i="6" s="1"/>
  <c r="C97" i="6" s="1"/>
  <c r="D17" i="6"/>
  <c r="D55" i="6" s="1"/>
  <c r="D93" i="6" s="1"/>
  <c r="E11" i="6"/>
  <c r="E49" i="6" s="1"/>
  <c r="E87" i="6" s="1"/>
  <c r="E18" i="6"/>
  <c r="E56" i="6" s="1"/>
  <c r="E94" i="6" s="1"/>
  <c r="E24" i="6"/>
  <c r="E62" i="6" s="1"/>
  <c r="E100" i="6" s="1"/>
  <c r="K24" i="6"/>
  <c r="K62" i="6" s="1"/>
  <c r="K100" i="6" s="1"/>
  <c r="I24" i="6"/>
  <c r="I62" i="6" s="1"/>
  <c r="I100" i="6" s="1"/>
  <c r="J19" i="6"/>
  <c r="J57" i="6" s="1"/>
  <c r="J95" i="6" s="1"/>
  <c r="D23" i="6"/>
  <c r="D61" i="6" s="1"/>
  <c r="D99" i="6" s="1"/>
  <c r="I25" i="6"/>
  <c r="I63" i="6" s="1"/>
  <c r="I101" i="6" s="1"/>
  <c r="C23" i="6"/>
  <c r="C61" i="6" s="1"/>
  <c r="C99" i="6" s="1"/>
  <c r="K13" i="6"/>
  <c r="K51" i="6" s="1"/>
  <c r="K89" i="6" s="1"/>
  <c r="J11" i="6"/>
  <c r="J49" i="6" s="1"/>
  <c r="J87" i="6" s="1"/>
  <c r="E23" i="6"/>
  <c r="E61" i="6" s="1"/>
  <c r="E99" i="6" s="1"/>
  <c r="H16" i="6"/>
  <c r="H54" i="6" s="1"/>
  <c r="H92" i="6" s="1"/>
  <c r="D15" i="6"/>
  <c r="D53" i="6" s="1"/>
  <c r="D91" i="6" s="1"/>
  <c r="C16" i="6"/>
  <c r="C54" i="6" s="1"/>
  <c r="C92" i="6" s="1"/>
  <c r="K15" i="6"/>
  <c r="K53" i="6" s="1"/>
  <c r="K91" i="6" s="1"/>
  <c r="C18" i="6"/>
  <c r="C56" i="6" s="1"/>
  <c r="C94" i="6" s="1"/>
  <c r="J24" i="6"/>
  <c r="J62" i="6" s="1"/>
  <c r="J100" i="6" s="1"/>
  <c r="K23" i="6"/>
  <c r="K61" i="6" s="1"/>
  <c r="K99" i="6" s="1"/>
  <c r="K17" i="6"/>
  <c r="K55" i="6" s="1"/>
  <c r="K93" i="6" s="1"/>
  <c r="C15" i="6"/>
  <c r="C53" i="6" s="1"/>
  <c r="C91" i="6" s="1"/>
  <c r="H12" i="6"/>
  <c r="H50" i="6" s="1"/>
  <c r="H88" i="6" s="1"/>
  <c r="E25" i="6"/>
  <c r="E63" i="6" s="1"/>
  <c r="E101" i="6" s="1"/>
  <c r="E13" i="6"/>
  <c r="E51" i="6" s="1"/>
  <c r="E89" i="6" s="1"/>
  <c r="C12" i="6"/>
  <c r="C50" i="6" s="1"/>
  <c r="C88" i="6" s="1"/>
  <c r="J25" i="6"/>
  <c r="J63" i="6" s="1"/>
  <c r="J101" i="6" s="1"/>
  <c r="H22" i="6"/>
  <c r="H60" i="6" s="1"/>
  <c r="H98" i="6" s="1"/>
  <c r="B14" i="6"/>
  <c r="B52" i="6" s="1"/>
  <c r="B90" i="6" s="1"/>
  <c r="B24" i="6"/>
  <c r="B62" i="6" s="1"/>
  <c r="B100" i="6" s="1"/>
  <c r="H23" i="6"/>
  <c r="H61" i="6" s="1"/>
  <c r="H99" i="6" s="1"/>
  <c r="D26" i="6"/>
  <c r="D64" i="6" s="1"/>
  <c r="D102" i="6" s="1"/>
  <c r="E26" i="6"/>
  <c r="E64" i="6" s="1"/>
  <c r="E102" i="6" s="1"/>
  <c r="C11" i="6"/>
  <c r="C49" i="6" s="1"/>
  <c r="C87" i="6" s="1"/>
  <c r="H18" i="6"/>
  <c r="H56" i="6" s="1"/>
  <c r="H94" i="6" s="1"/>
  <c r="K20" i="6"/>
  <c r="K58" i="6" s="1"/>
  <c r="K96" i="6" s="1"/>
  <c r="D11" i="6"/>
  <c r="D49" i="6" s="1"/>
  <c r="D87" i="6" s="1"/>
  <c r="K11" i="6"/>
  <c r="K49" i="6" s="1"/>
  <c r="K87" i="6" s="1"/>
  <c r="C24" i="6"/>
  <c r="C62" i="6" s="1"/>
  <c r="C100" i="6" s="1"/>
  <c r="C19" i="6"/>
  <c r="C57" i="6" s="1"/>
  <c r="C95" i="6" s="1"/>
  <c r="I13" i="6"/>
  <c r="I51" i="6" s="1"/>
  <c r="I89" i="6" s="1"/>
  <c r="B18" i="6"/>
  <c r="B56" i="6" s="1"/>
  <c r="B94" i="6" s="1"/>
  <c r="D19" i="6"/>
  <c r="D57" i="6" s="1"/>
  <c r="D95" i="6" s="1"/>
  <c r="H20" i="6"/>
  <c r="H58" i="6" s="1"/>
  <c r="H96" i="6" s="1"/>
  <c r="D21" i="6"/>
  <c r="D59" i="6" s="1"/>
  <c r="D97" i="6" s="1"/>
  <c r="E19" i="6"/>
  <c r="E57" i="6" s="1"/>
  <c r="E95" i="6" s="1"/>
  <c r="H26" i="6"/>
  <c r="H64" i="6" s="1"/>
  <c r="H102" i="6" s="1"/>
  <c r="I15" i="6"/>
  <c r="I53" i="6" s="1"/>
  <c r="I91" i="6" s="1"/>
  <c r="C14" i="6"/>
  <c r="C52" i="6" s="1"/>
  <c r="C90" i="6" s="1"/>
  <c r="B25" i="6"/>
  <c r="B63" i="6" s="1"/>
  <c r="B101" i="6" s="1"/>
  <c r="K14" i="6"/>
  <c r="K52" i="6" s="1"/>
  <c r="K90" i="6" s="1"/>
  <c r="B23" i="6"/>
  <c r="B61" i="6" s="1"/>
  <c r="B99" i="6" s="1"/>
  <c r="J18" i="6"/>
  <c r="J56" i="6" s="1"/>
  <c r="J94" i="6" s="1"/>
  <c r="D18" i="6"/>
  <c r="D56" i="6" s="1"/>
  <c r="D94" i="6" s="1"/>
  <c r="B21" i="6"/>
  <c r="B59" i="6" s="1"/>
  <c r="B97" i="6" s="1"/>
  <c r="D20" i="6"/>
  <c r="D58" i="6" s="1"/>
  <c r="D96" i="6" s="1"/>
  <c r="K19" i="6"/>
  <c r="K57" i="6" s="1"/>
  <c r="K95" i="6" s="1"/>
  <c r="E16" i="6"/>
  <c r="E54" i="6" s="1"/>
  <c r="E92" i="6" s="1"/>
  <c r="I22" i="6"/>
  <c r="I60" i="6" s="1"/>
  <c r="I98" i="6" s="1"/>
  <c r="J13" i="6"/>
  <c r="J51" i="6" s="1"/>
  <c r="J89" i="6" s="1"/>
  <c r="B13" i="6"/>
  <c r="B51" i="6" s="1"/>
  <c r="B89" i="6" s="1"/>
  <c r="J21" i="6"/>
  <c r="J59" i="6" s="1"/>
  <c r="J97" i="6" s="1"/>
  <c r="D16" i="6"/>
  <c r="D54" i="6" s="1"/>
  <c r="D92" i="6" s="1"/>
  <c r="H19" i="6"/>
  <c r="H57" i="6" s="1"/>
  <c r="H95" i="6" s="1"/>
  <c r="AA4" i="4"/>
  <c r="AA6" i="4" s="1"/>
  <c r="M64" i="4"/>
  <c r="B24" i="2"/>
  <c r="B62" i="2" s="1"/>
  <c r="B100" i="2" s="1"/>
  <c r="D22" i="2"/>
  <c r="D60" i="2" s="1"/>
  <c r="D98" i="2" s="1"/>
  <c r="H20" i="2"/>
  <c r="H58" i="2" s="1"/>
  <c r="H96" i="2" s="1"/>
  <c r="E18" i="2"/>
  <c r="E56" i="2" s="1"/>
  <c r="E94" i="2" s="1"/>
  <c r="K24" i="2"/>
  <c r="K62" i="2" s="1"/>
  <c r="K100" i="2" s="1"/>
  <c r="J14" i="2"/>
  <c r="J52" i="2" s="1"/>
  <c r="J90" i="2" s="1"/>
  <c r="I16" i="2"/>
  <c r="I54" i="2" s="1"/>
  <c r="I92" i="2" s="1"/>
  <c r="K12" i="2"/>
  <c r="K50" i="2" s="1"/>
  <c r="K88" i="2" s="1"/>
  <c r="B14" i="2"/>
  <c r="B52" i="2" s="1"/>
  <c r="B90" i="2" s="1"/>
  <c r="I26" i="2"/>
  <c r="I64" i="2" s="1"/>
  <c r="I102" i="2" s="1"/>
  <c r="C22" i="2"/>
  <c r="C60" i="2" s="1"/>
  <c r="C98" i="2" s="1"/>
  <c r="I24" i="2"/>
  <c r="I62" i="2" s="1"/>
  <c r="I100" i="2" s="1"/>
  <c r="E15" i="2"/>
  <c r="E53" i="2" s="1"/>
  <c r="E91" i="2" s="1"/>
  <c r="H17" i="2"/>
  <c r="H55" i="2" s="1"/>
  <c r="H93" i="2" s="1"/>
  <c r="D18" i="2"/>
  <c r="D56" i="2" s="1"/>
  <c r="D94" i="2" s="1"/>
  <c r="B11" i="2"/>
  <c r="B49" i="2" s="1"/>
  <c r="B87" i="2" s="1"/>
  <c r="K25" i="2"/>
  <c r="K63" i="2" s="1"/>
  <c r="K101" i="2" s="1"/>
  <c r="E12" i="2"/>
  <c r="E50" i="2" s="1"/>
  <c r="E88" i="2" s="1"/>
  <c r="I20" i="2"/>
  <c r="I58" i="2" s="1"/>
  <c r="I96" i="2" s="1"/>
  <c r="K21" i="2"/>
  <c r="K59" i="2" s="1"/>
  <c r="K97" i="2" s="1"/>
  <c r="E19" i="2"/>
  <c r="E57" i="2" s="1"/>
  <c r="E95" i="2" s="1"/>
  <c r="I11" i="2"/>
  <c r="I49" i="2" s="1"/>
  <c r="I87" i="2" s="1"/>
  <c r="H13" i="2"/>
  <c r="H51" i="2" s="1"/>
  <c r="H89" i="2" s="1"/>
  <c r="C11" i="2"/>
  <c r="C49" i="2" s="1"/>
  <c r="C87" i="2" s="1"/>
  <c r="J20" i="2"/>
  <c r="J58" i="2" s="1"/>
  <c r="J96" i="2" s="1"/>
  <c r="C13" i="2"/>
  <c r="C51" i="2" s="1"/>
  <c r="C89" i="2" s="1"/>
  <c r="E25" i="2"/>
  <c r="E63" i="2" s="1"/>
  <c r="E101" i="2" s="1"/>
  <c r="B25" i="2"/>
  <c r="B63" i="2" s="1"/>
  <c r="B101" i="2" s="1"/>
  <c r="B15" i="2"/>
  <c r="B53" i="2" s="1"/>
  <c r="B91" i="2" s="1"/>
  <c r="D12" i="2"/>
  <c r="D50" i="2" s="1"/>
  <c r="D88" i="2" s="1"/>
  <c r="D11" i="2"/>
  <c r="D49" i="2" s="1"/>
  <c r="D87" i="2" s="1"/>
  <c r="C23" i="2"/>
  <c r="C61" i="2" s="1"/>
  <c r="C99" i="2" s="1"/>
  <c r="J26" i="2"/>
  <c r="J64" i="2" s="1"/>
  <c r="J102" i="2" s="1"/>
  <c r="D16" i="2"/>
  <c r="D54" i="2" s="1"/>
  <c r="D92" i="2" s="1"/>
  <c r="I14" i="2"/>
  <c r="I52" i="2" s="1"/>
  <c r="I90" i="2" s="1"/>
  <c r="K20" i="2"/>
  <c r="K58" i="2" s="1"/>
  <c r="K96" i="2" s="1"/>
  <c r="D24" i="2"/>
  <c r="D62" i="2" s="1"/>
  <c r="D100" i="2" s="1"/>
  <c r="H21" i="2"/>
  <c r="H59" i="2" s="1"/>
  <c r="H97" i="2" s="1"/>
  <c r="I17" i="2"/>
  <c r="I55" i="2" s="1"/>
  <c r="I93" i="2" s="1"/>
  <c r="B19" i="2"/>
  <c r="B57" i="2" s="1"/>
  <c r="B95" i="2" s="1"/>
  <c r="J25" i="2"/>
  <c r="J63" i="2" s="1"/>
  <c r="J101" i="2" s="1"/>
  <c r="I19" i="2"/>
  <c r="I57" i="2" s="1"/>
  <c r="I95" i="2" s="1"/>
  <c r="K14" i="2"/>
  <c r="K52" i="2" s="1"/>
  <c r="K90" i="2" s="1"/>
  <c r="H23" i="2"/>
  <c r="H61" i="2" s="1"/>
  <c r="H99" i="2" s="1"/>
  <c r="B22" i="2"/>
  <c r="B60" i="2" s="1"/>
  <c r="B98" i="2" s="1"/>
  <c r="B26" i="2"/>
  <c r="B64" i="2" s="1"/>
  <c r="B102" i="2" s="1"/>
  <c r="H19" i="2"/>
  <c r="H57" i="2" s="1"/>
  <c r="H95" i="2" s="1"/>
  <c r="I12" i="2"/>
  <c r="I50" i="2" s="1"/>
  <c r="I88" i="2" s="1"/>
  <c r="I22" i="2"/>
  <c r="I60" i="2" s="1"/>
  <c r="I98" i="2" s="1"/>
  <c r="D26" i="2"/>
  <c r="D64" i="2" s="1"/>
  <c r="D102" i="2" s="1"/>
  <c r="K13" i="2"/>
  <c r="K51" i="2" s="1"/>
  <c r="K89" i="2" s="1"/>
  <c r="H26" i="2"/>
  <c r="H64" i="2" s="1"/>
  <c r="H102" i="2" s="1"/>
  <c r="C16" i="2"/>
  <c r="C54" i="2" s="1"/>
  <c r="C92" i="2" s="1"/>
  <c r="H25" i="2"/>
  <c r="H63" i="2" s="1"/>
  <c r="H101" i="2" s="1"/>
  <c r="C17" i="2"/>
  <c r="C55" i="2" s="1"/>
  <c r="C93" i="2" s="1"/>
  <c r="E16" i="2"/>
  <c r="E54" i="2" s="1"/>
  <c r="E92" i="2" s="1"/>
  <c r="E22" i="2"/>
  <c r="E60" i="2" s="1"/>
  <c r="E98" i="2" s="1"/>
  <c r="I25" i="2"/>
  <c r="I63" i="2" s="1"/>
  <c r="I101" i="2" s="1"/>
  <c r="B20" i="2"/>
  <c r="B58" i="2" s="1"/>
  <c r="B96" i="2" s="1"/>
  <c r="E11" i="2"/>
  <c r="E49" i="2" s="1"/>
  <c r="E87" i="2" s="1"/>
  <c r="B17" i="2"/>
  <c r="B55" i="2" s="1"/>
  <c r="B93" i="2" s="1"/>
  <c r="J21" i="2"/>
  <c r="J59" i="2" s="1"/>
  <c r="J97" i="2" s="1"/>
  <c r="H12" i="2"/>
  <c r="H50" i="2" s="1"/>
  <c r="H88" i="2" s="1"/>
  <c r="K11" i="2"/>
  <c r="K49" i="2" s="1"/>
  <c r="K87" i="2" s="1"/>
  <c r="E20" i="2"/>
  <c r="E58" i="2" s="1"/>
  <c r="E96" i="2" s="1"/>
  <c r="C12" i="2"/>
  <c r="C50" i="2" s="1"/>
  <c r="C88" i="2" s="1"/>
  <c r="J19" i="2"/>
  <c r="J57" i="2" s="1"/>
  <c r="J95" i="2" s="1"/>
  <c r="C25" i="2"/>
  <c r="C63" i="2" s="1"/>
  <c r="C101" i="2" s="1"/>
  <c r="H24" i="2"/>
  <c r="H62" i="2" s="1"/>
  <c r="H100" i="2" s="1"/>
  <c r="C19" i="2"/>
  <c r="C57" i="2" s="1"/>
  <c r="C95" i="2" s="1"/>
  <c r="H11" i="2"/>
  <c r="H49" i="2" s="1"/>
  <c r="H87" i="2" s="1"/>
  <c r="B16" i="2"/>
  <c r="B54" i="2" s="1"/>
  <c r="B92" i="2" s="1"/>
  <c r="I23" i="2"/>
  <c r="I61" i="2" s="1"/>
  <c r="I99" i="2" s="1"/>
  <c r="C15" i="2"/>
  <c r="C53" i="2" s="1"/>
  <c r="C91" i="2" s="1"/>
  <c r="K18" i="2"/>
  <c r="K56" i="2" s="1"/>
  <c r="K94" i="2" s="1"/>
  <c r="J15" i="2"/>
  <c r="J53" i="2" s="1"/>
  <c r="J91" i="2" s="1"/>
  <c r="J16" i="2"/>
  <c r="J54" i="2" s="1"/>
  <c r="J92" i="2" s="1"/>
  <c r="C20" i="2"/>
  <c r="C58" i="2" s="1"/>
  <c r="C96" i="2" s="1"/>
  <c r="I15" i="2"/>
  <c r="I53" i="2" s="1"/>
  <c r="I91" i="2" s="1"/>
  <c r="E24" i="2"/>
  <c r="E62" i="2" s="1"/>
  <c r="E100" i="2" s="1"/>
  <c r="B18" i="2"/>
  <c r="B56" i="2" s="1"/>
  <c r="B94" i="2" s="1"/>
  <c r="K19" i="2"/>
  <c r="K57" i="2" s="1"/>
  <c r="K95" i="2" s="1"/>
  <c r="C21" i="2"/>
  <c r="C59" i="2" s="1"/>
  <c r="C97" i="2" s="1"/>
  <c r="I21" i="2"/>
  <c r="I59" i="2" s="1"/>
  <c r="I97" i="2" s="1"/>
  <c r="B12" i="2"/>
  <c r="B50" i="2" s="1"/>
  <c r="B88" i="2" s="1"/>
  <c r="E21" i="2"/>
  <c r="E59" i="2" s="1"/>
  <c r="E97" i="2" s="1"/>
  <c r="J18" i="2"/>
  <c r="J56" i="2" s="1"/>
  <c r="J94" i="2" s="1"/>
  <c r="J12" i="2"/>
  <c r="J50" i="2" s="1"/>
  <c r="J88" i="2" s="1"/>
  <c r="D21" i="2"/>
  <c r="D59" i="2" s="1"/>
  <c r="D97" i="2" s="1"/>
  <c r="C26" i="2"/>
  <c r="C64" i="2" s="1"/>
  <c r="C102" i="2" s="1"/>
  <c r="E13" i="2"/>
  <c r="E51" i="2" s="1"/>
  <c r="E89" i="2" s="1"/>
  <c r="K15" i="2"/>
  <c r="K53" i="2" s="1"/>
  <c r="K91" i="2" s="1"/>
  <c r="D14" i="2"/>
  <c r="D52" i="2" s="1"/>
  <c r="D90" i="2" s="1"/>
  <c r="I13" i="2"/>
  <c r="I51" i="2" s="1"/>
  <c r="I89" i="2" s="1"/>
  <c r="J11" i="2"/>
  <c r="J49" i="2" s="1"/>
  <c r="J87" i="2" s="1"/>
  <c r="C18" i="2"/>
  <c r="C56" i="2" s="1"/>
  <c r="C94" i="2" s="1"/>
  <c r="J23" i="2"/>
  <c r="J61" i="2" s="1"/>
  <c r="J99" i="2" s="1"/>
  <c r="E17" i="2"/>
  <c r="E55" i="2" s="1"/>
  <c r="E93" i="2" s="1"/>
  <c r="J13" i="2"/>
  <c r="J51" i="2" s="1"/>
  <c r="J89" i="2" s="1"/>
  <c r="H22" i="2"/>
  <c r="H60" i="2" s="1"/>
  <c r="H98" i="2" s="1"/>
  <c r="E23" i="2"/>
  <c r="E61" i="2" s="1"/>
  <c r="E99" i="2" s="1"/>
  <c r="J24" i="2"/>
  <c r="J62" i="2" s="1"/>
  <c r="J100" i="2" s="1"/>
  <c r="D20" i="2"/>
  <c r="D58" i="2" s="1"/>
  <c r="D96" i="2" s="1"/>
  <c r="B13" i="2"/>
  <c r="B51" i="2" s="1"/>
  <c r="B89" i="2" s="1"/>
  <c r="J22" i="2"/>
  <c r="J60" i="2" s="1"/>
  <c r="J98" i="2" s="1"/>
  <c r="D13" i="2"/>
  <c r="D51" i="2" s="1"/>
  <c r="D89" i="2" s="1"/>
  <c r="K22" i="2"/>
  <c r="K60" i="2" s="1"/>
  <c r="K98" i="2" s="1"/>
  <c r="K17" i="2"/>
  <c r="K55" i="2" s="1"/>
  <c r="K93" i="2" s="1"/>
  <c r="K23" i="2"/>
  <c r="K61" i="2" s="1"/>
  <c r="K99" i="2" s="1"/>
  <c r="E26" i="2"/>
  <c r="E64" i="2" s="1"/>
  <c r="E102" i="2" s="1"/>
  <c r="K26" i="2"/>
  <c r="K64" i="2" s="1"/>
  <c r="K102" i="2" s="1"/>
  <c r="D25" i="2"/>
  <c r="D63" i="2" s="1"/>
  <c r="D101" i="2" s="1"/>
  <c r="C24" i="2"/>
  <c r="C62" i="2" s="1"/>
  <c r="C100" i="2" s="1"/>
  <c r="J17" i="2"/>
  <c r="J55" i="2" s="1"/>
  <c r="J93" i="2" s="1"/>
  <c r="C14" i="2"/>
  <c r="C52" i="2" s="1"/>
  <c r="C90" i="2" s="1"/>
  <c r="K16" i="2"/>
  <c r="K54" i="2" s="1"/>
  <c r="K92" i="2" s="1"/>
  <c r="B21" i="2"/>
  <c r="B59" i="2" s="1"/>
  <c r="B97" i="2" s="1"/>
  <c r="E14" i="2"/>
  <c r="E52" i="2" s="1"/>
  <c r="E90" i="2" s="1"/>
  <c r="H18" i="2"/>
  <c r="H56" i="2" s="1"/>
  <c r="H94" i="2" s="1"/>
  <c r="I18" i="2"/>
  <c r="I56" i="2" s="1"/>
  <c r="I94" i="2" s="1"/>
  <c r="D23" i="2"/>
  <c r="D61" i="2" s="1"/>
  <c r="D99" i="2" s="1"/>
  <c r="D19" i="2"/>
  <c r="D57" i="2" s="1"/>
  <c r="D95" i="2" s="1"/>
  <c r="D17" i="2"/>
  <c r="D55" i="2" s="1"/>
  <c r="D93" i="2" s="1"/>
  <c r="D15" i="2"/>
  <c r="D53" i="2" s="1"/>
  <c r="D91" i="2" s="1"/>
  <c r="H15" i="2"/>
  <c r="H53" i="2" s="1"/>
  <c r="H91" i="2" s="1"/>
  <c r="B23" i="2"/>
  <c r="B61" i="2" s="1"/>
  <c r="B99" i="2" s="1"/>
  <c r="H14" i="2"/>
  <c r="H52" i="2" s="1"/>
  <c r="H90" i="2" s="1"/>
  <c r="H16" i="2"/>
  <c r="H54" i="2" s="1"/>
  <c r="H92" i="2" s="1"/>
  <c r="L64" i="4"/>
  <c r="AA5" i="4"/>
</calcChain>
</file>

<file path=xl/sharedStrings.xml><?xml version="1.0" encoding="utf-8"?>
<sst xmlns="http://schemas.openxmlformats.org/spreadsheetml/2006/main" count="1161" uniqueCount="520">
  <si>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</si>
  <si>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</si>
  <si>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</si>
  <si>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</si>
  <si>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</si>
  <si>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</si>
  <si>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</si>
  <si>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</si>
  <si>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</si>
  <si>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</si>
  <si>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</si>
  <si>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</si>
  <si>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</si>
  <si>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</si>
  <si>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</si>
  <si>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</si>
  <si>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</si>
  <si>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</si>
  <si>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</si>
  <si>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</si>
  <si>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</si>
  <si>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</si>
  <si>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</si>
  <si>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</si>
  <si>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</si>
  <si>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</si>
  <si>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</si>
  <si>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</si>
  <si>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</si>
  <si>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</si>
  <si>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</si>
  <si>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</si>
  <si>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</si>
  <si>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</si>
  <si>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</si>
  <si>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</si>
  <si>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</si>
  <si>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</si>
  <si>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</si>
  <si>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</si>
  <si>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</si>
  <si>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</si>
  <si>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</si>
  <si>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</si>
  <si>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</si>
  <si>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</si>
  <si>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</si>
  <si>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</si>
  <si>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</si>
  <si>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</si>
  <si>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</si>
  <si>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</si>
  <si>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</si>
  <si>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</si>
  <si>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</si>
  <si>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</si>
  <si>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</si>
  <si>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</si>
  <si>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</si>
  <si>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</si>
  <si>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</si>
  <si>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</si>
  <si>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</si>
  <si>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</si>
  <si>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</si>
  <si>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</si>
  <si>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</si>
  <si>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</si>
  <si>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</si>
  <si>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</si>
  <si>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</si>
  <si>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</si>
  <si>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</si>
  <si>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</si>
  <si>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</si>
  <si>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</si>
  <si>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</si>
  <si>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</si>
  <si>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</si>
  <si>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</si>
  <si>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</si>
  <si>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</si>
  <si>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</si>
  <si>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</si>
  <si>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</si>
  <si>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</si>
  <si>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</si>
  <si>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</si>
  <si>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</si>
  <si>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</si>
  <si>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</si>
  <si>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</si>
  <si>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</si>
  <si>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</si>
  <si>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</si>
  <si>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</si>
  <si>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</si>
  <si>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</si>
  <si>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</si>
  <si>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</si>
  <si>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</si>
  <si>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</si>
  <si>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</si>
  <si>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</si>
  <si>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</si>
  <si>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</si>
  <si>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</si>
  <si>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</si>
  <si>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</si>
  <si>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</si>
  <si>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</si>
  <si>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</si>
  <si>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</si>
  <si>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</si>
  <si>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</si>
  <si>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</si>
  <si>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</si>
  <si>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</si>
  <si>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</si>
  <si>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</si>
  <si>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</si>
  <si>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</si>
  <si>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</si>
  <si>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</si>
  <si>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</si>
  <si>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</si>
  <si>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</si>
  <si>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</si>
  <si>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</si>
  <si>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</si>
  <si>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</si>
  <si>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</si>
  <si>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</si>
  <si>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</si>
  <si>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</si>
  <si>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</si>
  <si>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</si>
  <si>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</si>
  <si>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</si>
  <si>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</si>
  <si>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</si>
  <si>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</si>
  <si>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</si>
  <si>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</si>
  <si>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</si>
  <si>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</si>
  <si>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</si>
  <si>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</si>
  <si>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</si>
  <si>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</si>
  <si>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</si>
  <si>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</si>
  <si>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</si>
  <si>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</si>
  <si>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</si>
  <si>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</si>
  <si>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</si>
  <si>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</si>
  <si>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</si>
  <si>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</si>
  <si>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</si>
  <si>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</si>
  <si>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</si>
  <si>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</si>
  <si>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</si>
  <si>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</si>
  <si>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</si>
  <si>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</si>
  <si>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</si>
  <si>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</si>
  <si>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</si>
  <si>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</si>
  <si>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</si>
  <si>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</si>
  <si>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</si>
  <si>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</si>
  <si>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</si>
  <si>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</si>
  <si>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</si>
  <si>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</si>
  <si>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</si>
  <si>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</si>
  <si>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</si>
  <si>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</si>
  <si>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</si>
  <si>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</si>
  <si>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</si>
  <si>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</si>
  <si>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</si>
  <si>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</si>
  <si>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</si>
  <si>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</si>
  <si>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</si>
  <si>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</si>
  <si>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</si>
  <si>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</si>
  <si>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</si>
  <si>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</si>
  <si>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</si>
  <si>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</si>
  <si>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</si>
  <si>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</si>
  <si>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</si>
  <si>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</si>
  <si>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</si>
  <si>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</si>
  <si>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</si>
  <si>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</si>
  <si>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</si>
  <si>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</si>
  <si>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</si>
  <si>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</si>
  <si>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</si>
  <si>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</si>
  <si>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</si>
  <si>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</si>
  <si>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</si>
  <si>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</si>
  <si>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</si>
  <si>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</si>
  <si>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</si>
  <si>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</si>
  <si>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</si>
  <si>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</si>
  <si>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</si>
  <si>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</si>
  <si>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</si>
  <si>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</si>
  <si>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</si>
  <si>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</si>
  <si>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</si>
  <si>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</si>
  <si>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</si>
  <si>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</si>
  <si>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</si>
  <si>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</si>
  <si>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</si>
  <si>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</si>
  <si>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</si>
  <si>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</si>
  <si>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</si>
  <si>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</si>
  <si>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</si>
  <si>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</si>
  <si>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</si>
  <si>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</si>
  <si>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</si>
  <si>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</si>
  <si>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</si>
  <si>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</si>
  <si>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</si>
  <si>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</si>
  <si>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</si>
  <si>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</si>
  <si>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</si>
  <si>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</si>
  <si>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</si>
  <si>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</si>
  <si>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</si>
  <si>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</si>
  <si>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</si>
  <si>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</si>
  <si>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</si>
  <si>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</si>
  <si>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</si>
  <si>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</si>
  <si>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</si>
  <si>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</si>
  <si>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</si>
  <si>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</si>
  <si>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</si>
  <si>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</si>
  <si>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</si>
  <si>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</si>
  <si>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</si>
  <si>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</si>
  <si>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</si>
  <si>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</si>
  <si>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</si>
  <si>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</si>
  <si>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</si>
  <si>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</si>
  <si>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</si>
  <si>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</si>
  <si>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</si>
  <si>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</si>
  <si>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</si>
  <si>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</si>
  <si>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</si>
  <si>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</si>
  <si>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</si>
  <si>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</si>
  <si>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</si>
  <si>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</si>
  <si>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</si>
  <si>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</si>
  <si>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</si>
  <si>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</si>
  <si>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</si>
  <si>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0825</t>
  </si>
  <si>
    <t>ganesha</t>
  </si>
  <si>
    <t>cliken155</t>
  </si>
  <si>
    <t>cliken260</t>
  </si>
  <si>
    <t>BINDER CLIP KENKO NO. 155</t>
  </si>
  <si>
    <t>BINDER CLIP KENKO NO. 260</t>
  </si>
  <si>
    <t>RISMA / YO</t>
  </si>
  <si>
    <t>0855</t>
  </si>
  <si>
    <t>PC</t>
  </si>
  <si>
    <t>LS</t>
  </si>
  <si>
    <t>STAPLER GUNTACKER JOYKO GT-700</t>
  </si>
  <si>
    <t>STAPLER GUNTACKER JOYKO GT-701</t>
  </si>
  <si>
    <t>NOVI / YO</t>
  </si>
  <si>
    <t>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</si>
  <si>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</si>
  <si>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</si>
  <si>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</si>
  <si>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</si>
  <si>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</si>
  <si>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</si>
  <si>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</si>
  <si>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</si>
  <si>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</si>
  <si>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</si>
  <si>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</si>
  <si>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</si>
  <si>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</si>
  <si>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4473</t>
  </si>
  <si>
    <t>ISIKENBESAR</t>
  </si>
  <si>
    <t>ISI CUTTER 18 MM KENKO L-150 (BESAR)</t>
  </si>
  <si>
    <t>OPJK18W</t>
  </si>
  <si>
    <t>CRAYON / OIL PASTEL JOYKO OP-18S PP CASE SEA WORLD</t>
  </si>
  <si>
    <t>TIPJKCT508</t>
  </si>
  <si>
    <t>CORRECTION TAPE JOYKO CT-508</t>
  </si>
  <si>
    <t>0872</t>
  </si>
  <si>
    <t>wisuda</t>
  </si>
  <si>
    <t>ISIGWNO10</t>
  </si>
  <si>
    <t>ISI STAPLER (STAPLES) GREATWALL GW-NO. 10 (KECIL)</t>
  </si>
  <si>
    <t>4985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</si>
  <si>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</si>
  <si>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</si>
  <si>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</si>
  <si>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</si>
  <si>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</si>
  <si>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</si>
  <si>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</si>
  <si>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</si>
  <si>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</si>
  <si>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</si>
  <si>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</si>
  <si>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</si>
  <si>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</si>
  <si>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</si>
  <si>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</si>
  <si>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0881</t>
  </si>
  <si>
    <t>ISIKEN1210</t>
  </si>
  <si>
    <t>0715</t>
  </si>
  <si>
    <t>PENKENEASYGELHITAM</t>
  </si>
  <si>
    <t>PENKENEASYGELBIRU</t>
  </si>
  <si>
    <t>GEL PEN KENKO EASY GEL HITAM</t>
  </si>
  <si>
    <t>GEL PEN KENKO EASY GEL BIRU</t>
  </si>
  <si>
    <t>0837</t>
  </si>
  <si>
    <t>reni</t>
  </si>
  <si>
    <t>PENTF1190</t>
  </si>
  <si>
    <t>GEL PEN TRIFELLO HI-TECH TF-1190 BIRU</t>
  </si>
  <si>
    <t>GEL PEN TRIFELLO HI-TECH TF-1190 HITAM</t>
  </si>
  <si>
    <t>3102</t>
  </si>
  <si>
    <t>lancar</t>
  </si>
  <si>
    <t>PENKENHITECH028HITAM</t>
  </si>
  <si>
    <t>GEL PEN KENKO HI-TECH-H 0.28 MM HITAM</t>
  </si>
  <si>
    <t>0726</t>
  </si>
  <si>
    <t>0888</t>
  </si>
  <si>
    <t>STAJKHD12N13</t>
  </si>
  <si>
    <t>STAJKHD12N24</t>
  </si>
  <si>
    <t>PUNJK30XL</t>
  </si>
  <si>
    <t>CALJKCC41</t>
  </si>
  <si>
    <t>PCJK0719</t>
  </si>
  <si>
    <t>PCJK0719FANCY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</si>
  <si>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</si>
  <si>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</si>
  <si>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</si>
  <si>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</si>
  <si>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</si>
  <si>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</si>
  <si>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0893</t>
  </si>
  <si>
    <t>PENKEN028MICROTECHITAM</t>
  </si>
  <si>
    <t>GEL PEN KENKO MICROTECH 0.28 MM HITAM</t>
  </si>
  <si>
    <t>0877</t>
  </si>
  <si>
    <t>CALJKCC23</t>
  </si>
  <si>
    <t>TIPKENKE823</t>
  </si>
  <si>
    <t>LLKENA5100</t>
  </si>
  <si>
    <t>ISISDI1204</t>
  </si>
  <si>
    <t>OPJK12W</t>
  </si>
  <si>
    <t>DISPOLARMN305</t>
  </si>
  <si>
    <t>PENKENHITECH04BIRU</t>
  </si>
  <si>
    <t>ORIALFA1414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</si>
  <si>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</si>
  <si>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</si>
  <si>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</si>
  <si>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</si>
  <si>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</si>
  <si>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</si>
  <si>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</si>
  <si>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luwespati</t>
  </si>
  <si>
    <t>(LUWES)</t>
  </si>
  <si>
    <t>PATI</t>
  </si>
  <si>
    <t>1498</t>
  </si>
  <si>
    <t>LUWESPATI</t>
  </si>
  <si>
    <t>TAS3540</t>
  </si>
  <si>
    <t>PCFC5223</t>
  </si>
  <si>
    <t>MAPDL226</t>
  </si>
  <si>
    <t>MAPDL204</t>
  </si>
  <si>
    <t>MAPDLL224</t>
  </si>
  <si>
    <t>MAPDLL8623A5</t>
  </si>
  <si>
    <t>POT</t>
  </si>
  <si>
    <t>PENBH6925</t>
  </si>
  <si>
    <t>STIB24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</si>
  <si>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</si>
  <si>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</si>
  <si>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</si>
  <si>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</si>
  <si>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</si>
  <si>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</si>
  <si>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PENSIL ZHONG HUA 6925-2B/B OVAL</t>
  </si>
  <si>
    <t>STIP/ PENGHAPUS B-24 M MACARON (GOZTAR)</t>
  </si>
  <si>
    <t>PT RAMAI SANTOSO SEJAHTERA</t>
  </si>
  <si>
    <t>( RAMAI SWALAYAN )</t>
  </si>
  <si>
    <t>UNGARAN</t>
  </si>
  <si>
    <t>0221</t>
  </si>
  <si>
    <t>ramai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</si>
  <si>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</si>
  <si>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</si>
  <si>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</si>
  <si>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</si>
  <si>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</si>
  <si>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</si>
  <si>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</si>
  <si>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</si>
  <si>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</si>
  <si>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0952</t>
  </si>
  <si>
    <t>bendan</t>
  </si>
  <si>
    <t>PENKENK1HITAM</t>
  </si>
  <si>
    <t>GEL PEN KENKO K-1 HITAM</t>
  </si>
  <si>
    <t>0953</t>
  </si>
  <si>
    <t>LEMKEN8GR</t>
  </si>
  <si>
    <t>LEM STICK KENKO 8 GR (KECIL) isi 30 pc</t>
  </si>
  <si>
    <t>CUTKENL500</t>
  </si>
  <si>
    <t>GUNKENSC838</t>
  </si>
  <si>
    <t>GUNTING KENKO SC-838N</t>
  </si>
  <si>
    <t>CLIJK280</t>
  </si>
  <si>
    <t>CV.BENGAWAN MULTI TRENDING</t>
  </si>
  <si>
    <t>0967</t>
  </si>
  <si>
    <t>CLIKEN260</t>
  </si>
  <si>
    <t>BINDER CLIP JOYKO 280</t>
  </si>
  <si>
    <t>4996</t>
  </si>
  <si>
    <t>OPJK55W</t>
  </si>
  <si>
    <t>CRAYON / OIL PASTEL JOYKO OP-55S PP CASE SEA WORLD</t>
  </si>
  <si>
    <t>OPJK72W</t>
  </si>
  <si>
    <t>CRAYON / OIL PASTEL JOYKO OP-72S PP CASE SEA WORLD</t>
  </si>
  <si>
    <t>0964</t>
  </si>
  <si>
    <t>0968</t>
  </si>
  <si>
    <t>BINDER NOTE FPHY001-A5-60</t>
  </si>
  <si>
    <t>0975</t>
  </si>
  <si>
    <t>CLIJK111</t>
  </si>
  <si>
    <t>CLIJK5</t>
  </si>
  <si>
    <t>BINDER CLIP JOYKO 111</t>
  </si>
  <si>
    <t>PAPER JUMBO CLIP JOYKO NO. 5</t>
  </si>
  <si>
    <t>0995</t>
  </si>
  <si>
    <t>nirmala</t>
  </si>
  <si>
    <t>PENJKGP265</t>
  </si>
  <si>
    <t>PENJKGP266</t>
  </si>
  <si>
    <t>GEL PEN JOYKO GP-266 ITECH</t>
  </si>
  <si>
    <t>GARHZ5012</t>
  </si>
  <si>
    <t>GARISAN SET PVC HZ-5012</t>
  </si>
  <si>
    <t>PWKEN12WPANJANG</t>
  </si>
  <si>
    <t>PENKEN6393</t>
  </si>
  <si>
    <t>PENZHONGHUA59252BOVAL</t>
  </si>
  <si>
    <t>STAKENHD10</t>
  </si>
  <si>
    <t>TAS4550</t>
  </si>
  <si>
    <t>PENSIL WARNA KENKO CP-12F CLASSIC (PANJANG)</t>
  </si>
  <si>
    <t>PENSIL KENKO 2B-6393 FLUORESCENT</t>
  </si>
  <si>
    <t>STAPLER KENKO HD-10</t>
  </si>
  <si>
    <t>TAS KARUNG V (45 X 50)</t>
  </si>
  <si>
    <t>PENSIL ZHONG HUA 6925-2B</t>
  </si>
  <si>
    <t>2551</t>
  </si>
  <si>
    <t>2557</t>
  </si>
  <si>
    <t>PENKENHITECH028BIRU</t>
  </si>
  <si>
    <t>GEL PEN KENKO HI-TECH-H 0.28 MM BIRU</t>
  </si>
  <si>
    <t>0729</t>
  </si>
  <si>
    <t>0719</t>
  </si>
  <si>
    <t>CLIKEN155</t>
  </si>
  <si>
    <t>0720</t>
  </si>
  <si>
    <t>CUTKENA300A</t>
  </si>
  <si>
    <t>CUTTER 9 MM KENKO A-300 (KECIL)</t>
  </si>
  <si>
    <t>PUNKEN30</t>
  </si>
  <si>
    <t>PUNCH KENKO NO. 30</t>
  </si>
  <si>
    <t>0914</t>
  </si>
  <si>
    <t>KTSTKWARTO</t>
  </si>
  <si>
    <t>KARTU STOCK KWARTO</t>
  </si>
  <si>
    <t>KTSTFOLIO</t>
  </si>
  <si>
    <t>KARTU STOCK FOLIO</t>
  </si>
  <si>
    <t>3108</t>
  </si>
  <si>
    <t>CLIKEN105</t>
  </si>
  <si>
    <t>BINDER CLIP KENKO NO. 105</t>
  </si>
  <si>
    <t>GARKEN30CM</t>
  </si>
  <si>
    <t>GEL PEN KENKO EASY GEL</t>
  </si>
  <si>
    <t>GARISAN BESI (STAINLESS STEEL) KENKO 30 CM</t>
  </si>
  <si>
    <t>0989</t>
  </si>
  <si>
    <t>PENKENKS97</t>
  </si>
  <si>
    <t>GEL PEN KENKO KS-97 SIGN PEN</t>
  </si>
  <si>
    <t>5000</t>
  </si>
  <si>
    <t>2572</t>
  </si>
  <si>
    <t>2571</t>
  </si>
  <si>
    <t>2556</t>
  </si>
  <si>
    <t>CALJKDTC1313CH</t>
  </si>
  <si>
    <t>CALCULATOR JOYKO DTC-1313CH</t>
  </si>
  <si>
    <t>2591</t>
  </si>
  <si>
    <t>0</t>
  </si>
  <si>
    <t>2596</t>
  </si>
  <si>
    <t>PENKENKE200</t>
  </si>
  <si>
    <t>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</si>
</sst>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  <numFmt numFmtId="168" formatCode="m/d/yyyy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64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NumberFormat="1" applyFont="1" applyFill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0" fontId="43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  <xf numFmtId="168" fontId="0" fillId="0" borderId="0" xfId="0" applyNumberFormat="1" applyFill="1"/>
  </cellXfs>
  <cellStyles count="2">
    <cellStyle name="Normal" xfId="0" builtinId="0"/>
    <cellStyle name="Normal 2" xfId="1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3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25.642111458335" createdVersion="5" refreshedVersion="5" minRefreshableVersion="3" recordCount="329">
  <cacheSource type="worksheet">
    <worksheetSource name="Table1" r:id="rId2"/>
  </cacheSource>
  <cacheFields count="32">
    <cacheField name="//" numFmtId="0">
      <sharedItems containsMixedTypes="1" containsNumber="1" containsInteger="1" minValue="4" maxValue="271" count="83">
        <s v=""/>
        <n v="4"/>
        <n v="10"/>
        <n v="14"/>
        <n v="16"/>
        <n v="23"/>
        <n v="26"/>
        <n v="30"/>
        <n v="32"/>
        <n v="34"/>
        <n v="51"/>
        <n v="63"/>
        <n v="65"/>
        <n v="70"/>
        <n v="85"/>
        <n v="89"/>
        <n v="107"/>
        <n v="111"/>
        <n v="113"/>
        <n v="115"/>
        <n v="117"/>
        <n v="127"/>
        <n v="131"/>
        <n v="134"/>
        <n v="139"/>
        <n v="142"/>
        <n v="149"/>
        <n v="153"/>
        <n v="162"/>
        <n v="174"/>
        <n v="176"/>
        <n v="182"/>
        <n v="185"/>
        <n v="188"/>
        <n v="190"/>
        <n v="193"/>
        <n v="196"/>
        <n v="200"/>
        <n v="214"/>
        <n v="216"/>
        <n v="219"/>
        <n v="222"/>
        <n v="229"/>
        <n v="232"/>
        <n v="235"/>
        <n v="237"/>
        <n v="240"/>
        <n v="242"/>
        <n v="244"/>
        <n v="247"/>
        <n v="249"/>
        <n v="251"/>
        <n v="253"/>
        <n v="259"/>
        <n v="263"/>
        <n v="271"/>
        <n v="61" u="1"/>
        <n v="230" u="1"/>
        <n v="217" u="1"/>
        <n v="154" u="1"/>
        <n v="225" u="1"/>
        <n v="233" u="1"/>
        <n v="141" u="1"/>
        <n v="212" u="1"/>
        <n v="220" u="1"/>
        <n v="157" u="1"/>
        <n v="228" u="1"/>
        <n v="119" u="1"/>
        <n v="231" u="1"/>
        <n v="21" u="1"/>
        <n v="123" u="1"/>
        <n v="264" u="1"/>
        <n v="24" u="1"/>
        <n v="234" u="1"/>
        <n v="68" u="1"/>
        <n v="145" u="1"/>
        <n v="28" u="1"/>
        <n v="126" u="1"/>
        <n v="49" u="1"/>
        <n v="198" u="1"/>
        <n v="12" u="1"/>
        <n v="248" u="1"/>
        <n v="227" u="1"/>
      </sharedItems>
    </cacheField>
    <cacheField name="h_No. Invoice :" numFmtId="0">
      <sharedItems containsMixedTypes="1" containsNumber="1" containsInteger="1" minValue="24010001" maxValue="24020001"/>
    </cacheField>
    <cacheField name="Tgl Invoice :" numFmtId="164">
      <sharedItems containsDate="1" containsMixedTypes="1" minDate="2023-12-31T00:00:00" maxDate="2024-02-06T00:00:00"/>
    </cacheField>
    <cacheField name="Column2" numFmtId="0">
      <sharedItems containsString="0" containsBlank="1" containsNumber="1" containsInteger="1" minValue="0" maxValue="31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minValue="0.5" maxValue="16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 containsBlank="1"/>
    </cacheField>
    <cacheField name="Item Description" numFmtId="0">
      <sharedItems containsBlank="1"/>
    </cacheField>
    <cacheField name="Unit Price" numFmtId="43">
      <sharedItems containsString="0" containsBlank="1" containsNumber="1" minValue="1600" maxValue="282000"/>
    </cacheField>
    <cacheField name="Disc 1" numFmtId="10">
      <sharedItems containsString="0" containsBlank="1" containsNumber="1" minValue="0.02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20000" maxValue="3381804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71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minValue="20000" maxValue="39096000"/>
    </cacheField>
    <cacheField name="h_disc 1" numFmtId="43">
      <sharedItems containsMixedTypes="1" containsNumber="1" minValue="0" maxValue="5277960"/>
    </cacheField>
    <cacheField name="h_disc 2" numFmtId="43">
      <sharedItems containsMixedTypes="1" containsNumber="1" containsInteger="1" minValue="0" maxValue="652050"/>
    </cacheField>
    <cacheField name="h_diskon" numFmtId="43">
      <sharedItems containsMixedTypes="1" containsNumber="1" minValue="0" maxValue="5277960"/>
    </cacheField>
    <cacheField name="h_hargasetelahdiskon" numFmtId="43">
      <sharedItems containsMixedTypes="1" containsNumber="1" minValue="20000" maxValue="33818040"/>
    </cacheField>
    <cacheField name="Total Invoice" numFmtId="43">
      <sharedItems containsMixedTypes="1" containsNumber="1" containsInteger="1" minValue="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9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4-01-10T00:00:00"/>
    <n v="10"/>
    <s v="0825"/>
    <s v="ganesha"/>
    <s v="AM 24010002"/>
    <s v="KO"/>
    <s v="KO 0825"/>
    <s v="CV GANESHA WONOSOBO"/>
    <n v="2"/>
    <s v="GRS"/>
    <m/>
    <s v="cliken155"/>
    <s v="BINDER CLIP KENKO NO. 155"/>
    <s v="BINDER CLIP KENKO NO. 155"/>
    <n v="69000"/>
    <n v="0.1"/>
    <m/>
    <n v="124200"/>
    <s v="RISMA / YO"/>
    <m/>
    <n v="10"/>
    <n v="2"/>
    <n v="138000"/>
    <n v="13800"/>
    <n v="0"/>
    <n v="13800"/>
    <n v="124200"/>
    <n v="448200"/>
    <m/>
    <s v="BINDER CLIP KENKO NO. 155GRS69000"/>
  </r>
  <r>
    <x v="0"/>
    <s v=""/>
    <s v=""/>
    <m/>
    <m/>
    <m/>
    <s v=""/>
    <s v=""/>
    <s v=" "/>
    <s v=""/>
    <n v="2"/>
    <s v="GRS"/>
    <m/>
    <s v="cliken260"/>
    <s v="BINDER CLIP KENKO NO. 260"/>
    <s v="BINDER CLIP KENKO NO. 260"/>
    <n v="180000"/>
    <n v="0.1"/>
    <m/>
    <n v="324000"/>
    <m/>
    <m/>
    <n v="10"/>
    <n v="2"/>
    <n v="360000"/>
    <n v="36000"/>
    <n v="0"/>
    <n v="36000"/>
    <n v="324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6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6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6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6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6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6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3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3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6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6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6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30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1600"/>
    <n v="0.125"/>
    <m/>
    <n v="2709000"/>
    <s v="NOVI / CONDRO"/>
    <m/>
    <n v="32"/>
    <n v="1"/>
    <n v="3096000"/>
    <n v="387000"/>
    <n v="0"/>
    <n v="387000"/>
    <n v="2709000"/>
    <n v="2709000"/>
    <m/>
    <s v="CORRECTION TAPE JOYKO CT-522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4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4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4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4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4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4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4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4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4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4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4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4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51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51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51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51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51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51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51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51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51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51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51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3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5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5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5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5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70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70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70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70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70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70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70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70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70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70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70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70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10014"/>
    <d v="2024-01-09T00:00:00"/>
    <n v="9"/>
    <s v="0855"/>
    <s v="rejoagung"/>
    <s v="AM 24010014"/>
    <s v="G"/>
    <s v="G 0855"/>
    <s v="LILY JULIAWATI (REJO AGUNG) JOMBANG"/>
    <n v="72"/>
    <s v="PC"/>
    <n v="1"/>
    <m/>
    <s v=""/>
    <s v="STAPLER GUNTACKER JOYKO GT-700"/>
    <n v="34500"/>
    <n v="0.125"/>
    <m/>
    <n v="2173500"/>
    <s v="NOVI / YO"/>
    <m/>
    <n v="85"/>
    <n v="3"/>
    <n v="2484000"/>
    <n v="310500"/>
    <n v="0"/>
    <n v="310500"/>
    <n v="2173500"/>
    <n v="15046500"/>
    <m/>
    <s v="STAPLER GUNTACKER JOYKO GT-700PC34500"/>
  </r>
  <r>
    <x v="0"/>
    <s v=""/>
    <s v=""/>
    <m/>
    <m/>
    <m/>
    <s v=""/>
    <s v=""/>
    <s v=" "/>
    <s v=""/>
    <n v="24"/>
    <s v="PC"/>
    <n v="1"/>
    <m/>
    <s v=""/>
    <s v="STAPLER GUNTACKER JOYKO GT-701"/>
    <n v="97000"/>
    <n v="0.125"/>
    <m/>
    <n v="2037000"/>
    <m/>
    <m/>
    <n v="85"/>
    <n v="3"/>
    <n v="2328000"/>
    <n v="291000"/>
    <n v="0"/>
    <n v="291000"/>
    <n v="2037000"/>
    <s v=""/>
    <m/>
    <s v="STAPLER GUNTACKER JOYKO GT-701PC97000"/>
  </r>
  <r>
    <x v="0"/>
    <s v=""/>
    <s v=""/>
    <m/>
    <m/>
    <m/>
    <s v=""/>
    <s v=""/>
    <s v=" "/>
    <s v=""/>
    <n v="240"/>
    <s v="LS"/>
    <n v="4"/>
    <m/>
    <s v=""/>
    <s v="CORRECTION TAPE JOYKO CT-522"/>
    <n v="51600"/>
    <n v="0.125"/>
    <m/>
    <n v="10836000"/>
    <m/>
    <m/>
    <n v="85"/>
    <n v="3"/>
    <n v="12384000"/>
    <n v="1548000"/>
    <n v="0"/>
    <n v="1548000"/>
    <n v="10836000"/>
    <s v=""/>
    <m/>
    <s v="CORRECTION TAPE JOYKO CT-522LS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10015"/>
    <d v="2024-01-09T00:00:00"/>
    <n v="9"/>
    <s v="0860"/>
    <s v="anugerah"/>
    <s v="AM 24010015"/>
    <s v="KO"/>
    <s v="KO 0860"/>
    <s v="CV PELITA JAYA (ANUGERAH SEJAHTERA) PURWOKERTO"/>
    <n v="80"/>
    <s v="LS"/>
    <n v="4"/>
    <m/>
    <s v=""/>
    <s v="CUTTER 18 MM KENKO L-500 (BESAR)"/>
    <n v="147600"/>
    <n v="0.13500000000000001"/>
    <m/>
    <n v="10213920"/>
    <s v="NOVI / YO"/>
    <m/>
    <n v="89"/>
    <n v="16"/>
    <n v="11808000"/>
    <n v="1594080"/>
    <n v="0"/>
    <n v="1594080"/>
    <n v="10213920"/>
    <n v="55435774"/>
    <m/>
    <s v="CUTTER 18 MM KENKO L-500 (BESAR)LS147600"/>
  </r>
  <r>
    <x v="0"/>
    <s v=""/>
    <s v=""/>
    <m/>
    <m/>
    <m/>
    <s v=""/>
    <s v=""/>
    <s v=" "/>
    <s v=""/>
    <n v="432"/>
    <s v="LS"/>
    <n v="3"/>
    <m/>
    <s v=""/>
    <s v="GEL PEN KENKO KE-200"/>
    <n v="24600"/>
    <n v="0.13500000000000001"/>
    <m/>
    <n v="9192528"/>
    <m/>
    <m/>
    <n v="89"/>
    <n v="16"/>
    <n v="10627200"/>
    <n v="1434672"/>
    <n v="0"/>
    <n v="1434672"/>
    <n v="9192528"/>
    <s v=""/>
    <m/>
    <s v="GEL PEN KENKO KE-200LS24600"/>
  </r>
  <r>
    <x v="0"/>
    <s v=""/>
    <s v=""/>
    <m/>
    <m/>
    <m/>
    <s v=""/>
    <s v=""/>
    <s v=" "/>
    <s v=""/>
    <n v="48"/>
    <s v="LS"/>
    <n v="1"/>
    <m/>
    <s v=""/>
    <s v="PUSH PIN KENKO PN-30"/>
    <n v="33000"/>
    <n v="0.13500000000000001"/>
    <m/>
    <n v="1370160"/>
    <m/>
    <m/>
    <n v="89"/>
    <n v="16"/>
    <n v="1584000"/>
    <n v="213840"/>
    <n v="0"/>
    <n v="213840"/>
    <n v="1370160"/>
    <s v=""/>
    <m/>
    <s v="PUSH PIN KENKO PN-30LS33000"/>
  </r>
  <r>
    <x v="0"/>
    <s v=""/>
    <s v=""/>
    <m/>
    <m/>
    <m/>
    <s v=""/>
    <s v=""/>
    <s v=" "/>
    <s v=""/>
    <n v="48"/>
    <s v="LS"/>
    <n v="1"/>
    <m/>
    <s v=""/>
    <s v="PAPER CLIP WARNA KENKO 3100"/>
    <n v="41400"/>
    <n v="0.13500000000000001"/>
    <m/>
    <n v="1718928"/>
    <m/>
    <m/>
    <n v="89"/>
    <n v="16"/>
    <n v="1987200"/>
    <n v="268272"/>
    <n v="0"/>
    <n v="268272"/>
    <n v="1718928"/>
    <s v=""/>
    <m/>
    <s v="PAPER CLIP WARNA KENKO 3100LS41400"/>
  </r>
  <r>
    <x v="0"/>
    <s v=""/>
    <s v=""/>
    <m/>
    <m/>
    <m/>
    <s v=""/>
    <s v=""/>
    <s v=" "/>
    <s v=""/>
    <n v="144"/>
    <s v="LS"/>
    <n v="1"/>
    <m/>
    <s v=""/>
    <s v="GEL PEN KENKO KE-600 WINJELLER"/>
    <n v="26100"/>
    <n v="0.13500000000000001"/>
    <m/>
    <n v="3251016"/>
    <m/>
    <m/>
    <n v="89"/>
    <n v="16"/>
    <n v="3758400"/>
    <n v="507384.00000000006"/>
    <n v="0"/>
    <n v="507384.00000000006"/>
    <n v="3251016"/>
    <s v=""/>
    <m/>
    <s v="GEL PEN KENKO KE-600 WINJELLERLS26100"/>
  </r>
  <r>
    <x v="0"/>
    <s v=""/>
    <s v=""/>
    <m/>
    <m/>
    <m/>
    <s v=""/>
    <s v=""/>
    <s v=" "/>
    <s v=""/>
    <n v="144"/>
    <s v="LS"/>
    <n v="2"/>
    <m/>
    <s v=""/>
    <s v="CORRECTION FLUID KENKO KE-108"/>
    <n v="47100"/>
    <n v="0.13500000000000001"/>
    <m/>
    <n v="5866776"/>
    <m/>
    <m/>
    <n v="89"/>
    <n v="16"/>
    <n v="6782400"/>
    <n v="915624.00000000012"/>
    <n v="0"/>
    <n v="915624.00000000012"/>
    <n v="5866776"/>
    <s v=""/>
    <m/>
    <s v="CORRECTION FLUID KENKO KE-108LS47100"/>
  </r>
  <r>
    <x v="0"/>
    <s v=""/>
    <s v=""/>
    <m/>
    <m/>
    <m/>
    <s v=""/>
    <s v=""/>
    <s v=" "/>
    <s v=""/>
    <n v="18"/>
    <s v="LS"/>
    <n v="1"/>
    <m/>
    <s v=""/>
    <s v="STAMP PAD KENKO NO. 0"/>
    <n v="59400"/>
    <n v="0.13500000000000001"/>
    <m/>
    <n v="924858"/>
    <m/>
    <m/>
    <n v="89"/>
    <n v="16"/>
    <n v="1069200"/>
    <n v="144342"/>
    <n v="0"/>
    <n v="144342"/>
    <n v="924858"/>
    <s v=""/>
    <m/>
    <s v="STAMP PAD KENKO NO. 0LS59400"/>
  </r>
  <r>
    <x v="0"/>
    <s v=""/>
    <s v=""/>
    <m/>
    <m/>
    <m/>
    <s v=""/>
    <s v=""/>
    <s v=" "/>
    <s v=""/>
    <n v="18"/>
    <s v="LS"/>
    <n v="1"/>
    <m/>
    <s v=""/>
    <s v="STAMP PAD KENKO NO. 1"/>
    <n v="70800"/>
    <n v="0.13500000000000001"/>
    <m/>
    <n v="1102356"/>
    <m/>
    <m/>
    <n v="89"/>
    <n v="16"/>
    <n v="1274400"/>
    <n v="172044"/>
    <n v="0"/>
    <n v="172044"/>
    <n v="1102356"/>
    <s v=""/>
    <m/>
    <s v="STAMP PAD KENKO NO. 1LS70800"/>
  </r>
  <r>
    <x v="0"/>
    <s v=""/>
    <s v=""/>
    <m/>
    <m/>
    <m/>
    <s v=""/>
    <s v=""/>
    <s v=" "/>
    <s v=""/>
    <n v="1000"/>
    <s v="PC"/>
    <n v="2"/>
    <m/>
    <s v=""/>
    <s v="PAPER TRIGONAL CLIP KENKO NO. 1"/>
    <n v="1700"/>
    <n v="0.13500000000000001"/>
    <m/>
    <n v="1470500"/>
    <m/>
    <m/>
    <n v="89"/>
    <n v="16"/>
    <n v="1700000"/>
    <n v="229500.00000000003"/>
    <n v="0"/>
    <n v="229500.00000000003"/>
    <n v="1470500"/>
    <s v=""/>
    <m/>
    <s v="PAPER TRIGONAL CLIP KENKO NO. 1PC1700"/>
  </r>
  <r>
    <x v="0"/>
    <s v=""/>
    <s v=""/>
    <m/>
    <m/>
    <m/>
    <s v=""/>
    <s v=""/>
    <s v=" "/>
    <s v=""/>
    <n v="1000"/>
    <s v="PC"/>
    <n v="2"/>
    <m/>
    <s v=""/>
    <s v="PAPER TRIGONAL CLIP KENKO NO. 3"/>
    <n v="1600"/>
    <n v="0.13500000000000001"/>
    <m/>
    <n v="1384000"/>
    <m/>
    <m/>
    <n v="89"/>
    <n v="16"/>
    <n v="1600000"/>
    <n v="216000"/>
    <n v="0"/>
    <n v="216000"/>
    <n v="1384000"/>
    <s v=""/>
    <m/>
    <s v="PAPER TRIGONAL CLIP KENKO NO. 3PC1600"/>
  </r>
  <r>
    <x v="0"/>
    <s v=""/>
    <s v=""/>
    <m/>
    <m/>
    <m/>
    <s v=""/>
    <s v=""/>
    <s v=" "/>
    <s v=""/>
    <n v="400"/>
    <s v="PC"/>
    <n v="2"/>
    <m/>
    <s v=""/>
    <s v="PAPER JUMBO CLIP KENKO NO. 5"/>
    <n v="4300"/>
    <n v="0.13500000000000001"/>
    <m/>
    <n v="1487800"/>
    <m/>
    <m/>
    <n v="89"/>
    <n v="16"/>
    <n v="1720000"/>
    <n v="232200.00000000003"/>
    <n v="0"/>
    <n v="232200.00000000003"/>
    <n v="1487800"/>
    <s v=""/>
    <m/>
    <s v="PAPER JUMBO CLIP KENKO NO. 5PC4300"/>
  </r>
  <r>
    <x v="0"/>
    <s v=""/>
    <s v=""/>
    <m/>
    <m/>
    <m/>
    <s v=""/>
    <s v=""/>
    <s v=" "/>
    <s v=""/>
    <n v="144"/>
    <s v="LS"/>
    <n v="2"/>
    <m/>
    <s v=""/>
    <s v="CORRECTION FLUID KENKO KE-823M"/>
    <n v="57000"/>
    <n v="0.13500000000000001"/>
    <m/>
    <n v="7099920"/>
    <m/>
    <m/>
    <n v="89"/>
    <n v="16"/>
    <n v="8208000"/>
    <n v="1108080"/>
    <n v="0"/>
    <n v="1108080"/>
    <n v="7099920"/>
    <s v=""/>
    <m/>
    <s v="CORRECTION FLUID KENKO KE-823MLS57000"/>
  </r>
  <r>
    <x v="0"/>
    <s v=""/>
    <s v=""/>
    <m/>
    <m/>
    <m/>
    <s v=""/>
    <s v=""/>
    <s v=" "/>
    <s v=""/>
    <n v="10"/>
    <s v="LS"/>
    <n v="2"/>
    <m/>
    <s v=""/>
    <s v="PUNCH KENKO NO. 40"/>
    <n v="282000"/>
    <n v="0.13500000000000001"/>
    <m/>
    <n v="2439300"/>
    <m/>
    <m/>
    <n v="89"/>
    <n v="16"/>
    <n v="2820000"/>
    <n v="380700"/>
    <n v="0"/>
    <n v="380700"/>
    <n v="2439300"/>
    <s v=""/>
    <m/>
    <s v="PUNCH KENKO NO. 40LS282000"/>
  </r>
  <r>
    <x v="0"/>
    <s v=""/>
    <s v=""/>
    <m/>
    <m/>
    <m/>
    <s v=""/>
    <s v=""/>
    <s v=" "/>
    <s v=""/>
    <n v="48"/>
    <s v="PC"/>
    <n v="1"/>
    <m/>
    <s v=""/>
    <s v="PUNCH KENKO NO. 40XL"/>
    <n v="32000"/>
    <n v="0.13500000000000001"/>
    <m/>
    <n v="1328640"/>
    <m/>
    <m/>
    <n v="89"/>
    <n v="16"/>
    <n v="1536000"/>
    <n v="207360"/>
    <n v="0"/>
    <n v="207360"/>
    <n v="1328640"/>
    <s v=""/>
    <m/>
    <s v="PUNCH KENKO NO. 40XLPC32000"/>
  </r>
  <r>
    <x v="0"/>
    <s v=""/>
    <s v=""/>
    <m/>
    <m/>
    <m/>
    <s v=""/>
    <s v=""/>
    <s v=" "/>
    <s v=""/>
    <n v="48"/>
    <s v="PC"/>
    <n v="1"/>
    <m/>
    <s v=""/>
    <s v="LEM LIQUID (CAIR) JOYKO GL-R35 (35 ML)"/>
    <n v="18600"/>
    <n v="0.13500000000000001"/>
    <m/>
    <n v="772272"/>
    <m/>
    <m/>
    <n v="89"/>
    <n v="16"/>
    <n v="892800"/>
    <n v="120528.00000000001"/>
    <n v="0"/>
    <n v="120528.00000000001"/>
    <n v="772272"/>
    <s v=""/>
    <m/>
    <s v="LEM LIQUID (CAIR) JOYKO GL-R35 (35 ML)PC18600"/>
  </r>
  <r>
    <x v="0"/>
    <s v=""/>
    <s v=""/>
    <m/>
    <m/>
    <m/>
    <s v=""/>
    <s v=""/>
    <s v=" "/>
    <s v=""/>
    <n v="1600"/>
    <s v="BOX"/>
    <n v="8"/>
    <m/>
    <s v=""/>
    <s v="ISI STAPLER (STAPLES) KENKO 1210 PREMIUM (23/10)"/>
    <n v="4200"/>
    <n v="0.13500000000000001"/>
    <m/>
    <n v="5812800"/>
    <m/>
    <m/>
    <n v="89"/>
    <n v="16"/>
    <n v="6720000"/>
    <n v="907200.00000000012"/>
    <n v="0"/>
    <n v="907200.00000000012"/>
    <n v="5812800"/>
    <s v=""/>
    <m/>
    <s v="ISI STAPLER (STAPLES) KENKO 1210 PREMIUM (23/10)BOX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10016"/>
    <d v="2024-01-10T00:00:00"/>
    <n v="10"/>
    <s v="4473"/>
    <s v="LANCAR"/>
    <s v="AM 24010016"/>
    <s v="KO"/>
    <s v="KO 4473"/>
    <s v="CV LANCAR JAYA SENTOSA MAL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07"/>
    <n v="3"/>
    <n v="3888000"/>
    <n v="486000"/>
    <n v="0"/>
    <n v="486000"/>
    <n v="3402000"/>
    <n v="21177450"/>
    <m/>
    <s v="ISI CUTTER 18 MM KENKO L-150 (BESAR)LSN64800"/>
  </r>
  <r>
    <x v="0"/>
    <s v=""/>
    <s v=""/>
    <m/>
    <m/>
    <m/>
    <s v=""/>
    <s v=""/>
    <s v=" "/>
    <s v=""/>
    <n v="648"/>
    <s v="PCS"/>
    <n v="9"/>
    <s v="OPJK18W"/>
    <s v="CRAYON / OIL PASTEL JOYKO OP-18S PP CASE SEA WORLD"/>
    <s v="CRAYON / OIL PASTEL JOYKO OP-18S PP CASE SEA WORLD"/>
    <n v="23000"/>
    <n v="0.125"/>
    <n v="0.05"/>
    <n v="12388950"/>
    <m/>
    <m/>
    <n v="107"/>
    <n v="3"/>
    <n v="14904000"/>
    <n v="1863000"/>
    <n v="652050"/>
    <n v="2515050"/>
    <n v="12388950"/>
    <s v=""/>
    <m/>
    <s v="CRAYON / OIL PASTEL JOYKO OP-18S PP CASE SEA WORLDPCS23000"/>
  </r>
  <r>
    <x v="0"/>
    <s v=""/>
    <s v=""/>
    <m/>
    <m/>
    <m/>
    <s v=""/>
    <s v=""/>
    <s v=" "/>
    <s v=""/>
    <n v="120"/>
    <s v="LSN"/>
    <n v="2"/>
    <s v="TIPJKCT508"/>
    <s v="CORRECTION TAPE JOYKO CT-508"/>
    <s v="CORRECTION TAPE JOYKO CT-508"/>
    <n v="54000"/>
    <n v="0.125"/>
    <n v="0.05"/>
    <n v="5386500"/>
    <m/>
    <m/>
    <n v="107"/>
    <n v="3"/>
    <n v="6480000"/>
    <n v="810000"/>
    <n v="283500"/>
    <n v="1093500"/>
    <n v="5386500"/>
    <s v=""/>
    <m/>
    <s v="CORRECTION TAPE JOYKO CT-508LSN5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10017"/>
    <d v="2024-01-11T00:00:00"/>
    <n v="11"/>
    <s v="0872"/>
    <s v="WISUDA"/>
    <s v="AM 24010017"/>
    <s v="KO"/>
    <s v="KO 0872"/>
    <s v="CV  WISUDA PURWOKERTO"/>
    <n v="100"/>
    <s v="PAK"/>
    <n v="1"/>
    <s v="ISIGWNO10"/>
    <s v="ISI STAPLER (STAPLES) GREATWALL GW-NO. 10 (KECIL)"/>
    <s v="ISI STAPLER (STAPLES) GREATWALL GW-NO. 10 (KECIL)"/>
    <n v="13500"/>
    <m/>
    <m/>
    <n v="1350000"/>
    <s v="NOVI / CONDRO"/>
    <m/>
    <n v="111"/>
    <n v="1"/>
    <n v="1350000"/>
    <n v="0"/>
    <n v="0"/>
    <n v="0"/>
    <n v="1350000"/>
    <n v="1350000"/>
    <m/>
    <s v="ISI STAPLER (STAPLES) GREATWALL GW-NO. 10 (KECIL)PAK1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10018"/>
    <d v="2024-01-12T00:00:00"/>
    <n v="12"/>
    <s v="4985"/>
    <s v="LANCAR"/>
    <s v="AM 24010018"/>
    <s v="KO"/>
    <s v="KO 4985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113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10019"/>
    <d v="2024-01-13T00:00:00"/>
    <n v="13"/>
    <s v="0881"/>
    <s v="anugerah"/>
    <s v="AM 24010019"/>
    <s v="KO"/>
    <s v="KO 0881"/>
    <s v="CV PELITA JAYA (ANUGERAH SEJAHTERA) PURWOKERTO"/>
    <n v="400"/>
    <s v="PCS"/>
    <n v="2"/>
    <s v="ISIKEN1210"/>
    <s v="ISI STAPLER (STAPLES) KENKO 1210 PREMIUM (23/10)"/>
    <s v="ISI STAPLER (STAPLES) KENKO 1210 PREMIUM (23/10)"/>
    <n v="4200"/>
    <n v="0.13500000000000001"/>
    <m/>
    <n v="1453200"/>
    <s v="NOVI / CONDRO"/>
    <m/>
    <n v="115"/>
    <n v="1"/>
    <n v="1680000"/>
    <n v="226800.00000000003"/>
    <n v="0"/>
    <n v="226800.00000000003"/>
    <n v="1453200"/>
    <n v="1453200"/>
    <m/>
    <s v="ISI STAPLER (STAPLES) KENKO 1210 PREMIUM (23/10)PCS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10020"/>
    <d v="2024-01-13T00:00:00"/>
    <n v="13"/>
    <s v="0221"/>
    <s v="ramai"/>
    <s v="AM 24010020"/>
    <s v="A"/>
    <s v="A 0221"/>
    <s v="PT RAMAI SANTOSO SEJAHTERA ( RAMAI SWALAYAN ) UNGARAN"/>
    <n v="6"/>
    <s v="LS"/>
    <m/>
    <m/>
    <s v=""/>
    <s v="BALLPEN JOYKO BP-250 BRIZ"/>
    <n v="7020"/>
    <n v="0.1"/>
    <m/>
    <n v="37908"/>
    <s v="RISMA / YO"/>
    <m/>
    <n v="117"/>
    <n v="9"/>
    <n v="42120"/>
    <n v="4212"/>
    <n v="0"/>
    <n v="4212"/>
    <n v="37908"/>
    <n v="1317792"/>
    <m/>
    <s v="BALLPEN JOYKO BP-250 BRIZLS7020"/>
  </r>
  <r>
    <x v="0"/>
    <s v=""/>
    <s v=""/>
    <m/>
    <m/>
    <m/>
    <s v=""/>
    <s v=""/>
    <s v=" "/>
    <s v=""/>
    <n v="3"/>
    <s v="PC"/>
    <m/>
    <m/>
    <s v=""/>
    <s v="CALCULATOR JOYKO CC-25"/>
    <n v="67000"/>
    <n v="0.1"/>
    <m/>
    <n v="180900"/>
    <m/>
    <m/>
    <n v="117"/>
    <n v="9"/>
    <n v="201000"/>
    <n v="20100"/>
    <n v="0"/>
    <n v="20100"/>
    <n v="180900"/>
    <s v=""/>
    <m/>
    <s v="CALCULATOR JOYKO CC-25PC67000"/>
  </r>
  <r>
    <x v="0"/>
    <s v=""/>
    <s v=""/>
    <m/>
    <m/>
    <m/>
    <s v=""/>
    <s v=""/>
    <s v=" "/>
    <s v=""/>
    <n v="1"/>
    <s v="LS"/>
    <m/>
    <m/>
    <s v=""/>
    <s v="DOCUMEN BAG DLL-8623-A5"/>
    <n v="55000"/>
    <m/>
    <m/>
    <n v="55000"/>
    <m/>
    <m/>
    <n v="117"/>
    <n v="9"/>
    <n v="55000"/>
    <n v="0"/>
    <n v="0"/>
    <n v="0"/>
    <n v="55000"/>
    <s v=""/>
    <m/>
    <s v="DOCUMEN BAG DLL-8623-A5LS55000"/>
  </r>
  <r>
    <x v="0"/>
    <s v=""/>
    <s v=""/>
    <m/>
    <m/>
    <m/>
    <s v=""/>
    <s v=""/>
    <s v=" "/>
    <s v=""/>
    <n v="2"/>
    <s v="PAK"/>
    <m/>
    <m/>
    <s v=""/>
    <s v="STIP / PENGHAPUS GOZTAR B-24 WARNA BESAR"/>
    <n v="10000"/>
    <m/>
    <m/>
    <n v="20000"/>
    <m/>
    <m/>
    <n v="117"/>
    <n v="9"/>
    <n v="20000"/>
    <n v="0"/>
    <n v="0"/>
    <n v="0"/>
    <n v="20000"/>
    <s v=""/>
    <m/>
    <s v="STIP / PENGHAPUS GOZTAR B-24 WARNA BESARPAK10000"/>
  </r>
  <r>
    <x v="0"/>
    <s v=""/>
    <s v=""/>
    <m/>
    <m/>
    <m/>
    <s v=""/>
    <s v=""/>
    <s v=" "/>
    <s v=""/>
    <n v="1"/>
    <s v="LS"/>
    <m/>
    <m/>
    <s v=""/>
    <s v="PENCIL CASE 23 x 8.5 MAGNET FY-6823"/>
    <n v="156000"/>
    <m/>
    <m/>
    <n v="156000"/>
    <m/>
    <m/>
    <n v="117"/>
    <n v="9"/>
    <n v="156000"/>
    <n v="0"/>
    <n v="0"/>
    <n v="0"/>
    <n v="156000"/>
    <s v=""/>
    <m/>
    <s v="PENCIL CASE 23 x 8.5 MAGNET FY-6823LS156000"/>
  </r>
  <r>
    <x v="0"/>
    <s v=""/>
    <s v=""/>
    <m/>
    <m/>
    <m/>
    <s v=""/>
    <s v=""/>
    <s v=" "/>
    <s v=""/>
    <n v="1"/>
    <s v="LS"/>
    <m/>
    <m/>
    <s v=""/>
    <s v="PENCIL CASE 22 x 7.5 MAGNET AC-1762"/>
    <n v="132000"/>
    <m/>
    <m/>
    <n v="132000"/>
    <m/>
    <m/>
    <n v="117"/>
    <n v="9"/>
    <n v="132000"/>
    <n v="0"/>
    <n v="0"/>
    <n v="0"/>
    <n v="132000"/>
    <s v=""/>
    <m/>
    <s v="PENCIL CASE 22 x 7.5 MAGNET AC-1762LS132000"/>
  </r>
  <r>
    <x v="0"/>
    <s v=""/>
    <s v=""/>
    <m/>
    <m/>
    <m/>
    <s v=""/>
    <s v=""/>
    <s v=" "/>
    <s v=""/>
    <n v="1"/>
    <s v="LS"/>
    <m/>
    <m/>
    <s v=""/>
    <s v="PENCIL CASE 22 x 7.5 MAGNET FX-2275 (METALIK)"/>
    <n v="156000"/>
    <m/>
    <m/>
    <n v="156000"/>
    <m/>
    <m/>
    <n v="117"/>
    <n v="9"/>
    <n v="156000"/>
    <n v="0"/>
    <n v="0"/>
    <n v="0"/>
    <n v="156000"/>
    <s v=""/>
    <m/>
    <s v="PENCIL CASE 22 x 7.5 MAGNET FX-2275 (METALIK)LS156000"/>
  </r>
  <r>
    <x v="0"/>
    <s v=""/>
    <s v=""/>
    <m/>
    <m/>
    <m/>
    <s v=""/>
    <s v=""/>
    <s v=" "/>
    <s v=""/>
    <n v="24"/>
    <s v="PC"/>
    <m/>
    <m/>
    <s v=""/>
    <s v="NOTEBOOK KANCING 32K1008-21 (A5)"/>
    <n v="20000"/>
    <m/>
    <m/>
    <n v="480000"/>
    <m/>
    <m/>
    <n v="117"/>
    <n v="9"/>
    <n v="480000"/>
    <n v="0"/>
    <n v="0"/>
    <n v="0"/>
    <n v="480000"/>
    <s v=""/>
    <m/>
    <s v="NOTEBOOK KANCING 32K1008-21 (A5)PC20000"/>
  </r>
  <r>
    <x v="0"/>
    <s v=""/>
    <s v=""/>
    <m/>
    <m/>
    <m/>
    <s v=""/>
    <s v=""/>
    <s v=" "/>
    <s v=""/>
    <n v="48"/>
    <s v="PC"/>
    <m/>
    <m/>
    <s v=""/>
    <s v="HIGHLIGHTER / STABILLO VANCO HL-521"/>
    <n v="2083"/>
    <m/>
    <m/>
    <n v="99984"/>
    <m/>
    <m/>
    <n v="117"/>
    <n v="9"/>
    <n v="99984"/>
    <n v="0"/>
    <n v="0"/>
    <n v="0"/>
    <n v="99984"/>
    <s v=""/>
    <m/>
    <s v="HIGHLIGHTER / STABILLO VANCO HL-521PC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10021"/>
    <d v="2024-01-15T00:00:00"/>
    <n v="15"/>
    <s v="0715"/>
    <s v="anugerah"/>
    <s v="AM 24010021"/>
    <s v="KO"/>
    <s v="KO 0715"/>
    <s v="CV PELITA JAYA (ANUGERAH SEJAHTERA) PURWOKERTO"/>
    <n v="144"/>
    <s v="LSN"/>
    <n v="1"/>
    <s v="PENKENEASYGELHITAM"/>
    <s v="GEL PEN KENKO EASY GEL HITAM"/>
    <s v="GEL PEN KENKO EASY GEL HITAM"/>
    <n v="26100"/>
    <n v="0.13500000000000001"/>
    <m/>
    <n v="3251016"/>
    <s v="NOVI / CONDRO"/>
    <m/>
    <n v="127"/>
    <n v="3"/>
    <n v="3758400"/>
    <n v="507384.00000000006"/>
    <n v="0"/>
    <n v="507384.00000000006"/>
    <n v="3251016"/>
    <n v="13265640"/>
    <m/>
    <s v="GEL PEN KENKO EASY GEL HITAMLSN26100"/>
  </r>
  <r>
    <x v="0"/>
    <s v=""/>
    <s v=""/>
    <m/>
    <m/>
    <m/>
    <s v=""/>
    <s v=""/>
    <s v=" "/>
    <s v=""/>
    <n v="144"/>
    <s v="LSN"/>
    <n v="1"/>
    <s v="PENKENEASYGELBIRU"/>
    <s v="GEL PEN KENKO EASY GEL BIRU"/>
    <s v="GEL PEN KENKO EASY GEL BIRU"/>
    <n v="26100"/>
    <n v="0.13500000000000001"/>
    <m/>
    <n v="3251016"/>
    <m/>
    <m/>
    <n v="127"/>
    <n v="3"/>
    <n v="3758400"/>
    <n v="507384.00000000006"/>
    <n v="0"/>
    <n v="507384.00000000006"/>
    <n v="3251016"/>
    <s v=""/>
    <m/>
    <s v="GEL PEN KENKO EASY GEL BIRULSN26100"/>
  </r>
  <r>
    <x v="0"/>
    <s v=""/>
    <s v=""/>
    <m/>
    <m/>
    <m/>
    <s v=""/>
    <s v=""/>
    <s v=" "/>
    <s v=""/>
    <n v="144"/>
    <s v="LSN"/>
    <n v="2"/>
    <s v="TIPKENKE01"/>
    <s v="CORRECTION FLUID KENKO KE-01"/>
    <s v="CORRECTION FLUID KENKO KE-01"/>
    <n v="54300"/>
    <n v="0.13500000000000001"/>
    <m/>
    <n v="6763608"/>
    <m/>
    <m/>
    <n v="127"/>
    <n v="3"/>
    <n v="7819200"/>
    <n v="1055592"/>
    <n v="0"/>
    <n v="1055592"/>
    <n v="6763608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10022"/>
    <d v="2024-01-16T00:00:00"/>
    <n v="16"/>
    <s v="0837"/>
    <s v="reni"/>
    <s v="AM 24010022"/>
    <s v="A"/>
    <s v="A 0837"/>
    <s v="CV FM 90 KEBUMEN"/>
    <n v="144"/>
    <s v="LSN"/>
    <n v="1"/>
    <s v="PENTF1190"/>
    <s v="GEL PEN TRIFELLO HI-TECH TF-1190"/>
    <s v="GEL PEN TRIFELLO HI-TECH TF-1190 BIRU"/>
    <n v="28500"/>
    <m/>
    <m/>
    <n v="4104000"/>
    <s v="RISMA / CONDRO"/>
    <m/>
    <n v="131"/>
    <n v="2"/>
    <n v="4104000"/>
    <n v="0"/>
    <n v="0"/>
    <n v="0"/>
    <n v="4104000"/>
    <n v="8208000"/>
    <m/>
    <s v="GEL PEN TRIFELLO HI-TECH TF-1190 BIRULSN28500"/>
  </r>
  <r>
    <x v="0"/>
    <s v=""/>
    <s v=""/>
    <m/>
    <m/>
    <m/>
    <s v=""/>
    <s v=""/>
    <s v=" "/>
    <s v=""/>
    <n v="144"/>
    <s v="LSN"/>
    <n v="1"/>
    <s v="PENTF1190"/>
    <s v="GEL PEN TRIFELLO HI-TECH TF-1190"/>
    <s v="GEL PEN TRIFELLO HI-TECH TF-1190 HITAM"/>
    <n v="28500"/>
    <m/>
    <m/>
    <n v="4104000"/>
    <m/>
    <m/>
    <n v="131"/>
    <n v="2"/>
    <n v="4104000"/>
    <n v="0"/>
    <n v="0"/>
    <n v="0"/>
    <n v="4104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10023"/>
    <d v="2024-01-16T00:00:00"/>
    <n v="16"/>
    <s v="3102"/>
    <s v="LANCAR"/>
    <s v="AM 24010023"/>
    <s v="KO"/>
    <s v="KO 3102"/>
    <s v="CV LANCAR JAYA SENTOSA MALANG"/>
    <n v="240"/>
    <s v="PCS"/>
    <n v="5"/>
    <s v="ISOJKTD103"/>
    <s v="TAPE CUTTER JOYKO TD-103"/>
    <s v="TAPE CUTTER JOYKO TD-103"/>
    <n v="19000"/>
    <n v="0.125"/>
    <m/>
    <n v="3990000"/>
    <s v="RISMA / CONDRO"/>
    <m/>
    <n v="134"/>
    <n v="4"/>
    <n v="4560000"/>
    <n v="570000"/>
    <n v="0"/>
    <n v="570000"/>
    <n v="3990000"/>
    <n v="19278000"/>
    <m/>
    <s v="TAPE CUTTER JOYKO TD-103PCS19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134"/>
    <n v="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100"/>
    <s v="BOX"/>
    <n v="2"/>
    <s v="STIJK20PUTIH"/>
    <s v="STIP / PENGHAPUS JOYKO 526-B20 PUTIH"/>
    <s v="STIP / PENGHAPUS JOYKO 526-B20 PUTIH"/>
    <n v="34100"/>
    <n v="0.125"/>
    <m/>
    <n v="2983750"/>
    <m/>
    <m/>
    <n v="134"/>
    <n v="4"/>
    <n v="3410000"/>
    <n v="426250"/>
    <n v="0"/>
    <n v="426250"/>
    <n v="2983750"/>
    <s v=""/>
    <m/>
    <s v="STIP / PENGHAPUS JOYKO 526-B20 PUTIHBOX341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134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10024"/>
    <d v="2024-01-16T00:00:00"/>
    <n v="16"/>
    <s v="0726"/>
    <s v="anugerah"/>
    <s v="AM 24010024"/>
    <s v="KO"/>
    <s v="KO 0726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RISMA / CONDRO"/>
    <m/>
    <n v="139"/>
    <n v="2"/>
    <n v="3909600"/>
    <n v="527796"/>
    <n v="0"/>
    <n v="527796"/>
    <n v="3381804"/>
    <n v="6632820"/>
    <m/>
    <s v="CORRECTION FLUID KENKO KE-01LSN54300"/>
  </r>
  <r>
    <x v="0"/>
    <s v=""/>
    <s v=""/>
    <m/>
    <m/>
    <m/>
    <s v=""/>
    <s v=""/>
    <s v=" "/>
    <s v=""/>
    <n v="144"/>
    <s v="LSN"/>
    <n v="1"/>
    <s v="PENKENEASYGELHITAM"/>
    <s v="GEL PEN KENKO EASY GEL HITAM"/>
    <s v="GEL PEN KENKO EASY GEL HITAM"/>
    <n v="26100"/>
    <n v="0.13500000000000001"/>
    <m/>
    <n v="3251016"/>
    <m/>
    <m/>
    <n v="139"/>
    <n v="2"/>
    <n v="3758400"/>
    <n v="507384.00000000006"/>
    <n v="0"/>
    <n v="507384.00000000006"/>
    <n v="3251016"/>
    <s v=""/>
    <m/>
    <s v="GEL PEN KENKO EASY GEL HITAMLSN2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10025"/>
    <d v="2024-01-16T00:00:00"/>
    <n v="16"/>
    <s v="0888"/>
    <s v="rejoagung"/>
    <s v="AM 24010025"/>
    <s v="G"/>
    <s v="G 0888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142"/>
    <n v="6"/>
    <n v="1164000"/>
    <n v="145500"/>
    <n v="0"/>
    <n v="145500"/>
    <n v="1018500"/>
    <n v="18537750"/>
    <m/>
    <s v="STAPLER HEAVY DUTY JOYKO HD-12N/13PCS97000"/>
  </r>
  <r>
    <x v="0"/>
    <s v=""/>
    <s v=""/>
    <m/>
    <m/>
    <m/>
    <s v=""/>
    <s v=""/>
    <s v=" "/>
    <s v=""/>
    <n v="6"/>
    <s v="PCS"/>
    <n v="1"/>
    <s v="STAJKHD12N24"/>
    <s v="STAPLER HEAVY DUTY JOYKO HD-12N/24"/>
    <s v="STAPLER HEAVY DUTY JOYKO HD-12N/24"/>
    <n v="187000"/>
    <n v="0.125"/>
    <m/>
    <n v="981750"/>
    <m/>
    <m/>
    <n v="142"/>
    <n v="6"/>
    <n v="1122000"/>
    <n v="140250"/>
    <n v="0"/>
    <n v="140250"/>
    <n v="981750"/>
    <s v=""/>
    <m/>
    <s v="STAPLER HEAVY DUTY JOYKO HD-12N/24PCS187000"/>
  </r>
  <r>
    <x v="0"/>
    <s v=""/>
    <s v=""/>
    <m/>
    <m/>
    <m/>
    <s v=""/>
    <s v=""/>
    <s v=" "/>
    <s v=""/>
    <n v="240"/>
    <s v="PCS"/>
    <n v="2"/>
    <s v="PUNJK30XL"/>
    <s v="PUNCH JOYKO 30XL"/>
    <s v="PUNCH JOYKO 30XL"/>
    <n v="12950"/>
    <n v="0.125"/>
    <m/>
    <n v="2719500"/>
    <m/>
    <m/>
    <n v="142"/>
    <n v="6"/>
    <n v="3108000"/>
    <n v="388500"/>
    <n v="0"/>
    <n v="388500"/>
    <n v="2719500"/>
    <s v=""/>
    <m/>
    <s v="PUNCH JOYKO 30XLPCS12950"/>
  </r>
  <r>
    <x v="0"/>
    <s v=""/>
    <s v=""/>
    <m/>
    <m/>
    <m/>
    <s v=""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42"/>
    <n v="6"/>
    <n v="8880000"/>
    <n v="1110000"/>
    <n v="0"/>
    <n v="1110000"/>
    <n v="7770000"/>
    <s v=""/>
    <m/>
    <s v="CALCULATOR JOYKO CC-41PCS74000"/>
  </r>
  <r>
    <x v="0"/>
    <s v=""/>
    <s v=""/>
    <m/>
    <m/>
    <m/>
    <s v=""/>
    <s v=""/>
    <s v=" "/>
    <s v=""/>
    <n v="288"/>
    <s v="PCS"/>
    <n v="1"/>
    <s v="PCJK0719"/>
    <e v="#N/A"/>
    <s v="KENKO PENCIL CASE PC-0719 (POLOS)"/>
    <n v="4800"/>
    <n v="0.125"/>
    <m/>
    <n v="1209600"/>
    <m/>
    <m/>
    <n v="142"/>
    <n v="6"/>
    <n v="1382400"/>
    <n v="172800"/>
    <n v="0"/>
    <n v="172800"/>
    <n v="1209600"/>
    <s v=""/>
    <m/>
    <s v="KENKO PENCIL CASE PC-0719 (POLOS)PCS4800"/>
  </r>
  <r>
    <x v="0"/>
    <s v=""/>
    <s v=""/>
    <m/>
    <m/>
    <m/>
    <s v=""/>
    <s v=""/>
    <s v=" "/>
    <s v=""/>
    <n v="1152"/>
    <s v="PCS"/>
    <n v="4"/>
    <s v="PCJK0719FANCY"/>
    <e v="#N/A"/>
    <s v="KENKO PENCIL CASE PC-0719 (FANCY)"/>
    <n v="4800"/>
    <n v="0.125"/>
    <m/>
    <n v="4838400"/>
    <m/>
    <m/>
    <n v="142"/>
    <n v="6"/>
    <n v="5529600"/>
    <n v="691200"/>
    <n v="0"/>
    <n v="691200"/>
    <n v="4838400"/>
    <s v=""/>
    <m/>
    <s v="KENKO PENCIL CASE PC-0719 (FANCY)PCS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10026"/>
    <d v="2024-01-17T00:00:00"/>
    <n v="17"/>
    <s v="0893"/>
    <s v="utama"/>
    <s v="AM 24010026"/>
    <s v="G"/>
    <s v="G 0893"/>
    <s v="CV UTAMA PUTRA TULUNG AGUNG"/>
    <n v="144"/>
    <s v="LSN"/>
    <n v="1"/>
    <s v="PENKENKE303"/>
    <s v="GEL PEN KENKO KE-303 T-GEL TRIANGULAR"/>
    <s v="GEL PEN KENKO KE-303 T-GEL TRIANGULAR"/>
    <n v="21600"/>
    <n v="0.125"/>
    <m/>
    <n v="2721600"/>
    <s v="NOVI / CONDRO"/>
    <m/>
    <n v="149"/>
    <n v="3"/>
    <n v="3110400"/>
    <n v="388800"/>
    <n v="0"/>
    <n v="388800"/>
    <n v="2721600"/>
    <n v="8341200"/>
    <m/>
    <s v="GEL PEN KENKO KE-303 T-GEL TRIANGULARLSN21600"/>
  </r>
  <r>
    <x v="0"/>
    <s v=""/>
    <s v=""/>
    <m/>
    <m/>
    <m/>
    <s v=""/>
    <s v=""/>
    <s v=" "/>
    <s v=""/>
    <n v="144"/>
    <s v="LSN"/>
    <n v="1"/>
    <s v="PENKEN028MICROTECHITAM"/>
    <s v="GEL PEN KENKO MICROTECH 0.28 MM HITAM"/>
    <s v="GEL PEN KENKO MICROTECH 0.28 MM HITAM"/>
    <n v="39600"/>
    <n v="0.125"/>
    <m/>
    <n v="4989600"/>
    <m/>
    <m/>
    <n v="149"/>
    <n v="3"/>
    <n v="5702400"/>
    <n v="712800"/>
    <n v="0"/>
    <n v="712800"/>
    <n v="4989600"/>
    <s v=""/>
    <m/>
    <s v="GEL PEN KENKO MICROTECH 0.28 MM HITAMLSN39600"/>
  </r>
  <r>
    <x v="0"/>
    <s v=""/>
    <s v=""/>
    <m/>
    <m/>
    <m/>
    <s v=""/>
    <s v=""/>
    <s v=" "/>
    <s v=""/>
    <n v="12"/>
    <s v="LSN"/>
    <m/>
    <s v="TIPKENCT902"/>
    <s v="CORRECTION TAPE KENKO CT-902 (12M x 5MM)"/>
    <s v="CORRECTION TAPE KENKO CT-902 (12M x 5MM)"/>
    <n v="60000"/>
    <n v="0.125"/>
    <m/>
    <n v="630000"/>
    <m/>
    <m/>
    <n v="149"/>
    <n v="3"/>
    <n v="720000"/>
    <n v="90000"/>
    <n v="0"/>
    <n v="90000"/>
    <n v="63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10027"/>
    <d v="2024-01-18T00:00:00"/>
    <n v="18"/>
    <s v="1498"/>
    <s v="LUWESPATI"/>
    <s v="AM 24010027"/>
    <s v="A"/>
    <s v="A 1498"/>
    <s v="CV.BENGAWAN MULTI TRENDING (LUWES) PATI"/>
    <n v="1"/>
    <s v="LSN"/>
    <m/>
    <s v="TAS3540"/>
    <e v="#N/A"/>
    <s v="TAS KARUNG V 35 X 40"/>
    <n v="180000"/>
    <m/>
    <m/>
    <n v="180000"/>
    <s v="NOVI / CONDRO"/>
    <m/>
    <n v="153"/>
    <n v="8"/>
    <n v="180000"/>
    <n v="0"/>
    <n v="0"/>
    <n v="0"/>
    <n v="180000"/>
    <n v="782000"/>
    <m/>
    <s v="TAS KARUNG V 35 X 40LSN180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10000"/>
    <m/>
    <m/>
    <n v="210000"/>
    <m/>
    <m/>
    <n v="153"/>
    <n v="8"/>
    <n v="210000"/>
    <n v="0"/>
    <n v="0"/>
    <n v="0"/>
    <n v="210000"/>
    <s v=""/>
    <m/>
    <s v="PENCIL CASE 23 x 8.5 MAGNET 3D FC-5223LSN210000"/>
  </r>
  <r>
    <x v="0"/>
    <s v=""/>
    <s v=""/>
    <m/>
    <m/>
    <m/>
    <s v=""/>
    <s v=""/>
    <s v=" "/>
    <s v=""/>
    <n v="1"/>
    <s v="LSN"/>
    <m/>
    <s v="MAPDL226"/>
    <e v="#N/A"/>
    <s v="MAP DLL-226"/>
    <n v="66000"/>
    <m/>
    <m/>
    <n v="66000"/>
    <m/>
    <m/>
    <n v="153"/>
    <n v="8"/>
    <n v="66000"/>
    <n v="0"/>
    <n v="0"/>
    <n v="0"/>
    <n v="66000"/>
    <s v=""/>
    <m/>
    <s v="MAP DLL-226LSN66000"/>
  </r>
  <r>
    <x v="0"/>
    <s v=""/>
    <s v=""/>
    <m/>
    <m/>
    <m/>
    <s v=""/>
    <s v=""/>
    <s v=" "/>
    <s v=""/>
    <n v="1"/>
    <s v="LSN"/>
    <m/>
    <s v="MAPDL204"/>
    <e v="#N/A"/>
    <s v="MAP DLL-204"/>
    <n v="66000"/>
    <m/>
    <m/>
    <n v="66000"/>
    <m/>
    <m/>
    <n v="153"/>
    <n v="8"/>
    <n v="66000"/>
    <n v="0"/>
    <n v="0"/>
    <n v="0"/>
    <n v="66000"/>
    <s v=""/>
    <m/>
    <s v="MAP DLL-204LSN66000"/>
  </r>
  <r>
    <x v="0"/>
    <s v=""/>
    <s v=""/>
    <m/>
    <m/>
    <m/>
    <s v=""/>
    <s v=""/>
    <s v=" "/>
    <s v=""/>
    <n v="1"/>
    <s v="LSN"/>
    <m/>
    <s v="MAPDLL224"/>
    <e v="#N/A"/>
    <s v="MAP DLL-224"/>
    <n v="66000"/>
    <m/>
    <m/>
    <n v="66000"/>
    <m/>
    <m/>
    <n v="153"/>
    <n v="8"/>
    <n v="66000"/>
    <n v="0"/>
    <n v="0"/>
    <n v="0"/>
    <n v="66000"/>
    <s v=""/>
    <m/>
    <s v="MAP DLL-224LSN66000"/>
  </r>
  <r>
    <x v="0"/>
    <s v=""/>
    <s v=""/>
    <m/>
    <m/>
    <m/>
    <s v=""/>
    <s v=""/>
    <s v=" "/>
    <s v=""/>
    <n v="1"/>
    <s v="LSN"/>
    <m/>
    <s v="MAPDLL8623A5"/>
    <e v="#N/A"/>
    <s v="MAP DLL-8623"/>
    <n v="60000"/>
    <m/>
    <m/>
    <n v="60000"/>
    <m/>
    <m/>
    <n v="153"/>
    <n v="8"/>
    <n v="60000"/>
    <n v="0"/>
    <n v="0"/>
    <n v="0"/>
    <n v="60000"/>
    <s v=""/>
    <m/>
    <s v="MAP DLL-8623LSN60000"/>
  </r>
  <r>
    <x v="0"/>
    <s v=""/>
    <s v=""/>
    <m/>
    <m/>
    <m/>
    <s v=""/>
    <s v=""/>
    <s v=" "/>
    <s v=""/>
    <n v="1"/>
    <s v="POT"/>
    <m/>
    <s v="PENBH6925"/>
    <e v="#N/A"/>
    <s v="PENSIL ZHONG HUA 6925-2B/B OVAL"/>
    <n v="95000"/>
    <m/>
    <m/>
    <n v="95000"/>
    <m/>
    <m/>
    <n v="153"/>
    <n v="8"/>
    <n v="95000"/>
    <n v="0"/>
    <n v="0"/>
    <n v="0"/>
    <n v="95000"/>
    <s v=""/>
    <m/>
    <s v="PENSIL ZHONG HUA 6925-2B/B OVALPOT95000"/>
  </r>
  <r>
    <x v="0"/>
    <s v=""/>
    <s v=""/>
    <m/>
    <m/>
    <m/>
    <s v=""/>
    <s v=""/>
    <s v=" "/>
    <s v=""/>
    <n v="3"/>
    <s v="PAK"/>
    <m/>
    <s v="STIB24"/>
    <e v="#N/A"/>
    <s v="STIP/ PENGHAPUS B-24 M MACARON (GOZTAR)"/>
    <n v="13000"/>
    <m/>
    <m/>
    <n v="39000"/>
    <m/>
    <m/>
    <n v="153"/>
    <n v="8"/>
    <n v="39000"/>
    <n v="0"/>
    <n v="0"/>
    <n v="0"/>
    <n v="39000"/>
    <s v=""/>
    <m/>
    <s v="STIP/ PENGHAPUS B-24 M MACARON (GOZTAR)PAK1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10028"/>
    <d v="2024-01-12T00:00:00"/>
    <n v="12"/>
    <s v="0877"/>
    <s v="TRIOPLAZA"/>
    <s v="AM 24010028"/>
    <s v="G"/>
    <s v="G 0877"/>
    <s v="PT.HASTA KENCANA SAKTI ( TRIO PLAZA ) MAGELANG"/>
    <n v="3"/>
    <s v="PCS"/>
    <m/>
    <s v="CALJKCC23"/>
    <s v="CALCULATOR JOYKO CC-23"/>
    <s v="CALCULATOR JOYKO CC-23"/>
    <n v="50000"/>
    <m/>
    <m/>
    <n v="150000"/>
    <s v="NOVI / CONDRO"/>
    <m/>
    <n v="162"/>
    <n v="11"/>
    <n v="150000"/>
    <n v="0"/>
    <n v="0"/>
    <n v="0"/>
    <n v="150000"/>
    <n v="1347950"/>
    <m/>
    <s v="CALCULATOR JOYKO CC-23PCS50000"/>
  </r>
  <r>
    <x v="0"/>
    <s v=""/>
    <s v=""/>
    <m/>
    <m/>
    <m/>
    <s v=""/>
    <s v=""/>
    <s v=" "/>
    <s v=""/>
    <n v="24"/>
    <s v="PCS"/>
    <m/>
    <s v="TIPKENKE01"/>
    <s v="CORRECTION FLUID KENKO KE-01"/>
    <s v="CORRECTION FLUID KENKO KE-01"/>
    <n v="4541.6000000000004"/>
    <m/>
    <m/>
    <n v="108998.40000000001"/>
    <m/>
    <m/>
    <n v="162"/>
    <n v="11"/>
    <n v="108998.40000000001"/>
    <n v="0"/>
    <n v="0"/>
    <n v="0"/>
    <n v="108998.40000000001"/>
    <s v=""/>
    <m/>
    <s v="CORRECTION FLUID KENKO KE-01PCS4541.6"/>
  </r>
  <r>
    <x v="0"/>
    <s v=""/>
    <s v=""/>
    <m/>
    <m/>
    <m/>
    <s v=""/>
    <s v=""/>
    <s v=" "/>
    <s v=""/>
    <n v="24"/>
    <s v="PCS"/>
    <m/>
    <s v="TIPKENKE108"/>
    <s v="CORRECTION FLUID KENKO KE-108"/>
    <s v="CORRECTION FLUID KENKO KE-108"/>
    <n v="3958.4"/>
    <m/>
    <m/>
    <n v="95001.600000000006"/>
    <m/>
    <m/>
    <n v="162"/>
    <n v="11"/>
    <n v="95001.600000000006"/>
    <n v="0"/>
    <n v="0"/>
    <n v="0"/>
    <n v="95001.600000000006"/>
    <s v=""/>
    <m/>
    <s v="CORRECTION FLUID KENKO KE-108PCS3958.4"/>
  </r>
  <r>
    <x v="0"/>
    <s v=""/>
    <s v=""/>
    <m/>
    <m/>
    <m/>
    <s v=""/>
    <s v=""/>
    <s v=" "/>
    <s v=""/>
    <n v="24"/>
    <s v="PCS"/>
    <m/>
    <s v="TIPKENKE823"/>
    <s v="CORRECTION FLUID KENKO KE-823M"/>
    <s v="CORRECTION FLUID KENKO KE-823M"/>
    <n v="4750"/>
    <m/>
    <m/>
    <n v="114000"/>
    <m/>
    <m/>
    <n v="162"/>
    <n v="11"/>
    <n v="114000"/>
    <n v="0"/>
    <n v="0"/>
    <n v="0"/>
    <n v="114000"/>
    <s v=""/>
    <m/>
    <s v="CORRECTION FLUID KENKO KE-823MPCS4750"/>
  </r>
  <r>
    <x v="0"/>
    <s v=""/>
    <s v=""/>
    <m/>
    <m/>
    <m/>
    <s v=""/>
    <s v=""/>
    <s v=" "/>
    <s v=""/>
    <n v="15"/>
    <s v="PCS"/>
    <m/>
    <s v="LLKENA5100"/>
    <s v="LOOSE LEAF KENKO A5-LL 100-2070"/>
    <s v="LOOSE LEAF KENKO A5-LL 100-2070"/>
    <n v="8350"/>
    <m/>
    <m/>
    <n v="125250"/>
    <m/>
    <m/>
    <n v="162"/>
    <n v="11"/>
    <n v="125250"/>
    <n v="0"/>
    <n v="0"/>
    <n v="0"/>
    <n v="125250"/>
    <s v=""/>
    <m/>
    <s v="LOOSE LEAF KENKO A5-LL 100-2070PCS8350"/>
  </r>
  <r>
    <x v="0"/>
    <s v=""/>
    <s v=""/>
    <m/>
    <m/>
    <m/>
    <s v=""/>
    <s v=""/>
    <s v=" "/>
    <s v=""/>
    <n v="20"/>
    <s v="PCS"/>
    <m/>
    <s v="ISISDI1204"/>
    <s v="ISI STAPLER (STAPLES) SDI 1204 No. 3"/>
    <s v="ISI STAPLER (STAPLES) SDI 1204 No. 3"/>
    <n v="3370"/>
    <m/>
    <m/>
    <n v="67400"/>
    <m/>
    <m/>
    <n v="162"/>
    <n v="11"/>
    <n v="67400"/>
    <n v="0"/>
    <n v="0"/>
    <n v="0"/>
    <n v="67400"/>
    <s v=""/>
    <m/>
    <s v="ISI STAPLER (STAPLES) SDI 1204 No. 3PCS3370"/>
  </r>
  <r>
    <x v="0"/>
    <s v=""/>
    <s v=""/>
    <m/>
    <m/>
    <m/>
    <s v=""/>
    <s v=""/>
    <s v=" "/>
    <s v=""/>
    <n v="12"/>
    <s v="PCS"/>
    <m/>
    <s v="OPJK12W"/>
    <m/>
    <s v="CRAYON / OIL PASTEL JOYKO OP-12S PP CASE SEA WORLD"/>
    <n v="11900"/>
    <m/>
    <m/>
    <n v="142800"/>
    <m/>
    <m/>
    <n v="162"/>
    <n v="11"/>
    <n v="142800"/>
    <n v="0"/>
    <n v="0"/>
    <n v="0"/>
    <n v="142800"/>
    <s v=""/>
    <m/>
    <s v="CRAYON / OIL PASTEL JOYKO OP-12S PP CASE SEA WORLDPCS11900"/>
  </r>
  <r>
    <x v="0"/>
    <s v=""/>
    <s v=""/>
    <m/>
    <m/>
    <m/>
    <s v=""/>
    <s v=""/>
    <s v=" "/>
    <s v=""/>
    <n v="12"/>
    <s v="PCS"/>
    <m/>
    <s v="OPJK18W"/>
    <s v="CRAYON / OIL PASTEL JOYKO OP-18S PP CASE SEA WORLD"/>
    <s v="CRAYON / OIL PASTEL JOYKO OP-18S PP CASE SEA WORLD"/>
    <n v="23000"/>
    <m/>
    <m/>
    <n v="276000"/>
    <m/>
    <m/>
    <n v="162"/>
    <n v="11"/>
    <n v="276000"/>
    <n v="0"/>
    <n v="0"/>
    <n v="0"/>
    <n v="276000"/>
    <s v=""/>
    <m/>
    <s v="CRAYON / OIL PASTEL JOYKO OP-18S PP CASE SEA WORLDPCS23000"/>
  </r>
  <r>
    <x v="0"/>
    <s v=""/>
    <s v=""/>
    <m/>
    <m/>
    <m/>
    <s v=""/>
    <s v=""/>
    <s v=" "/>
    <s v=""/>
    <n v="36"/>
    <s v="PCS"/>
    <m/>
    <s v="PENKENHITECH04BIRU"/>
    <s v="GEL PEN KENKO HI-TECH-H 0.4 MM BIRU"/>
    <s v="GEL PEN KENKO HI-TECH-H 0.4 MM BIRU"/>
    <n v="3250"/>
    <m/>
    <m/>
    <n v="117000"/>
    <m/>
    <m/>
    <n v="162"/>
    <n v="11"/>
    <n v="117000"/>
    <n v="0"/>
    <n v="0"/>
    <n v="0"/>
    <n v="117000"/>
    <s v=""/>
    <m/>
    <s v="GEL PEN KENKO HI-TECH-H 0.4 MM BIRUPCS3250"/>
  </r>
  <r>
    <x v="0"/>
    <s v=""/>
    <s v=""/>
    <m/>
    <m/>
    <m/>
    <s v=""/>
    <s v=""/>
    <s v=" "/>
    <s v=""/>
    <n v="15"/>
    <s v="PCS"/>
    <m/>
    <s v="ORIALFA1414"/>
    <s v="ORIGAMI FLUORESCENT ALFA 14X14"/>
    <s v="ORIGAMI FLUORESCENT ALFA 14X14"/>
    <n v="3100"/>
    <m/>
    <m/>
    <n v="46500"/>
    <m/>
    <m/>
    <n v="162"/>
    <n v="11"/>
    <n v="46500"/>
    <n v="0"/>
    <n v="0"/>
    <n v="0"/>
    <n v="46500"/>
    <s v=""/>
    <m/>
    <s v="ORIGAMI FLUORESCENT ALFA 14X14PCS3100"/>
  </r>
  <r>
    <x v="0"/>
    <s v=""/>
    <s v=""/>
    <m/>
    <m/>
    <m/>
    <s v=""/>
    <s v=""/>
    <s v=" "/>
    <s v=""/>
    <n v="12"/>
    <s v="PCS"/>
    <m/>
    <s v="DISPOLARMN305"/>
    <s v="TAPE DISPENSER POLAR BEAR MN-305 @12pc"/>
    <s v="TAPE DISPENSER POLAR BEAR MN-305 @12pc"/>
    <n v="8750"/>
    <m/>
    <m/>
    <n v="105000"/>
    <m/>
    <m/>
    <n v="162"/>
    <n v="11"/>
    <n v="105000"/>
    <n v="0"/>
    <n v="0"/>
    <n v="0"/>
    <n v="105000"/>
    <s v=""/>
    <m/>
    <s v="TAPE DISPENSER POLAR BEAR MN-305 @12pcPCS8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10029"/>
    <d v="2024-01-19T00:00:00"/>
    <n v="19"/>
    <s v="0952"/>
    <s v="bendan"/>
    <s v="AM 24010029"/>
    <s v="KO"/>
    <s v="KO 0952"/>
    <s v="HARNOYO (BENDAN) PEKALONGAN"/>
    <n v="24"/>
    <s v="LSN"/>
    <m/>
    <s v="PENKENK1HITAM"/>
    <s v="GEL PEN KENKO K-1 HITAM"/>
    <s v="GEL PEN KENKO K-1 HITAM"/>
    <n v="39600"/>
    <n v="0.14000000000000001"/>
    <m/>
    <n v="817344"/>
    <s v="NOVI / CONDRO"/>
    <m/>
    <n v="174"/>
    <n v="1"/>
    <n v="950400"/>
    <n v="133056"/>
    <n v="0"/>
    <n v="133056"/>
    <n v="817344"/>
    <n v="817344"/>
    <m/>
    <s v="GEL PEN KENKO K-1 HITAM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10030"/>
    <d v="2024-01-19T00:00:00"/>
    <n v="19"/>
    <s v="0953"/>
    <s v="DWIJAYA"/>
    <s v="AM 24010030"/>
    <s v="KO"/>
    <s v="KO 0953"/>
    <s v="CV DWI JAYA YOGYAKARTA"/>
    <n v="4"/>
    <s v="BOX"/>
    <m/>
    <s v="LEMKEN8GR"/>
    <s v="LEM STICK KENKO 8 GR (KECIL) isi 30 pc"/>
    <s v="LEM STICK KENKO 8 GR (KECIL) isi 30 pc"/>
    <n v="66000"/>
    <n v="0.1"/>
    <m/>
    <n v="237600"/>
    <s v="NOVI / CONDRO"/>
    <m/>
    <n v="176"/>
    <n v="5"/>
    <n v="264000"/>
    <n v="26400"/>
    <n v="0"/>
    <n v="26400"/>
    <n v="237600"/>
    <n v="3206520"/>
    <m/>
    <s v="LEM STICK KENKO 8 GR (KECIL) isi 30 pcBOX66000"/>
  </r>
  <r>
    <x v="0"/>
    <s v=""/>
    <s v=""/>
    <m/>
    <m/>
    <m/>
    <s v=""/>
    <s v=""/>
    <s v=" "/>
    <s v=""/>
    <n v="4"/>
    <s v="LSN"/>
    <m/>
    <s v="TIPKENCT902"/>
    <s v="CORRECTION TAPE KENKO CT-902 (12M x 5MM)"/>
    <s v="CORRECTION TAPE KENKO CT-902 (12M x 5MM)"/>
    <n v="60000"/>
    <n v="0.1"/>
    <m/>
    <n v="216000"/>
    <m/>
    <m/>
    <n v="176"/>
    <n v="5"/>
    <n v="240000"/>
    <n v="24000"/>
    <n v="0"/>
    <n v="24000"/>
    <n v="216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CUTKENL500"/>
    <s v="CUTTER 18 MM KENKO L-500 (BESAR)"/>
    <s v="CUTTER 18 MM KENKO L-500 (BESAR)"/>
    <n v="147600"/>
    <n v="0.1"/>
    <m/>
    <n v="664200"/>
    <m/>
    <m/>
    <n v="176"/>
    <n v="5"/>
    <n v="738000"/>
    <n v="73800"/>
    <n v="0"/>
    <n v="73800"/>
    <n v="664200"/>
    <s v=""/>
    <m/>
    <s v="CUTTER 18 MM KENKO L-500 (BESAR)LSN147600"/>
  </r>
  <r>
    <x v="0"/>
    <s v=""/>
    <s v=""/>
    <m/>
    <m/>
    <m/>
    <s v=""/>
    <s v=""/>
    <s v=" "/>
    <s v=""/>
    <n v="10"/>
    <s v="LSN"/>
    <m/>
    <s v="GUNKENSC838"/>
    <s v="GUNTING KENKO SC-838N"/>
    <s v="GUNTING KENKO SC-838N"/>
    <n v="79800"/>
    <n v="0.1"/>
    <m/>
    <n v="718200"/>
    <m/>
    <m/>
    <n v="176"/>
    <n v="5"/>
    <n v="798000"/>
    <n v="79800"/>
    <n v="0"/>
    <n v="79800"/>
    <n v="718200"/>
    <s v=""/>
    <m/>
    <s v="GUNTING KENKO SC-838NLSN79800"/>
  </r>
  <r>
    <x v="0"/>
    <s v=""/>
    <s v=""/>
    <m/>
    <m/>
    <m/>
    <s v=""/>
    <s v=""/>
    <s v=" "/>
    <s v=""/>
    <n v="36"/>
    <s v="LSN"/>
    <n v="1"/>
    <s v="CLIJK280"/>
    <s v="BINDER CLIP JOYKO 280"/>
    <s v="BINDER CLIP JOYKO 280"/>
    <n v="42300"/>
    <n v="0.1"/>
    <m/>
    <n v="1370520"/>
    <m/>
    <m/>
    <n v="176"/>
    <n v="5"/>
    <n v="1522800"/>
    <n v="152280"/>
    <n v="0"/>
    <n v="152280"/>
    <n v="1370520"/>
    <s v=""/>
    <m/>
    <s v="BINDER CLIP JOYKO 280LSN42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10031"/>
    <d v="2024-01-20T00:00:00"/>
    <n v="20"/>
    <s v="0967"/>
    <s v="DWIJAYA"/>
    <s v="AM 24010031"/>
    <s v="KO"/>
    <s v="KO 0967"/>
    <s v="CV DWI JAYA YOGYAKARTA"/>
    <n v="20"/>
    <s v="PAK"/>
    <m/>
    <s v="LABJK1LINEPUTIH"/>
    <s v="LABEL HARGA JOYKO LB-2RL (1 LINE PUTIH)"/>
    <s v="LABEL HARGA JOYKO LB-2RL (1 LINE PUTIH)"/>
    <n v="20500"/>
    <n v="0.1"/>
    <m/>
    <n v="369000"/>
    <s v="NOVI / CONDRO"/>
    <m/>
    <n v="182"/>
    <n v="2"/>
    <n v="410000"/>
    <n v="41000"/>
    <n v="0"/>
    <n v="41000"/>
    <n v="369000"/>
    <n v="1179000"/>
    <m/>
    <s v="LABEL HARGA JOYKO LB-2RL (1 LINE PUTIH)PAK20500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182"/>
    <n v="2"/>
    <n v="900000"/>
    <n v="90000"/>
    <n v="0"/>
    <n v="90000"/>
    <n v="810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10032"/>
    <d v="2024-01-22T00:00:00"/>
    <n v="22"/>
    <s v="4996"/>
    <s v="LANCAR"/>
    <s v="AM 24010032"/>
    <s v="KO"/>
    <s v="KO 4996"/>
    <s v="CV LANCAR JAYA SENTOSA MALANG"/>
    <n v="48"/>
    <s v="PCS"/>
    <n v="2"/>
    <s v="OPJK55W"/>
    <s v="CRAYON / OIL PASTEL JOYKO OP-55S PP CASE SEA WORLD"/>
    <s v="CRAYON / OIL PASTEL JOYKO OP-55S PP CASE SEA WORLD"/>
    <n v="66900"/>
    <n v="0.125"/>
    <m/>
    <n v="2809800"/>
    <s v="NOVI / CONDRO"/>
    <m/>
    <n v="185"/>
    <n v="2"/>
    <n v="3211200"/>
    <n v="401400"/>
    <n v="0"/>
    <n v="401400"/>
    <n v="2809800"/>
    <n v="6841800"/>
    <m/>
    <s v="CRAYON / OIL PASTEL JOYKO OP-55S PP CASE SEA WORLDPCS66900"/>
  </r>
  <r>
    <x v="0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m/>
    <n v="4032000"/>
    <m/>
    <m/>
    <n v="185"/>
    <n v="2"/>
    <n v="4608000"/>
    <n v="576000"/>
    <n v="0"/>
    <n v="576000"/>
    <n v="4032000"/>
    <s v=""/>
    <m/>
    <s v="CRAYON / OIL PASTEL JOYKO OP-72S PP CASE SEA WORLDPCS9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10033"/>
    <d v="2024-01-22T00:00:00"/>
    <n v="22"/>
    <s v="0964"/>
    <s v="rejoagung"/>
    <s v="AM 24010033"/>
    <s v="G"/>
    <s v="G 0964"/>
    <s v="LILY JULIAWATI (REJO AGUNG) JOMBANG"/>
    <n v="72"/>
    <s v="LSN"/>
    <m/>
    <s v="TIPKENKE01"/>
    <s v="CORRECTION FLUID KENKO KE-01"/>
    <s v="CORRECTION FLUID KENKO KE-01"/>
    <n v="54300"/>
    <n v="0.125"/>
    <m/>
    <n v="3420900"/>
    <s v="NOVI / CONDRO"/>
    <m/>
    <n v="1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10034"/>
    <d v="2024-01-22T00:00:00"/>
    <n v="22"/>
    <s v="0968"/>
    <s v="utama"/>
    <s v="AM 24010034"/>
    <s v="G"/>
    <s v="G 0968"/>
    <s v="CV UTAMA PUTRA TULUNG AGU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90"/>
    <n v="2"/>
    <n v="3888000"/>
    <n v="486000"/>
    <n v="0"/>
    <n v="486000"/>
    <n v="3402000"/>
    <n v="5562000"/>
    <m/>
    <s v="ISI CUTTER 18 MM KENKO L-150 (BESAR)LSN64800"/>
  </r>
  <r>
    <x v="0"/>
    <s v=""/>
    <s v=""/>
    <m/>
    <m/>
    <m/>
    <s v=""/>
    <s v=""/>
    <s v=" "/>
    <s v=""/>
    <n v="96"/>
    <s v="PCS"/>
    <n v="1"/>
    <m/>
    <s v=""/>
    <s v="BINDER NOTE FPHY001-A5-60"/>
    <n v="22500"/>
    <m/>
    <m/>
    <n v="2160000"/>
    <m/>
    <m/>
    <n v="190"/>
    <n v="2"/>
    <n v="2160000"/>
    <n v="0"/>
    <n v="0"/>
    <n v="0"/>
    <n v="2160000"/>
    <s v=""/>
    <m/>
    <s v="BINDER NOTE FPHY001-A5-60PCS22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10035"/>
    <d v="2024-01-22T00:00:00"/>
    <n v="22"/>
    <s v="0975"/>
    <s v="DWIJAYA"/>
    <s v="AM 24010035"/>
    <s v="KO"/>
    <s v="KO 0975"/>
    <s v="CV DWI JAYA YOGYAKARTA"/>
    <n v="30"/>
    <s v="GRS"/>
    <n v="1"/>
    <s v="CLIJK111"/>
    <s v="BINDER CLIP JOYKO 111"/>
    <s v="BINDER CLIP JOYKO 111"/>
    <n v="48600"/>
    <n v="0.1"/>
    <m/>
    <n v="1312200"/>
    <s v="NOVI / CONDRO"/>
    <m/>
    <n v="193"/>
    <n v="2"/>
    <n v="1458000"/>
    <n v="145800"/>
    <n v="0"/>
    <n v="145800"/>
    <n v="1312200"/>
    <n v="2104200"/>
    <m/>
    <s v="BINDER CLIP JOYKO 111GRS48600"/>
  </r>
  <r>
    <x v="0"/>
    <s v=""/>
    <s v=""/>
    <m/>
    <m/>
    <m/>
    <s v=""/>
    <s v=""/>
    <s v=" "/>
    <s v=""/>
    <n v="200"/>
    <s v="PCS"/>
    <n v="1"/>
    <s v="CLIJK5"/>
    <s v="PAPER JUMBO CLIP JOYKO NO. 5"/>
    <s v="PAPER JUMBO CLIP JOYKO NO. 5"/>
    <n v="4400"/>
    <n v="0.1"/>
    <m/>
    <n v="792000"/>
    <m/>
    <m/>
    <n v="193"/>
    <n v="2"/>
    <n v="880000"/>
    <n v="88000"/>
    <n v="0"/>
    <n v="88000"/>
    <n v="792000"/>
    <s v=""/>
    <m/>
    <s v="PAPER JUMBO CLIP JOYKO NO. 5PCS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10036"/>
    <d v="2024-01-24T00:00:00"/>
    <n v="24"/>
    <s v="0989"/>
    <s v="anugerah"/>
    <s v="AM 24010036"/>
    <s v="KO"/>
    <s v="KO 0989"/>
    <s v="CV PELITA JAYA (ANUGERAH SEJAHTERA) PURWOKERTO"/>
    <n v="144"/>
    <s v="LSN"/>
    <m/>
    <s v="PENKENKE303"/>
    <s v="GEL PEN KENKO KE-303 T-GEL TRIANGULAR"/>
    <s v="GEL PEN KENKO KE-303 T-GEL TRIANGULAR"/>
    <n v="21600"/>
    <n v="0.13500000000000001"/>
    <m/>
    <n v="2690496"/>
    <s v="NOVI / YO"/>
    <m/>
    <n v="196"/>
    <n v="2"/>
    <n v="3110400"/>
    <n v="419904"/>
    <n v="0"/>
    <n v="419904"/>
    <n v="2690496"/>
    <n v="5119416"/>
    <m/>
    <s v="GEL PEN KENKO KE-303 T-GEL TRIANGULARLSN21600"/>
  </r>
  <r>
    <x v="0"/>
    <s v=""/>
    <s v=""/>
    <m/>
    <m/>
    <m/>
    <s v=""/>
    <s v=""/>
    <s v=" "/>
    <s v=""/>
    <n v="72"/>
    <s v="LSN"/>
    <m/>
    <s v="PENKENKS97"/>
    <e v="#N/A"/>
    <s v="GEL PEN KENKO KS-97 SIGN PEN"/>
    <n v="39000"/>
    <n v="0.13500000000000001"/>
    <m/>
    <n v="2428920"/>
    <m/>
    <m/>
    <n v="196"/>
    <n v="2"/>
    <n v="2808000"/>
    <n v="379080"/>
    <n v="0"/>
    <n v="379080"/>
    <n v="2428920"/>
    <s v=""/>
    <m/>
    <s v="GEL PEN KENKO KS-97 SIGN PEN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10037"/>
    <d v="2024-01-24T00:00:00"/>
    <n v="24"/>
    <s v="0995"/>
    <s v="nirmala"/>
    <s v="AM 24010037"/>
    <s v="KO"/>
    <s v="KO 0995"/>
    <s v="CV SINAR CAHAYA NIRMALA BREBES"/>
    <n v="3"/>
    <s v="LSN"/>
    <m/>
    <s v="PENJKGP265"/>
    <s v="GEL PEN JOYKO GP-265 Q-GEL"/>
    <s v="GEL PEN JOYKO GP-265 Q-GEL"/>
    <n v="28200"/>
    <n v="0.1"/>
    <m/>
    <n v="76140"/>
    <s v="NOVI / CONDRO"/>
    <m/>
    <n v="200"/>
    <n v="13"/>
    <n v="84600"/>
    <n v="8460"/>
    <n v="0"/>
    <n v="8460"/>
    <n v="76140"/>
    <n v="1394375"/>
    <m/>
    <s v="GEL PEN JOYKO GP-265 Q-GELLSN28200"/>
  </r>
  <r>
    <x v="0"/>
    <s v=""/>
    <s v=""/>
    <m/>
    <m/>
    <m/>
    <s v=""/>
    <s v=""/>
    <s v=" "/>
    <s v=""/>
    <n v="3"/>
    <s v="LSN"/>
    <m/>
    <s v="PENJKGP266"/>
    <s v="GEL PEN JOYKO GP-266 ITECH HITAM"/>
    <s v="GEL PEN JOYKO GP-266 ITECH"/>
    <n v="27600"/>
    <n v="0.1"/>
    <m/>
    <n v="74520"/>
    <m/>
    <m/>
    <n v="200"/>
    <n v="13"/>
    <n v="82800"/>
    <n v="8280"/>
    <n v="0"/>
    <n v="8280"/>
    <n v="74520"/>
    <s v=""/>
    <m/>
    <s v="GEL PEN JOYKO GP-266 ITECHLSN27600"/>
  </r>
  <r>
    <x v="0"/>
    <s v=""/>
    <s v=""/>
    <m/>
    <m/>
    <m/>
    <s v=""/>
    <s v=""/>
    <s v=" "/>
    <s v=""/>
    <n v="1"/>
    <s v="LSN"/>
    <m/>
    <s v="TIPKENCT902"/>
    <s v="CORRECTION TAPE KENKO CT-902 (12M x 5MM)"/>
    <s v="CORRECTION TAPE KENKO CT-902 (12M x 5MM)"/>
    <n v="60000"/>
    <n v="0.1"/>
    <m/>
    <n v="54000"/>
    <m/>
    <m/>
    <n v="200"/>
    <n v="13"/>
    <n v="60000"/>
    <n v="6000"/>
    <n v="0"/>
    <n v="6000"/>
    <n v="54000"/>
    <s v=""/>
    <m/>
    <s v="CORRECTION TAPE KENKO CT-902 (12M x 5MM)LSN60000"/>
  </r>
  <r>
    <x v="0"/>
    <s v=""/>
    <s v=""/>
    <m/>
    <m/>
    <m/>
    <s v=""/>
    <s v=""/>
    <s v=" "/>
    <s v=""/>
    <n v="1"/>
    <s v="PAK"/>
    <m/>
    <s v="GARHZ5012"/>
    <s v="GARISAN SET PVC HZ-5012"/>
    <s v="GARISAN SET PVC HZ-5012"/>
    <n v="180000"/>
    <m/>
    <m/>
    <n v="180000"/>
    <m/>
    <m/>
    <n v="200"/>
    <n v="13"/>
    <n v="180000"/>
    <n v="0"/>
    <n v="0"/>
    <n v="0"/>
    <n v="180000"/>
    <s v=""/>
    <m/>
    <s v="GARISAN SET PVC HZ-5012PAK180000"/>
  </r>
  <r>
    <x v="0"/>
    <s v=""/>
    <s v=""/>
    <m/>
    <m/>
    <m/>
    <s v=""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200"/>
    <n v="13"/>
    <n v="208750"/>
    <n v="20875"/>
    <n v="0"/>
    <n v="20875"/>
    <n v="187875"/>
    <s v=""/>
    <m/>
    <s v="LOOSE LEAF KENKO A5-LL 100-2070PAK8350"/>
  </r>
  <r>
    <x v="0"/>
    <s v=""/>
    <s v=""/>
    <m/>
    <m/>
    <m/>
    <s v=""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200"/>
    <n v="13"/>
    <n v="248400"/>
    <n v="24840"/>
    <n v="0"/>
    <n v="24840"/>
    <n v="223560"/>
    <s v=""/>
    <m/>
    <s v="PENSIL WARNA KENKO CP-12F CLASSIC (PANJANG)LSN124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200"/>
    <n v="13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PAK"/>
    <m/>
    <s v="PENZHONGHUA59252BOVAL"/>
    <s v="PENSIL ZHONG HUA 6925-2B/B OVAL"/>
    <s v="PENSIL ZHONG HUA 6925-2B"/>
    <n v="85000"/>
    <m/>
    <m/>
    <n v="85000"/>
    <m/>
    <m/>
    <n v="200"/>
    <n v="13"/>
    <n v="85000"/>
    <n v="0"/>
    <n v="0"/>
    <n v="0"/>
    <n v="85000"/>
    <s v=""/>
    <m/>
    <s v="PENSIL ZHONG HUA 6925-2BPAK850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200"/>
    <n v="13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200"/>
    <n v="13"/>
    <n v="64800"/>
    <n v="6480"/>
    <n v="0"/>
    <n v="6480"/>
    <n v="58320"/>
    <s v=""/>
    <m/>
    <s v="ISI CUTTER 9 MM KENKO A-100 (KECIL)LSN32400"/>
  </r>
  <r>
    <x v="0"/>
    <s v=""/>
    <s v=""/>
    <m/>
    <m/>
    <m/>
    <s v=""/>
    <s v=""/>
    <s v=" "/>
    <s v=""/>
    <n v="4"/>
    <s v="BOX"/>
    <m/>
    <s v="STIJK40HITAM"/>
    <s v="STIP / PENGHAPUS JOYKO 526-B40BL HITAM"/>
    <s v="STIP / PENGHAPUS JOYKO 526-B40BL HITAM"/>
    <n v="28300"/>
    <n v="0.1"/>
    <m/>
    <n v="101880"/>
    <m/>
    <m/>
    <n v="200"/>
    <n v="13"/>
    <n v="113200"/>
    <n v="11320"/>
    <n v="0"/>
    <n v="11320"/>
    <n v="101880"/>
    <s v=""/>
    <m/>
    <s v="STIP / PENGHAPUS JOYKO 526-B40BL HITAMBOX283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200"/>
    <n v="13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0.5"/>
    <s v="LSN"/>
    <m/>
    <s v="TAS4550"/>
    <s v="TAS KARUNG V (45 X 50)"/>
    <s v="TAS KARUNG V (45 X 50)"/>
    <n v="200000"/>
    <m/>
    <m/>
    <n v="100000"/>
    <m/>
    <m/>
    <n v="200"/>
    <n v="13"/>
    <n v="100000"/>
    <n v="0"/>
    <n v="0"/>
    <n v="0"/>
    <n v="100000"/>
    <s v=""/>
    <m/>
    <s v="TAS KARUNG V (45 X 50)LSN20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10038"/>
    <d v="2024-01-25T00:00:00"/>
    <n v="25"/>
    <s v="2551"/>
    <s v="utama"/>
    <s v="AM 24010038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21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10039"/>
    <d v="2024-01-26T00:00:00"/>
    <n v="26"/>
    <s v="2557"/>
    <s v="anugerah"/>
    <s v="AM 24010039"/>
    <s v="KO"/>
    <s v="KO 2557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6"/>
    <n v="2"/>
    <n v="16848000"/>
    <n v="2274480"/>
    <n v="0"/>
    <n v="2274480"/>
    <n v="14573520"/>
    <n v="24289200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16"/>
    <n v="2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4010040"/>
    <d v="2024-01-29T00:00:00"/>
    <n v="29"/>
    <s v="0729"/>
    <s v="anugerah"/>
    <s v="AM 24010040"/>
    <s v="KO"/>
    <s v="KO 0729"/>
    <s v="CV PELITA JAYA (ANUGERAH SEJAHTERA) PURWOKERTO"/>
    <n v="576"/>
    <s v="LSN"/>
    <n v="4"/>
    <s v="PENKENKE303"/>
    <s v="GEL PEN KENKO KE-303 T-GEL TRIANGULAR"/>
    <s v="GEL PEN KENKO KE-303 T-GEL TRIANGULAR"/>
    <n v="21600"/>
    <n v="0.13500000000000001"/>
    <m/>
    <n v="10761984"/>
    <s v="NOVI / CONDRO"/>
    <m/>
    <n v="219"/>
    <n v="2"/>
    <n v="12441600"/>
    <n v="1679616"/>
    <n v="0"/>
    <n v="1679616"/>
    <n v="10761984"/>
    <n v="14872464"/>
    <m/>
    <s v="GEL PEN KENKO KE-303 T-GEL TRIANGULARLSN21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219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4010041"/>
    <d v="2024-01-29T00:00:00"/>
    <n v="29"/>
    <s v="0719"/>
    <s v="ganesha"/>
    <s v="AM 24010041"/>
    <s v="KO"/>
    <s v="KO 0719"/>
    <s v="CV GANESHA WONOSOBO"/>
    <n v="5"/>
    <s v="GRS"/>
    <n v="1"/>
    <s v="CLIKEN155"/>
    <s v="BINDER CLIP KENKO NO. 155"/>
    <s v="BINDER CLIP KENKO NO. 155"/>
    <n v="69000"/>
    <n v="0.1"/>
    <m/>
    <n v="310500"/>
    <s v="NOVI / CONDRO"/>
    <m/>
    <n v="222"/>
    <n v="6"/>
    <n v="345000"/>
    <n v="34500"/>
    <n v="0"/>
    <n v="34500"/>
    <n v="310500"/>
    <n v="1894680"/>
    <m/>
    <s v="BINDER CLIP KENKO NO. 155GRS69000"/>
  </r>
  <r>
    <x v="0"/>
    <s v=""/>
    <s v=""/>
    <m/>
    <m/>
    <m/>
    <s v=""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222"/>
    <n v="6"/>
    <n v="648000"/>
    <n v="64800"/>
    <n v="0"/>
    <n v="64800"/>
    <n v="583200"/>
    <s v=""/>
    <m/>
    <s v="ISI CUTTER 18 MM KENKO L-150 (BESAR)LSN64800"/>
  </r>
  <r>
    <x v="0"/>
    <s v=""/>
    <s v=""/>
    <m/>
    <m/>
    <m/>
    <s v=""/>
    <s v=""/>
    <s v=" "/>
    <s v=""/>
    <n v="1"/>
    <s v="GRS"/>
    <m/>
    <s v="CLIKEN105"/>
    <s v="BINDER CLIP KENKO NO. 105"/>
    <s v="BINDER CLIP KENKO NO. 105"/>
    <n v="28800"/>
    <n v="0.1"/>
    <m/>
    <n v="25920"/>
    <m/>
    <m/>
    <n v="222"/>
    <n v="6"/>
    <n v="28800"/>
    <n v="2880"/>
    <n v="0"/>
    <n v="2880"/>
    <n v="25920"/>
    <s v=""/>
    <m/>
    <s v="BINDER CLIP KENKO NO. 105GRS28800"/>
  </r>
  <r>
    <x v="0"/>
    <s v=""/>
    <s v=""/>
    <m/>
    <m/>
    <m/>
    <s v=""/>
    <s v=""/>
    <s v=" "/>
    <s v=""/>
    <n v="3"/>
    <s v="LSN"/>
    <m/>
    <s v="GARKEN30CM"/>
    <s v="GARISAN BESI (STAINLESS STEEL) KENKO 30 CM"/>
    <s v="GARISAN BESI (STAINLESS STEEL) KENKO 30 CM"/>
    <n v="84000"/>
    <n v="0.1"/>
    <m/>
    <n v="226800"/>
    <m/>
    <m/>
    <n v="222"/>
    <n v="6"/>
    <n v="252000"/>
    <n v="25200"/>
    <n v="0"/>
    <n v="25200"/>
    <n v="226800"/>
    <s v=""/>
    <m/>
    <s v="GARISAN BESI (STAINLESS STEEL) KENKO 30 CMLSN84000"/>
  </r>
  <r>
    <x v="0"/>
    <s v=""/>
    <s v=""/>
    <m/>
    <m/>
    <m/>
    <s v=""/>
    <s v=""/>
    <s v=" "/>
    <s v=""/>
    <n v="24"/>
    <s v="LSN"/>
    <m/>
    <s v="PENKENEASYGELHITAM"/>
    <s v="GEL PEN KENKO EASY GEL HITAM"/>
    <s v="GEL PEN KENKO EASY GEL"/>
    <n v="26100"/>
    <n v="0.1"/>
    <m/>
    <n v="563760"/>
    <m/>
    <m/>
    <n v="222"/>
    <n v="6"/>
    <n v="626400"/>
    <n v="62640"/>
    <n v="0"/>
    <n v="62640"/>
    <n v="563760"/>
    <s v=""/>
    <m/>
    <s v="GEL PEN KENKO EASY GELLSN26100"/>
  </r>
  <r>
    <x v="0"/>
    <s v=""/>
    <s v=""/>
    <m/>
    <m/>
    <m/>
    <s v=""/>
    <s v=""/>
    <s v=" "/>
    <s v=""/>
    <n v="10"/>
    <s v="SLOP"/>
    <m/>
    <s v="LABJK1LINEPUTIH"/>
    <s v="LABEL HARGA JOYKO LB-2RL (1 LINE PUTIH)"/>
    <s v="LABEL HARGA JOYKO LB-2RL (1 LINE PUTIH)"/>
    <n v="20500"/>
    <n v="0.1"/>
    <m/>
    <n v="184500"/>
    <m/>
    <m/>
    <n v="222"/>
    <n v="6"/>
    <n v="205000"/>
    <n v="20500"/>
    <n v="0"/>
    <n v="20500"/>
    <n v="184500"/>
    <s v=""/>
    <m/>
    <s v="LABEL HARGA JOYKO LB-2RL (1 LINE PUTIH)SLOP2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4010042"/>
    <d v="2024-01-27T00:00:00"/>
    <n v="27"/>
    <s v="0720"/>
    <s v="WISUDA"/>
    <s v="AM 24010042"/>
    <s v="KO"/>
    <s v="KO 0720"/>
    <s v="CV  WISUDA PURWOKERTO"/>
    <n v="2"/>
    <s v="LSN"/>
    <m/>
    <s v="CUTKENA300A"/>
    <s v="CUTTER 9 MM KENKO A-300 (KECIL)"/>
    <s v="CUTTER 9 MM KENKO A-300 (KECIL)"/>
    <n v="57000"/>
    <n v="0.1"/>
    <m/>
    <n v="102600"/>
    <s v="NOVI / CONDRO"/>
    <m/>
    <n v="229"/>
    <n v="2"/>
    <n v="114000"/>
    <n v="11400"/>
    <n v="0"/>
    <n v="11400"/>
    <n v="102600"/>
    <n v="523800"/>
    <m/>
    <s v="CUTTER 9 MM KENKO A-300 (KECIL)LSN57000"/>
  </r>
  <r>
    <x v="0"/>
    <s v=""/>
    <s v=""/>
    <m/>
    <m/>
    <m/>
    <s v=""/>
    <s v=""/>
    <s v=" "/>
    <s v=""/>
    <n v="3"/>
    <s v="LSN"/>
    <m/>
    <s v="PUNKEN30"/>
    <s v="PUNCH KENKO NO. 30"/>
    <s v="PUNCH KENKO NO. 30"/>
    <n v="156000"/>
    <n v="0.1"/>
    <m/>
    <n v="421200"/>
    <m/>
    <m/>
    <n v="229"/>
    <n v="2"/>
    <n v="468000"/>
    <n v="46800"/>
    <n v="0"/>
    <n v="46800"/>
    <n v="421200"/>
    <s v=""/>
    <m/>
    <s v="PUNCH KENKO NO. 30LSN15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4010043"/>
    <d v="2024-01-27T00:00:00"/>
    <n v="27"/>
    <s v="0914"/>
    <s v="CENTRAAL"/>
    <s v="AM 24010043"/>
    <s v="KO"/>
    <s v="KO 0914"/>
    <s v="CV TRINITY CENTRAAL PURWOKERTO"/>
    <n v="10"/>
    <s v="PAK"/>
    <m/>
    <s v="KTSTFOLIO"/>
    <s v="KARTU STOCK FOLIO"/>
    <s v="KARTU STOCK FOLIO"/>
    <n v="37500"/>
    <m/>
    <m/>
    <n v="375000"/>
    <s v="NOVI / CONDRO"/>
    <m/>
    <n v="232"/>
    <n v="2"/>
    <n v="375000"/>
    <n v="0"/>
    <n v="0"/>
    <n v="0"/>
    <n v="375000"/>
    <n v="1135000"/>
    <m/>
    <s v="KARTU STOCK FOLIOPAK37500"/>
  </r>
  <r>
    <x v="0"/>
    <s v=""/>
    <s v=""/>
    <m/>
    <m/>
    <m/>
    <s v=""/>
    <s v=""/>
    <s v=" "/>
    <s v=""/>
    <n v="40"/>
    <s v="PAK"/>
    <m/>
    <s v="KTSTKWARTO"/>
    <s v="KARTU STOCK KWARTO"/>
    <s v="KARTU STOCK KWARTO"/>
    <n v="19000"/>
    <m/>
    <m/>
    <n v="760000"/>
    <m/>
    <m/>
    <n v="232"/>
    <n v="2"/>
    <n v="760000"/>
    <n v="0"/>
    <n v="0"/>
    <n v="0"/>
    <n v="760000"/>
    <s v=""/>
    <m/>
    <s v="KARTU STOCK KWARTO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4010044"/>
    <d v="2024-01-29T00:00:00"/>
    <n v="29"/>
    <s v="3108"/>
    <s v="LANCAR"/>
    <s v="AM 24010044"/>
    <s v="KO"/>
    <s v="KO 3108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235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4010045"/>
    <d v="2024-01-31T00:00:00"/>
    <n v="31"/>
    <s v="5000"/>
    <s v="LANCAR"/>
    <s v="AM 24010045"/>
    <s v="KO"/>
    <s v="KO 5000"/>
    <s v="CV LANCAR JAYA SENTOSA MAL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237"/>
    <n v="2"/>
    <n v="5616000"/>
    <n v="702000"/>
    <n v="0"/>
    <n v="702000"/>
    <n v="4914000"/>
    <n v="147420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37"/>
    <n v="2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6"/>
    <n v="24010046"/>
    <d v="2024-01-31T00:00:00"/>
    <n v="31"/>
    <s v="2572"/>
    <s v="anugerah"/>
    <s v="AM 24010046"/>
    <s v="KO"/>
    <s v="KO 2572"/>
    <s v="CV PELITA JAYA (ANUGERAH SEJAHTERA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240"/>
    <n v="1"/>
    <n v="5616000"/>
    <n v="758160"/>
    <n v="0"/>
    <n v="758160"/>
    <n v="4857840"/>
    <n v="485784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7"/>
    <n v="24010047"/>
    <d v="2024-01-31T00:00:00"/>
    <n v="31"/>
    <s v="2571"/>
    <s v="bendan"/>
    <s v="AM 24010047"/>
    <s v="KO"/>
    <s v="KO 2571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242"/>
    <n v="1"/>
    <n v="1380000"/>
    <n v="193200.00000000003"/>
    <n v="0"/>
    <n v="193200.00000000003"/>
    <n v="1186800"/>
    <n v="1186800"/>
    <m/>
    <s v="BINDER CLIP KENKO NO. 155GRS6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8"/>
    <n v="24010048"/>
    <d v="2024-01-31T00:00:00"/>
    <n v="31"/>
    <s v="2556"/>
    <s v="rejoagung"/>
    <s v="AM 24010048"/>
    <s v="G"/>
    <s v="G 2556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244"/>
    <n v="3"/>
    <n v="1164000"/>
    <n v="145500"/>
    <n v="0"/>
    <n v="145500"/>
    <n v="1018500"/>
    <n v="13114500"/>
    <m/>
    <s v="STAPLER HEAVY DUTY JOYKO HD-12N/13PCS970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244"/>
    <n v="3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244"/>
    <n v="3"/>
    <n v="9600000"/>
    <n v="1200000"/>
    <n v="0"/>
    <n v="1200000"/>
    <n v="8400000"/>
    <s v=""/>
    <m/>
    <s v="CALCULATOR JOYKO DTC-1313CHPCS40000"/>
  </r>
  <r>
    <x v="49"/>
    <n v="24010049"/>
    <d v="2023-12-31T00:00:00"/>
    <n v="0"/>
    <s v="0"/>
    <n v="0"/>
    <s v="AM 24010049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0"/>
    <n v="24010050"/>
    <d v="2023-12-31T00:00:00"/>
    <n v="0"/>
    <s v="0"/>
    <n v="0"/>
    <s v="AM 24010050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1"/>
    <n v="24010051"/>
    <d v="2023-12-31T00:00:00"/>
    <n v="0"/>
    <s v="0"/>
    <n v="0"/>
    <s v="AM 24010051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2"/>
    <n v="24010052"/>
    <d v="2023-12-31T00:00:00"/>
    <n v="0"/>
    <s v="0"/>
    <n v="0"/>
    <s v="AM 2401005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3"/>
    <n v="24010053"/>
    <d v="2024-01-31T00:00:00"/>
    <n v="31"/>
    <s v="2591"/>
    <s v="anugerah"/>
    <s v="AM 24010053"/>
    <s v="KO"/>
    <s v="KO 2591"/>
    <s v="CV PELITA JAYA (ANUGERAH SEJAHTERA) PURWOKERTO"/>
    <n v="720"/>
    <s v="LSN"/>
    <n v="10"/>
    <s v="TIPKENKE01"/>
    <s v="CORRECTION FLUID KENKO KE-01"/>
    <s v="CORRECTION FLUID KENKO KE-01"/>
    <n v="54300"/>
    <n v="0.13500000000000001"/>
    <m/>
    <n v="33818040"/>
    <s v="NOVI / CONDRO"/>
    <m/>
    <n v="259"/>
    <n v="3"/>
    <n v="39096000"/>
    <n v="5277960"/>
    <n v="0"/>
    <n v="5277960"/>
    <n v="33818040"/>
    <n v="48391560"/>
    <m/>
    <s v="CORRECTION FLUID KENKO KE-01LSN543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3500000000000001"/>
    <m/>
    <n v="4857840"/>
    <m/>
    <m/>
    <n v="259"/>
    <n v="3"/>
    <n v="5616000"/>
    <n v="758160"/>
    <n v="0"/>
    <n v="758160"/>
    <n v="4857840"/>
    <s v="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59"/>
    <n v="3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4"/>
    <n v="24010054"/>
    <s v=""/>
    <m/>
    <s v="2596"/>
    <s v="anugerah"/>
    <s v="AM 24010054"/>
    <s v="KO"/>
    <s v="KO 2596"/>
    <s v="CV PELITA JAYA (ANUGERAH SEJAHTERA) PURWOKERTO"/>
    <n v="432"/>
    <s v="LSN"/>
    <n v="3"/>
    <s v="PENKENKE200"/>
    <s v="GEL PEN KENKO KE-200"/>
    <s v="GEL PEN KENKO KE-200"/>
    <n v="24600"/>
    <n v="0.13500000000000001"/>
    <m/>
    <n v="9192528"/>
    <s v="NOVI / CONDRO"/>
    <m/>
    <n v="263"/>
    <n v="1"/>
    <n v="10627200"/>
    <n v="1434672"/>
    <n v="0"/>
    <n v="1434672"/>
    <n v="9192528"/>
    <n v="9192528"/>
    <m/>
    <s v="GEL PEN KENKO KE-200LSN24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5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271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61" firstHeaderRow="1" firstDataRow="1" firstDataCol="1"/>
  <pivotFields count="32">
    <pivotField axis="axisRow" showAll="0" sortType="ascending">
      <items count="84">
        <item x="1"/>
        <item x="2"/>
        <item m="1" x="80"/>
        <item x="3"/>
        <item x="4"/>
        <item m="1" x="69"/>
        <item x="5"/>
        <item m="1" x="72"/>
        <item x="6"/>
        <item m="1" x="76"/>
        <item x="7"/>
        <item x="8"/>
        <item x="9"/>
        <item m="1" x="78"/>
        <item x="10"/>
        <item m="1" x="56"/>
        <item x="11"/>
        <item x="12"/>
        <item m="1" x="74"/>
        <item x="13"/>
        <item x="14"/>
        <item x="15"/>
        <item x="16"/>
        <item x="17"/>
        <item x="18"/>
        <item x="19"/>
        <item x="20"/>
        <item m="1" x="67"/>
        <item m="1" x="70"/>
        <item m="1" x="77"/>
        <item x="21"/>
        <item x="22"/>
        <item x="23"/>
        <item x="24"/>
        <item m="1" x="62"/>
        <item x="25"/>
        <item m="1" x="75"/>
        <item x="26"/>
        <item x="27"/>
        <item m="1" x="59"/>
        <item m="1" x="65"/>
        <item x="28"/>
        <item x="29"/>
        <item x="30"/>
        <item x="31"/>
        <item x="32"/>
        <item x="33"/>
        <item x="34"/>
        <item x="35"/>
        <item x="36"/>
        <item m="1" x="79"/>
        <item x="37"/>
        <item m="1" x="63"/>
        <item x="38"/>
        <item x="39"/>
        <item m="1" x="58"/>
        <item x="40"/>
        <item m="1" x="64"/>
        <item x="41"/>
        <item m="1" x="60"/>
        <item m="1" x="82"/>
        <item m="1" x="66"/>
        <item x="42"/>
        <item m="1" x="57"/>
        <item m="1" x="68"/>
        <item x="43"/>
        <item m="1" x="61"/>
        <item m="1" x="73"/>
        <item x="44"/>
        <item x="45"/>
        <item x="46"/>
        <item x="47"/>
        <item x="48"/>
        <item x="49"/>
        <item m="1" x="81"/>
        <item x="50"/>
        <item x="51"/>
        <item x="52"/>
        <item x="53"/>
        <item x="54"/>
        <item m="1" x="71"/>
        <item x="55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57">
    <i>
      <x/>
    </i>
    <i>
      <x v="1"/>
    </i>
    <i>
      <x v="3"/>
    </i>
    <i>
      <x v="4"/>
    </i>
    <i>
      <x v="6"/>
    </i>
    <i>
      <x v="8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0"/>
    </i>
    <i>
      <x v="31"/>
    </i>
    <i>
      <x v="32"/>
    </i>
    <i>
      <x v="33"/>
    </i>
    <i>
      <x v="35"/>
    </i>
    <i>
      <x v="37"/>
    </i>
    <i>
      <x v="38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3"/>
    </i>
    <i>
      <x v="54"/>
    </i>
    <i>
      <x v="56"/>
    </i>
    <i>
      <x v="58"/>
    </i>
    <i>
      <x v="62"/>
    </i>
    <i>
      <x v="65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1"/>
    </i>
    <i>
      <x v="82"/>
    </i>
    <i t="grand">
      <x/>
    </i>
  </rowItems>
  <colItems count="1">
    <i/>
  </colItems>
  <formats count="5">
    <format dxfId="95">
      <pivotArea field="0" type="button" dataOnly="0" labelOnly="1" outline="0" axis="axisRow" fieldPosition="0"/>
    </format>
    <format dxfId="94">
      <pivotArea type="all" dataOnly="0" outline="0" fieldPosition="0"/>
    </format>
    <format dxfId="93">
      <pivotArea field="0" type="button" dataOnly="0" labelOnly="1" outline="0" axis="axisRow" fieldPosition="0"/>
    </format>
    <format dxfId="92">
      <pivotArea dataOnly="0" labelOnly="1" fieldPosition="0">
        <references count="1">
          <reference field="0" count="0"/>
        </references>
      </pivotArea>
    </format>
    <format dxfId="9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32" totalsRowCount="1" headerRowDxfId="130" dataDxfId="129" totalsRowDxfId="128">
  <autoFilter ref="A2:AF331"/>
  <tableColumns count="32">
    <tableColumn id="16" name="//" dataDxfId="127" totalsRowDxfId="31">
      <calculatedColumnFormula>IF(Table1[[#This Row],[No. Invoice :]]="","",ROW())</calculatedColumnFormula>
    </tableColumn>
    <tableColumn id="18" name="h_No. Invoice :" dataDxfId="126" totalsRowDxfId="30">
      <calculatedColumnFormula>IF(Table1[Column3]="","",B$1+COUNT(INDIRECT("B$2:B"&amp;ROW()-1)))</calculatedColumnFormula>
    </tableColumn>
    <tableColumn id="2" name="Tgl Invoice :" dataDxfId="125" totalsRowDxfId="29">
      <calculatedColumnFormula>IF(Table1[[#This Row],[Column2]]="","",Table1[[#This Row],[Column2]]+C$1-1)</calculatedColumnFormula>
    </tableColumn>
    <tableColumn id="32" name="Column2" dataDxfId="124" totalsRowDxfId="28"/>
    <tableColumn id="19" name="Column4" dataDxfId="123" totalsRowDxfId="27"/>
    <tableColumn id="20" name="Column5" dataDxfId="122" totalsRowDxfId="26"/>
    <tableColumn id="1" name="No. Invoice :" dataDxfId="121" totalsRowDxfId="25">
      <calculatedColumnFormula>IF(Table1[[#This Row],[h_No. Invoice :]]="","",CONCATENATE("AM"," ",Table1[[#This Row],[h_No. Invoice :]]))</calculatedColumnFormula>
    </tableColumn>
    <tableColumn id="17" name="Column3" dataDxfId="120" totalsRowDxfId="24">
      <calculatedColumnFormula>IF(Table1[[#This Row],[Column5]]="","",INDEX(Table2[Column1],MATCH(Table1[[#This Row],[Column5]],Table2[a],0)))</calculatedColumnFormula>
    </tableColumn>
    <tableColumn id="3" name="Kode Sales :" dataDxfId="119" totalsRowDxfId="23">
      <calculatedColumnFormula>IF(Table1[[#This Row],[Column3]]=0,"",CONCATENATE(UPPER(Table1[[#This Row],[Column3]])," ",Table1[[#This Row],[Column4]]))</calculatedColumnFormula>
    </tableColumn>
    <tableColumn id="4" name="Toko" dataDxfId="118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117" totalsRowDxfId="21"/>
    <tableColumn id="6" name="Unit" dataDxfId="116" totalsRowDxfId="20"/>
    <tableColumn id="7" name="C" dataDxfId="115" totalsRowDxfId="19"/>
    <tableColumn id="8" name="h_Item Description" dataDxfId="114" totalsRowDxfId="18"/>
    <tableColumn id="10" name="Column1" dataDxfId="113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112" totalsRowDxfId="16"/>
    <tableColumn id="11" name="Unit Price" dataDxfId="111" totalsRowDxfId="15"/>
    <tableColumn id="12" name="Disc 1" dataDxfId="110" totalsRowDxfId="14"/>
    <tableColumn id="13" name="Disc 2" dataDxfId="109" totalsRowDxfId="13"/>
    <tableColumn id="23" name="Amount" dataDxfId="108" totalsRowDxfId="12">
      <calculatedColumnFormula>Table1[[#This Row],[h_hargasetelahdiskon]]</calculatedColumnFormula>
    </tableColumn>
    <tableColumn id="14" name="pembuat nota :" dataDxfId="107" totalsRowDxfId="11"/>
    <tableColumn id="15" name="edited :" dataDxfId="106" totalsRowDxfId="10"/>
    <tableColumn id="21" name="h_id" dataDxfId="105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104" totalsRowDxfId="8">
      <calculatedColumnFormula>IF(Table1[[#This Row],[h_id]]="","",COUNTIF(Table1[h_id],Table1[[#This Row],[h_id]]))</calculatedColumnFormula>
    </tableColumn>
    <tableColumn id="24" name="h_hargasebelumdiskon" dataDxfId="103" totalsRowDxfId="7">
      <calculatedColumnFormula>IF(Table1[Item Description]="","",Table1[[#This Row],[Qty]]*Table1[[#This Row],[Unit Price]])</calculatedColumnFormula>
    </tableColumn>
    <tableColumn id="31" name="h_disc 1" dataDxfId="102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101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100" totalsRowDxfId="4">
      <calculatedColumnFormula>IF(Table1[Item Description]="","",Table1[[#This Row],[h_disc 1]]+Table1[[#This Row],[h_disc 2]])</calculatedColumnFormula>
    </tableColumn>
    <tableColumn id="26" name="h_hargasetelahdiskon" dataDxfId="99" totalsRowDxfId="3">
      <calculatedColumnFormula>IF(Table1[Item Description]="","",Table1[[#This Row],[h_hargasebelumdiskon]]-Table1[[#This Row],[h_diskon]])</calculatedColumnFormula>
    </tableColumn>
    <tableColumn id="27" name="Total Invoice" dataDxfId="98" totalsRowDxfId="2">
      <calculatedColumnFormula>IF(Table1[//]="","",SUMIF(Table1[h_id],Table1[h_id],Table1[h_hargasetelahdiskon]))</calculatedColumnFormula>
    </tableColumn>
    <tableColumn id="28" name="KETERANGAN" dataDxfId="97" totalsRowDxfId="1"/>
    <tableColumn id="29" name="H_A1" dataDxfId="96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90" dataDxfId="89" totalsRowDxfId="88">
  <autoFilter ref="D4:P63"/>
  <tableColumns count="13">
    <tableColumn id="1" name="//" totalsRowLabel="Total" dataDxfId="87" totalsRowDxfId="59">
      <calculatedColumnFormula>IF(ROW()-(COUNTBLANK($D$1:$D$3)+1)&lt;=jNota,A5,"")</calculatedColumnFormula>
    </tableColumn>
    <tableColumn id="2" name="No. Invoice :" dataDxfId="86" totalsRowDxfId="58">
      <calculatedColumnFormula>IF(pajak[[#This Row],[//]]="","",INDEX(Table1[No. Invoice :],pajak[//]-offset))</calculatedColumnFormula>
    </tableColumn>
    <tableColumn id="3" name="Tgl Invoice :" dataDxfId="85" totalsRowDxfId="57">
      <calculatedColumnFormula>IF(pajak[[#This Row],[//]]="","",INDEX(Table1[Tgl Invoice :],pajak[//]-offset))</calculatedColumnFormula>
    </tableColumn>
    <tableColumn id="4" name="Kode Sales :" dataDxfId="84" totalsRowDxfId="56">
      <calculatedColumnFormula>IF(pajak[[#This Row],[//]]="","",INDEX(Table1[Kode Sales :],pajak[//]-offset))</calculatedColumnFormula>
    </tableColumn>
    <tableColumn id="5" name="Toko" dataDxfId="83" totalsRowDxfId="55">
      <calculatedColumnFormula>IF(pajak[[#This Row],[//]]="","",INDEX(Table1[Toko],pajak[//]-offset))</calculatedColumnFormula>
    </tableColumn>
    <tableColumn id="6" name="Total" totalsRowFunction="sum" dataDxfId="82" totalsRowDxfId="54">
      <calculatedColumnFormula>IF(pajak[[#This Row],[//]]="","",SUMIF(Table1[h_id],pajak[[#This Row],[//]],Table1[h_hargasebelumdiskon]))</calculatedColumnFormula>
    </tableColumn>
    <tableColumn id="7" name="Diskon" totalsRowFunction="sum" dataDxfId="81" totalsRowDxfId="53">
      <calculatedColumnFormula>IF(pajak[[#This Row],[//]]="","",SUMIF(Table1[h_id],pajak[[#This Row],[//]],Table1[h_diskon]))</calculatedColumnFormula>
    </tableColumn>
    <tableColumn id="8" name="Sub Total" totalsRowFunction="sum" dataDxfId="80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79" totalsRowDxfId="51">
      <calculatedColumnFormula>IF(pajak[//]="","",pajak[[#This Row],[Sub Total]]/1.11*11%)</calculatedColumnFormula>
    </tableColumn>
    <tableColumn id="10" name="Total Invoice" totalsRowFunction="sum" dataDxfId="78" totalsRowDxfId="50">
      <calculatedColumnFormula>pajak[[#This Row],[Sub Total]]</calculatedColumnFormula>
    </tableColumn>
    <tableColumn id="14" name="pembuat nota" dataDxfId="77" totalsRowDxfId="49">
      <calculatedColumnFormula>IF(pajak[[#This Row],[//]]="","",INDEX(Table1[pembuat nota :],pajak[//]-offset))</calculatedColumnFormula>
    </tableColumn>
    <tableColumn id="15" name="edited" dataDxfId="76" totalsRowDxfId="48">
      <calculatedColumnFormula>IF(pajak[[#This Row],[//]]="","",IF(INDEX(Table1[edited :],pajak[//]-offset)="","",INDEX(Table1[edited :],pajak[//]-offset)))</calculatedColumnFormula>
    </tableColumn>
    <tableColumn id="12" name="4" dataDxfId="75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74" dataDxfId="73">
  <autoFilter ref="R4:X63"/>
  <tableColumns count="7">
    <tableColumn id="8" name="AM" dataDxfId="72">
      <calculatedColumnFormula>Table4[[#Headers],[AM]]</calculatedColumnFormula>
    </tableColumn>
    <tableColumn id="2" name="---" dataDxfId="71">
      <calculatedColumnFormula>S$3+ROW()-5</calculatedColumnFormula>
    </tableColumn>
    <tableColumn id="7" name="No. Invoice :" dataDxfId="70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69">
      <calculatedColumnFormula>IF((INDEX(INDIRECT($3:$3),Table4[[#This Row],[No. Invoice :]]+$2:$2))=INDIRECT("pajak[@["&amp;Table4[#Headers]&amp;"]]"),1)</calculatedColumnFormula>
    </tableColumn>
    <tableColumn id="6" name="Tgl Invoice :" dataDxfId="68">
      <calculatedColumnFormula>IF((INDEX(INDIRECT($3:$3),Table4[[#This Row],[No. Invoice :]]+$2:$2))=INDIRECT("pajak[@["&amp;Table4[#Headers]&amp;"]]"),1)</calculatedColumnFormula>
    </tableColumn>
    <tableColumn id="4" name="Total Invoice" dataDxfId="67">
      <calculatedColumnFormula>IF((INDEX(INDIRECT($3:$3),Table4[[#This Row],[No. Invoice :]]+$2:$2))=INDIRECT("pajak[@["&amp;Table4[#Headers]&amp;"]]"),1)</calculatedColumnFormula>
    </tableColumn>
    <tableColumn id="3" name="pembuat nota" dataDxfId="66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65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32"/>
  <sheetViews>
    <sheetView tabSelected="1" topLeftCell="P251" zoomScale="85" zoomScaleNormal="85" workbookViewId="0">
      <selection activeCell="V275" sqref="V275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45301</v>
      </c>
      <c r="D10" s="282">
        <v>10</v>
      </c>
      <c r="E10" s="273" t="s">
        <v>299</v>
      </c>
      <c r="F10" s="271" t="s">
        <v>300</v>
      </c>
      <c r="G10" s="278" t="str">
        <f ca="1">IF(Table1[[#This Row],[h_No. Invoice :]]="","",CONCATENATE("AM"," ",Table1[[#This Row],[h_No. Invoice :]]))</f>
        <v>AM 24010002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0825</v>
      </c>
      <c r="J10" s="278" t="str">
        <f>IF(Table1[[#This Row],[Column5]]="","",INDEX(Table2[e],IF(Table1[[#This Row],[Column5]]="","",MATCH(Table1[[#This Row],[Column5]],Table2[a],0)),))</f>
        <v>CV GANESHA WONOSOBO</v>
      </c>
      <c r="K10" s="271">
        <v>2</v>
      </c>
      <c r="L10" s="271" t="s">
        <v>244</v>
      </c>
      <c r="N10" s="271" t="s">
        <v>301</v>
      </c>
      <c r="O10" s="278" t="str">
        <f>IF(Table1[[#This Row],[h_Item Description]]="","",INDEX([1]!db[NB PAJAK],MATCH(Table1[[#This Row],[h_Item Description]],[1]!db[kode],0)))</f>
        <v>BINDER CLIP KENKO NO. 155</v>
      </c>
      <c r="P10" s="271" t="s">
        <v>303</v>
      </c>
      <c r="Q10" s="274">
        <v>69000</v>
      </c>
      <c r="R10" s="275">
        <v>0.1</v>
      </c>
      <c r="S10" s="275"/>
      <c r="T10" s="274">
        <f>Table1[[#This Row],[h_hargasetelahdiskon]]</f>
        <v>124200</v>
      </c>
      <c r="U10" s="274" t="s">
        <v>305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138000</v>
      </c>
      <c r="Z10" s="274">
        <f>IF(Table1[[#This Row],[h_hargasebelumdiskon]]="","",IF(Table1[[#This Row],[Disc 1]]="",0,Table1[[#This Row],[h_hargasebelumdiskon]]*Table1[[#This Row],[Disc 1]]))</f>
        <v>13800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13800</v>
      </c>
      <c r="AC10" s="274">
        <f>IF(Table1[Item Description]="","",Table1[[#This Row],[h_hargasebelumdiskon]]-Table1[[#This Row],[h_diskon]])</f>
        <v>124200</v>
      </c>
      <c r="AD10" s="274">
        <f ca="1">IF(Table1[//]="","",SUMIF(Table1[h_id],Table1[h_id],Table1[h_hargasetelahdiskon]))</f>
        <v>448200</v>
      </c>
      <c r="AF10" s="274" t="str">
        <f>Table1[[#This Row],[Item Description]]&amp;Table1[[#This Row],[Unit]]&amp;Table1[[#This Row],[Unit Price]]</f>
        <v>BINDER CLIP KENKO NO. 155GRS69000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2</v>
      </c>
      <c r="L11" s="271" t="s">
        <v>244</v>
      </c>
      <c r="N11" s="271" t="s">
        <v>302</v>
      </c>
      <c r="O11" s="278" t="str">
        <f>IF(Table1[[#This Row],[h_Item Description]]="","",INDEX([1]!db[NB PAJAK],MATCH(Table1[[#This Row],[h_Item Description]],[1]!db[kode],0)))</f>
        <v>BINDER CLIP KENKO NO. 260</v>
      </c>
      <c r="P11" s="271" t="s">
        <v>304</v>
      </c>
      <c r="Q11" s="274">
        <v>180000</v>
      </c>
      <c r="R11" s="275">
        <v>0.1</v>
      </c>
      <c r="S11" s="275"/>
      <c r="T11" s="274">
        <f>Table1[[#This Row],[h_hargasetelahdiskon]]</f>
        <v>324000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360000</v>
      </c>
      <c r="Z11" s="274">
        <f>IF(Table1[[#This Row],[h_hargasebelumdiskon]]="","",IF(Table1[[#This Row],[Disc 1]]="",0,Table1[[#This Row],[h_hargasebelumdiskon]]*Table1[[#This Row],[Disc 1]]))</f>
        <v>36000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36000</v>
      </c>
      <c r="AC11" s="274">
        <f>IF(Table1[Item Description]="","",Table1[[#This Row],[h_hargasebelumdiskon]]-Table1[[#This Row],[h_diskon]])</f>
        <v>324000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BINDER CLIP KENKO NO. 260GRS180000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24010003</v>
      </c>
      <c r="C14" s="272">
        <f>IF(Table1[[#This Row],[Column2]]="","",Table1[[#This Row],[Column2]]+C$1-1)</f>
        <v>45294</v>
      </c>
      <c r="D14" s="282">
        <v>3</v>
      </c>
      <c r="E14" s="273" t="s">
        <v>169</v>
      </c>
      <c r="F14" s="271" t="s">
        <v>170</v>
      </c>
      <c r="G14" s="278" t="str">
        <f ca="1">IF(Table1[[#This Row],[h_No. Invoice :]]="","",CONCATENATE("AM"," ",Table1[[#This Row],[h_No. Invoice :]]))</f>
        <v>AM 24010003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0774</v>
      </c>
      <c r="J14" s="278" t="str">
        <f>IF(Table1[[#This Row],[Column5]]="","",INDEX(Table2[e],IF(Table1[[#This Row],[Column5]]="","",MATCH(Table1[[#This Row],[Column5]],Table2[a],0)),))</f>
        <v>ROBIN SUSANTO (HIDUP BARU) JOMBANG</v>
      </c>
      <c r="K14" s="271">
        <v>96</v>
      </c>
      <c r="L14" s="271" t="s">
        <v>137</v>
      </c>
      <c r="M14" s="271">
        <v>1</v>
      </c>
      <c r="N14" s="271" t="s">
        <v>171</v>
      </c>
      <c r="O14" s="278" t="str">
        <f>IF(Table1[[#This Row],[h_Item Description]]="","",INDEX([1]!db[NB PAJAK],MATCH(Table1[[#This Row],[h_Item Description]],[1]!db[kode],0)))</f>
        <v>GEL PEN TIZO 1.0 MM TG-340BI BIRU</v>
      </c>
      <c r="P14" s="271" t="s">
        <v>172</v>
      </c>
      <c r="Q14" s="274">
        <v>33000</v>
      </c>
      <c r="R14" s="275"/>
      <c r="S14" s="275"/>
      <c r="T14" s="274">
        <f>Table1[[#This Row],[h_hargasetelahdiskon]]</f>
        <v>3168000</v>
      </c>
      <c r="U14" s="274" t="s">
        <v>130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1</v>
      </c>
      <c r="Y14" s="274">
        <f>IF(Table1[Item Description]="","",Table1[[#This Row],[Qty]]*Table1[[#This Row],[Unit Price]])</f>
        <v>3168000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3168000</v>
      </c>
      <c r="AD14" s="274">
        <f ca="1">IF(Table1[//]="","",SUMIF(Table1[h_id],Table1[h_id],Table1[h_hargasetelahdiskon]))</f>
        <v>3168000</v>
      </c>
      <c r="AF14" s="274" t="str">
        <f>Table1[[#This Row],[Item Description]]&amp;Table1[[#This Row],[Unit]]&amp;Table1[[#This Row],[Unit Price]]</f>
        <v>GEL PEN TIZO 1.0 MM TG-340BI BIRULSN33000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>
        <f ca="1">IF(Table1[[#This Row],[No. Invoice :]]="","",ROW())</f>
        <v>16</v>
      </c>
      <c r="B16" s="278">
        <f ca="1">IF(Table1[Column3]="","",B$1+COUNT(INDIRECT("B$2:B"&amp;ROW()-1)))</f>
        <v>24010004</v>
      </c>
      <c r="C16" s="272">
        <f>IF(Table1[[#This Row],[Column2]]="","",Table1[[#This Row],[Column2]]+C$1-1)</f>
        <v>45294</v>
      </c>
      <c r="D16" s="282">
        <v>3</v>
      </c>
      <c r="E16" s="273" t="s">
        <v>173</v>
      </c>
      <c r="F16" s="271" t="s">
        <v>174</v>
      </c>
      <c r="G16" s="278" t="str">
        <f ca="1">IF(Table1[[#This Row],[h_No. Invoice :]]="","",CONCATENATE("AM"," ",Table1[[#This Row],[h_No. Invoice :]]))</f>
        <v>AM 24010004</v>
      </c>
      <c r="H16" s="271" t="str">
        <f>IF(Table1[[#This Row],[Column5]]="","",INDEX(Table2[Column1],MATCH(Table1[[#This Row],[Column5]],Table2[a],0)))</f>
        <v>G</v>
      </c>
      <c r="I16" s="279" t="str">
        <f>IF(Table1[[#This Row],[Column3]]=0,"",CONCATENATE(UPPER(Table1[[#This Row],[Column3]])," ",Table1[[#This Row],[Column4]]))</f>
        <v>G 0650</v>
      </c>
      <c r="J16" s="278" t="str">
        <f>IF(Table1[[#This Row],[Column5]]="","",INDEX(Table2[e],IF(Table1[[#This Row],[Column5]]="","",MATCH(Table1[[#This Row],[Column5]],Table2[a],0)),))</f>
        <v>PT.HASTA KENCANA SAKTI ( TRIO PLAZA ) MAGELANG</v>
      </c>
      <c r="K16" s="271">
        <v>12</v>
      </c>
      <c r="L16" s="271" t="s">
        <v>150</v>
      </c>
      <c r="N16" s="271" t="s">
        <v>175</v>
      </c>
      <c r="O16" s="278" t="str">
        <f>IF(Table1[[#This Row],[h_Item Description]]="","",INDEX([1]!db[NB PAJAK],MATCH(Table1[[#This Row],[h_Item Description]],[1]!db[kode],0)))</f>
        <v>CRAYON / OIL PASTEL PUTAR TITI TI-CP-12T TWIST</v>
      </c>
      <c r="P16" s="271" t="s">
        <v>176</v>
      </c>
      <c r="Q16" s="274">
        <v>14500</v>
      </c>
      <c r="R16" s="275"/>
      <c r="S16" s="275"/>
      <c r="T16" s="274">
        <f>Table1[[#This Row],[h_hargasetelahdiskon]]</f>
        <v>174000</v>
      </c>
      <c r="U16" s="274" t="s">
        <v>177</v>
      </c>
      <c r="V16" s="271"/>
      <c r="W16" s="278">
        <f ca="1">IF(Table1[[#This Row],[Item Description]]="","",IF(Table1[[#This Row],[//]]="",INDIRECT(ADDRESS(ROW()-1,COLUMN())),Table1[[#This Row],[//]]))</f>
        <v>16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174000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174000</v>
      </c>
      <c r="AD16" s="274">
        <f ca="1">IF(Table1[//]="","",SUMIF(Table1[h_id],Table1[h_id],Table1[h_hargasetelahdiskon]))</f>
        <v>528000</v>
      </c>
      <c r="AF16" s="274" t="str">
        <f>Table1[[#This Row],[Item Description]]&amp;Table1[[#This Row],[Unit]]&amp;Table1[[#This Row],[Unit Price]]</f>
        <v>CRAYON / OIL PASTEL PUTAR TITI TI-CP-12T TWISTPCS14500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12</v>
      </c>
      <c r="L17" s="271" t="s">
        <v>150</v>
      </c>
      <c r="N17" s="271" t="s">
        <v>178</v>
      </c>
      <c r="O17" s="278" t="str">
        <f>IF(Table1[[#This Row],[h_Item Description]]="","",INDEX([1]!db[NB PAJAK],MATCH(Table1[[#This Row],[h_Item Description]],[1]!db[kode],0)))</f>
        <v>BUKU TAMU KENKO BT-2920-BTK02/03 (BATIK)</v>
      </c>
      <c r="P17" s="271" t="s">
        <v>179</v>
      </c>
      <c r="Q17" s="274">
        <v>12800</v>
      </c>
      <c r="R17" s="275"/>
      <c r="S17" s="275"/>
      <c r="T17" s="274">
        <f>Table1[[#This Row],[h_hargasetelahdiskon]]</f>
        <v>153600</v>
      </c>
      <c r="V17" s="271"/>
      <c r="W17" s="278">
        <f ca="1">IF(Table1[[#This Row],[Item Description]]="","",IF(Table1[[#This Row],[//]]="",INDIRECT(ADDRESS(ROW()-1,COLUMN())),Table1[[#This Row],[//]]))</f>
        <v>16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153600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153600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BUKU TAMU KENKO BT-2920-BTK02/03 (BATIK)PCS12800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24</v>
      </c>
      <c r="L18" s="271" t="s">
        <v>150</v>
      </c>
      <c r="O18" s="278" t="str">
        <f>IF(Table1[[#This Row],[h_Item Description]]="","",INDEX([1]!db[NB PAJAK],MATCH(Table1[[#This Row],[h_Item Description]],[1]!db[kode],0)))</f>
        <v/>
      </c>
      <c r="P18" s="271" t="s">
        <v>180</v>
      </c>
      <c r="Q18" s="274">
        <v>1800</v>
      </c>
      <c r="R18" s="275"/>
      <c r="S18" s="275"/>
      <c r="T18" s="274">
        <f>Table1[[#This Row],[h_hargasetelahdiskon]]</f>
        <v>43200</v>
      </c>
      <c r="V18" s="271"/>
      <c r="W18" s="278">
        <f ca="1">IF(Table1[[#This Row],[Item Description]]="","",IF(Table1[[#This Row],[//]]="",INDIRECT(ADDRESS(ROW()-1,COLUMN())),Table1[[#This Row],[//]]))</f>
        <v>16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43200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43200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LEM SUPER 3 GR KENKO SG-03A (isi 12 pc)PCS1800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10</v>
      </c>
      <c r="L19" s="271" t="s">
        <v>136</v>
      </c>
      <c r="N19" s="271" t="s">
        <v>181</v>
      </c>
      <c r="O19" s="278" t="str">
        <f>IF(Table1[[#This Row],[h_Item Description]]="","",INDEX([1]!db[NB PAJAK],MATCH(Table1[[#This Row],[h_Item Description]],[1]!db[kode],0)))</f>
        <v>LOOSE LEAF JOYART B5-2670 (50S)</v>
      </c>
      <c r="P19" s="271" t="s">
        <v>182</v>
      </c>
      <c r="Q19" s="274">
        <v>5700</v>
      </c>
      <c r="R19" s="275"/>
      <c r="S19" s="275"/>
      <c r="T19" s="274">
        <f>Table1[[#This Row],[h_hargasetelahdiskon]]</f>
        <v>57000</v>
      </c>
      <c r="V19" s="271"/>
      <c r="W19" s="278">
        <f ca="1">IF(Table1[[#This Row],[Item Description]]="","",IF(Table1[[#This Row],[//]]="",INDIRECT(ADDRESS(ROW()-1,COLUMN())),Table1[[#This Row],[//]]))</f>
        <v>16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57000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57000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LOOSE LEAF JOYART B5-2670 (50S)PAK5700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>
        <v>10</v>
      </c>
      <c r="L20" s="271" t="s">
        <v>136</v>
      </c>
      <c r="N20" s="271" t="s">
        <v>183</v>
      </c>
      <c r="O20" s="278" t="str">
        <f>IF(Table1[[#This Row],[h_Item Description]]="","",INDEX([1]!db[NB PAJAK],MATCH(Table1[[#This Row],[h_Item Description]],[1]!db[kode],0)))</f>
        <v>LOOSE LEAF JOYKO B5-7026 (50S)</v>
      </c>
      <c r="P20" s="271" t="s">
        <v>184</v>
      </c>
      <c r="Q20" s="274">
        <v>5700</v>
      </c>
      <c r="R20" s="275"/>
      <c r="S20" s="275"/>
      <c r="T20" s="274">
        <f>Table1[[#This Row],[h_hargasetelahdiskon]]</f>
        <v>57000</v>
      </c>
      <c r="V20" s="271"/>
      <c r="W20" s="278">
        <f ca="1">IF(Table1[[#This Row],[Item Description]]="","",IF(Table1[[#This Row],[//]]="",INDIRECT(ADDRESS(ROW()-1,COLUMN())),Table1[[#This Row],[//]]))</f>
        <v>16</v>
      </c>
      <c r="X20" s="278">
        <f ca="1">IF(Table1[[#This Row],[h_id]]="","",COUNTIF(Table1[h_id],Table1[[#This Row],[h_id]]))</f>
        <v>6</v>
      </c>
      <c r="Y20" s="274">
        <f>IF(Table1[Item Description]="","",Table1[[#This Row],[Qty]]*Table1[[#This Row],[Unit Price]])</f>
        <v>57000</v>
      </c>
      <c r="Z20" s="274">
        <f>IF(Table1[[#This Row],[h_hargasebelumdiskon]]="","",IF(Table1[[#This Row],[Disc 1]]="",0,Table1[[#This Row],[h_hargasebelumdiskon]]*Table1[[#This Row],[Disc 1]]))</f>
        <v>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0</v>
      </c>
      <c r="AC20" s="274">
        <f>IF(Table1[Item Description]="","",Table1[[#This Row],[h_hargasebelumdiskon]]-Table1[[#This Row],[h_diskon]])</f>
        <v>57000</v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>LOOSE LEAF JOYKO B5-7026 (50S)PAK5700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24</v>
      </c>
      <c r="L21" s="271" t="s">
        <v>150</v>
      </c>
      <c r="N21" s="271" t="s">
        <v>185</v>
      </c>
      <c r="O21" s="278" t="str">
        <f>IF(Table1[[#This Row],[h_Item Description]]="","",INDEX([1]!db[NB PAJAK],MATCH(Table1[[#This Row],[h_Item Description]],[1]!db[kode],0)))</f>
        <v>GEL PEN KENKO KE-303 T-GEL TRIANGULAR</v>
      </c>
      <c r="P21" s="271" t="s">
        <v>186</v>
      </c>
      <c r="Q21" s="274">
        <v>1800</v>
      </c>
      <c r="R21" s="275"/>
      <c r="S21" s="275"/>
      <c r="T21" s="274">
        <f>Table1[[#This Row],[h_hargasetelahdiskon]]</f>
        <v>43200</v>
      </c>
      <c r="V21" s="271"/>
      <c r="W21" s="278">
        <f ca="1">IF(Table1[[#This Row],[Item Description]]="","",IF(Table1[[#This Row],[//]]="",INDIRECT(ADDRESS(ROW()-1,COLUMN())),Table1[[#This Row],[//]]))</f>
        <v>16</v>
      </c>
      <c r="X21" s="278">
        <f ca="1">IF(Table1[[#This Row],[h_id]]="","",COUNTIF(Table1[h_id],Table1[[#This Row],[h_id]]))</f>
        <v>6</v>
      </c>
      <c r="Y21" s="274">
        <f>IF(Table1[Item Description]="","",Table1[[#This Row],[Qty]]*Table1[[#This Row],[Unit Price]])</f>
        <v>43200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43200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GEL PEN KENKO KE-303 T-GEL TRIANGULARPCS1800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>
        <f ca="1">IF(Table1[[#This Row],[No. Invoice :]]="","",ROW())</f>
        <v>23</v>
      </c>
      <c r="B23" s="278">
        <f ca="1">IF(Table1[Column3]="","",B$1+COUNT(INDIRECT("B$2:B"&amp;ROW()-1)))</f>
        <v>24010005</v>
      </c>
      <c r="C23" s="272">
        <f>IF(Table1[[#This Row],[Column2]]="","",Table1[[#This Row],[Column2]]+C$1-1)</f>
        <v>45294</v>
      </c>
      <c r="D23" s="282">
        <v>3</v>
      </c>
      <c r="E23" s="273" t="s">
        <v>187</v>
      </c>
      <c r="F23" s="271" t="s">
        <v>174</v>
      </c>
      <c r="G23" s="278" t="str">
        <f ca="1">IF(Table1[[#This Row],[h_No. Invoice :]]="","",CONCATENATE("AM"," ",Table1[[#This Row],[h_No. Invoice :]]))</f>
        <v>AM 24010005</v>
      </c>
      <c r="H23" s="271" t="str">
        <f>IF(Table1[[#This Row],[Column5]]="","",INDEX(Table2[Column1],MATCH(Table1[[#This Row],[Column5]],Table2[a],0)))</f>
        <v>G</v>
      </c>
      <c r="I23" s="279" t="str">
        <f>IF(Table1[[#This Row],[Column3]]=0,"",CONCATENATE(UPPER(Table1[[#This Row],[Column3]])," ",Table1[[#This Row],[Column4]]))</f>
        <v>G 0649</v>
      </c>
      <c r="J23" s="278" t="str">
        <f>IF(Table1[[#This Row],[Column5]]="","",INDEX(Table2[e],IF(Table1[[#This Row],[Column5]]="","",MATCH(Table1[[#This Row],[Column5]],Table2[a],0)),))</f>
        <v>PT.HASTA KENCANA SAKTI ( TRIO PLAZA ) MAGELANG</v>
      </c>
      <c r="K23" s="271">
        <v>24</v>
      </c>
      <c r="L23" s="271" t="s">
        <v>150</v>
      </c>
      <c r="O23" s="278" t="str">
        <f>IF(Table1[[#This Row],[h_Item Description]]="","",INDEX([1]!db[NB PAJAK],MATCH(Table1[[#This Row],[h_Item Description]],[1]!db[kode],0)))</f>
        <v/>
      </c>
      <c r="P23" s="271" t="s">
        <v>190</v>
      </c>
      <c r="Q23" s="274">
        <v>20000</v>
      </c>
      <c r="R23" s="275"/>
      <c r="S23" s="275"/>
      <c r="T23" s="274">
        <f>Table1[[#This Row],[h_hargasetelahdiskon]]</f>
        <v>480000</v>
      </c>
      <c r="U23" s="274" t="s">
        <v>177</v>
      </c>
      <c r="V23" s="271"/>
      <c r="W23" s="278">
        <f ca="1">IF(Table1[[#This Row],[Item Description]]="","",IF(Table1[[#This Row],[//]]="",INDIRECT(ADDRESS(ROW()-1,COLUMN())),Table1[[#This Row],[//]]))</f>
        <v>23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480000</v>
      </c>
      <c r="Z23" s="274">
        <f>IF(Table1[[#This Row],[h_hargasebelumdiskon]]="","",IF(Table1[[#This Row],[Disc 1]]="",0,Table1[[#This Row],[h_hargasebelumdiskon]]*Table1[[#This Row],[Disc 1]]))</f>
        <v>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0</v>
      </c>
      <c r="AC23" s="274">
        <f>IF(Table1[Item Description]="","",Table1[[#This Row],[h_hargasebelumdiskon]]-Table1[[#This Row],[h_diskon]])</f>
        <v>480000</v>
      </c>
      <c r="AD23" s="274">
        <f ca="1">IF(Table1[//]="","",SUMIF(Table1[h_id],Table1[h_id],Table1[h_hargasetelahdiskon]))</f>
        <v>531000</v>
      </c>
      <c r="AF23" s="274" t="str">
        <f>Table1[[#This Row],[Item Description]]&amp;Table1[[#This Row],[Unit]]&amp;Table1[[#This Row],[Unit Price]]</f>
        <v>BUKU KANCING 32K 1008PCS20000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>
        <v>24</v>
      </c>
      <c r="L24" s="271" t="s">
        <v>150</v>
      </c>
      <c r="N24" s="271" t="s">
        <v>188</v>
      </c>
      <c r="O24" s="278" t="str">
        <f>IF(Table1[[#This Row],[h_Item Description]]="","",INDEX([1]!db[NB PAJAK],MATCH(Table1[[#This Row],[h_Item Description]],[1]!db[kode],0)))</f>
        <v>PEN 4W VC-6201 VANCO</v>
      </c>
      <c r="P24" s="271" t="s">
        <v>189</v>
      </c>
      <c r="Q24" s="274">
        <v>2125</v>
      </c>
      <c r="R24" s="275"/>
      <c r="S24" s="275"/>
      <c r="T24" s="274">
        <f>Table1[[#This Row],[h_hargasetelahdiskon]]</f>
        <v>51000</v>
      </c>
      <c r="V24" s="271"/>
      <c r="W24" s="278">
        <f ca="1">IF(Table1[[#This Row],[Item Description]]="","",IF(Table1[[#This Row],[//]]="",INDIRECT(ADDRESS(ROW()-1,COLUMN())),Table1[[#This Row],[//]]))</f>
        <v>23</v>
      </c>
      <c r="X24" s="278">
        <f ca="1">IF(Table1[[#This Row],[h_id]]="","",COUNTIF(Table1[h_id],Table1[[#This Row],[h_id]]))</f>
        <v>2</v>
      </c>
      <c r="Y24" s="274">
        <f>IF(Table1[Item Description]="","",Table1[[#This Row],[Qty]]*Table1[[#This Row],[Unit Price]])</f>
        <v>51000</v>
      </c>
      <c r="Z24" s="274">
        <f>IF(Table1[[#This Row],[h_hargasebelumdiskon]]="","",IF(Table1[[#This Row],[Disc 1]]="",0,Table1[[#This Row],[h_hargasebelumdiskon]]*Table1[[#This Row],[Disc 1]]))</f>
        <v>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0</v>
      </c>
      <c r="AC24" s="274">
        <f>IF(Table1[Item Description]="","",Table1[[#This Row],[h_hargasebelumdiskon]]-Table1[[#This Row],[h_diskon]])</f>
        <v>51000</v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>PEN 4W VC-6201 VANCOPCS2125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24010006</v>
      </c>
      <c r="C26" s="272">
        <f>IF(Table1[[#This Row],[Column2]]="","",Table1[[#This Row],[Column2]]+C$1-1)</f>
        <v>45295</v>
      </c>
      <c r="D26" s="282">
        <v>4</v>
      </c>
      <c r="E26" s="273" t="s">
        <v>191</v>
      </c>
      <c r="F26" s="271" t="s">
        <v>192</v>
      </c>
      <c r="G26" s="278" t="str">
        <f ca="1">IF(Table1[[#This Row],[h_No. Invoice :]]="","",CONCATENATE("AM"," ",Table1[[#This Row],[h_No. Invoice :]]))</f>
        <v>AM 24010006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0777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96</v>
      </c>
      <c r="L26" s="271" t="s">
        <v>193</v>
      </c>
      <c r="M26" s="271">
        <v>2</v>
      </c>
      <c r="N26" s="271" t="s">
        <v>194</v>
      </c>
      <c r="O26" s="278" t="str">
        <f>IF(Table1[[#This Row],[h_Item Description]]="","",INDEX([1]!db[NB PAJAK],MATCH(Table1[[#This Row],[h_Item Description]],[1]!db[kode],0)))</f>
        <v>LEM LIQUID (CAIR) JOYKO GL-R35 (35 ML)</v>
      </c>
      <c r="P26" s="271" t="s">
        <v>195</v>
      </c>
      <c r="Q26" s="274">
        <v>18600</v>
      </c>
      <c r="R26" s="275">
        <v>0.13500000000000001</v>
      </c>
      <c r="S26" s="275"/>
      <c r="T26" s="274">
        <f>Table1[[#This Row],[h_hargasetelahdiskon]]</f>
        <v>1544544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1785600</v>
      </c>
      <c r="Z26" s="274">
        <f>IF(Table1[[#This Row],[h_hargasebelumdiskon]]="","",IF(Table1[[#This Row],[Disc 1]]="",0,Table1[[#This Row],[h_hargasebelumdiskon]]*Table1[[#This Row],[Disc 1]]))</f>
        <v>241056.00000000003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241056.00000000003</v>
      </c>
      <c r="AC26" s="274">
        <f>IF(Table1[Item Description]="","",Table1[[#This Row],[h_hargasebelumdiskon]]-Table1[[#This Row],[h_diskon]])</f>
        <v>1544544</v>
      </c>
      <c r="AD26" s="274">
        <f ca="1">IF(Table1[//]="","",SUMIF(Table1[h_id],Table1[h_id],Table1[h_hargasetelahdiskon]))</f>
        <v>9898368</v>
      </c>
      <c r="AF26" s="274" t="str">
        <f>Table1[[#This Row],[Item Description]]&amp;Table1[[#This Row],[Unit]]&amp;Table1[[#This Row],[Unit Price]]</f>
        <v>LEM LIQUID (CAIR) JOYKO GL-R35 (35 ML)BOX18600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48</v>
      </c>
      <c r="L27" s="271" t="s">
        <v>150</v>
      </c>
      <c r="M27" s="271">
        <v>1</v>
      </c>
      <c r="N27" s="271" t="s">
        <v>196</v>
      </c>
      <c r="O27" s="278" t="str">
        <f>IF(Table1[[#This Row],[h_Item Description]]="","",INDEX([1]!db[NB PAJAK],MATCH(Table1[[#This Row],[h_Item Description]],[1]!db[kode],0)))</f>
        <v>PUNCH KENKO NO. 40XL</v>
      </c>
      <c r="P27" s="271" t="s">
        <v>197</v>
      </c>
      <c r="Q27" s="274">
        <v>32000</v>
      </c>
      <c r="R27" s="275">
        <v>0.13500000000000001</v>
      </c>
      <c r="S27" s="275"/>
      <c r="T27" s="274">
        <f>Table1[[#This Row],[h_hargasetelahdiskon]]</f>
        <v>1328640</v>
      </c>
      <c r="V27" s="271"/>
      <c r="W27" s="278">
        <f ca="1">IF(Table1[[#This Row],[Item Description]]="","",IF(Table1[[#This Row],[//]]="",INDIRECT(ADDRESS(ROW()-1,COLUMN())),Table1[[#This Row],[//]]))</f>
        <v>26</v>
      </c>
      <c r="X27" s="278">
        <f ca="1">IF(Table1[[#This Row],[h_id]]="","",COUNTIF(Table1[h_id],Table1[[#This Row],[h_id]]))</f>
        <v>3</v>
      </c>
      <c r="Y27" s="274">
        <f>IF(Table1[Item Description]="","",Table1[[#This Row],[Qty]]*Table1[[#This Row],[Unit Price]])</f>
        <v>1536000</v>
      </c>
      <c r="Z27" s="274">
        <f>IF(Table1[[#This Row],[h_hargasebelumdiskon]]="","",IF(Table1[[#This Row],[Disc 1]]="",0,Table1[[#This Row],[h_hargasebelumdiskon]]*Table1[[#This Row],[Disc 1]]))</f>
        <v>207360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207360</v>
      </c>
      <c r="AC27" s="274">
        <f>IF(Table1[Item Description]="","",Table1[[#This Row],[h_hargasebelumdiskon]]-Table1[[#This Row],[h_diskon]])</f>
        <v>1328640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PUNCH KENKO NO. 40XLPCS32000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288</v>
      </c>
      <c r="L28" s="271" t="s">
        <v>137</v>
      </c>
      <c r="M28" s="271">
        <v>2</v>
      </c>
      <c r="N28" s="271" t="s">
        <v>198</v>
      </c>
      <c r="O28" s="278" t="str">
        <f>IF(Table1[[#This Row],[h_Item Description]]="","",INDEX([1]!db[NB PAJAK],MATCH(Table1[[#This Row],[h_Item Description]],[1]!db[kode],0)))</f>
        <v>GEL PEN JOYKO GP-265 Q-GEL</v>
      </c>
      <c r="P28" s="271" t="s">
        <v>199</v>
      </c>
      <c r="Q28" s="274">
        <v>28200</v>
      </c>
      <c r="R28" s="275">
        <v>0.13500000000000001</v>
      </c>
      <c r="S28" s="275"/>
      <c r="T28" s="274">
        <f>Table1[[#This Row],[h_hargasetelahdiskon]]</f>
        <v>7025184</v>
      </c>
      <c r="V28" s="271"/>
      <c r="W28" s="278">
        <f ca="1">IF(Table1[[#This Row],[Item Description]]="","",IF(Table1[[#This Row],[//]]="",INDIRECT(ADDRESS(ROW()-1,COLUMN())),Table1[[#This Row],[//]]))</f>
        <v>26</v>
      </c>
      <c r="X28" s="278">
        <f ca="1">IF(Table1[[#This Row],[h_id]]="","",COUNTIF(Table1[h_id],Table1[[#This Row],[h_id]]))</f>
        <v>3</v>
      </c>
      <c r="Y28" s="274">
        <f>IF(Table1[Item Description]="","",Table1[[#This Row],[Qty]]*Table1[[#This Row],[Unit Price]])</f>
        <v>8121600</v>
      </c>
      <c r="Z28" s="274">
        <f>IF(Table1[[#This Row],[h_hargasebelumdiskon]]="","",IF(Table1[[#This Row],[Disc 1]]="",0,Table1[[#This Row],[h_hargasebelumdiskon]]*Table1[[#This Row],[Disc 1]]))</f>
        <v>1096416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1096416</v>
      </c>
      <c r="AC28" s="274">
        <f>IF(Table1[Item Description]="","",Table1[[#This Row],[h_hargasebelumdiskon]]-Table1[[#This Row],[h_diskon]])</f>
        <v>7025184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GEL PEN JOYKO GP-265 Q-GELLSN28200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24010007</v>
      </c>
      <c r="C30" s="272">
        <f>IF(Table1[[#This Row],[Column2]]="","",Table1[[#This Row],[Column2]]+C$1-1)</f>
        <v>45295</v>
      </c>
      <c r="D30" s="282">
        <v>4</v>
      </c>
      <c r="E30" s="273" t="s">
        <v>200</v>
      </c>
      <c r="F30" s="271" t="s">
        <v>91</v>
      </c>
      <c r="G30" s="278" t="str">
        <f ca="1">IF(Table1[[#This Row],[h_No. Invoice :]]="","",CONCATENATE("AM"," ",Table1[[#This Row],[h_No. Invoice :]]))</f>
        <v>AM 24010007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4973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576</v>
      </c>
      <c r="L30" s="271" t="s">
        <v>137</v>
      </c>
      <c r="M30" s="271">
        <v>3</v>
      </c>
      <c r="O30" s="278" t="str">
        <f>IF(Table1[[#This Row],[h_Item Description]]="","",INDEX([1]!db[NB PAJAK],MATCH(Table1[[#This Row],[h_Item Description]],[1]!db[kode],0)))</f>
        <v/>
      </c>
      <c r="P30" s="271" t="s">
        <v>201</v>
      </c>
      <c r="Q30" s="274">
        <v>10525</v>
      </c>
      <c r="R30" s="275">
        <v>0.02</v>
      </c>
      <c r="S30" s="275"/>
      <c r="T30" s="274">
        <f>Table1[[#This Row],[h_hargasetelahdiskon]]</f>
        <v>5941152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6062400</v>
      </c>
      <c r="Z30" s="274">
        <f>IF(Table1[[#This Row],[h_hargasebelumdiskon]]="","",IF(Table1[[#This Row],[Disc 1]]="",0,Table1[[#This Row],[h_hargasebelumdiskon]]*Table1[[#This Row],[Disc 1]]))</f>
        <v>121248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121248</v>
      </c>
      <c r="AC30" s="274">
        <f>IF(Table1[Item Description]="","",Table1[[#This Row],[h_hargasebelumdiskon]]-Table1[[#This Row],[h_diskon]])</f>
        <v>5941152</v>
      </c>
      <c r="AD30" s="274">
        <f ca="1">IF(Table1[//]="","",SUMIF(Table1[h_id],Table1[h_id],Table1[h_hargasetelahdiskon]))</f>
        <v>5941152</v>
      </c>
      <c r="AF30" s="274" t="str">
        <f>Table1[[#This Row],[Item Description]]&amp;Table1[[#This Row],[Unit]]&amp;Table1[[#This Row],[Unit Price]]</f>
        <v>BALLPEN E6V-225 / TL-6548LSN10525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24010008</v>
      </c>
      <c r="C32" s="272">
        <f>IF(Table1[[#This Row],[Column2]]="","",Table1[[#This Row],[Column2]]+C$1-1)</f>
        <v>45296</v>
      </c>
      <c r="D32" s="282">
        <v>5</v>
      </c>
      <c r="E32" s="273" t="s">
        <v>202</v>
      </c>
      <c r="F32" s="271" t="s">
        <v>146</v>
      </c>
      <c r="G32" s="278" t="str">
        <f ca="1">IF(Table1[[#This Row],[h_No. Invoice :]]="","",CONCATENATE("AM"," ",Table1[[#This Row],[h_No. Invoice :]]))</f>
        <v>AM 24010008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0781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60</v>
      </c>
      <c r="L32" s="271" t="s">
        <v>137</v>
      </c>
      <c r="M32" s="271">
        <v>1</v>
      </c>
      <c r="N32" s="271" t="s">
        <v>203</v>
      </c>
      <c r="O32" s="278" t="str">
        <f>IF(Table1[[#This Row],[h_Item Description]]="","",INDEX([1]!db[NB PAJAK],MATCH(Table1[[#This Row],[h_Item Description]],[1]!db[kode],0)))</f>
        <v>CORRECTION TAPE JOYKO CT-522</v>
      </c>
      <c r="P32" s="271" t="s">
        <v>204</v>
      </c>
      <c r="Q32" s="274">
        <v>51600</v>
      </c>
      <c r="R32" s="275">
        <v>0.125</v>
      </c>
      <c r="S32" s="275"/>
      <c r="T32" s="274">
        <f>Table1[[#This Row],[h_hargasetelahdiskon]]</f>
        <v>2709000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3096000</v>
      </c>
      <c r="Z32" s="274">
        <f>IF(Table1[[#This Row],[h_hargasebelumdiskon]]="","",IF(Table1[[#This Row],[Disc 1]]="",0,Table1[[#This Row],[h_hargasebelumdiskon]]*Table1[[#This Row],[Disc 1]]))</f>
        <v>387000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387000</v>
      </c>
      <c r="AC32" s="274">
        <f>IF(Table1[Item Description]="","",Table1[[#This Row],[h_hargasebelumdiskon]]-Table1[[#This Row],[h_diskon]])</f>
        <v>2709000</v>
      </c>
      <c r="AD32" s="274">
        <f ca="1">IF(Table1[//]="","",SUMIF(Table1[h_id],Table1[h_id],Table1[h_hargasetelahdiskon]))</f>
        <v>2709000</v>
      </c>
      <c r="AE32" s="274"/>
      <c r="AF32" s="274" t="str">
        <f>Table1[[#This Row],[Item Description]]&amp;Table1[[#This Row],[Unit]]&amp;Table1[[#This Row],[Unit Price]]</f>
        <v>CORRECTION TAPE JOYKO CT-522LSN51600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24010009</v>
      </c>
      <c r="C34" s="272">
        <f>IF(Table1[[#This Row],[Column2]]="","",Table1[[#This Row],[Column2]]+C$1-1)</f>
        <v>45297</v>
      </c>
      <c r="D34" s="282">
        <v>6</v>
      </c>
      <c r="E34" s="273" t="s">
        <v>205</v>
      </c>
      <c r="F34" s="271" t="s">
        <v>146</v>
      </c>
      <c r="G34" s="278" t="str">
        <f ca="1">IF(Table1[[#This Row],[h_No. Invoice :]]="","",CONCATENATE("AM"," ",Table1[[#This Row],[h_No. Invoice :]]))</f>
        <v>AM 24010009</v>
      </c>
      <c r="H34" s="271" t="str">
        <f>IF(Table1[[#This Row],[Column5]]="","",INDEX(Table2[Column1],MATCH(Table1[[#This Row],[Column5]],Table2[a],0)))</f>
        <v>G</v>
      </c>
      <c r="I34" s="279" t="str">
        <f>IF(Table1[[#This Row],[Column3]]=0,"",CONCATENATE(UPPER(Table1[[#This Row],[Column3]])," ",Table1[[#This Row],[Column4]]))</f>
        <v>G 0807</v>
      </c>
      <c r="J34" s="278" t="str">
        <f>IF(Table1[[#This Row],[Column5]]="","",INDEX(Table2[e],IF(Table1[[#This Row],[Column5]]="","",MATCH(Table1[[#This Row],[Column5]],Table2[a],0)),))</f>
        <v>LILY JULIAWATI (REJO AGUNG) JOMBANG</v>
      </c>
      <c r="K34" s="271">
        <v>1440</v>
      </c>
      <c r="L34" s="271" t="s">
        <v>150</v>
      </c>
      <c r="M34" s="271">
        <v>10</v>
      </c>
      <c r="N34" s="271" t="s">
        <v>206</v>
      </c>
      <c r="O34" s="278" t="str">
        <f>IF(Table1[[#This Row],[h_Item Description]]="","",INDEX([1]!db[NB PAJAK],MATCH(Table1[[#This Row],[h_Item Description]],[1]!db[kode],0)))</f>
        <v>PENSIL WARNA JOYKO CP-12PB (PANJANG)</v>
      </c>
      <c r="P34" s="271" t="s">
        <v>207</v>
      </c>
      <c r="Q34" s="274">
        <v>10600</v>
      </c>
      <c r="R34" s="275">
        <v>0.125</v>
      </c>
      <c r="S34" s="275"/>
      <c r="T34" s="274">
        <f>Table1[[#This Row],[h_hargasetelahdiskon]]</f>
        <v>13356000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15264000</v>
      </c>
      <c r="Z34" s="274">
        <f>IF(Table1[[#This Row],[h_hargasebelumdiskon]]="","",IF(Table1[[#This Row],[Disc 1]]="",0,Table1[[#This Row],[h_hargasebelumdiskon]]*Table1[[#This Row],[Disc 1]]))</f>
        <v>1908000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1908000</v>
      </c>
      <c r="AC34" s="274">
        <f>IF(Table1[Item Description]="","",Table1[[#This Row],[h_hargasebelumdiskon]]-Table1[[#This Row],[h_diskon]])</f>
        <v>13356000</v>
      </c>
      <c r="AD34" s="274">
        <f ca="1">IF(Table1[//]="","",SUMIF(Table1[h_id],Table1[h_id],Table1[h_hargasetelahdiskon]))</f>
        <v>81079250</v>
      </c>
      <c r="AF34" s="274" t="str">
        <f>Table1[[#This Row],[Item Description]]&amp;Table1[[#This Row],[Unit]]&amp;Table1[[#This Row],[Unit Price]]</f>
        <v>PENSIL WARNA JOYKO CP-12PB (PANJANG)PCS10600</v>
      </c>
      <c r="AG34"/>
      <c r="AH34" s="491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360</v>
      </c>
      <c r="L35" s="271" t="s">
        <v>150</v>
      </c>
      <c r="M35" s="271">
        <v>5</v>
      </c>
      <c r="N35" s="271" t="s">
        <v>208</v>
      </c>
      <c r="O35" s="278" t="str">
        <f>IF(Table1[[#This Row],[h_Item Description]]="","",INDEX([1]!db[NB PAJAK],MATCH(Table1[[#This Row],[h_Item Description]],[1]!db[kode],0)))</f>
        <v>PENSIL WARNA JOYKO CP-24PB (PANJANG)</v>
      </c>
      <c r="P35" s="271" t="s">
        <v>209</v>
      </c>
      <c r="Q35" s="274">
        <v>21200</v>
      </c>
      <c r="R35" s="275">
        <v>0.125</v>
      </c>
      <c r="S35" s="275"/>
      <c r="T35" s="274">
        <f>Table1[[#This Row],[h_hargasetelahdiskon]]</f>
        <v>6678000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7632000</v>
      </c>
      <c r="Z35" s="274">
        <f>IF(Table1[[#This Row],[h_hargasebelumdiskon]]="","",IF(Table1[[#This Row],[Disc 1]]="",0,Table1[[#This Row],[h_hargasebelumdiskon]]*Table1[[#This Row],[Disc 1]]))</f>
        <v>954000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954000</v>
      </c>
      <c r="AC35" s="274">
        <f>IF(Table1[Item Description]="","",Table1[[#This Row],[h_hargasebelumdiskon]]-Table1[[#This Row],[h_diskon]])</f>
        <v>6678000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PENSIL WARNA JOYKO CP-24PB (PANJANG)PCS21200</v>
      </c>
      <c r="AG35"/>
      <c r="AH35" s="491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576</v>
      </c>
      <c r="L36" s="271" t="s">
        <v>150</v>
      </c>
      <c r="M36" s="271">
        <v>2</v>
      </c>
      <c r="N36" s="271" t="s">
        <v>210</v>
      </c>
      <c r="O36" s="278" t="str">
        <f>IF(Table1[[#This Row],[h_Item Description]]="","",INDEX([1]!db[NB PAJAK],MATCH(Table1[[#This Row],[h_Item Description]],[1]!db[kode],0)))</f>
        <v>PENSIL WARNA JOYKO CP-S12 MINI (PENDEK)</v>
      </c>
      <c r="P36" s="271" t="s">
        <v>226</v>
      </c>
      <c r="Q36" s="274">
        <v>6700</v>
      </c>
      <c r="R36" s="275">
        <v>0.125</v>
      </c>
      <c r="S36" s="275"/>
      <c r="T36" s="274">
        <f>Table1[[#This Row],[h_hargasetelahdiskon]]</f>
        <v>3376800</v>
      </c>
      <c r="V36" s="271"/>
      <c r="W36" s="278">
        <f ca="1">IF(Table1[[#This Row],[Item Description]]="","",IF(Table1[[#This Row],[//]]="",INDIRECT(ADDRESS(ROW()-1,COLUMN())),Table1[[#This Row],[//]]))</f>
        <v>34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3859200</v>
      </c>
      <c r="Z36" s="274">
        <f>IF(Table1[[#This Row],[h_hargasebelumdiskon]]="","",IF(Table1[[#This Row],[Disc 1]]="",0,Table1[[#This Row],[h_hargasebelumdiskon]]*Table1[[#This Row],[Disc 1]]))</f>
        <v>482400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482400</v>
      </c>
      <c r="AC36" s="274">
        <f>IF(Table1[Item Description]="","",Table1[[#This Row],[h_hargasebelumdiskon]]-Table1[[#This Row],[h_diskon]])</f>
        <v>3376800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PENSIL WARNA JOYKO CP-S12 MINI (PENDEK)PCS6700</v>
      </c>
      <c r="AG36"/>
      <c r="AH36" s="491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96</v>
      </c>
      <c r="L37" s="271" t="s">
        <v>150</v>
      </c>
      <c r="M37" s="271">
        <v>4</v>
      </c>
      <c r="N37" s="271" t="s">
        <v>211</v>
      </c>
      <c r="O37" s="278" t="str">
        <f>IF(Table1[[#This Row],[h_Item Description]]="","",INDEX([1]!db[NB PAJAK],MATCH(Table1[[#This Row],[h_Item Description]],[1]!db[kode],0)))</f>
        <v>TAPE CUTTER JOYKO TD-102</v>
      </c>
      <c r="P37" s="271" t="s">
        <v>227</v>
      </c>
      <c r="Q37" s="274">
        <v>11100</v>
      </c>
      <c r="R37" s="275">
        <v>0.125</v>
      </c>
      <c r="S37" s="275"/>
      <c r="T37" s="274">
        <f>Table1[[#This Row],[h_hargasetelahdiskon]]</f>
        <v>932400</v>
      </c>
      <c r="V37" s="271"/>
      <c r="W37" s="278">
        <f ca="1">IF(Table1[[#This Row],[Item Description]]="","",IF(Table1[[#This Row],[//]]="",INDIRECT(ADDRESS(ROW()-1,COLUMN())),Table1[[#This Row],[//]]))</f>
        <v>34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1065600</v>
      </c>
      <c r="Z37" s="274">
        <f>IF(Table1[[#This Row],[h_hargasebelumdiskon]]="","",IF(Table1[[#This Row],[Disc 1]]="",0,Table1[[#This Row],[h_hargasebelumdiskon]]*Table1[[#This Row],[Disc 1]]))</f>
        <v>133200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133200</v>
      </c>
      <c r="AC37" s="274">
        <f>IF(Table1[Item Description]="","",Table1[[#This Row],[h_hargasebelumdiskon]]-Table1[[#This Row],[h_diskon]])</f>
        <v>932400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TAPE CUTTER JOYKO TD-102PCS11100</v>
      </c>
      <c r="AG37"/>
      <c r="AH37" s="491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240</v>
      </c>
      <c r="L38" s="271" t="s">
        <v>150</v>
      </c>
      <c r="M38" s="271">
        <v>10</v>
      </c>
      <c r="N38" s="271" t="s">
        <v>212</v>
      </c>
      <c r="O38" s="278" t="str">
        <f>IF(Table1[[#This Row],[h_Item Description]]="","",INDEX([1]!db[NB PAJAK],MATCH(Table1[[#This Row],[h_Item Description]],[1]!db[kode],0)))</f>
        <v>TAPE CUTTER JOYKO TD-103</v>
      </c>
      <c r="P38" s="271" t="s">
        <v>228</v>
      </c>
      <c r="Q38" s="274">
        <v>19000</v>
      </c>
      <c r="R38" s="275">
        <v>0.125</v>
      </c>
      <c r="S38" s="275"/>
      <c r="T38" s="274">
        <f>Table1[[#This Row],[h_hargasetelahdiskon]]</f>
        <v>3990000</v>
      </c>
      <c r="V38" s="271"/>
      <c r="W38" s="278">
        <f ca="1">IF(Table1[[#This Row],[Item Description]]="","",IF(Table1[[#This Row],[//]]="",INDIRECT(ADDRESS(ROW()-1,COLUMN())),Table1[[#This Row],[//]]))</f>
        <v>34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4560000</v>
      </c>
      <c r="Z38" s="274">
        <f>IF(Table1[[#This Row],[h_hargasebelumdiskon]]="","",IF(Table1[[#This Row],[Disc 1]]="",0,Table1[[#This Row],[h_hargasebelumdiskon]]*Table1[[#This Row],[Disc 1]]))</f>
        <v>570000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570000</v>
      </c>
      <c r="AC38" s="274">
        <f>IF(Table1[Item Description]="","",Table1[[#This Row],[h_hargasebelumdiskon]]-Table1[[#This Row],[h_diskon]])</f>
        <v>3990000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TAPE CUTTER JOYKO TD-103PCS19000</v>
      </c>
      <c r="AG38"/>
      <c r="AH38" s="491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360</v>
      </c>
      <c r="L39" s="271" t="s">
        <v>193</v>
      </c>
      <c r="M39" s="271">
        <v>10</v>
      </c>
      <c r="N39" s="271" t="s">
        <v>213</v>
      </c>
      <c r="O39" s="278" t="str">
        <f>IF(Table1[[#This Row],[h_Item Description]]="","",INDEX([1]!db[NB PAJAK],MATCH(Table1[[#This Row],[h_Item Description]],[1]!db[kode],0)))</f>
        <v>LEM STICK JOYKO 15 GR GS-104 TG (ANIMAL KINGDOM) isi 24 pc</v>
      </c>
      <c r="P39" s="481" t="s">
        <v>229</v>
      </c>
      <c r="Q39" s="274">
        <v>58800</v>
      </c>
      <c r="R39" s="275">
        <v>0.125</v>
      </c>
      <c r="S39" s="275"/>
      <c r="T39" s="274">
        <f>Table1[[#This Row],[h_hargasetelahdiskon]]</f>
        <v>18522000</v>
      </c>
      <c r="V39" s="271"/>
      <c r="W39" s="278">
        <f ca="1">IF(Table1[[#This Row],[Item Description]]="","",IF(Table1[[#This Row],[//]]="",INDIRECT(ADDRESS(ROW()-1,COLUMN())),Table1[[#This Row],[//]]))</f>
        <v>34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21168000</v>
      </c>
      <c r="Z39" s="274">
        <f>IF(Table1[[#This Row],[h_hargasebelumdiskon]]="","",IF(Table1[[#This Row],[Disc 1]]="",0,Table1[[#This Row],[h_hargasebelumdiskon]]*Table1[[#This Row],[Disc 1]]))</f>
        <v>2646000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2646000</v>
      </c>
      <c r="AC39" s="274">
        <f>IF(Table1[Item Description]="","",Table1[[#This Row],[h_hargasebelumdiskon]]-Table1[[#This Row],[h_diskon]])</f>
        <v>18522000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LEM STICK JOYKO 15 GR GS-104 TG (ANIMAL KINGDOM) isi 24 pcBOX58800</v>
      </c>
      <c r="AG39"/>
      <c r="AH39" s="491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20</v>
      </c>
      <c r="L40" s="271" t="s">
        <v>150</v>
      </c>
      <c r="M40" s="271">
        <v>1</v>
      </c>
      <c r="N40" s="271" t="s">
        <v>214</v>
      </c>
      <c r="O40" s="278" t="str">
        <f>IF(Table1[[#This Row],[h_Item Description]]="","",INDEX([1]!db[NB PAJAK],MATCH(Table1[[#This Row],[h_Item Description]],[1]!db[kode],0)))</f>
        <v>MESIN LABEL HARGA JOYKO MX-5500M (8 DIGITS, 1 LINE)</v>
      </c>
      <c r="P40" s="271" t="s">
        <v>230</v>
      </c>
      <c r="Q40" s="274">
        <v>40500</v>
      </c>
      <c r="R40" s="275">
        <v>0.125</v>
      </c>
      <c r="S40" s="275"/>
      <c r="T40" s="274">
        <f>Table1[[#This Row],[h_hargasetelahdiskon]]</f>
        <v>708750</v>
      </c>
      <c r="V40" s="271"/>
      <c r="W40" s="278">
        <f ca="1">IF(Table1[[#This Row],[Item Description]]="","",IF(Table1[[#This Row],[//]]="",INDIRECT(ADDRESS(ROW()-1,COLUMN())),Table1[[#This Row],[//]]))</f>
        <v>34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810000</v>
      </c>
      <c r="Z40" s="274">
        <f>IF(Table1[[#This Row],[h_hargasebelumdiskon]]="","",IF(Table1[[#This Row],[Disc 1]]="",0,Table1[[#This Row],[h_hargasebelumdiskon]]*Table1[[#This Row],[Disc 1]]))</f>
        <v>101250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101250</v>
      </c>
      <c r="AC40" s="274">
        <f>IF(Table1[Item Description]="","",Table1[[#This Row],[h_hargasebelumdiskon]]-Table1[[#This Row],[h_diskon]])</f>
        <v>708750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MESIN LABEL HARGA JOYKO MX-5500M (8 DIGITS, 1 LINE)PCS40500</v>
      </c>
      <c r="AG40"/>
      <c r="AH40" s="491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1000</v>
      </c>
      <c r="L41" s="271" t="s">
        <v>215</v>
      </c>
      <c r="M41" s="271">
        <v>1</v>
      </c>
      <c r="N41" s="271" t="s">
        <v>216</v>
      </c>
      <c r="O41" s="278" t="str">
        <f>IF(Table1[[#This Row],[h_Item Description]]="","",INDEX([1]!db[NB PAJAK],MATCH(Table1[[#This Row],[h_Item Description]],[1]!db[kode],0)))</f>
        <v>LABEL HARGA JOYKO LB-2RL (1 LINE PUTIH)</v>
      </c>
      <c r="P41" s="271" t="s">
        <v>231</v>
      </c>
      <c r="Q41" s="274">
        <v>2050</v>
      </c>
      <c r="R41" s="275">
        <v>0.125</v>
      </c>
      <c r="S41" s="275"/>
      <c r="T41" s="274">
        <f>Table1[[#This Row],[h_hargasetelahdiskon]]</f>
        <v>1793750</v>
      </c>
      <c r="V41" s="271"/>
      <c r="W41" s="278">
        <f ca="1">IF(Table1[[#This Row],[Item Description]]="","",IF(Table1[[#This Row],[//]]="",INDIRECT(ADDRESS(ROW()-1,COLUMN())),Table1[[#This Row],[//]]))</f>
        <v>34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2050000</v>
      </c>
      <c r="Z41" s="274">
        <f>IF(Table1[[#This Row],[h_hargasebelumdiskon]]="","",IF(Table1[[#This Row],[Disc 1]]="",0,Table1[[#This Row],[h_hargasebelumdiskon]]*Table1[[#This Row],[Disc 1]]))</f>
        <v>256250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256250</v>
      </c>
      <c r="AC41" s="274">
        <f>IF(Table1[Item Description]="","",Table1[[#This Row],[h_hargasebelumdiskon]]-Table1[[#This Row],[h_diskon]])</f>
        <v>1793750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LABEL HARGA JOYKO LB-2RL (1 LINE PUTIH)ROL2050</v>
      </c>
      <c r="AG41"/>
      <c r="AH41" s="491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144</v>
      </c>
      <c r="L42" s="271" t="s">
        <v>137</v>
      </c>
      <c r="M42" s="271">
        <v>2</v>
      </c>
      <c r="N42" s="271" t="s">
        <v>217</v>
      </c>
      <c r="O42" s="278" t="str">
        <f>IF(Table1[[#This Row],[h_Item Description]]="","",INDEX([1]!db[NB PAJAK],MATCH(Table1[[#This Row],[h_Item Description]],[1]!db[kode],0)))</f>
        <v>ISI PENSIL 2B 2.0 MM JOYKO PL-11</v>
      </c>
      <c r="P42" s="271" t="s">
        <v>232</v>
      </c>
      <c r="Q42" s="274">
        <v>37200</v>
      </c>
      <c r="R42" s="275">
        <v>0.125</v>
      </c>
      <c r="S42" s="275"/>
      <c r="T42" s="274">
        <f>Table1[[#This Row],[h_hargasetelahdiskon]]</f>
        <v>4687200</v>
      </c>
      <c r="V42" s="271"/>
      <c r="W42" s="278">
        <f ca="1">IF(Table1[[#This Row],[Item Description]]="","",IF(Table1[[#This Row],[//]]="",INDIRECT(ADDRESS(ROW()-1,COLUMN())),Table1[[#This Row],[//]]))</f>
        <v>34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5356800</v>
      </c>
      <c r="Z42" s="274">
        <f>IF(Table1[[#This Row],[h_hargasebelumdiskon]]="","",IF(Table1[[#This Row],[Disc 1]]="",0,Table1[[#This Row],[h_hargasebelumdiskon]]*Table1[[#This Row],[Disc 1]]))</f>
        <v>669600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669600</v>
      </c>
      <c r="AC42" s="274">
        <f>IF(Table1[Item Description]="","",Table1[[#This Row],[h_hargasebelumdiskon]]-Table1[[#This Row],[h_diskon]])</f>
        <v>4687200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ISI PENSIL 2B 2.0 MM JOYKO PL-11LSN37200</v>
      </c>
      <c r="AG42"/>
      <c r="AH42" s="491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108</v>
      </c>
      <c r="L43" s="271" t="s">
        <v>137</v>
      </c>
      <c r="M43" s="271">
        <v>3</v>
      </c>
      <c r="N43" s="271" t="s">
        <v>218</v>
      </c>
      <c r="O43" s="278" t="str">
        <f>IF(Table1[[#This Row],[h_Item Description]]="","",INDEX([1]!db[NB PAJAK],MATCH(Table1[[#This Row],[h_Item Description]],[1]!db[kode],0)))</f>
        <v>CORRECTION FLUID JOYKO CF-S225</v>
      </c>
      <c r="P43" s="271" t="s">
        <v>233</v>
      </c>
      <c r="Q43" s="274">
        <v>34200</v>
      </c>
      <c r="R43" s="275">
        <v>0.125</v>
      </c>
      <c r="S43" s="275"/>
      <c r="T43" s="274">
        <f>Table1[[#This Row],[h_hargasetelahdiskon]]</f>
        <v>3231900</v>
      </c>
      <c r="V43" s="271"/>
      <c r="W43" s="278">
        <f ca="1">IF(Table1[[#This Row],[Item Description]]="","",IF(Table1[[#This Row],[//]]="",INDIRECT(ADDRESS(ROW()-1,COLUMN())),Table1[[#This Row],[//]]))</f>
        <v>34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3693600</v>
      </c>
      <c r="Z43" s="274">
        <f>IF(Table1[[#This Row],[h_hargasebelumdiskon]]="","",IF(Table1[[#This Row],[Disc 1]]="",0,Table1[[#This Row],[h_hargasebelumdiskon]]*Table1[[#This Row],[Disc 1]]))</f>
        <v>461700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461700</v>
      </c>
      <c r="AC43" s="274">
        <f>IF(Table1[Item Description]="","",Table1[[#This Row],[h_hargasebelumdiskon]]-Table1[[#This Row],[h_diskon]])</f>
        <v>3231900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CF-S225LSN34200</v>
      </c>
      <c r="AG43"/>
      <c r="AH43" s="491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137</v>
      </c>
      <c r="M44" s="271">
        <v>5</v>
      </c>
      <c r="N44" s="271" t="s">
        <v>219</v>
      </c>
      <c r="O44" s="278" t="str">
        <f>IF(Table1[[#This Row],[h_Item Description]]="","",INDEX([1]!db[NB PAJAK],MATCH(Table1[[#This Row],[h_Item Description]],[1]!db[kode],0)))</f>
        <v>CORRECTION FLUID JOYKO CF-S221</v>
      </c>
      <c r="P44" s="271" t="s">
        <v>234</v>
      </c>
      <c r="Q44" s="274">
        <v>35400</v>
      </c>
      <c r="R44" s="275">
        <v>0.125</v>
      </c>
      <c r="S44" s="275"/>
      <c r="T44" s="274">
        <f>Table1[[#This Row],[h_hargasetelahdiskon]]</f>
        <v>7434000</v>
      </c>
      <c r="V44" s="271"/>
      <c r="W44" s="278">
        <f ca="1">IF(Table1[[#This Row],[Item Description]]="","",IF(Table1[[#This Row],[//]]="",INDIRECT(ADDRESS(ROW()-1,COLUMN())),Table1[[#This Row],[//]]))</f>
        <v>34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8496000</v>
      </c>
      <c r="Z44" s="274">
        <f>IF(Table1[[#This Row],[h_hargasebelumdiskon]]="","",IF(Table1[[#This Row],[Disc 1]]="",0,Table1[[#This Row],[h_hargasebelumdiskon]]*Table1[[#This Row],[Disc 1]]))</f>
        <v>1062000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1062000</v>
      </c>
      <c r="AC44" s="274">
        <f>IF(Table1[Item Description]="","",Table1[[#This Row],[h_hargasebelumdiskon]]-Table1[[#This Row],[h_diskon]])</f>
        <v>7434000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JOYKO CF-S221LSN35400</v>
      </c>
      <c r="AG44"/>
      <c r="AH44" s="491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240</v>
      </c>
      <c r="L45" s="271" t="s">
        <v>220</v>
      </c>
      <c r="M45" s="271">
        <v>5</v>
      </c>
      <c r="N45" s="271" t="s">
        <v>221</v>
      </c>
      <c r="O45" s="278" t="str">
        <f>IF(Table1[[#This Row],[h_Item Description]]="","",INDEX([1]!db[NB PAJAK],MATCH(Table1[[#This Row],[h_Item Description]],[1]!db[kode],0)))</f>
        <v>CORRECTION FLUID JOYKO CF-S224</v>
      </c>
      <c r="P45" s="271" t="s">
        <v>235</v>
      </c>
      <c r="Q45" s="274">
        <v>35400</v>
      </c>
      <c r="R45" s="275">
        <v>0.125</v>
      </c>
      <c r="S45" s="275"/>
      <c r="T45" s="274">
        <f>Table1[[#This Row],[h_hargasetelahdiskon]]</f>
        <v>7434000</v>
      </c>
      <c r="V45" s="271"/>
      <c r="W45" s="278">
        <f ca="1">IF(Table1[[#This Row],[Item Description]]="","",IF(Table1[[#This Row],[//]]="",INDIRECT(ADDRESS(ROW()-1,COLUMN())),Table1[[#This Row],[//]]))</f>
        <v>34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8496000</v>
      </c>
      <c r="Z45" s="274">
        <f>IF(Table1[[#This Row],[h_hargasebelumdiskon]]="","",IF(Table1[[#This Row],[Disc 1]]="",0,Table1[[#This Row],[h_hargasebelumdiskon]]*Table1[[#This Row],[Disc 1]]))</f>
        <v>1062000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1062000</v>
      </c>
      <c r="AC45" s="274">
        <f>IF(Table1[Item Description]="","",Table1[[#This Row],[h_hargasebelumdiskon]]-Table1[[#This Row],[h_diskon]])</f>
        <v>7434000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CORRECTION FLUID JOYKO CF-S224;SN35400</v>
      </c>
      <c r="AG45"/>
      <c r="AH45" s="491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36</v>
      </c>
      <c r="L46" s="271" t="s">
        <v>137</v>
      </c>
      <c r="M46" s="271">
        <v>1</v>
      </c>
      <c r="N46" s="271" t="s">
        <v>162</v>
      </c>
      <c r="O46" s="278" t="str">
        <f>IF(Table1[[#This Row],[h_Item Description]]="","",INDEX([1]!db[NB PAJAK],MATCH(Table1[[#This Row],[h_Item Description]],[1]!db[kode],0)))</f>
        <v>CORRECTION FLUID KENKO KE-108</v>
      </c>
      <c r="P46" s="271" t="s">
        <v>165</v>
      </c>
      <c r="Q46" s="274">
        <v>47100</v>
      </c>
      <c r="R46" s="275">
        <v>0.125</v>
      </c>
      <c r="S46" s="275"/>
      <c r="T46" s="274">
        <f>Table1[[#This Row],[h_hargasetelahdiskon]]</f>
        <v>1483650</v>
      </c>
      <c r="V46" s="271"/>
      <c r="W46" s="278">
        <f ca="1">IF(Table1[[#This Row],[Item Description]]="","",IF(Table1[[#This Row],[//]]="",INDIRECT(ADDRESS(ROW()-1,COLUMN())),Table1[[#This Row],[//]]))</f>
        <v>34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1695600</v>
      </c>
      <c r="Z46" s="274">
        <f>IF(Table1[[#This Row],[h_hargasebelumdiskon]]="","",IF(Table1[[#This Row],[Disc 1]]="",0,Table1[[#This Row],[h_hargasebelumdiskon]]*Table1[[#This Row],[Disc 1]]))</f>
        <v>211950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211950</v>
      </c>
      <c r="AC46" s="274">
        <f>IF(Table1[Item Description]="","",Table1[[#This Row],[h_hargasebelumdiskon]]-Table1[[#This Row],[h_diskon]])</f>
        <v>1483650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CORRECTION FLUID KENKO KE-108LSN47100</v>
      </c>
      <c r="AG46"/>
      <c r="AH46" s="491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480</v>
      </c>
      <c r="L47" s="271" t="s">
        <v>222</v>
      </c>
      <c r="M47" s="271">
        <v>2</v>
      </c>
      <c r="N47" s="271" t="s">
        <v>223</v>
      </c>
      <c r="O47" s="278" t="str">
        <f>IF(Table1[[#This Row],[h_Item Description]]="","",INDEX([1]!db[NB PAJAK],MATCH(Table1[[#This Row],[h_Item Description]],[1]!db[kode],0)))</f>
        <v>KUAS SET JOYKO BR-1</v>
      </c>
      <c r="P47" s="271" t="s">
        <v>236</v>
      </c>
      <c r="Q47" s="274">
        <v>8800</v>
      </c>
      <c r="R47" s="275">
        <v>0.125</v>
      </c>
      <c r="S47" s="275"/>
      <c r="T47" s="274">
        <f>Table1[[#This Row],[h_hargasetelahdiskon]]</f>
        <v>3696000</v>
      </c>
      <c r="V47" s="271"/>
      <c r="W47" s="278">
        <f ca="1">IF(Table1[[#This Row],[Item Description]]="","",IF(Table1[[#This Row],[//]]="",INDIRECT(ADDRESS(ROW()-1,COLUMN())),Table1[[#This Row],[//]]))</f>
        <v>34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4224000</v>
      </c>
      <c r="Z47" s="274">
        <f>IF(Table1[[#This Row],[h_hargasebelumdiskon]]="","",IF(Table1[[#This Row],[Disc 1]]="",0,Table1[[#This Row],[h_hargasebelumdiskon]]*Table1[[#This Row],[Disc 1]]))</f>
        <v>528000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528000</v>
      </c>
      <c r="AC47" s="274">
        <f>IF(Table1[Item Description]="","",Table1[[#This Row],[h_hargasebelumdiskon]]-Table1[[#This Row],[h_diskon]])</f>
        <v>3696000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KUAS SET JOYKO BR-1SET8800</v>
      </c>
      <c r="AG47"/>
      <c r="AH47" s="491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24</v>
      </c>
      <c r="L48" s="271" t="s">
        <v>137</v>
      </c>
      <c r="M48" s="271">
        <v>1</v>
      </c>
      <c r="N48" s="271" t="s">
        <v>224</v>
      </c>
      <c r="O48" s="278" t="str">
        <f>IF(Table1[[#This Row],[h_Item Description]]="","",INDEX([1]!db[NB PAJAK],MATCH(Table1[[#This Row],[h_Item Description]],[1]!db[kode],0)))</f>
        <v>JANGKA (MATH SET) JOYKO MS-25</v>
      </c>
      <c r="P48" s="271" t="s">
        <v>237</v>
      </c>
      <c r="Q48" s="274">
        <v>89400</v>
      </c>
      <c r="R48" s="275">
        <v>0.125</v>
      </c>
      <c r="S48" s="275"/>
      <c r="T48" s="274">
        <f>Table1[[#This Row],[h_hargasetelahdiskon]]</f>
        <v>1877400</v>
      </c>
      <c r="V48" s="271"/>
      <c r="W48" s="278">
        <f ca="1">IF(Table1[[#This Row],[Item Description]]="","",IF(Table1[[#This Row],[//]]="",INDIRECT(ADDRESS(ROW()-1,COLUMN())),Table1[[#This Row],[//]]))</f>
        <v>34</v>
      </c>
      <c r="X48" s="278">
        <f ca="1">IF(Table1[[#This Row],[h_id]]="","",COUNTIF(Table1[h_id],Table1[[#This Row],[h_id]]))</f>
        <v>16</v>
      </c>
      <c r="Y48" s="274">
        <f>IF(Table1[Item Description]="","",Table1[[#This Row],[Qty]]*Table1[[#This Row],[Unit Price]])</f>
        <v>2145600</v>
      </c>
      <c r="Z48" s="274">
        <f>IF(Table1[[#This Row],[h_hargasebelumdiskon]]="","",IF(Table1[[#This Row],[Disc 1]]="",0,Table1[[#This Row],[h_hargasebelumdiskon]]*Table1[[#This Row],[Disc 1]]))</f>
        <v>268200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268200</v>
      </c>
      <c r="AC48" s="274">
        <f>IF(Table1[Item Description]="","",Table1[[#This Row],[h_hargasebelumdiskon]]-Table1[[#This Row],[h_diskon]])</f>
        <v>1877400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JANGKA (MATH SET) JOYKO MS-25LSN89400</v>
      </c>
      <c r="AG48"/>
      <c r="AH48" s="491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24</v>
      </c>
      <c r="L49" s="271" t="s">
        <v>137</v>
      </c>
      <c r="M49" s="271">
        <v>1</v>
      </c>
      <c r="N49" s="271" t="s">
        <v>225</v>
      </c>
      <c r="O49" s="278" t="str">
        <f>IF(Table1[[#This Row],[h_Item Description]]="","",INDEX([1]!db[NB PAJAK],MATCH(Table1[[#This Row],[h_Item Description]],[1]!db[kode],0)))</f>
        <v>JANGKA (MATH SET) JOYKO MS-55</v>
      </c>
      <c r="P49" s="271" t="s">
        <v>238</v>
      </c>
      <c r="Q49" s="274">
        <v>89400</v>
      </c>
      <c r="R49" s="275">
        <v>0.125</v>
      </c>
      <c r="S49" s="275"/>
      <c r="T49" s="274">
        <f>Table1[[#This Row],[h_hargasetelahdiskon]]</f>
        <v>1877400</v>
      </c>
      <c r="V49" s="271"/>
      <c r="W49" s="278">
        <f ca="1">IF(Table1[[#This Row],[Item Description]]="","",IF(Table1[[#This Row],[//]]="",INDIRECT(ADDRESS(ROW()-1,COLUMN())),Table1[[#This Row],[//]]))</f>
        <v>34</v>
      </c>
      <c r="X49" s="278">
        <f ca="1">IF(Table1[[#This Row],[h_id]]="","",COUNTIF(Table1[h_id],Table1[[#This Row],[h_id]]))</f>
        <v>16</v>
      </c>
      <c r="Y49" s="274">
        <f>IF(Table1[Item Description]="","",Table1[[#This Row],[Qty]]*Table1[[#This Row],[Unit Price]])</f>
        <v>2145600</v>
      </c>
      <c r="Z49" s="274">
        <f>IF(Table1[[#This Row],[h_hargasebelumdiskon]]="","",IF(Table1[[#This Row],[Disc 1]]="",0,Table1[[#This Row],[h_hargasebelumdiskon]]*Table1[[#This Row],[Disc 1]]))</f>
        <v>268200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268200</v>
      </c>
      <c r="AC49" s="274">
        <f>IF(Table1[Item Description]="","",Table1[[#This Row],[h_hargasebelumdiskon]]-Table1[[#This Row],[h_diskon]])</f>
        <v>1877400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JANGKA (MATH SET) JOYKO MS-55LSN89400</v>
      </c>
      <c r="AG49"/>
      <c r="AH49" s="491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1">
        <f>SUM(AH34:AH49)</f>
        <v>82873000</v>
      </c>
      <c r="AI50"/>
    </row>
    <row r="51" spans="1:35" x14ac:dyDescent="0.25">
      <c r="A51" s="278">
        <f ca="1">IF(Table1[[#This Row],[No. Invoice :]]="","",ROW())</f>
        <v>51</v>
      </c>
      <c r="B51" s="278">
        <f ca="1">IF(Table1[Column3]="","",B$1+COUNT(INDIRECT("B$2:B"&amp;ROW()-1)))</f>
        <v>24010010</v>
      </c>
      <c r="C51" s="272">
        <f>IF(Table1[[#This Row],[Column2]]="","",Table1[[#This Row],[Column2]]+C$1-1)</f>
        <v>45297</v>
      </c>
      <c r="D51" s="282">
        <v>6</v>
      </c>
      <c r="E51" s="273" t="s">
        <v>239</v>
      </c>
      <c r="F51" s="271" t="s">
        <v>146</v>
      </c>
      <c r="G51" s="278" t="str">
        <f ca="1">IF(Table1[[#This Row],[h_No. Invoice :]]="","",CONCATENATE("AM"," ",Table1[[#This Row],[h_No. Invoice :]]))</f>
        <v>AM 24010010</v>
      </c>
      <c r="H51" s="271" t="str">
        <f>IF(Table1[[#This Row],[Column5]]="","",INDEX(Table2[Column1],MATCH(Table1[[#This Row],[Column5]],Table2[a],0)))</f>
        <v>G</v>
      </c>
      <c r="I51" s="279" t="str">
        <f>IF(Table1[[#This Row],[Column3]]=0,"",CONCATENATE(UPPER(Table1[[#This Row],[Column3]])," ",Table1[[#This Row],[Column4]]))</f>
        <v>G 0808</v>
      </c>
      <c r="J51" s="278" t="str">
        <f>IF(Table1[[#This Row],[Column5]]="","",INDEX(Table2[e],IF(Table1[[#This Row],[Column5]]="","",MATCH(Table1[[#This Row],[Column5]],Table2[a],0)),))</f>
        <v>LILY JULIAWATI (REJO AGUNG) JOMBANG</v>
      </c>
      <c r="K51" s="271">
        <v>288</v>
      </c>
      <c r="L51" s="271" t="s">
        <v>222</v>
      </c>
      <c r="M51" s="271">
        <v>1</v>
      </c>
      <c r="N51" s="271" t="s">
        <v>240</v>
      </c>
      <c r="O51" s="278" t="str">
        <f>IF(Table1[[#This Row],[h_Item Description]]="","",INDEX([1]!db[NB PAJAK],MATCH(Table1[[#This Row],[h_Item Description]],[1]!db[kode],0)))</f>
        <v>JANGKA (MATH SET) JOYKO MS-402</v>
      </c>
      <c r="P51" s="271" t="s">
        <v>251</v>
      </c>
      <c r="Q51" s="274">
        <v>12000</v>
      </c>
      <c r="R51" s="275">
        <v>0.125</v>
      </c>
      <c r="S51" s="275"/>
      <c r="T51" s="274">
        <f>Table1[[#This Row],[h_hargasetelahdiskon]]</f>
        <v>3024000</v>
      </c>
      <c r="U51" s="274" t="s">
        <v>130</v>
      </c>
      <c r="V51" s="271"/>
      <c r="W51" s="278">
        <f ca="1">IF(Table1[[#This Row],[Item Description]]="","",IF(Table1[[#This Row],[//]]="",INDIRECT(ADDRESS(ROW()-1,COLUMN())),Table1[[#This Row],[//]]))</f>
        <v>51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3456000</v>
      </c>
      <c r="Z51" s="274">
        <f>IF(Table1[[#This Row],[h_hargasebelumdiskon]]="","",IF(Table1[[#This Row],[Disc 1]]="",0,Table1[[#This Row],[h_hargasebelumdiskon]]*Table1[[#This Row],[Disc 1]]))</f>
        <v>432000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432000</v>
      </c>
      <c r="AC51" s="274">
        <f>IF(Table1[Item Description]="","",Table1[[#This Row],[h_hargasebelumdiskon]]-Table1[[#This Row],[h_diskon]])</f>
        <v>3024000</v>
      </c>
      <c r="AD51" s="274">
        <f ca="1">IF(Table1[//]="","",SUMIF(Table1[h_id],Table1[h_id],Table1[h_hargasetelahdiskon]))</f>
        <v>80924900</v>
      </c>
      <c r="AF51" s="274" t="str">
        <f>Table1[[#This Row],[Item Description]]&amp;Table1[[#This Row],[Unit]]&amp;Table1[[#This Row],[Unit Price]]</f>
        <v>JANGKA (MATH SET) JOYKO MS-402SET12000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160</v>
      </c>
      <c r="L52" s="271" t="s">
        <v>150</v>
      </c>
      <c r="M52" s="271">
        <v>1</v>
      </c>
      <c r="N52" s="271" t="s">
        <v>241</v>
      </c>
      <c r="O52" s="278" t="str">
        <f>IF(Table1[[#This Row],[h_Item Description]]="","",INDEX([1]!db[NB PAJAK],MATCH(Table1[[#This Row],[h_Item Description]],[1]!db[kode],0)))</f>
        <v>CALCULATOR JOYKO CC-37</v>
      </c>
      <c r="P52" s="271" t="s">
        <v>252</v>
      </c>
      <c r="Q52" s="274">
        <v>32000</v>
      </c>
      <c r="R52" s="275">
        <v>0.125</v>
      </c>
      <c r="S52" s="275"/>
      <c r="T52" s="274">
        <f>Table1[[#This Row],[h_hargasetelahdiskon]]</f>
        <v>4480000</v>
      </c>
      <c r="V52" s="271"/>
      <c r="W52" s="278">
        <f ca="1">IF(Table1[[#This Row],[Item Description]]="","",IF(Table1[[#This Row],[//]]="",INDIRECT(ADDRESS(ROW()-1,COLUMN())),Table1[[#This Row],[//]]))</f>
        <v>51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5120000</v>
      </c>
      <c r="Z52" s="274">
        <f>IF(Table1[[#This Row],[h_hargasebelumdiskon]]="","",IF(Table1[[#This Row],[Disc 1]]="",0,Table1[[#This Row],[h_hargasebelumdiskon]]*Table1[[#This Row],[Disc 1]]))</f>
        <v>640000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640000</v>
      </c>
      <c r="AC52" s="274">
        <f>IF(Table1[Item Description]="","",Table1[[#This Row],[h_hargasebelumdiskon]]-Table1[[#This Row],[h_diskon]])</f>
        <v>4480000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CC-37PCS32000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160</v>
      </c>
      <c r="L53" s="271" t="s">
        <v>150</v>
      </c>
      <c r="M53" s="271">
        <v>1</v>
      </c>
      <c r="N53" s="271" t="s">
        <v>242</v>
      </c>
      <c r="O53" s="278" t="str">
        <f>IF(Table1[[#This Row],[h_Item Description]]="","",INDEX([1]!db[NB PAJAK],MATCH(Table1[[#This Row],[h_Item Description]],[1]!db[kode],0)))</f>
        <v>CALCULATOR JOYKO CC-38</v>
      </c>
      <c r="P53" s="271" t="s">
        <v>253</v>
      </c>
      <c r="Q53" s="274">
        <v>27500</v>
      </c>
      <c r="R53" s="275">
        <v>0.125</v>
      </c>
      <c r="S53" s="275"/>
      <c r="T53" s="274">
        <f>Table1[[#This Row],[h_hargasetelahdiskon]]</f>
        <v>3850000</v>
      </c>
      <c r="V53" s="271"/>
      <c r="W53" s="278">
        <f ca="1">IF(Table1[[#This Row],[Item Description]]="","",IF(Table1[[#This Row],[//]]="",INDIRECT(ADDRESS(ROW()-1,COLUMN())),Table1[[#This Row],[//]]))</f>
        <v>51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4400000</v>
      </c>
      <c r="Z53" s="274">
        <f>IF(Table1[[#This Row],[h_hargasebelumdiskon]]="","",IF(Table1[[#This Row],[Disc 1]]="",0,Table1[[#This Row],[h_hargasebelumdiskon]]*Table1[[#This Row],[Disc 1]]))</f>
        <v>550000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550000</v>
      </c>
      <c r="AC53" s="274">
        <f>IF(Table1[Item Description]="","",Table1[[#This Row],[h_hargasebelumdiskon]]-Table1[[#This Row],[h_diskon]])</f>
        <v>3850000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CALCULATOR JOYKO CC-38PCS27500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120</v>
      </c>
      <c r="L54" s="271" t="s">
        <v>150</v>
      </c>
      <c r="M54" s="271">
        <v>1</v>
      </c>
      <c r="N54" s="271" t="s">
        <v>243</v>
      </c>
      <c r="O54" s="278" t="str">
        <f>IF(Table1[[#This Row],[h_Item Description]]="","",INDEX([1]!db[NB PAJAK],MATCH(Table1[[#This Row],[h_Item Description]],[1]!db[kode],0)))</f>
        <v>CALCULATOR JOYKO CC-8CO WARNA</v>
      </c>
      <c r="P54" s="271" t="s">
        <v>254</v>
      </c>
      <c r="Q54" s="274">
        <v>38000</v>
      </c>
      <c r="R54" s="275">
        <v>0.125</v>
      </c>
      <c r="S54" s="275"/>
      <c r="T54" s="274">
        <f>Table1[[#This Row],[h_hargasetelahdiskon]]</f>
        <v>3990000</v>
      </c>
      <c r="V54" s="271"/>
      <c r="W54" s="278">
        <f ca="1">IF(Table1[[#This Row],[Item Description]]="","",IF(Table1[[#This Row],[//]]="",INDIRECT(ADDRESS(ROW()-1,COLUMN())),Table1[[#This Row],[//]]))</f>
        <v>51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4560000</v>
      </c>
      <c r="Z54" s="274">
        <f>IF(Table1[[#This Row],[h_hargasebelumdiskon]]="","",IF(Table1[[#This Row],[Disc 1]]="",0,Table1[[#This Row],[h_hargasebelumdiskon]]*Table1[[#This Row],[Disc 1]]))</f>
        <v>570000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570000</v>
      </c>
      <c r="AC54" s="274">
        <f>IF(Table1[Item Description]="","",Table1[[#This Row],[h_hargasebelumdiskon]]-Table1[[#This Row],[h_diskon]])</f>
        <v>3990000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CALCULATOR JOYKO CC-8CO WARNAPCS38000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300</v>
      </c>
      <c r="L55" s="271" t="s">
        <v>244</v>
      </c>
      <c r="M55" s="271">
        <v>10</v>
      </c>
      <c r="N55" s="271" t="s">
        <v>245</v>
      </c>
      <c r="O55" s="278" t="str">
        <f>IF(Table1[[#This Row],[h_Item Description]]="","",INDEX([1]!db[NB PAJAK],MATCH(Table1[[#This Row],[h_Item Description]],[1]!db[kode],0)))</f>
        <v>PENSIL JOYKO 2B P-88</v>
      </c>
      <c r="P55" s="271" t="s">
        <v>255</v>
      </c>
      <c r="Q55" s="274">
        <v>104400</v>
      </c>
      <c r="R55" s="275">
        <v>0.125</v>
      </c>
      <c r="S55" s="275"/>
      <c r="T55" s="274">
        <f>Table1[[#This Row],[h_hargasetelahdiskon]]</f>
        <v>27405000</v>
      </c>
      <c r="V55" s="271"/>
      <c r="W55" s="278">
        <f ca="1">IF(Table1[[#This Row],[Item Description]]="","",IF(Table1[[#This Row],[//]]="",INDIRECT(ADDRESS(ROW()-1,COLUMN())),Table1[[#This Row],[//]]))</f>
        <v>51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31320000</v>
      </c>
      <c r="Z55" s="274">
        <f>IF(Table1[[#This Row],[h_hargasebelumdiskon]]="","",IF(Table1[[#This Row],[Disc 1]]="",0,Table1[[#This Row],[h_hargasebelumdiskon]]*Table1[[#This Row],[Disc 1]]))</f>
        <v>3915000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3915000</v>
      </c>
      <c r="AC55" s="274">
        <f>IF(Table1[Item Description]="","",Table1[[#This Row],[h_hargasebelumdiskon]]-Table1[[#This Row],[h_diskon]])</f>
        <v>27405000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PENSIL JOYKO 2B P-88GRS104400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500</v>
      </c>
      <c r="L56" s="271" t="s">
        <v>193</v>
      </c>
      <c r="M56" s="271">
        <v>10</v>
      </c>
      <c r="N56" s="271" t="s">
        <v>246</v>
      </c>
      <c r="O56" s="278" t="str">
        <f>IF(Table1[[#This Row],[h_Item Description]]="","",INDEX([1]!db[NB PAJAK],MATCH(Table1[[#This Row],[h_Item Description]],[1]!db[kode],0)))</f>
        <v>STIP / PENGHAPUS JOYKO 526-B20 PUTIH</v>
      </c>
      <c r="P56" s="271" t="s">
        <v>256</v>
      </c>
      <c r="Q56" s="274">
        <v>34100</v>
      </c>
      <c r="R56" s="275">
        <v>0.125</v>
      </c>
      <c r="S56" s="275"/>
      <c r="T56" s="274">
        <f>Table1[[#This Row],[h_hargasetelahdiskon]]</f>
        <v>14918750</v>
      </c>
      <c r="V56" s="271"/>
      <c r="W56" s="278">
        <f ca="1">IF(Table1[[#This Row],[Item Description]]="","",IF(Table1[[#This Row],[//]]="",INDIRECT(ADDRESS(ROW()-1,COLUMN())),Table1[[#This Row],[//]]))</f>
        <v>51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17050000</v>
      </c>
      <c r="Z56" s="274">
        <f>IF(Table1[[#This Row],[h_hargasebelumdiskon]]="","",IF(Table1[[#This Row],[Disc 1]]="",0,Table1[[#This Row],[h_hargasebelumdiskon]]*Table1[[#This Row],[Disc 1]]))</f>
        <v>2131250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2131250</v>
      </c>
      <c r="AC56" s="274">
        <f>IF(Table1[Item Description]="","",Table1[[#This Row],[h_hargasebelumdiskon]]-Table1[[#This Row],[h_diskon]])</f>
        <v>14918750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STIP / PENGHAPUS JOYKO 526-B20 PUTIHBOX34100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100</v>
      </c>
      <c r="L57" s="271" t="s">
        <v>193</v>
      </c>
      <c r="M57" s="271">
        <v>2</v>
      </c>
      <c r="N57" s="271" t="s">
        <v>247</v>
      </c>
      <c r="O57" s="278" t="str">
        <f>IF(Table1[[#This Row],[h_Item Description]]="","",INDEX([1]!db[NB PAJAK],MATCH(Table1[[#This Row],[h_Item Description]],[1]!db[kode],0)))</f>
        <v>STIP / PENGHAPUS JOYKO ER-B20BL HITAM</v>
      </c>
      <c r="P57" s="271" t="s">
        <v>257</v>
      </c>
      <c r="Q57" s="274">
        <v>34100</v>
      </c>
      <c r="R57" s="275">
        <v>0.125</v>
      </c>
      <c r="S57" s="275"/>
      <c r="T57" s="274">
        <f>Table1[[#This Row],[h_hargasetelahdiskon]]</f>
        <v>2983750</v>
      </c>
      <c r="V57" s="271"/>
      <c r="W57" s="278">
        <f ca="1">IF(Table1[[#This Row],[Item Description]]="","",IF(Table1[[#This Row],[//]]="",INDIRECT(ADDRESS(ROW()-1,COLUMN())),Table1[[#This Row],[//]]))</f>
        <v>51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3410000</v>
      </c>
      <c r="Z57" s="274">
        <f>IF(Table1[[#This Row],[h_hargasebelumdiskon]]="","",IF(Table1[[#This Row],[Disc 1]]="",0,Table1[[#This Row],[h_hargasebelumdiskon]]*Table1[[#This Row],[Disc 1]]))</f>
        <v>426250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426250</v>
      </c>
      <c r="AC57" s="274">
        <f>IF(Table1[Item Description]="","",Table1[[#This Row],[h_hargasebelumdiskon]]-Table1[[#This Row],[h_diskon]])</f>
        <v>2983750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STIP / PENGHAPUS JOYKO ER-B20BL HITAMBOX34100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720</v>
      </c>
      <c r="L58" s="271" t="s">
        <v>150</v>
      </c>
      <c r="M58" s="271">
        <v>5</v>
      </c>
      <c r="N58" s="271" t="s">
        <v>248</v>
      </c>
      <c r="O58" s="278" t="str">
        <f>IF(Table1[[#This Row],[h_Item Description]]="","",INDEX([1]!db[NB PAJAK],MATCH(Table1[[#This Row],[h_Item Description]],[1]!db[kode],0)))</f>
        <v>GUNTING JOYKO SC-848</v>
      </c>
      <c r="P58" s="271" t="s">
        <v>258</v>
      </c>
      <c r="Q58" s="274">
        <v>9750</v>
      </c>
      <c r="R58" s="275">
        <v>0.125</v>
      </c>
      <c r="S58" s="275"/>
      <c r="T58" s="274">
        <f>Table1[[#This Row],[h_hargasetelahdiskon]]</f>
        <v>6142500</v>
      </c>
      <c r="V58" s="271"/>
      <c r="W58" s="278">
        <f ca="1">IF(Table1[[#This Row],[Item Description]]="","",IF(Table1[[#This Row],[//]]="",INDIRECT(ADDRESS(ROW()-1,COLUMN())),Table1[[#This Row],[//]]))</f>
        <v>51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7020000</v>
      </c>
      <c r="Z58" s="274">
        <f>IF(Table1[[#This Row],[h_hargasebelumdiskon]]="","",IF(Table1[[#This Row],[Disc 1]]="",0,Table1[[#This Row],[h_hargasebelumdiskon]]*Table1[[#This Row],[Disc 1]]))</f>
        <v>877500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877500</v>
      </c>
      <c r="AC58" s="274">
        <f>IF(Table1[Item Description]="","",Table1[[#This Row],[h_hargasebelumdiskon]]-Table1[[#This Row],[h_diskon]])</f>
        <v>6142500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GUNTING JOYKO SC-848PCS9750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144</v>
      </c>
      <c r="L59" s="271" t="s">
        <v>222</v>
      </c>
      <c r="M59" s="271">
        <v>2</v>
      </c>
      <c r="N59" s="271" t="s">
        <v>249</v>
      </c>
      <c r="O59" s="278" t="str">
        <f>IF(Table1[[#This Row],[h_Item Description]]="","",INDEX([1]!db[NB PAJAK],MATCH(Table1[[#This Row],[h_Item Description]],[1]!db[kode],0)))</f>
        <v>CRAYON / OIL PASTEL PUTAR JOYKO TWCR-24S (PANJANG)</v>
      </c>
      <c r="P59" s="271" t="s">
        <v>259</v>
      </c>
      <c r="Q59" s="274">
        <v>47800</v>
      </c>
      <c r="R59" s="275">
        <v>0.125</v>
      </c>
      <c r="S59" s="275"/>
      <c r="T59" s="274">
        <f>Table1[[#This Row],[h_hargasetelahdiskon]]</f>
        <v>6022800</v>
      </c>
      <c r="V59" s="271"/>
      <c r="W59" s="278">
        <f ca="1">IF(Table1[[#This Row],[Item Description]]="","",IF(Table1[[#This Row],[//]]="",INDIRECT(ADDRESS(ROW()-1,COLUMN())),Table1[[#This Row],[//]]))</f>
        <v>51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6883200</v>
      </c>
      <c r="Z59" s="274">
        <f>IF(Table1[[#This Row],[h_hargasebelumdiskon]]="","",IF(Table1[[#This Row],[Disc 1]]="",0,Table1[[#This Row],[h_hargasebelumdiskon]]*Table1[[#This Row],[Disc 1]]))</f>
        <v>860400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860400</v>
      </c>
      <c r="AC59" s="274">
        <f>IF(Table1[Item Description]="","",Table1[[#This Row],[h_hargasebelumdiskon]]-Table1[[#This Row],[h_diskon]])</f>
        <v>6022800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CRAYON / OIL PASTEL PUTAR JOYKO TWCR-24S (PANJANG)SET47800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288</v>
      </c>
      <c r="L60" s="271" t="s">
        <v>222</v>
      </c>
      <c r="M60" s="271">
        <v>2</v>
      </c>
      <c r="N60" s="271" t="s">
        <v>250</v>
      </c>
      <c r="O60" s="278" t="str">
        <f>IF(Table1[[#This Row],[h_Item Description]]="","",INDEX([1]!db[NB PAJAK],MATCH(Table1[[#This Row],[h_Item Description]],[1]!db[kode],0)))</f>
        <v>CRAYON / OIL PASTEL PUTAR JOYKO TWCR-12MINI (PENDEK)</v>
      </c>
      <c r="P60" s="271" t="s">
        <v>260</v>
      </c>
      <c r="Q60" s="274">
        <v>18600</v>
      </c>
      <c r="R60" s="275">
        <v>0.125</v>
      </c>
      <c r="S60" s="275"/>
      <c r="T60" s="274">
        <f>Table1[[#This Row],[h_hargasetelahdiskon]]</f>
        <v>4687200</v>
      </c>
      <c r="V60" s="271"/>
      <c r="W60" s="278">
        <f ca="1">IF(Table1[[#This Row],[Item Description]]="","",IF(Table1[[#This Row],[//]]="",INDIRECT(ADDRESS(ROW()-1,COLUMN())),Table1[[#This Row],[//]]))</f>
        <v>51</v>
      </c>
      <c r="X60" s="278">
        <f ca="1">IF(Table1[[#This Row],[h_id]]="","",COUNTIF(Table1[h_id],Table1[[#This Row],[h_id]]))</f>
        <v>11</v>
      </c>
      <c r="Y60" s="274">
        <f>IF(Table1[Item Description]="","",Table1[[#This Row],[Qty]]*Table1[[#This Row],[Unit Price]])</f>
        <v>5356800</v>
      </c>
      <c r="Z60" s="274">
        <f>IF(Table1[[#This Row],[h_hargasebelumdiskon]]="","",IF(Table1[[#This Row],[Disc 1]]="",0,Table1[[#This Row],[h_hargasebelumdiskon]]*Table1[[#This Row],[Disc 1]]))</f>
        <v>669600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669600</v>
      </c>
      <c r="AC60" s="274">
        <f>IF(Table1[Item Description]="","",Table1[[#This Row],[h_hargasebelumdiskon]]-Table1[[#This Row],[h_diskon]])</f>
        <v>4687200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CRAYON / OIL PASTEL PUTAR JOYKO TWCR-12MINI (PENDEK)SET18600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72</v>
      </c>
      <c r="L61" s="271" t="s">
        <v>137</v>
      </c>
      <c r="M61" s="271">
        <v>2</v>
      </c>
      <c r="N61" s="271" t="s">
        <v>151</v>
      </c>
      <c r="O61" s="278" t="str">
        <f>IF(Table1[[#This Row],[h_Item Description]]="","",INDEX([1]!db[NB PAJAK],MATCH(Table1[[#This Row],[h_Item Description]],[1]!db[kode],0)))</f>
        <v>CORRECTION FLUID KENKO KE-01</v>
      </c>
      <c r="P61" s="271" t="s">
        <v>152</v>
      </c>
      <c r="Q61" s="274">
        <v>54300</v>
      </c>
      <c r="R61" s="275">
        <v>0.125</v>
      </c>
      <c r="S61" s="275"/>
      <c r="T61" s="274">
        <f>Table1[[#This Row],[h_hargasetelahdiskon]]</f>
        <v>3420900</v>
      </c>
      <c r="V61" s="271"/>
      <c r="W61" s="278">
        <f ca="1">IF(Table1[[#This Row],[Item Description]]="","",IF(Table1[[#This Row],[//]]="",INDIRECT(ADDRESS(ROW()-1,COLUMN())),Table1[[#This Row],[//]]))</f>
        <v>51</v>
      </c>
      <c r="X61" s="278">
        <f ca="1">IF(Table1[[#This Row],[h_id]]="","",COUNTIF(Table1[h_id],Table1[[#This Row],[h_id]]))</f>
        <v>11</v>
      </c>
      <c r="Y61" s="274">
        <f>IF(Table1[Item Description]="","",Table1[[#This Row],[Qty]]*Table1[[#This Row],[Unit Price]])</f>
        <v>3909600</v>
      </c>
      <c r="Z61" s="274">
        <f>IF(Table1[[#This Row],[h_hargasebelumdiskon]]="","",IF(Table1[[#This Row],[Disc 1]]="",0,Table1[[#This Row],[h_hargasebelumdiskon]]*Table1[[#This Row],[Disc 1]]))</f>
        <v>488700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488700</v>
      </c>
      <c r="AC61" s="274">
        <f>IF(Table1[Item Description]="","",Table1[[#This Row],[h_hargasebelumdiskon]]-Table1[[#This Row],[h_diskon]])</f>
        <v>3420900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CORRECTION FLUID KENKO KE-01LSN54300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24010011</v>
      </c>
      <c r="C63" s="272">
        <f>IF(Table1[[#This Row],[Column2]]="","",Table1[[#This Row],[Column2]]+C$1-1)</f>
        <v>45297</v>
      </c>
      <c r="D63" s="282">
        <v>6</v>
      </c>
      <c r="E63" s="273" t="s">
        <v>261</v>
      </c>
      <c r="F63" s="271" t="s">
        <v>262</v>
      </c>
      <c r="G63" s="278" t="str">
        <f ca="1">IF(Table1[[#This Row],[h_No. Invoice :]]="","",CONCATENATE("AM"," ",Table1[[#This Row],[h_No. Invoice :]]))</f>
        <v>AM 24010011</v>
      </c>
      <c r="H63" s="271" t="str">
        <f>IF(Table1[[#This Row],[Column5]]="","",INDEX(Table2[Column1],MATCH(Table1[[#This Row],[Column5]],Table2[a],0)))</f>
        <v>G</v>
      </c>
      <c r="I63" s="279" t="str">
        <f>IF(Table1[[#This Row],[Column3]]=0,"",CONCATENATE(UPPER(Table1[[#This Row],[Column3]])," ",Table1[[#This Row],[Column4]]))</f>
        <v>G 0811</v>
      </c>
      <c r="J63" s="278" t="str">
        <f>IF(Table1[[#This Row],[Column5]]="","",INDEX(Table2[e],IF(Table1[[#This Row],[Column5]]="","",MATCH(Table1[[#This Row],[Column5]],Table2[a],0)),))</f>
        <v>CV UTAMA PUTRA TULUNG AGUNG</v>
      </c>
      <c r="K63" s="271">
        <v>144</v>
      </c>
      <c r="L63" s="271" t="s">
        <v>137</v>
      </c>
      <c r="M63" s="271">
        <v>1</v>
      </c>
      <c r="N63" s="271" t="s">
        <v>263</v>
      </c>
      <c r="O63" s="278" t="e">
        <f>IF(Table1[[#This Row],[h_Item Description]]="","",INDEX([1]!db[NB PAJAK],MATCH(Table1[[#This Row],[h_Item Description]],[1]!db[kode],0)))</f>
        <v>#N/A</v>
      </c>
      <c r="P63" s="271" t="s">
        <v>264</v>
      </c>
      <c r="Q63" s="274">
        <v>39000</v>
      </c>
      <c r="R63" s="275">
        <v>0.125</v>
      </c>
      <c r="S63" s="275"/>
      <c r="T63" s="274">
        <f>Table1[[#This Row],[h_hargasetelahdiskon]]</f>
        <v>4914000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</v>
      </c>
      <c r="Y63" s="274">
        <f>IF(Table1[Item Description]="","",Table1[[#This Row],[Qty]]*Table1[[#This Row],[Unit Price]])</f>
        <v>5616000</v>
      </c>
      <c r="Z63" s="274">
        <f>IF(Table1[[#This Row],[h_hargasebelumdiskon]]="","",IF(Table1[[#This Row],[Disc 1]]="",0,Table1[[#This Row],[h_hargasebelumdiskon]]*Table1[[#This Row],[Disc 1]]))</f>
        <v>702000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702000</v>
      </c>
      <c r="AC63" s="274">
        <f>IF(Table1[Item Description]="","",Table1[[#This Row],[h_hargasebelumdiskon]]-Table1[[#This Row],[h_diskon]])</f>
        <v>4914000</v>
      </c>
      <c r="AD63" s="274">
        <f ca="1">IF(Table1[//]="","",SUMIF(Table1[h_id],Table1[h_id],Table1[h_hargasetelahdiskon]))</f>
        <v>4914000</v>
      </c>
      <c r="AF63" s="274" t="str">
        <f>Table1[[#This Row],[Item Description]]&amp;Table1[[#This Row],[Unit]]&amp;Table1[[#This Row],[Unit Price]]</f>
        <v>GEL PEN KENKO HI-TECH-H 0.4 MM HIJAULSN39000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>
        <f ca="1">IF(Table1[[#This Row],[No. Invoice :]]="","",ROW())</f>
        <v>65</v>
      </c>
      <c r="B65" s="278">
        <f ca="1">IF(Table1[Column3]="","",B$1+COUNT(INDIRECT("B$2:B"&amp;ROW()-1)))</f>
        <v>24010012</v>
      </c>
      <c r="C65" s="272">
        <f>IF(Table1[[#This Row],[Column2]]="","",Table1[[#This Row],[Column2]]+C$1-1)</f>
        <v>45297</v>
      </c>
      <c r="D65" s="282">
        <v>6</v>
      </c>
      <c r="E65" s="273" t="s">
        <v>274</v>
      </c>
      <c r="F65" s="271" t="s">
        <v>88</v>
      </c>
      <c r="G65" s="278" t="str">
        <f ca="1">IF(Table1[[#This Row],[h_No. Invoice :]]="","",CONCATENATE("AM"," ",Table1[[#This Row],[h_No. Invoice :]]))</f>
        <v>AM 24010012</v>
      </c>
      <c r="H65" s="271" t="str">
        <f>IF(Table1[[#This Row],[Column5]]="","",INDEX(Table2[Column1],MATCH(Table1[[#This Row],[Column5]],Table2[a],0)))</f>
        <v>KO</v>
      </c>
      <c r="I65" s="279" t="str">
        <f>IF(Table1[[#This Row],[Column3]]=0,"",CONCATENATE(UPPER(Table1[[#This Row],[Column3]])," ",Table1[[#This Row],[Column4]]))</f>
        <v>KO 0809</v>
      </c>
      <c r="J65" s="278" t="str">
        <f>IF(Table1[[#This Row],[Column5]]="","",INDEX(Table2[e],IF(Table1[[#This Row],[Column5]]="","",MATCH(Table1[[#This Row],[Column5]],Table2[a],0)),))</f>
        <v>CV  WISUDA PURWOKERTO</v>
      </c>
      <c r="K65" s="271">
        <v>5</v>
      </c>
      <c r="L65" s="271" t="s">
        <v>137</v>
      </c>
      <c r="N65" s="271" t="s">
        <v>265</v>
      </c>
      <c r="O65" s="278" t="e">
        <f>IF(Table1[[#This Row],[h_Item Description]]="","",INDEX([1]!db[NB PAJAK],MATCH(Table1[[#This Row],[h_Item Description]],[1]!db[kode],0)))</f>
        <v>#N/A</v>
      </c>
      <c r="P65" s="271" t="s">
        <v>270</v>
      </c>
      <c r="Q65" s="274">
        <v>31200</v>
      </c>
      <c r="R65" s="275">
        <v>0.1</v>
      </c>
      <c r="S65" s="275"/>
      <c r="T65" s="274">
        <f>Table1[[#This Row],[h_hargasetelahdiskon]]</f>
        <v>140400</v>
      </c>
      <c r="U65" s="274" t="s">
        <v>130</v>
      </c>
      <c r="V65" s="271"/>
      <c r="W65" s="278">
        <f ca="1">IF(Table1[[#This Row],[Item Description]]="","",IF(Table1[[#This Row],[//]]="",INDIRECT(ADDRESS(ROW()-1,COLUMN())),Table1[[#This Row],[//]]))</f>
        <v>65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156000</v>
      </c>
      <c r="Z65" s="274">
        <f>IF(Table1[[#This Row],[h_hargasebelumdiskon]]="","",IF(Table1[[#This Row],[Disc 1]]="",0,Table1[[#This Row],[h_hargasebelumdiskon]]*Table1[[#This Row],[Disc 1]]))</f>
        <v>15600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15600</v>
      </c>
      <c r="AC65" s="274">
        <f>IF(Table1[Item Description]="","",Table1[[#This Row],[h_hargasebelumdiskon]]-Table1[[#This Row],[h_diskon]])</f>
        <v>140400</v>
      </c>
      <c r="AD65" s="274">
        <f ca="1">IF(Table1[//]="","",SUMIF(Table1[h_id],Table1[h_id],Table1[h_hargasetelahdiskon]))</f>
        <v>954900</v>
      </c>
      <c r="AF65" s="274" t="str">
        <f>Table1[[#This Row],[Item Description]]&amp;Table1[[#This Row],[Unit]]&amp;Table1[[#This Row],[Unit Price]]</f>
        <v>PUSH PIN PP-30 JKLSN31200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3</v>
      </c>
      <c r="L66" s="271" t="s">
        <v>137</v>
      </c>
      <c r="N66" s="271" t="s">
        <v>266</v>
      </c>
      <c r="O66" s="278" t="str">
        <f>IF(Table1[[#This Row],[h_Item Description]]="","",INDEX([1]!db[NB PAJAK],MATCH(Table1[[#This Row],[h_Item Description]],[1]!db[kode],0)))</f>
        <v>CORRECTION TAPE KENKO CT-902 (12M x 5MM)</v>
      </c>
      <c r="P66" s="271" t="s">
        <v>271</v>
      </c>
      <c r="Q66" s="274">
        <v>60000</v>
      </c>
      <c r="R66" s="275">
        <v>0.1</v>
      </c>
      <c r="S66" s="275"/>
      <c r="T66" s="274">
        <f>Table1[[#This Row],[h_hargasetelahdiskon]]</f>
        <v>162000</v>
      </c>
      <c r="V66" s="271"/>
      <c r="W66" s="278">
        <f ca="1">IF(Table1[[#This Row],[Item Description]]="","",IF(Table1[[#This Row],[//]]="",INDIRECT(ADDRESS(ROW()-1,COLUMN())),Table1[[#This Row],[//]]))</f>
        <v>65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180000</v>
      </c>
      <c r="Z66" s="274">
        <f>IF(Table1[[#This Row],[h_hargasebelumdiskon]]="","",IF(Table1[[#This Row],[Disc 1]]="",0,Table1[[#This Row],[h_hargasebelumdiskon]]*Table1[[#This Row],[Disc 1]]))</f>
        <v>18000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18000</v>
      </c>
      <c r="AC66" s="274">
        <f>IF(Table1[Item Description]="","",Table1[[#This Row],[h_hargasebelumdiskon]]-Table1[[#This Row],[h_diskon]])</f>
        <v>162000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CORRECTION TAPE KENKO CT-902 (12M x 5MM)LSN60000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10</v>
      </c>
      <c r="L67" s="271" t="s">
        <v>267</v>
      </c>
      <c r="N67" s="271" t="s">
        <v>268</v>
      </c>
      <c r="O67" s="278" t="str">
        <f>IF(Table1[[#This Row],[h_Item Description]]="","",INDEX([1]!db[NB PAJAK],MATCH(Table1[[#This Row],[h_Item Description]],[1]!db[kode],0)))</f>
        <v>LABEL HARGA JOYKO LB-P2LN (2 LINE PUTIH)</v>
      </c>
      <c r="P67" s="271" t="s">
        <v>272</v>
      </c>
      <c r="Q67" s="274">
        <v>30500</v>
      </c>
      <c r="R67" s="275">
        <v>0.1</v>
      </c>
      <c r="S67" s="275"/>
      <c r="T67" s="274">
        <f>Table1[[#This Row],[h_hargasetelahdiskon]]</f>
        <v>274500</v>
      </c>
      <c r="V67" s="271"/>
      <c r="W67" s="278">
        <f ca="1">IF(Table1[[#This Row],[Item Description]]="","",IF(Table1[[#This Row],[//]]="",INDIRECT(ADDRESS(ROW()-1,COLUMN())),Table1[[#This Row],[//]]))</f>
        <v>65</v>
      </c>
      <c r="X67" s="278">
        <f ca="1">IF(Table1[[#This Row],[h_id]]="","",COUNTIF(Table1[h_id],Table1[[#This Row],[h_id]]))</f>
        <v>4</v>
      </c>
      <c r="Y67" s="274">
        <f>IF(Table1[Item Description]="","",Table1[[#This Row],[Qty]]*Table1[[#This Row],[Unit Price]])</f>
        <v>305000</v>
      </c>
      <c r="Z67" s="274">
        <f>IF(Table1[[#This Row],[h_hargasebelumdiskon]]="","",IF(Table1[[#This Row],[Disc 1]]="",0,Table1[[#This Row],[h_hargasebelumdiskon]]*Table1[[#This Row],[Disc 1]]))</f>
        <v>30500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30500</v>
      </c>
      <c r="AC67" s="274">
        <f>IF(Table1[Item Description]="","",Table1[[#This Row],[h_hargasebelumdiskon]]-Table1[[#This Row],[h_diskon]])</f>
        <v>274500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LABEL HARGA JOYKO LB-P2LN (2 LINE PUTIH)SLOP30500</v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10</v>
      </c>
      <c r="L68" s="271" t="s">
        <v>267</v>
      </c>
      <c r="N68" s="271" t="s">
        <v>269</v>
      </c>
      <c r="O68" s="278" t="str">
        <f>IF(Table1[[#This Row],[h_Item Description]]="","",INDEX([1]!db[NB PAJAK],MATCH(Table1[[#This Row],[h_Item Description]],[1]!db[kode],0)))</f>
        <v>LABEL HARGA JOYKO LB-P2CY (2 LINE KUNING)</v>
      </c>
      <c r="P68" s="271" t="s">
        <v>273</v>
      </c>
      <c r="Q68" s="274">
        <v>42000</v>
      </c>
      <c r="R68" s="275">
        <v>0.1</v>
      </c>
      <c r="S68" s="275"/>
      <c r="T68" s="274">
        <f>Table1[[#This Row],[h_hargasetelahdiskon]]</f>
        <v>378000</v>
      </c>
      <c r="V68" s="271"/>
      <c r="W68" s="278">
        <f ca="1">IF(Table1[[#This Row],[Item Description]]="","",IF(Table1[[#This Row],[//]]="",INDIRECT(ADDRESS(ROW()-1,COLUMN())),Table1[[#This Row],[//]]))</f>
        <v>65</v>
      </c>
      <c r="X68" s="278">
        <f ca="1">IF(Table1[[#This Row],[h_id]]="","",COUNTIF(Table1[h_id],Table1[[#This Row],[h_id]]))</f>
        <v>4</v>
      </c>
      <c r="Y68" s="274">
        <f>IF(Table1[Item Description]="","",Table1[[#This Row],[Qty]]*Table1[[#This Row],[Unit Price]])</f>
        <v>420000</v>
      </c>
      <c r="Z68" s="274">
        <f>IF(Table1[[#This Row],[h_hargasebelumdiskon]]="","",IF(Table1[[#This Row],[Disc 1]]="",0,Table1[[#This Row],[h_hargasebelumdiskon]]*Table1[[#This Row],[Disc 1]]))</f>
        <v>42000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42000</v>
      </c>
      <c r="AC68" s="274">
        <f>IF(Table1[Item Description]="","",Table1[[#This Row],[h_hargasebelumdiskon]]-Table1[[#This Row],[h_diskon]])</f>
        <v>378000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LABEL HARGA JOYKO LB-P2CY (2 LINE KUNING)SLOP42000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P69" s="271" t="s">
        <v>138</v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24010013</v>
      </c>
      <c r="C70" s="272">
        <f>IF(Table1[[#This Row],[Column2]]="","",Table1[[#This Row],[Column2]]+C$1-1)</f>
        <v>45297</v>
      </c>
      <c r="D70" s="282">
        <v>6</v>
      </c>
      <c r="E70" s="273" t="s">
        <v>275</v>
      </c>
      <c r="F70" s="271" t="s">
        <v>110</v>
      </c>
      <c r="G70" s="278" t="str">
        <f ca="1">IF(Table1[[#This Row],[h_No. Invoice :]]="","",CONCATENATE("AM"," ",Table1[[#This Row],[h_No. Invoice :]]))</f>
        <v>AM 24010013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0794</v>
      </c>
      <c r="J70" s="278" t="str">
        <f>IF(Table1[[#This Row],[Column5]]="","",INDEX(Table2[e],IF(Table1[[#This Row],[Column5]]="","",MATCH(Table1[[#This Row],[Column5]],Table2[a],0)),))</f>
        <v>GUNAWAN HARTONO KUSUMA ( NIKI SAE ) TULUNG AGUNG</v>
      </c>
      <c r="K70" s="271">
        <v>100</v>
      </c>
      <c r="L70" s="271" t="s">
        <v>193</v>
      </c>
      <c r="M70" s="271">
        <v>2</v>
      </c>
      <c r="N70" s="271" t="s">
        <v>276</v>
      </c>
      <c r="O70" s="278" t="str">
        <f>IF(Table1[[#This Row],[h_Item Description]]="","",INDEX([1]!db[NB PAJAK],MATCH(Table1[[#This Row],[h_Item Description]],[1]!db[kode],0)))</f>
        <v>STIP / PENGHAPUS JOYKO ER-30W PUTIH</v>
      </c>
      <c r="P70" s="271" t="s">
        <v>289</v>
      </c>
      <c r="Q70" s="274">
        <v>32000</v>
      </c>
      <c r="R70" s="275">
        <v>0.125</v>
      </c>
      <c r="S70" s="275"/>
      <c r="T70" s="274">
        <f>Table1[[#This Row],[h_hargasetelahdiskon]]</f>
        <v>2800000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3200000</v>
      </c>
      <c r="Z70" s="274">
        <f>IF(Table1[[#This Row],[h_hargasebelumdiskon]]="","",IF(Table1[[#This Row],[Disc 1]]="",0,Table1[[#This Row],[h_hargasebelumdiskon]]*Table1[[#This Row],[Disc 1]]))</f>
        <v>400000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400000</v>
      </c>
      <c r="AC70" s="274">
        <f>IF(Table1[Item Description]="","",Table1[[#This Row],[h_hargasebelumdiskon]]-Table1[[#This Row],[h_diskon]])</f>
        <v>2800000</v>
      </c>
      <c r="AD70" s="274">
        <f ca="1">IF(Table1[//]="","",SUMIF(Table1[h_id],Table1[h_id],Table1[h_hargasetelahdiskon]))</f>
        <v>29139250</v>
      </c>
      <c r="AF70" s="274" t="str">
        <f>Table1[[#This Row],[Item Description]]&amp;Table1[[#This Row],[Unit]]&amp;Table1[[#This Row],[Unit Price]]</f>
        <v>STIP / PENGHAPUS JOYKO ER-30W PUTIHBOX32000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100</v>
      </c>
      <c r="L71" s="271" t="s">
        <v>193</v>
      </c>
      <c r="M71" s="271">
        <v>2</v>
      </c>
      <c r="N71" s="271" t="s">
        <v>277</v>
      </c>
      <c r="O71" s="278" t="str">
        <f>IF(Table1[[#This Row],[h_Item Description]]="","",INDEX([1]!db[NB PAJAK],MATCH(Table1[[#This Row],[h_Item Description]],[1]!db[kode],0)))</f>
        <v>STIP / PENGHAPUS JOYKO 526-B40P PUTIH</v>
      </c>
      <c r="P71" s="271" t="s">
        <v>290</v>
      </c>
      <c r="Q71" s="274">
        <v>28300</v>
      </c>
      <c r="R71" s="275">
        <v>0.125</v>
      </c>
      <c r="S71" s="275"/>
      <c r="T71" s="274">
        <f>Table1[[#This Row],[h_hargasetelahdiskon]]</f>
        <v>2476250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2830000</v>
      </c>
      <c r="Z71" s="274">
        <f>IF(Table1[[#This Row],[h_hargasebelumdiskon]]="","",IF(Table1[[#This Row],[Disc 1]]="",0,Table1[[#This Row],[h_hargasebelumdiskon]]*Table1[[#This Row],[Disc 1]]))</f>
        <v>353750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353750</v>
      </c>
      <c r="AC71" s="274">
        <f>IF(Table1[Item Description]="","",Table1[[#This Row],[h_hargasebelumdiskon]]-Table1[[#This Row],[h_diskon]])</f>
        <v>2476250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526-B40P PUTIHBOX28300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193</v>
      </c>
      <c r="M72" s="271">
        <v>1</v>
      </c>
      <c r="N72" s="271" t="s">
        <v>247</v>
      </c>
      <c r="O72" s="278" t="str">
        <f>IF(Table1[[#This Row],[h_Item Description]]="","",INDEX([1]!db[NB PAJAK],MATCH(Table1[[#This Row],[h_Item Description]],[1]!db[kode],0)))</f>
        <v>STIP / PENGHAPUS JOYKO ER-B20BL HITAM</v>
      </c>
      <c r="P72" s="271" t="s">
        <v>257</v>
      </c>
      <c r="Q72" s="274">
        <v>34100</v>
      </c>
      <c r="R72" s="275">
        <v>0.125</v>
      </c>
      <c r="S72" s="275"/>
      <c r="T72" s="274">
        <f>Table1[[#This Row],[h_hargasetelahdiskon]]</f>
        <v>1491875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1705000</v>
      </c>
      <c r="Z72" s="274">
        <f>IF(Table1[[#This Row],[h_hargasebelumdiskon]]="","",IF(Table1[[#This Row],[Disc 1]]="",0,Table1[[#This Row],[h_hargasebelumdiskon]]*Table1[[#This Row],[Disc 1]]))</f>
        <v>213125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213125</v>
      </c>
      <c r="AC72" s="274">
        <f>IF(Table1[Item Description]="","",Table1[[#This Row],[h_hargasebelumdiskon]]-Table1[[#This Row],[h_diskon]])</f>
        <v>1491875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ER-B20BL HITAMBOX34100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193</v>
      </c>
      <c r="M73" s="271">
        <v>1</v>
      </c>
      <c r="N73" s="271" t="s">
        <v>278</v>
      </c>
      <c r="O73" s="278" t="str">
        <f>IF(Table1[[#This Row],[h_Item Description]]="","",INDEX([1]!db[NB PAJAK],MATCH(Table1[[#This Row],[h_Item Description]],[1]!db[kode],0)))</f>
        <v>STIP / PENGHAPUS JOYKO EB-30 HITAM</v>
      </c>
      <c r="P73" s="271" t="s">
        <v>291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EB-30 HITAMBOX32000</v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50</v>
      </c>
      <c r="L74" s="271" t="s">
        <v>193</v>
      </c>
      <c r="M74" s="271">
        <v>1</v>
      </c>
      <c r="N74" s="271" t="s">
        <v>279</v>
      </c>
      <c r="O74" s="278" t="str">
        <f>IF(Table1[[#This Row],[h_Item Description]]="","",INDEX([1]!db[NB PAJAK],MATCH(Table1[[#This Row],[h_Item Description]],[1]!db[kode],0)))</f>
        <v>STIP / PENGHAPUS JOYKO 526-B40BL HITAM</v>
      </c>
      <c r="P74" s="281" t="s">
        <v>292</v>
      </c>
      <c r="Q74" s="274">
        <v>28300</v>
      </c>
      <c r="R74" s="275">
        <v>0.125</v>
      </c>
      <c r="S74" s="275"/>
      <c r="T74" s="274">
        <f>Table1[[#This Row],[h_hargasetelahdiskon]]</f>
        <v>1238125</v>
      </c>
      <c r="V74" s="271"/>
      <c r="W74" s="278">
        <f ca="1">IF(Table1[[#This Row],[Item Description]]="","",IF(Table1[[#This Row],[//]]="",INDIRECT(ADDRESS(ROW()-1,COLUMN())),Table1[[#This Row],[//]]))</f>
        <v>70</v>
      </c>
      <c r="X74" s="278">
        <f ca="1">IF(Table1[[#This Row],[h_id]]="","",COUNTIF(Table1[h_id],Table1[[#This Row],[h_id]]))</f>
        <v>14</v>
      </c>
      <c r="Y74" s="274">
        <f>IF(Table1[Item Description]="","",Table1[[#This Row],[Qty]]*Table1[[#This Row],[Unit Price]])</f>
        <v>1415000</v>
      </c>
      <c r="Z74" s="274">
        <f>IF(Table1[[#This Row],[h_hargasebelumdiskon]]="","",IF(Table1[[#This Row],[Disc 1]]="",0,Table1[[#This Row],[h_hargasebelumdiskon]]*Table1[[#This Row],[Disc 1]]))</f>
        <v>176875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176875</v>
      </c>
      <c r="AC74" s="274">
        <f>IF(Table1[Item Description]="","",Table1[[#This Row],[h_hargasebelumdiskon]]-Table1[[#This Row],[h_diskon]])</f>
        <v>1238125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STIP / PENGHAPUS JOYKO 526-B40BL HITAMBOX28300</v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193</v>
      </c>
      <c r="M75" s="271">
        <v>1</v>
      </c>
      <c r="N75" s="271" t="s">
        <v>280</v>
      </c>
      <c r="O75" s="278" t="s">
        <v>287</v>
      </c>
      <c r="P75" s="271" t="s">
        <v>287</v>
      </c>
      <c r="Q75" s="274">
        <v>32000</v>
      </c>
      <c r="R75" s="275">
        <v>0.125</v>
      </c>
      <c r="S75" s="275"/>
      <c r="T75" s="274">
        <f>Table1[[#This Row],[h_hargasetelahdiskon]]</f>
        <v>1400000</v>
      </c>
      <c r="V75" s="271"/>
      <c r="W75" s="278">
        <f ca="1">IF(Table1[[#This Row],[Item Description]]="","",IF(Table1[[#This Row],[//]]="",INDIRECT(ADDRESS(ROW()-1,COLUMN())),Table1[[#This Row],[//]]))</f>
        <v>70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1600000</v>
      </c>
      <c r="Z75" s="274">
        <f>IF(Table1[[#This Row],[h_hargasebelumdiskon]]="","",IF(Table1[[#This Row],[Disc 1]]="",0,Table1[[#This Row],[h_hargasebelumdiskon]]*Table1[[#This Row],[Disc 1]]))</f>
        <v>200000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200000</v>
      </c>
      <c r="AC75" s="274">
        <f>IF(Table1[Item Description]="","",Table1[[#This Row],[h_hargasebelumdiskon]]-Table1[[#This Row],[h_diskon]])</f>
        <v>1400000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ER-106BOX32000</v>
      </c>
      <c r="AG75"/>
      <c r="AH75"/>
      <c r="AI75"/>
    </row>
    <row r="76" spans="1:35" s="490" customFormat="1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>
        <v>50</v>
      </c>
      <c r="L76" s="486" t="s">
        <v>193</v>
      </c>
      <c r="M76" s="486">
        <v>1</v>
      </c>
      <c r="N76" s="486" t="s">
        <v>281</v>
      </c>
      <c r="O76" s="482" t="str">
        <f>IF(Table1[[#This Row],[h_Item Description]]="","",INDEX([1]!db[NB PAJAK],MATCH(Table1[[#This Row],[h_Item Description]],[1]!db[kode],0)))</f>
        <v>STIP / PENGHAPUS JOYKO ER-107 ANIMAL (isi 30 pc)</v>
      </c>
      <c r="P76" s="486" t="s">
        <v>296</v>
      </c>
      <c r="Q76" s="488">
        <v>32300</v>
      </c>
      <c r="R76" s="489">
        <v>0.125</v>
      </c>
      <c r="S76" s="489"/>
      <c r="T76" s="488">
        <f>Table1[[#This Row],[h_hargasetelahdiskon]]</f>
        <v>1413125</v>
      </c>
      <c r="U76" s="488"/>
      <c r="V76" s="486"/>
      <c r="W76" s="482">
        <f ca="1">IF(Table1[[#This Row],[Item Description]]="","",IF(Table1[[#This Row],[//]]="",INDIRECT(ADDRESS(ROW()-1,COLUMN())),Table1[[#This Row],[//]]))</f>
        <v>70</v>
      </c>
      <c r="X76" s="482">
        <f ca="1">IF(Table1[[#This Row],[h_id]]="","",COUNTIF(Table1[h_id],Table1[[#This Row],[h_id]]))</f>
        <v>14</v>
      </c>
      <c r="Y76" s="488">
        <f>IF(Table1[Item Description]="","",Table1[[#This Row],[Qty]]*Table1[[#This Row],[Unit Price]])</f>
        <v>1615000</v>
      </c>
      <c r="Z76" s="488">
        <f>IF(Table1[[#This Row],[h_hargasebelumdiskon]]="","",IF(Table1[[#This Row],[Disc 1]]="",0,Table1[[#This Row],[h_hargasebelumdiskon]]*Table1[[#This Row],[Disc 1]]))</f>
        <v>201875</v>
      </c>
      <c r="AA76" s="488">
        <f>IF(Table1[[#This Row],[h_hargasebelumdiskon]]="","",IF(Table1[[#This Row],[Disc 2]]="",0,(Table1[[#This Row],[h_hargasebelumdiskon]]-Table1[[#This Row],[h_disc 1]])*Table1[[#This Row],[Disc 2]]))</f>
        <v>0</v>
      </c>
      <c r="AB76" s="488">
        <f>IF(Table1[Item Description]="","",Table1[[#This Row],[h_disc 1]]+Table1[[#This Row],[h_disc 2]])</f>
        <v>201875</v>
      </c>
      <c r="AC76" s="488">
        <f>IF(Table1[Item Description]="","",Table1[[#This Row],[h_hargasebelumdiskon]]-Table1[[#This Row],[h_diskon]])</f>
        <v>1413125</v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>STIP / PENGHAPUS JOYKO ER-107BOX32300</v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50</v>
      </c>
      <c r="L77" s="271" t="s">
        <v>193</v>
      </c>
      <c r="M77" s="271">
        <v>1</v>
      </c>
      <c r="N77" s="271" t="s">
        <v>282</v>
      </c>
      <c r="O77" s="278" t="s">
        <v>287</v>
      </c>
      <c r="P77" s="271" t="s">
        <v>297</v>
      </c>
      <c r="Q77" s="274">
        <v>32300</v>
      </c>
      <c r="R77" s="275">
        <v>0.125</v>
      </c>
      <c r="S77" s="275"/>
      <c r="T77" s="274">
        <f>Table1[[#This Row],[h_hargasetelahdiskon]]</f>
        <v>1413125</v>
      </c>
      <c r="V77" s="271"/>
      <c r="W77" s="278">
        <f ca="1">IF(Table1[[#This Row],[Item Description]]="","",IF(Table1[[#This Row],[//]]="",INDIRECT(ADDRESS(ROW()-1,COLUMN())),Table1[[#This Row],[//]]))</f>
        <v>70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1615000</v>
      </c>
      <c r="Z77" s="274">
        <f>IF(Table1[[#This Row],[h_hargasebelumdiskon]]="","",IF(Table1[[#This Row],[Disc 1]]="",0,Table1[[#This Row],[h_hargasebelumdiskon]]*Table1[[#This Row],[Disc 1]]))</f>
        <v>201875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201875</v>
      </c>
      <c r="AC77" s="274">
        <f>IF(Table1[Item Description]="","",Table1[[#This Row],[h_hargasebelumdiskon]]-Table1[[#This Row],[h_diskon]])</f>
        <v>1413125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STIP / PENGHAPUS JOYKO ER-108BOX32300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50</v>
      </c>
      <c r="L78" s="271" t="s">
        <v>193</v>
      </c>
      <c r="M78" s="271">
        <v>1</v>
      </c>
      <c r="N78" s="271" t="s">
        <v>283</v>
      </c>
      <c r="O78" s="278" t="s">
        <v>287</v>
      </c>
      <c r="P78" s="271" t="s">
        <v>298</v>
      </c>
      <c r="Q78" s="274">
        <v>36200</v>
      </c>
      <c r="R78" s="275">
        <v>0.125</v>
      </c>
      <c r="S78" s="275"/>
      <c r="T78" s="274">
        <f>Table1[[#This Row],[h_hargasetelahdiskon]]</f>
        <v>1583750</v>
      </c>
      <c r="V78" s="271"/>
      <c r="W78" s="278">
        <f ca="1">IF(Table1[[#This Row],[Item Description]]="","",IF(Table1[[#This Row],[//]]="",INDIRECT(ADDRESS(ROW()-1,COLUMN())),Table1[[#This Row],[//]]))</f>
        <v>70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1810000</v>
      </c>
      <c r="Z78" s="274">
        <f>IF(Table1[[#This Row],[h_hargasebelumdiskon]]="","",IF(Table1[[#This Row],[Disc 1]]="",0,Table1[[#This Row],[h_hargasebelumdiskon]]*Table1[[#This Row],[Disc 1]]))</f>
        <v>226250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226250</v>
      </c>
      <c r="AC78" s="274">
        <f>IF(Table1[Item Description]="","",Table1[[#This Row],[h_hargasebelumdiskon]]-Table1[[#This Row],[h_diskon]])</f>
        <v>1583750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STIP / PENGHAPUS JOYKO ER-116BOX36200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64</v>
      </c>
      <c r="L79" s="271" t="s">
        <v>137</v>
      </c>
      <c r="M79" s="271">
        <v>1</v>
      </c>
      <c r="N79" s="271" t="s">
        <v>284</v>
      </c>
      <c r="O79" s="278" t="str">
        <f>IF(Table1[[#This Row],[h_Item Description]]="","",INDEX([1]!db[NB PAJAK],MATCH(Table1[[#This Row],[h_Item Description]],[1]!db[kode],0)))</f>
        <v>LEM STICK JOYKO 8 GR GS-09 isi 12 pc</v>
      </c>
      <c r="P79" s="271" t="s">
        <v>293</v>
      </c>
      <c r="Q79" s="274">
        <v>25200</v>
      </c>
      <c r="R79" s="275">
        <v>0.125</v>
      </c>
      <c r="S79" s="275"/>
      <c r="T79" s="274">
        <f>Table1[[#This Row],[h_hargasetelahdiskon]]</f>
        <v>1411200</v>
      </c>
      <c r="V79" s="271"/>
      <c r="W79" s="278">
        <f ca="1">IF(Table1[[#This Row],[Item Description]]="","",IF(Table1[[#This Row],[//]]="",INDIRECT(ADDRESS(ROW()-1,COLUMN())),Table1[[#This Row],[//]]))</f>
        <v>70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1612800</v>
      </c>
      <c r="Z79" s="274">
        <f>IF(Table1[[#This Row],[h_hargasebelumdiskon]]="","",IF(Table1[[#This Row],[Disc 1]]="",0,Table1[[#This Row],[h_hargasebelumdiskon]]*Table1[[#This Row],[Disc 1]]))</f>
        <v>201600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201600</v>
      </c>
      <c r="AC79" s="274">
        <f>IF(Table1[Item Description]="","",Table1[[#This Row],[h_hargasebelumdiskon]]-Table1[[#This Row],[h_diskon]])</f>
        <v>1411200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8 GR GS-09 isi 12 pcLSN25200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193</v>
      </c>
      <c r="M80" s="271">
        <v>2</v>
      </c>
      <c r="N80" s="271" t="s">
        <v>213</v>
      </c>
      <c r="O80" s="278" t="str">
        <f>IF(Table1[[#This Row],[h_Item Description]]="","",INDEX([1]!db[NB PAJAK],MATCH(Table1[[#This Row],[h_Item Description]],[1]!db[kode],0)))</f>
        <v>LEM STICK JOYKO 15 GR GS-104 TG (ANIMAL KINGDOM) isi 24 pc</v>
      </c>
      <c r="P80" s="271" t="s">
        <v>229</v>
      </c>
      <c r="Q80" s="274">
        <v>58800</v>
      </c>
      <c r="R80" s="275">
        <v>0.125</v>
      </c>
      <c r="S80" s="275"/>
      <c r="T80" s="274">
        <f>Table1[[#This Row],[h_hargasetelahdiskon]]</f>
        <v>3704400</v>
      </c>
      <c r="V80" s="271"/>
      <c r="W80" s="278">
        <f ca="1">IF(Table1[[#This Row],[Item Description]]="","",IF(Table1[[#This Row],[//]]="",INDIRECT(ADDRESS(ROW()-1,COLUMN())),Table1[[#This Row],[//]]))</f>
        <v>70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4233600</v>
      </c>
      <c r="Z80" s="274">
        <f>IF(Table1[[#This Row],[h_hargasebelumdiskon]]="","",IF(Table1[[#This Row],[Disc 1]]="",0,Table1[[#This Row],[h_hargasebelumdiskon]]*Table1[[#This Row],[Disc 1]]))</f>
        <v>529200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529200</v>
      </c>
      <c r="AC80" s="274">
        <f>IF(Table1[Item Description]="","",Table1[[#This Row],[h_hargasebelumdiskon]]-Table1[[#This Row],[h_diskon]])</f>
        <v>3704400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15 GR GS-104 TG (ANIMAL KINGDOM) isi 24 pcBOX58800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108</v>
      </c>
      <c r="L81" s="271" t="s">
        <v>137</v>
      </c>
      <c r="M81" s="271">
        <v>2</v>
      </c>
      <c r="N81" s="271" t="s">
        <v>285</v>
      </c>
      <c r="O81" s="278" t="str">
        <f>IF(Table1[[#This Row],[h_Item Description]]="","",INDEX([1]!db[NB PAJAK],MATCH(Table1[[#This Row],[h_Item Description]],[1]!db[kode],0)))</f>
        <v>LEM STICK JOYKO 15 GR GS-15 isi 12 pc</v>
      </c>
      <c r="P81" s="271" t="s">
        <v>294</v>
      </c>
      <c r="Q81" s="274">
        <v>39600</v>
      </c>
      <c r="R81" s="275">
        <v>0.125</v>
      </c>
      <c r="S81" s="275"/>
      <c r="T81" s="274">
        <f>Table1[[#This Row],[h_hargasetelahdiskon]]</f>
        <v>3742200</v>
      </c>
      <c r="V81" s="271"/>
      <c r="W81" s="278">
        <f ca="1">IF(Table1[[#This Row],[Item Description]]="","",IF(Table1[[#This Row],[//]]="",INDIRECT(ADDRESS(ROW()-1,COLUMN())),Table1[[#This Row],[//]]))</f>
        <v>70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4276800</v>
      </c>
      <c r="Z81" s="274">
        <f>IF(Table1[[#This Row],[h_hargasebelumdiskon]]="","",IF(Table1[[#This Row],[Disc 1]]="",0,Table1[[#This Row],[h_hargasebelumdiskon]]*Table1[[#This Row],[Disc 1]]))</f>
        <v>534600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534600</v>
      </c>
      <c r="AC81" s="274">
        <f>IF(Table1[Item Description]="","",Table1[[#This Row],[h_hargasebelumdiskon]]-Table1[[#This Row],[h_diskon]])</f>
        <v>3742200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LEM STICK JOYKO 15 GR GS-15 isi 12 pcLSN39600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>
        <v>72</v>
      </c>
      <c r="L82" s="271" t="s">
        <v>137</v>
      </c>
      <c r="M82" s="271">
        <v>2</v>
      </c>
      <c r="N82" s="271" t="s">
        <v>288</v>
      </c>
      <c r="O82" s="278" t="str">
        <f>IF(Table1[[#This Row],[h_Item Description]]="","",INDEX([1]!db[NB PAJAK],MATCH(Table1[[#This Row],[h_Item Description]],[1]!db[kode],0)))</f>
        <v>LEM STICK JOYKO 25 GR GS-25 isi 12 pc</v>
      </c>
      <c r="P82" s="271" t="s">
        <v>295</v>
      </c>
      <c r="Q82" s="274">
        <v>52800</v>
      </c>
      <c r="R82" s="275">
        <v>0.125</v>
      </c>
      <c r="S82" s="275"/>
      <c r="T82" s="274">
        <f>Table1[[#This Row],[h_hargasetelahdiskon]]</f>
        <v>3326400</v>
      </c>
      <c r="V82" s="271"/>
      <c r="W82" s="278">
        <f ca="1">IF(Table1[[#This Row],[Item Description]]="","",IF(Table1[[#This Row],[//]]="",INDIRECT(ADDRESS(ROW()-1,COLUMN())),Table1[[#This Row],[//]]))</f>
        <v>70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3801600</v>
      </c>
      <c r="Z82" s="274">
        <f>IF(Table1[[#This Row],[h_hargasebelumdiskon]]="","",IF(Table1[[#This Row],[Disc 1]]="",0,Table1[[#This Row],[h_hargasebelumdiskon]]*Table1[[#This Row],[Disc 1]]))</f>
        <v>475200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475200</v>
      </c>
      <c r="AC82" s="274">
        <f>IF(Table1[Item Description]="","",Table1[[#This Row],[h_hargasebelumdiskon]]-Table1[[#This Row],[h_diskon]])</f>
        <v>3326400</v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>LEM STICK JOYKO 25 GR GS-25 isi 12 pcLSN52800</v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288</v>
      </c>
      <c r="L83" s="271" t="s">
        <v>137</v>
      </c>
      <c r="M83" s="271">
        <v>2</v>
      </c>
      <c r="N83" s="271" t="s">
        <v>286</v>
      </c>
      <c r="O83" s="278" t="str">
        <f>IF(Table1[[#This Row],[h_Item Description]]="","",INDEX([1]!db[NB PAJAK],MATCH(Table1[[#This Row],[h_Item Description]],[1]!db[kode],0)))</f>
        <v>BALLPEN JOYKO BP-249 LINO HITAM</v>
      </c>
      <c r="P83" s="271" t="s">
        <v>168</v>
      </c>
      <c r="Q83" s="274">
        <v>6900</v>
      </c>
      <c r="R83" s="275">
        <v>0.125</v>
      </c>
      <c r="S83" s="275"/>
      <c r="T83" s="274">
        <f>Table1[[#This Row],[h_hargasetelahdiskon]]</f>
        <v>1738800</v>
      </c>
      <c r="V83" s="271"/>
      <c r="W83" s="278">
        <f ca="1">IF(Table1[[#This Row],[Item Description]]="","",IF(Table1[[#This Row],[//]]="",INDIRECT(ADDRESS(ROW()-1,COLUMN())),Table1[[#This Row],[//]]))</f>
        <v>70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1987200</v>
      </c>
      <c r="Z83" s="274">
        <f>IF(Table1[[#This Row],[h_hargasebelumdiskon]]="","",IF(Table1[[#This Row],[Disc 1]]="",0,Table1[[#This Row],[h_hargasebelumdiskon]]*Table1[[#This Row],[Disc 1]]))</f>
        <v>248400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248400</v>
      </c>
      <c r="AC83" s="274">
        <f>IF(Table1[Item Description]="","",Table1[[#This Row],[h_hargasebelumdiskon]]-Table1[[#This Row],[h_diskon]])</f>
        <v>1738800</v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>BALLPEN JOYKO BP-249 LINOLSN6900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>
        <f ca="1">IF(Table1[[#This Row],[No. Invoice :]]="","",ROW())</f>
        <v>85</v>
      </c>
      <c r="B85" s="278">
        <f ca="1">IF(Table1[Column3]="","",B$1+COUNT(INDIRECT("B$2:B"&amp;ROW()-1)))</f>
        <v>24010014</v>
      </c>
      <c r="C85" s="272">
        <f>IF(Table1[[#This Row],[Column2]]="","",Table1[[#This Row],[Column2]]+C$1-1)</f>
        <v>45300</v>
      </c>
      <c r="D85" s="282">
        <v>9</v>
      </c>
      <c r="E85" s="273" t="s">
        <v>306</v>
      </c>
      <c r="F85" s="271" t="s">
        <v>146</v>
      </c>
      <c r="G85" s="278" t="str">
        <f ca="1">IF(Table1[[#This Row],[h_No. Invoice :]]="","",CONCATENATE("AM"," ",Table1[[#This Row],[h_No. Invoice :]]))</f>
        <v>AM 24010014</v>
      </c>
      <c r="H85" s="271" t="str">
        <f>IF(Table1[[#This Row],[Column5]]="","",INDEX(Table2[Column1],MATCH(Table1[[#This Row],[Column5]],Table2[a],0)))</f>
        <v>G</v>
      </c>
      <c r="I85" s="279" t="str">
        <f>IF(Table1[[#This Row],[Column3]]=0,"",CONCATENATE(UPPER(Table1[[#This Row],[Column3]])," ",Table1[[#This Row],[Column4]]))</f>
        <v>G 0855</v>
      </c>
      <c r="J85" s="278" t="str">
        <f>IF(Table1[[#This Row],[Column5]]="","",INDEX(Table2[e],IF(Table1[[#This Row],[Column5]]="","",MATCH(Table1[[#This Row],[Column5]],Table2[a],0)),))</f>
        <v>LILY JULIAWATI (REJO AGUNG) JOMBANG</v>
      </c>
      <c r="K85" s="271">
        <v>72</v>
      </c>
      <c r="L85" s="271" t="s">
        <v>307</v>
      </c>
      <c r="M85" s="271">
        <v>1</v>
      </c>
      <c r="O85" s="278" t="str">
        <f>IF(Table1[[#This Row],[h_Item Description]]="","",INDEX([1]!db[NB PAJAK],MATCH(Table1[[#This Row],[h_Item Description]],[1]!db[kode],0)))</f>
        <v/>
      </c>
      <c r="P85" s="271" t="s">
        <v>309</v>
      </c>
      <c r="Q85" s="274">
        <v>34500</v>
      </c>
      <c r="R85" s="275">
        <v>0.125</v>
      </c>
      <c r="S85" s="275"/>
      <c r="T85" s="274">
        <f>Table1[[#This Row],[h_hargasetelahdiskon]]</f>
        <v>2173500</v>
      </c>
      <c r="U85" s="274" t="s">
        <v>311</v>
      </c>
      <c r="V85" s="271"/>
      <c r="W85" s="278">
        <f ca="1">IF(Table1[[#This Row],[Item Description]]="","",IF(Table1[[#This Row],[//]]="",INDIRECT(ADDRESS(ROW()-1,COLUMN())),Table1[[#This Row],[//]]))</f>
        <v>85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2484000</v>
      </c>
      <c r="Z85" s="274">
        <f>IF(Table1[[#This Row],[h_hargasebelumdiskon]]="","",IF(Table1[[#This Row],[Disc 1]]="",0,Table1[[#This Row],[h_hargasebelumdiskon]]*Table1[[#This Row],[Disc 1]]))</f>
        <v>310500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310500</v>
      </c>
      <c r="AC85" s="274">
        <f>IF(Table1[Item Description]="","",Table1[[#This Row],[h_hargasebelumdiskon]]-Table1[[#This Row],[h_diskon]])</f>
        <v>2173500</v>
      </c>
      <c r="AD85" s="274">
        <f ca="1">IF(Table1[//]="","",SUMIF(Table1[h_id],Table1[h_id],Table1[h_hargasetelahdiskon]))</f>
        <v>15046500</v>
      </c>
      <c r="AF85" s="274" t="str">
        <f>Table1[[#This Row],[Item Description]]&amp;Table1[[#This Row],[Unit]]&amp;Table1[[#This Row],[Unit Price]]</f>
        <v>STAPLER GUNTACKER JOYKO GT-700PC34500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24</v>
      </c>
      <c r="L86" s="271" t="s">
        <v>307</v>
      </c>
      <c r="M86" s="271">
        <v>1</v>
      </c>
      <c r="O86" s="278" t="str">
        <f>IF(Table1[[#This Row],[h_Item Description]]="","",INDEX([1]!db[NB PAJAK],MATCH(Table1[[#This Row],[h_Item Description]],[1]!db[kode],0)))</f>
        <v/>
      </c>
      <c r="P86" s="271" t="s">
        <v>310</v>
      </c>
      <c r="Q86" s="274">
        <v>97000</v>
      </c>
      <c r="R86" s="275">
        <v>0.125</v>
      </c>
      <c r="S86" s="275"/>
      <c r="T86" s="274">
        <f>Table1[[#This Row],[h_hargasetelahdiskon]]</f>
        <v>2037000</v>
      </c>
      <c r="V86" s="271"/>
      <c r="W86" s="278">
        <f ca="1">IF(Table1[[#This Row],[Item Description]]="","",IF(Table1[[#This Row],[//]]="",INDIRECT(ADDRESS(ROW()-1,COLUMN())),Table1[[#This Row],[//]]))</f>
        <v>85</v>
      </c>
      <c r="X86" s="278">
        <f ca="1">IF(Table1[[#This Row],[h_id]]="","",COUNTIF(Table1[h_id],Table1[[#This Row],[h_id]]))</f>
        <v>3</v>
      </c>
      <c r="Y86" s="274">
        <f>IF(Table1[Item Description]="","",Table1[[#This Row],[Qty]]*Table1[[#This Row],[Unit Price]])</f>
        <v>2328000</v>
      </c>
      <c r="Z86" s="274">
        <f>IF(Table1[[#This Row],[h_hargasebelumdiskon]]="","",IF(Table1[[#This Row],[Disc 1]]="",0,Table1[[#This Row],[h_hargasebelumdiskon]]*Table1[[#This Row],[Disc 1]]))</f>
        <v>291000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291000</v>
      </c>
      <c r="AC86" s="274">
        <f>IF(Table1[Item Description]="","",Table1[[#This Row],[h_hargasebelumdiskon]]-Table1[[#This Row],[h_diskon]])</f>
        <v>2037000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STAPLER GUNTACKER JOYKO GT-701PC97000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240</v>
      </c>
      <c r="L87" s="271" t="s">
        <v>308</v>
      </c>
      <c r="M87" s="271">
        <v>4</v>
      </c>
      <c r="O87" s="278" t="str">
        <f>IF(Table1[[#This Row],[h_Item Description]]="","",INDEX([1]!db[NB PAJAK],MATCH(Table1[[#This Row],[h_Item Description]],[1]!db[kode],0)))</f>
        <v/>
      </c>
      <c r="P87" s="271" t="s">
        <v>204</v>
      </c>
      <c r="Q87" s="274">
        <v>51600</v>
      </c>
      <c r="R87" s="275">
        <v>0.125</v>
      </c>
      <c r="S87" s="275"/>
      <c r="T87" s="274">
        <f>Table1[[#This Row],[h_hargasetelahdiskon]]</f>
        <v>10836000</v>
      </c>
      <c r="V87" s="271"/>
      <c r="W87" s="278">
        <f ca="1">IF(Table1[[#This Row],[Item Description]]="","",IF(Table1[[#This Row],[//]]="",INDIRECT(ADDRESS(ROW()-1,COLUMN())),Table1[[#This Row],[//]]))</f>
        <v>85</v>
      </c>
      <c r="X87" s="278">
        <f ca="1">IF(Table1[[#This Row],[h_id]]="","",COUNTIF(Table1[h_id],Table1[[#This Row],[h_id]]))</f>
        <v>3</v>
      </c>
      <c r="Y87" s="274">
        <f>IF(Table1[Item Description]="","",Table1[[#This Row],[Qty]]*Table1[[#This Row],[Unit Price]])</f>
        <v>12384000</v>
      </c>
      <c r="Z87" s="274">
        <f>IF(Table1[[#This Row],[h_hargasebelumdiskon]]="","",IF(Table1[[#This Row],[Disc 1]]="",0,Table1[[#This Row],[h_hargasebelumdiskon]]*Table1[[#This Row],[Disc 1]]))</f>
        <v>1548000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1548000</v>
      </c>
      <c r="AC87" s="274">
        <f>IF(Table1[Item Description]="","",Table1[[#This Row],[h_hargasebelumdiskon]]-Table1[[#This Row],[h_diskon]])</f>
        <v>10836000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CORRECTION TAPE JOYKO CT-522LS51600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24010015</v>
      </c>
      <c r="C89" s="272">
        <f>IF(Table1[[#This Row],[Column2]]="","",Table1[[#This Row],[Column2]]+C$1-1)</f>
        <v>45300</v>
      </c>
      <c r="D89" s="282">
        <v>9</v>
      </c>
      <c r="E89" s="273" t="s">
        <v>312</v>
      </c>
      <c r="F89" s="271" t="s">
        <v>192</v>
      </c>
      <c r="G89" s="278" t="str">
        <f ca="1">IF(Table1[[#This Row],[h_No. Invoice :]]="","",CONCATENATE("AM"," ",Table1[[#This Row],[h_No. Invoice :]]))</f>
        <v>AM 24010015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0860</v>
      </c>
      <c r="J89" s="278" t="str">
        <f>IF(Table1[[#This Row],[Column5]]="","",INDEX(Table2[e],IF(Table1[[#This Row],[Column5]]="","",MATCH(Table1[[#This Row],[Column5]],Table2[a],0)),))</f>
        <v>CV PELITA JAYA (ANUGERAH SEJAHTERA) PURWOKERTO</v>
      </c>
      <c r="K89" s="271">
        <v>80</v>
      </c>
      <c r="L89" s="271" t="s">
        <v>308</v>
      </c>
      <c r="M89" s="271">
        <v>4</v>
      </c>
      <c r="O89" s="278" t="str">
        <f>IF(Table1[[#This Row],[h_Item Description]]="","",INDEX([1]!db[NB PAJAK],MATCH(Table1[[#This Row],[h_Item Description]],[1]!db[kode],0)))</f>
        <v/>
      </c>
      <c r="P89" s="271" t="s">
        <v>313</v>
      </c>
      <c r="Q89" s="274">
        <v>147600</v>
      </c>
      <c r="R89" s="275">
        <v>0.13500000000000001</v>
      </c>
      <c r="S89" s="275"/>
      <c r="T89" s="274">
        <f>Table1[[#This Row],[h_hargasetelahdiskon]]</f>
        <v>10213920</v>
      </c>
      <c r="U89" s="274" t="s">
        <v>311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16</v>
      </c>
      <c r="Y89" s="274">
        <f>IF(Table1[Item Description]="","",Table1[[#This Row],[Qty]]*Table1[[#This Row],[Unit Price]])</f>
        <v>11808000</v>
      </c>
      <c r="Z89" s="274">
        <f>IF(Table1[[#This Row],[h_hargasebelumdiskon]]="","",IF(Table1[[#This Row],[Disc 1]]="",0,Table1[[#This Row],[h_hargasebelumdiskon]]*Table1[[#This Row],[Disc 1]]))</f>
        <v>1594080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1594080</v>
      </c>
      <c r="AC89" s="274">
        <f>IF(Table1[Item Description]="","",Table1[[#This Row],[h_hargasebelumdiskon]]-Table1[[#This Row],[h_diskon]])</f>
        <v>10213920</v>
      </c>
      <c r="AD89" s="274">
        <f ca="1">IF(Table1[//]="","",SUMIF(Table1[h_id],Table1[h_id],Table1[h_hargasetelahdiskon]))</f>
        <v>55435774</v>
      </c>
      <c r="AF89" s="274" t="str">
        <f>Table1[[#This Row],[Item Description]]&amp;Table1[[#This Row],[Unit]]&amp;Table1[[#This Row],[Unit Price]]</f>
        <v>CUTTER 18 MM KENKO L-500 (BESAR)LS147600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432</v>
      </c>
      <c r="L90" s="271" t="s">
        <v>308</v>
      </c>
      <c r="M90" s="271">
        <v>3</v>
      </c>
      <c r="O90" s="278" t="str">
        <f>IF(Table1[[#This Row],[h_Item Description]]="","",INDEX([1]!db[NB PAJAK],MATCH(Table1[[#This Row],[h_Item Description]],[1]!db[kode],0)))</f>
        <v/>
      </c>
      <c r="P90" s="271" t="s">
        <v>314</v>
      </c>
      <c r="Q90" s="274">
        <v>24600</v>
      </c>
      <c r="R90" s="275">
        <v>0.13500000000000001</v>
      </c>
      <c r="S90" s="275"/>
      <c r="T90" s="274">
        <f>Table1[[#This Row],[h_hargasetelahdiskon]]</f>
        <v>9192528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16</v>
      </c>
      <c r="Y90" s="274">
        <f>IF(Table1[Item Description]="","",Table1[[#This Row],[Qty]]*Table1[[#This Row],[Unit Price]])</f>
        <v>10627200</v>
      </c>
      <c r="Z90" s="274">
        <f>IF(Table1[[#This Row],[h_hargasebelumdiskon]]="","",IF(Table1[[#This Row],[Disc 1]]="",0,Table1[[#This Row],[h_hargasebelumdiskon]]*Table1[[#This Row],[Disc 1]]))</f>
        <v>1434672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1434672</v>
      </c>
      <c r="AC90" s="274">
        <f>IF(Table1[Item Description]="","",Table1[[#This Row],[h_hargasebelumdiskon]]-Table1[[#This Row],[h_diskon]])</f>
        <v>9192528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GEL PEN KENKO KE-200LS24600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48</v>
      </c>
      <c r="L91" s="271" t="s">
        <v>308</v>
      </c>
      <c r="M91" s="271">
        <v>1</v>
      </c>
      <c r="O91" s="278" t="str">
        <f>IF(Table1[[#This Row],[h_Item Description]]="","",INDEX([1]!db[NB PAJAK],MATCH(Table1[[#This Row],[h_Item Description]],[1]!db[kode],0)))</f>
        <v/>
      </c>
      <c r="P91" s="271" t="s">
        <v>315</v>
      </c>
      <c r="Q91" s="274">
        <v>33000</v>
      </c>
      <c r="R91" s="275">
        <v>0.13500000000000001</v>
      </c>
      <c r="S91" s="275"/>
      <c r="T91" s="274">
        <f>Table1[[#This Row],[h_hargasetelahdiskon]]</f>
        <v>1370160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16</v>
      </c>
      <c r="Y91" s="274">
        <f>IF(Table1[Item Description]="","",Table1[[#This Row],[Qty]]*Table1[[#This Row],[Unit Price]])</f>
        <v>1584000</v>
      </c>
      <c r="Z91" s="274">
        <f>IF(Table1[[#This Row],[h_hargasebelumdiskon]]="","",IF(Table1[[#This Row],[Disc 1]]="",0,Table1[[#This Row],[h_hargasebelumdiskon]]*Table1[[#This Row],[Disc 1]]))</f>
        <v>213840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213840</v>
      </c>
      <c r="AC91" s="274">
        <f>IF(Table1[Item Description]="","",Table1[[#This Row],[h_hargasebelumdiskon]]-Table1[[#This Row],[h_diskon]])</f>
        <v>1370160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PUSH PIN KENKO PN-30LS33000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48</v>
      </c>
      <c r="L92" s="271" t="s">
        <v>308</v>
      </c>
      <c r="M92" s="271">
        <v>1</v>
      </c>
      <c r="O92" s="278" t="str">
        <f>IF(Table1[[#This Row],[h_Item Description]]="","",INDEX([1]!db[NB PAJAK],MATCH(Table1[[#This Row],[h_Item Description]],[1]!db[kode],0)))</f>
        <v/>
      </c>
      <c r="P92" s="271" t="s">
        <v>316</v>
      </c>
      <c r="Q92" s="274">
        <v>41400</v>
      </c>
      <c r="R92" s="275">
        <v>0.13500000000000001</v>
      </c>
      <c r="S92" s="275"/>
      <c r="T92" s="274">
        <f>Table1[[#This Row],[h_hargasetelahdiskon]]</f>
        <v>1718928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16</v>
      </c>
      <c r="Y92" s="274">
        <f>IF(Table1[Item Description]="","",Table1[[#This Row],[Qty]]*Table1[[#This Row],[Unit Price]])</f>
        <v>1987200</v>
      </c>
      <c r="Z92" s="274">
        <f>IF(Table1[[#This Row],[h_hargasebelumdiskon]]="","",IF(Table1[[#This Row],[Disc 1]]="",0,Table1[[#This Row],[h_hargasebelumdiskon]]*Table1[[#This Row],[Disc 1]]))</f>
        <v>268272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268272</v>
      </c>
      <c r="AC92" s="274">
        <f>IF(Table1[Item Description]="","",Table1[[#This Row],[h_hargasebelumdiskon]]-Table1[[#This Row],[h_diskon]])</f>
        <v>1718928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PAPER CLIP WARNA KENKO 3100LS41400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308</v>
      </c>
      <c r="M93" s="271">
        <v>1</v>
      </c>
      <c r="O93" s="278" t="str">
        <f>IF(Table1[[#This Row],[h_Item Description]]="","",INDEX([1]!db[NB PAJAK],MATCH(Table1[[#This Row],[h_Item Description]],[1]!db[kode],0)))</f>
        <v/>
      </c>
      <c r="P93" s="271" t="s">
        <v>317</v>
      </c>
      <c r="Q93" s="274">
        <v>26100</v>
      </c>
      <c r="R93" s="275">
        <v>0.13500000000000001</v>
      </c>
      <c r="S93" s="275"/>
      <c r="T93" s="274">
        <f>Table1[[#This Row],[h_hargasetelahdiskon]]</f>
        <v>3251016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16</v>
      </c>
      <c r="Y93" s="274">
        <f>IF(Table1[Item Description]="","",Table1[[#This Row],[Qty]]*Table1[[#This Row],[Unit Price]])</f>
        <v>3758400</v>
      </c>
      <c r="Z93" s="274">
        <f>IF(Table1[[#This Row],[h_hargasebelumdiskon]]="","",IF(Table1[[#This Row],[Disc 1]]="",0,Table1[[#This Row],[h_hargasebelumdiskon]]*Table1[[#This Row],[Disc 1]]))</f>
        <v>507384.00000000006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507384.00000000006</v>
      </c>
      <c r="AC93" s="274">
        <f>IF(Table1[Item Description]="","",Table1[[#This Row],[h_hargasebelumdiskon]]-Table1[[#This Row],[h_diskon]])</f>
        <v>3251016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KENKO KE-600 WINJELLERLS26100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144</v>
      </c>
      <c r="L94" s="271" t="s">
        <v>308</v>
      </c>
      <c r="M94" s="271">
        <v>2</v>
      </c>
      <c r="O94" s="278" t="str">
        <f>IF(Table1[[#This Row],[h_Item Description]]="","",INDEX([1]!db[NB PAJAK],MATCH(Table1[[#This Row],[h_Item Description]],[1]!db[kode],0)))</f>
        <v/>
      </c>
      <c r="P94" s="271" t="s">
        <v>165</v>
      </c>
      <c r="Q94" s="274">
        <v>47100</v>
      </c>
      <c r="R94" s="275">
        <v>0.13500000000000001</v>
      </c>
      <c r="S94" s="275"/>
      <c r="T94" s="274">
        <f>Table1[[#This Row],[h_hargasetelahdiskon]]</f>
        <v>5866776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16</v>
      </c>
      <c r="Y94" s="274">
        <f>IF(Table1[Item Description]="","",Table1[[#This Row],[Qty]]*Table1[[#This Row],[Unit Price]])</f>
        <v>6782400</v>
      </c>
      <c r="Z94" s="274">
        <f>IF(Table1[[#This Row],[h_hargasebelumdiskon]]="","",IF(Table1[[#This Row],[Disc 1]]="",0,Table1[[#This Row],[h_hargasebelumdiskon]]*Table1[[#This Row],[Disc 1]]))</f>
        <v>915624.00000000012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915624.00000000012</v>
      </c>
      <c r="AC94" s="274">
        <f>IF(Table1[Item Description]="","",Table1[[#This Row],[h_hargasebelumdiskon]]-Table1[[#This Row],[h_diskon]])</f>
        <v>5866776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CORRECTION FLUID KENKO KE-108LS47100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18</v>
      </c>
      <c r="L95" s="271" t="s">
        <v>308</v>
      </c>
      <c r="M95" s="271">
        <v>1</v>
      </c>
      <c r="O95" s="278" t="str">
        <f>IF(Table1[[#This Row],[h_Item Description]]="","",INDEX([1]!db[NB PAJAK],MATCH(Table1[[#This Row],[h_Item Description]],[1]!db[kode],0)))</f>
        <v/>
      </c>
      <c r="P95" s="271" t="s">
        <v>318</v>
      </c>
      <c r="Q95" s="274">
        <v>59400</v>
      </c>
      <c r="R95" s="275">
        <v>0.13500000000000001</v>
      </c>
      <c r="S95" s="275"/>
      <c r="T95" s="274">
        <f>Table1[[#This Row],[h_hargasetelahdiskon]]</f>
        <v>924858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16</v>
      </c>
      <c r="Y95" s="274">
        <f>IF(Table1[Item Description]="","",Table1[[#This Row],[Qty]]*Table1[[#This Row],[Unit Price]])</f>
        <v>1069200</v>
      </c>
      <c r="Z95" s="274">
        <f>IF(Table1[[#This Row],[h_hargasebelumdiskon]]="","",IF(Table1[[#This Row],[Disc 1]]="",0,Table1[[#This Row],[h_hargasebelumdiskon]]*Table1[[#This Row],[Disc 1]]))</f>
        <v>144342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144342</v>
      </c>
      <c r="AC95" s="274">
        <f>IF(Table1[Item Description]="","",Table1[[#This Row],[h_hargasebelumdiskon]]-Table1[[#This Row],[h_diskon]])</f>
        <v>924858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0LS59400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18</v>
      </c>
      <c r="L96" s="271" t="s">
        <v>308</v>
      </c>
      <c r="M96" s="271">
        <v>1</v>
      </c>
      <c r="O96" s="278" t="str">
        <f>IF(Table1[[#This Row],[h_Item Description]]="","",INDEX([1]!db[NB PAJAK],MATCH(Table1[[#This Row],[h_Item Description]],[1]!db[kode],0)))</f>
        <v/>
      </c>
      <c r="P96" s="271" t="s">
        <v>319</v>
      </c>
      <c r="Q96" s="274">
        <v>70800</v>
      </c>
      <c r="R96" s="275">
        <v>0.13500000000000001</v>
      </c>
      <c r="S96" s="275"/>
      <c r="T96" s="274">
        <f>Table1[[#This Row],[h_hargasetelahdiskon]]</f>
        <v>1102356</v>
      </c>
      <c r="V96" s="271"/>
      <c r="W96" s="278">
        <f ca="1">IF(Table1[[#This Row],[Item Description]]="","",IF(Table1[[#This Row],[//]]="",INDIRECT(ADDRESS(ROW()-1,COLUMN())),Table1[[#This Row],[//]]))</f>
        <v>89</v>
      </c>
      <c r="X96" s="278">
        <f ca="1">IF(Table1[[#This Row],[h_id]]="","",COUNTIF(Table1[h_id],Table1[[#This Row],[h_id]]))</f>
        <v>16</v>
      </c>
      <c r="Y96" s="274">
        <f>IF(Table1[Item Description]="","",Table1[[#This Row],[Qty]]*Table1[[#This Row],[Unit Price]])</f>
        <v>1274400</v>
      </c>
      <c r="Z96" s="274">
        <f>IF(Table1[[#This Row],[h_hargasebelumdiskon]]="","",IF(Table1[[#This Row],[Disc 1]]="",0,Table1[[#This Row],[h_hargasebelumdiskon]]*Table1[[#This Row],[Disc 1]]))</f>
        <v>172044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172044</v>
      </c>
      <c r="AC96" s="274">
        <f>IF(Table1[Item Description]="","",Table1[[#This Row],[h_hargasebelumdiskon]]-Table1[[#This Row],[h_diskon]])</f>
        <v>1102356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STAMP PAD KENKO NO. 1LS70800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1000</v>
      </c>
      <c r="L97" s="271" t="s">
        <v>307</v>
      </c>
      <c r="M97" s="271">
        <v>2</v>
      </c>
      <c r="O97" s="278" t="str">
        <f>IF(Table1[[#This Row],[h_Item Description]]="","",INDEX([1]!db[NB PAJAK],MATCH(Table1[[#This Row],[h_Item Description]],[1]!db[kode],0)))</f>
        <v/>
      </c>
      <c r="P97" s="271" t="s">
        <v>320</v>
      </c>
      <c r="Q97" s="274">
        <v>1700</v>
      </c>
      <c r="R97" s="275">
        <v>0.13500000000000001</v>
      </c>
      <c r="S97" s="275"/>
      <c r="T97" s="274">
        <f>Table1[[#This Row],[h_hargasetelahdiskon]]</f>
        <v>1470500</v>
      </c>
      <c r="V97" s="271"/>
      <c r="W97" s="278">
        <f ca="1">IF(Table1[[#This Row],[Item Description]]="","",IF(Table1[[#This Row],[//]]="",INDIRECT(ADDRESS(ROW()-1,COLUMN())),Table1[[#This Row],[//]]))</f>
        <v>89</v>
      </c>
      <c r="X97" s="278">
        <f ca="1">IF(Table1[[#This Row],[h_id]]="","",COUNTIF(Table1[h_id],Table1[[#This Row],[h_id]]))</f>
        <v>16</v>
      </c>
      <c r="Y97" s="274">
        <f>IF(Table1[Item Description]="","",Table1[[#This Row],[Qty]]*Table1[[#This Row],[Unit Price]])</f>
        <v>1700000</v>
      </c>
      <c r="Z97" s="274">
        <f>IF(Table1[[#This Row],[h_hargasebelumdiskon]]="","",IF(Table1[[#This Row],[Disc 1]]="",0,Table1[[#This Row],[h_hargasebelumdiskon]]*Table1[[#This Row],[Disc 1]]))</f>
        <v>229500.00000000003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229500.00000000003</v>
      </c>
      <c r="AC97" s="274">
        <f>IF(Table1[Item Description]="","",Table1[[#This Row],[h_hargasebelumdiskon]]-Table1[[#This Row],[h_diskon]])</f>
        <v>1470500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PAPER TRIGONAL CLIP KENKO NO. 1PC1700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1000</v>
      </c>
      <c r="L98" s="271" t="s">
        <v>307</v>
      </c>
      <c r="M98" s="271">
        <v>2</v>
      </c>
      <c r="O98" s="278" t="str">
        <f>IF(Table1[[#This Row],[h_Item Description]]="","",INDEX([1]!db[NB PAJAK],MATCH(Table1[[#This Row],[h_Item Description]],[1]!db[kode],0)))</f>
        <v/>
      </c>
      <c r="P98" s="271" t="s">
        <v>321</v>
      </c>
      <c r="Q98" s="274">
        <v>1600</v>
      </c>
      <c r="R98" s="275">
        <v>0.13500000000000001</v>
      </c>
      <c r="S98" s="275"/>
      <c r="T98" s="274">
        <f>Table1[[#This Row],[h_hargasetelahdiskon]]</f>
        <v>1384000</v>
      </c>
      <c r="V98" s="271"/>
      <c r="W98" s="278">
        <f ca="1">IF(Table1[[#This Row],[Item Description]]="","",IF(Table1[[#This Row],[//]]="",INDIRECT(ADDRESS(ROW()-1,COLUMN())),Table1[[#This Row],[//]]))</f>
        <v>89</v>
      </c>
      <c r="X98" s="278">
        <f ca="1">IF(Table1[[#This Row],[h_id]]="","",COUNTIF(Table1[h_id],Table1[[#This Row],[h_id]]))</f>
        <v>16</v>
      </c>
      <c r="Y98" s="274">
        <f>IF(Table1[Item Description]="","",Table1[[#This Row],[Qty]]*Table1[[#This Row],[Unit Price]])</f>
        <v>1600000</v>
      </c>
      <c r="Z98" s="274">
        <f>IF(Table1[[#This Row],[h_hargasebelumdiskon]]="","",IF(Table1[[#This Row],[Disc 1]]="",0,Table1[[#This Row],[h_hargasebelumdiskon]]*Table1[[#This Row],[Disc 1]]))</f>
        <v>216000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216000</v>
      </c>
      <c r="AC98" s="274">
        <f>IF(Table1[Item Description]="","",Table1[[#This Row],[h_hargasebelumdiskon]]-Table1[[#This Row],[h_diskon]])</f>
        <v>1384000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PAPER TRIGONAL CLIP KENKO NO. 3PC1600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400</v>
      </c>
      <c r="L99" s="271" t="s">
        <v>307</v>
      </c>
      <c r="M99" s="271">
        <v>2</v>
      </c>
      <c r="O99" s="278" t="str">
        <f>IF(Table1[[#This Row],[h_Item Description]]="","",INDEX([1]!db[NB PAJAK],MATCH(Table1[[#This Row],[h_Item Description]],[1]!db[kode],0)))</f>
        <v/>
      </c>
      <c r="P99" s="271" t="s">
        <v>322</v>
      </c>
      <c r="Q99" s="274">
        <v>4300</v>
      </c>
      <c r="R99" s="275">
        <v>0.13500000000000001</v>
      </c>
      <c r="S99" s="275"/>
      <c r="T99" s="274">
        <f>Table1[[#This Row],[h_hargasetelahdiskon]]</f>
        <v>1487800</v>
      </c>
      <c r="V99" s="271"/>
      <c r="W99" s="278">
        <f ca="1">IF(Table1[[#This Row],[Item Description]]="","",IF(Table1[[#This Row],[//]]="",INDIRECT(ADDRESS(ROW()-1,COLUMN())),Table1[[#This Row],[//]]))</f>
        <v>89</v>
      </c>
      <c r="X99" s="278">
        <f ca="1">IF(Table1[[#This Row],[h_id]]="","",COUNTIF(Table1[h_id],Table1[[#This Row],[h_id]]))</f>
        <v>16</v>
      </c>
      <c r="Y99" s="274">
        <f>IF(Table1[Item Description]="","",Table1[[#This Row],[Qty]]*Table1[[#This Row],[Unit Price]])</f>
        <v>1720000</v>
      </c>
      <c r="Z99" s="274">
        <f>IF(Table1[[#This Row],[h_hargasebelumdiskon]]="","",IF(Table1[[#This Row],[Disc 1]]="",0,Table1[[#This Row],[h_hargasebelumdiskon]]*Table1[[#This Row],[Disc 1]]))</f>
        <v>232200.00000000003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232200.00000000003</v>
      </c>
      <c r="AC99" s="274">
        <f>IF(Table1[Item Description]="","",Table1[[#This Row],[h_hargasebelumdiskon]]-Table1[[#This Row],[h_diskon]])</f>
        <v>1487800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PAPER JUMBO CLIP KENKO NO. 5PC4300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144</v>
      </c>
      <c r="L100" s="271" t="s">
        <v>308</v>
      </c>
      <c r="M100" s="271">
        <v>2</v>
      </c>
      <c r="O100" s="278" t="str">
        <f>IF(Table1[[#This Row],[h_Item Description]]="","",INDEX([1]!db[NB PAJAK],MATCH(Table1[[#This Row],[h_Item Description]],[1]!db[kode],0)))</f>
        <v/>
      </c>
      <c r="P100" s="271" t="s">
        <v>323</v>
      </c>
      <c r="Q100" s="274">
        <v>57000</v>
      </c>
      <c r="R100" s="275">
        <v>0.13500000000000001</v>
      </c>
      <c r="S100" s="275"/>
      <c r="T100" s="274">
        <f>Table1[[#This Row],[h_hargasetelahdiskon]]</f>
        <v>7099920</v>
      </c>
      <c r="V100" s="271"/>
      <c r="W100" s="278">
        <f ca="1">IF(Table1[[#This Row],[Item Description]]="","",IF(Table1[[#This Row],[//]]="",INDIRECT(ADDRESS(ROW()-1,COLUMN())),Table1[[#This Row],[//]]))</f>
        <v>89</v>
      </c>
      <c r="X100" s="278">
        <f ca="1">IF(Table1[[#This Row],[h_id]]="","",COUNTIF(Table1[h_id],Table1[[#This Row],[h_id]]))</f>
        <v>16</v>
      </c>
      <c r="Y100" s="274">
        <f>IF(Table1[Item Description]="","",Table1[[#This Row],[Qty]]*Table1[[#This Row],[Unit Price]])</f>
        <v>8208000</v>
      </c>
      <c r="Z100" s="274">
        <f>IF(Table1[[#This Row],[h_hargasebelumdiskon]]="","",IF(Table1[[#This Row],[Disc 1]]="",0,Table1[[#This Row],[h_hargasebelumdiskon]]*Table1[[#This Row],[Disc 1]]))</f>
        <v>1108080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1108080</v>
      </c>
      <c r="AC100" s="274">
        <f>IF(Table1[Item Description]="","",Table1[[#This Row],[h_hargasebelumdiskon]]-Table1[[#This Row],[h_diskon]])</f>
        <v>7099920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CORRECTION FLUID KENKO KE-823MLS57000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10</v>
      </c>
      <c r="L101" s="271" t="s">
        <v>308</v>
      </c>
      <c r="M101" s="271">
        <v>2</v>
      </c>
      <c r="O101" s="278" t="str">
        <f>IF(Table1[[#This Row],[h_Item Description]]="","",INDEX([1]!db[NB PAJAK],MATCH(Table1[[#This Row],[h_Item Description]],[1]!db[kode],0)))</f>
        <v/>
      </c>
      <c r="P101" s="271" t="s">
        <v>324</v>
      </c>
      <c r="Q101" s="274">
        <v>282000</v>
      </c>
      <c r="R101" s="275">
        <v>0.13500000000000001</v>
      </c>
      <c r="S101" s="275"/>
      <c r="T101" s="274">
        <f>Table1[[#This Row],[h_hargasetelahdiskon]]</f>
        <v>2439300</v>
      </c>
      <c r="V101" s="271"/>
      <c r="W101" s="278">
        <f ca="1">IF(Table1[[#This Row],[Item Description]]="","",IF(Table1[[#This Row],[//]]="",INDIRECT(ADDRESS(ROW()-1,COLUMN())),Table1[[#This Row],[//]]))</f>
        <v>89</v>
      </c>
      <c r="X101" s="278">
        <f ca="1">IF(Table1[[#This Row],[h_id]]="","",COUNTIF(Table1[h_id],Table1[[#This Row],[h_id]]))</f>
        <v>16</v>
      </c>
      <c r="Y101" s="274">
        <f>IF(Table1[Item Description]="","",Table1[[#This Row],[Qty]]*Table1[[#This Row],[Unit Price]])</f>
        <v>2820000</v>
      </c>
      <c r="Z101" s="274">
        <f>IF(Table1[[#This Row],[h_hargasebelumdiskon]]="","",IF(Table1[[#This Row],[Disc 1]]="",0,Table1[[#This Row],[h_hargasebelumdiskon]]*Table1[[#This Row],[Disc 1]]))</f>
        <v>380700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380700</v>
      </c>
      <c r="AC101" s="274">
        <f>IF(Table1[Item Description]="","",Table1[[#This Row],[h_hargasebelumdiskon]]-Table1[[#This Row],[h_diskon]])</f>
        <v>2439300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PUNCH KENKO NO. 40LS282000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48</v>
      </c>
      <c r="L102" s="271" t="s">
        <v>307</v>
      </c>
      <c r="M102" s="271">
        <v>1</v>
      </c>
      <c r="O102" s="278" t="str">
        <f>IF(Table1[[#This Row],[h_Item Description]]="","",INDEX([1]!db[NB PAJAK],MATCH(Table1[[#This Row],[h_Item Description]],[1]!db[kode],0)))</f>
        <v/>
      </c>
      <c r="P102" s="271" t="s">
        <v>197</v>
      </c>
      <c r="Q102" s="274">
        <v>32000</v>
      </c>
      <c r="R102" s="275">
        <v>0.13500000000000001</v>
      </c>
      <c r="S102" s="275"/>
      <c r="T102" s="274">
        <f>Table1[[#This Row],[h_hargasetelahdiskon]]</f>
        <v>1328640</v>
      </c>
      <c r="V102" s="271"/>
      <c r="W102" s="278">
        <f ca="1">IF(Table1[[#This Row],[Item Description]]="","",IF(Table1[[#This Row],[//]]="",INDIRECT(ADDRESS(ROW()-1,COLUMN())),Table1[[#This Row],[//]]))</f>
        <v>89</v>
      </c>
      <c r="X102" s="278">
        <f ca="1">IF(Table1[[#This Row],[h_id]]="","",COUNTIF(Table1[h_id],Table1[[#This Row],[h_id]]))</f>
        <v>16</v>
      </c>
      <c r="Y102" s="274">
        <f>IF(Table1[Item Description]="","",Table1[[#This Row],[Qty]]*Table1[[#This Row],[Unit Price]])</f>
        <v>1536000</v>
      </c>
      <c r="Z102" s="274">
        <f>IF(Table1[[#This Row],[h_hargasebelumdiskon]]="","",IF(Table1[[#This Row],[Disc 1]]="",0,Table1[[#This Row],[h_hargasebelumdiskon]]*Table1[[#This Row],[Disc 1]]))</f>
        <v>207360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207360</v>
      </c>
      <c r="AC102" s="274">
        <f>IF(Table1[Item Description]="","",Table1[[#This Row],[h_hargasebelumdiskon]]-Table1[[#This Row],[h_diskon]])</f>
        <v>1328640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PUNCH KENKO NO. 40XLPC32000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48</v>
      </c>
      <c r="L103" s="271" t="s">
        <v>307</v>
      </c>
      <c r="M103" s="271">
        <v>1</v>
      </c>
      <c r="O103" s="278" t="str">
        <f>IF(Table1[[#This Row],[h_Item Description]]="","",INDEX([1]!db[NB PAJAK],MATCH(Table1[[#This Row],[h_Item Description]],[1]!db[kode],0)))</f>
        <v/>
      </c>
      <c r="P103" s="271" t="s">
        <v>195</v>
      </c>
      <c r="Q103" s="274">
        <v>18600</v>
      </c>
      <c r="R103" s="275">
        <v>0.13500000000000001</v>
      </c>
      <c r="S103" s="275"/>
      <c r="T103" s="274">
        <f>Table1[[#This Row],[h_hargasetelahdiskon]]</f>
        <v>772272</v>
      </c>
      <c r="V103" s="271"/>
      <c r="W103" s="278">
        <f ca="1">IF(Table1[[#This Row],[Item Description]]="","",IF(Table1[[#This Row],[//]]="",INDIRECT(ADDRESS(ROW()-1,COLUMN())),Table1[[#This Row],[//]]))</f>
        <v>89</v>
      </c>
      <c r="X103" s="278">
        <f ca="1">IF(Table1[[#This Row],[h_id]]="","",COUNTIF(Table1[h_id],Table1[[#This Row],[h_id]]))</f>
        <v>16</v>
      </c>
      <c r="Y103" s="274">
        <f>IF(Table1[Item Description]="","",Table1[[#This Row],[Qty]]*Table1[[#This Row],[Unit Price]])</f>
        <v>892800</v>
      </c>
      <c r="Z103" s="274">
        <f>IF(Table1[[#This Row],[h_hargasebelumdiskon]]="","",IF(Table1[[#This Row],[Disc 1]]="",0,Table1[[#This Row],[h_hargasebelumdiskon]]*Table1[[#This Row],[Disc 1]]))</f>
        <v>120528.00000000001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120528.00000000001</v>
      </c>
      <c r="AC103" s="274">
        <f>IF(Table1[Item Description]="","",Table1[[#This Row],[h_hargasebelumdiskon]]-Table1[[#This Row],[h_diskon]])</f>
        <v>772272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LEM LIQUID (CAIR) JOYKO GL-R35 (35 ML)PC18600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1600</v>
      </c>
      <c r="L104" s="271" t="s">
        <v>193</v>
      </c>
      <c r="M104" s="271">
        <v>8</v>
      </c>
      <c r="O104" s="278" t="str">
        <f>IF(Table1[[#This Row],[h_Item Description]]="","",INDEX([1]!db[NB PAJAK],MATCH(Table1[[#This Row],[h_Item Description]],[1]!db[kode],0)))</f>
        <v/>
      </c>
      <c r="P104" s="271" t="s">
        <v>325</v>
      </c>
      <c r="Q104" s="274">
        <v>4200</v>
      </c>
      <c r="R104" s="275">
        <v>0.13500000000000001</v>
      </c>
      <c r="S104" s="275"/>
      <c r="T104" s="274">
        <f>Table1[[#This Row],[h_hargasetelahdiskon]]</f>
        <v>5812800</v>
      </c>
      <c r="V104" s="271"/>
      <c r="W104" s="278">
        <f ca="1">IF(Table1[[#This Row],[Item Description]]="","",IF(Table1[[#This Row],[//]]="",INDIRECT(ADDRESS(ROW()-1,COLUMN())),Table1[[#This Row],[//]]))</f>
        <v>89</v>
      </c>
      <c r="X104" s="278">
        <f ca="1">IF(Table1[[#This Row],[h_id]]="","",COUNTIF(Table1[h_id],Table1[[#This Row],[h_id]]))</f>
        <v>16</v>
      </c>
      <c r="Y104" s="274">
        <f>IF(Table1[Item Description]="","",Table1[[#This Row],[Qty]]*Table1[[#This Row],[Unit Price]])</f>
        <v>6720000</v>
      </c>
      <c r="Z104" s="274">
        <f>IF(Table1[[#This Row],[h_hargasebelumdiskon]]="","",IF(Table1[[#This Row],[Disc 1]]="",0,Table1[[#This Row],[h_hargasebelumdiskon]]*Table1[[#This Row],[Disc 1]]))</f>
        <v>907200.00000000012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907200.00000000012</v>
      </c>
      <c r="AC104" s="274">
        <f>IF(Table1[Item Description]="","",Table1[[#This Row],[h_hargasebelumdiskon]]-Table1[[#This Row],[h_diskon]])</f>
        <v>5812800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STAPLER (STAPLES) KENKO 1210 PREMIUM (23/10)BOX4200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78">
        <f ca="1">IF(Table1[Column3]="","",B$1+COUNT(INDIRECT("B$2:B"&amp;ROW()-1)))</f>
        <v>24010016</v>
      </c>
      <c r="C107" s="272">
        <f>IF(Table1[[#This Row],[Column2]]="","",Table1[[#This Row],[Column2]]+C$1-1)</f>
        <v>45301</v>
      </c>
      <c r="D107" s="282">
        <v>10</v>
      </c>
      <c r="E107" s="273" t="s">
        <v>326</v>
      </c>
      <c r="F107" s="271" t="s">
        <v>91</v>
      </c>
      <c r="G107" s="278" t="str">
        <f ca="1">IF(Table1[[#This Row],[h_No. Invoice :]]="","",CONCATENATE("AM"," ",Table1[[#This Row],[h_No. Invoice :]]))</f>
        <v>AM 24010016</v>
      </c>
      <c r="H107" s="271" t="str">
        <f>IF(Table1[[#This Row],[Column5]]="","",INDEX(Table2[Column1],MATCH(Table1[[#This Row],[Column5]],Table2[a],0)))</f>
        <v>KO</v>
      </c>
      <c r="I107" s="279" t="str">
        <f>IF(Table1[[#This Row],[Column3]]=0,"",CONCATENATE(UPPER(Table1[[#This Row],[Column3]])," ",Table1[[#This Row],[Column4]]))</f>
        <v>KO 4473</v>
      </c>
      <c r="J107" s="278" t="str">
        <f>IF(Table1[[#This Row],[Column5]]="","",INDEX(Table2[e],IF(Table1[[#This Row],[Column5]]="","",MATCH(Table1[[#This Row],[Column5]],Table2[a],0)),))</f>
        <v>CV LANCAR JAYA SENTOSA MALANG</v>
      </c>
      <c r="K107" s="271">
        <v>60</v>
      </c>
      <c r="L107" s="271" t="s">
        <v>137</v>
      </c>
      <c r="M107" s="271">
        <v>1</v>
      </c>
      <c r="N107" s="271" t="s">
        <v>327</v>
      </c>
      <c r="O107" s="278" t="str">
        <f>IF(Table1[[#This Row],[h_Item Description]]="","",INDEX([1]!db[NB PAJAK],MATCH(Table1[[#This Row],[h_Item Description]],[1]!db[kode],0)))</f>
        <v>ISI CUTTER 18 MM KENKO L-150 (BESAR)</v>
      </c>
      <c r="P107" s="271" t="s">
        <v>328</v>
      </c>
      <c r="Q107" s="274">
        <v>64800</v>
      </c>
      <c r="R107" s="275">
        <v>0.125</v>
      </c>
      <c r="S107" s="275"/>
      <c r="T107" s="274">
        <f>Table1[[#This Row],[h_hargasetelahdiskon]]</f>
        <v>3402000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3</v>
      </c>
      <c r="Y107" s="274">
        <f>IF(Table1[Item Description]="","",Table1[[#This Row],[Qty]]*Table1[[#This Row],[Unit Price]])</f>
        <v>3888000</v>
      </c>
      <c r="Z107" s="274">
        <f>IF(Table1[[#This Row],[h_hargasebelumdiskon]]="","",IF(Table1[[#This Row],[Disc 1]]="",0,Table1[[#This Row],[h_hargasebelumdiskon]]*Table1[[#This Row],[Disc 1]]))</f>
        <v>486000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486000</v>
      </c>
      <c r="AC107" s="274">
        <f>IF(Table1[Item Description]="","",Table1[[#This Row],[h_hargasebelumdiskon]]-Table1[[#This Row],[h_diskon]])</f>
        <v>3402000</v>
      </c>
      <c r="AD107" s="274">
        <f ca="1">IF(Table1[//]="","",SUMIF(Table1[h_id],Table1[h_id],Table1[h_hargasetelahdiskon]))</f>
        <v>21177450</v>
      </c>
      <c r="AF107" s="274" t="str">
        <f>Table1[[#This Row],[Item Description]]&amp;Table1[[#This Row],[Unit]]&amp;Table1[[#This Row],[Unit Price]]</f>
        <v>ISI CUTTER 18 MM KENKO L-150 (BESAR)LSN64800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648</v>
      </c>
      <c r="L108" s="271" t="s">
        <v>150</v>
      </c>
      <c r="M108" s="271">
        <v>9</v>
      </c>
      <c r="N108" s="271" t="s">
        <v>329</v>
      </c>
      <c r="O108" s="278" t="str">
        <f>IF(Table1[[#This Row],[h_Item Description]]="","",INDEX([1]!db[NB PAJAK],MATCH(Table1[[#This Row],[h_Item Description]],[1]!db[kode],0)))</f>
        <v>CRAYON / OIL PASTEL JOYKO OP-18S PP CASE SEA WORLD</v>
      </c>
      <c r="P108" s="271" t="s">
        <v>330</v>
      </c>
      <c r="Q108" s="274">
        <v>23000</v>
      </c>
      <c r="R108" s="275">
        <v>0.125</v>
      </c>
      <c r="S108" s="275">
        <v>0.05</v>
      </c>
      <c r="T108" s="274">
        <f>Table1[[#This Row],[h_hargasetelahdiskon]]</f>
        <v>12388950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3</v>
      </c>
      <c r="Y108" s="274">
        <f>IF(Table1[Item Description]="","",Table1[[#This Row],[Qty]]*Table1[[#This Row],[Unit Price]])</f>
        <v>14904000</v>
      </c>
      <c r="Z108" s="274">
        <f>IF(Table1[[#This Row],[h_hargasebelumdiskon]]="","",IF(Table1[[#This Row],[Disc 1]]="",0,Table1[[#This Row],[h_hargasebelumdiskon]]*Table1[[#This Row],[Disc 1]]))</f>
        <v>1863000</v>
      </c>
      <c r="AA108" s="274">
        <f>IF(Table1[[#This Row],[h_hargasebelumdiskon]]="","",IF(Table1[[#This Row],[Disc 2]]="",0,(Table1[[#This Row],[h_hargasebelumdiskon]]-Table1[[#This Row],[h_disc 1]])*Table1[[#This Row],[Disc 2]]))</f>
        <v>652050</v>
      </c>
      <c r="AB108" s="274">
        <f>IF(Table1[Item Description]="","",Table1[[#This Row],[h_disc 1]]+Table1[[#This Row],[h_disc 2]])</f>
        <v>2515050</v>
      </c>
      <c r="AC108" s="274">
        <f>IF(Table1[Item Description]="","",Table1[[#This Row],[h_hargasebelumdiskon]]-Table1[[#This Row],[h_diskon]])</f>
        <v>12388950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CRAYON / OIL PASTEL JOYKO OP-18S PP CASE SEA WORLDPCS23000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120</v>
      </c>
      <c r="L109" s="271" t="s">
        <v>137</v>
      </c>
      <c r="M109" s="271">
        <v>2</v>
      </c>
      <c r="N109" s="271" t="s">
        <v>331</v>
      </c>
      <c r="O109" s="278" t="str">
        <f>IF(Table1[[#This Row],[h_Item Description]]="","",INDEX([1]!db[NB PAJAK],MATCH(Table1[[#This Row],[h_Item Description]],[1]!db[kode],0)))</f>
        <v>CORRECTION TAPE JOYKO CT-508</v>
      </c>
      <c r="P109" s="271" t="s">
        <v>332</v>
      </c>
      <c r="Q109" s="274">
        <v>54000</v>
      </c>
      <c r="R109" s="275">
        <v>0.125</v>
      </c>
      <c r="S109" s="275">
        <v>0.05</v>
      </c>
      <c r="T109" s="274">
        <f>Table1[[#This Row],[h_hargasetelahdiskon]]</f>
        <v>5386500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3</v>
      </c>
      <c r="Y109" s="274">
        <f>IF(Table1[Item Description]="","",Table1[[#This Row],[Qty]]*Table1[[#This Row],[Unit Price]])</f>
        <v>6480000</v>
      </c>
      <c r="Z109" s="274">
        <f>IF(Table1[[#This Row],[h_hargasebelumdiskon]]="","",IF(Table1[[#This Row],[Disc 1]]="",0,Table1[[#This Row],[h_hargasebelumdiskon]]*Table1[[#This Row],[Disc 1]]))</f>
        <v>810000</v>
      </c>
      <c r="AA109" s="274">
        <f>IF(Table1[[#This Row],[h_hargasebelumdiskon]]="","",IF(Table1[[#This Row],[Disc 2]]="",0,(Table1[[#This Row],[h_hargasebelumdiskon]]-Table1[[#This Row],[h_disc 1]])*Table1[[#This Row],[Disc 2]]))</f>
        <v>283500</v>
      </c>
      <c r="AB109" s="274">
        <f>IF(Table1[Item Description]="","",Table1[[#This Row],[h_disc 1]]+Table1[[#This Row],[h_disc 2]])</f>
        <v>1093500</v>
      </c>
      <c r="AC109" s="274">
        <f>IF(Table1[Item Description]="","",Table1[[#This Row],[h_hargasebelumdiskon]]-Table1[[#This Row],[h_diskon]])</f>
        <v>5386500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TAPE JOYKO CT-508LSN54000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24010017</v>
      </c>
      <c r="C111" s="272">
        <f>IF(Table1[[#This Row],[Column2]]="","",Table1[[#This Row],[Column2]]+C$1-1)</f>
        <v>45302</v>
      </c>
      <c r="D111" s="282">
        <v>11</v>
      </c>
      <c r="E111" s="273" t="s">
        <v>333</v>
      </c>
      <c r="F111" s="271" t="s">
        <v>334</v>
      </c>
      <c r="G111" s="278" t="str">
        <f ca="1">IF(Table1[[#This Row],[h_No. Invoice :]]="","",CONCATENATE("AM"," ",Table1[[#This Row],[h_No. Invoice :]]))</f>
        <v>AM 24010017</v>
      </c>
      <c r="H111" s="271" t="str">
        <f>IF(Table1[[#This Row],[Column5]]="","",INDEX(Table2[Column1],MATCH(Table1[[#This Row],[Column5]],Table2[a],0)))</f>
        <v>KO</v>
      </c>
      <c r="I111" s="279" t="str">
        <f>IF(Table1[[#This Row],[Column3]]=0,"",CONCATENATE(UPPER(Table1[[#This Row],[Column3]])," ",Table1[[#This Row],[Column4]]))</f>
        <v>KO 0872</v>
      </c>
      <c r="J111" s="278" t="str">
        <f>IF(Table1[[#This Row],[Column5]]="","",INDEX(Table2[e],IF(Table1[[#This Row],[Column5]]="","",MATCH(Table1[[#This Row],[Column5]],Table2[a],0)),))</f>
        <v>CV  WISUDA PURWOKERTO</v>
      </c>
      <c r="K111" s="271">
        <v>100</v>
      </c>
      <c r="L111" s="271" t="s">
        <v>136</v>
      </c>
      <c r="M111" s="271">
        <v>1</v>
      </c>
      <c r="N111" s="271" t="s">
        <v>335</v>
      </c>
      <c r="O111" s="278" t="str">
        <f>IF(Table1[[#This Row],[h_Item Description]]="","",INDEX([1]!db[NB PAJAK],MATCH(Table1[[#This Row],[h_Item Description]],[1]!db[kode],0)))</f>
        <v>ISI STAPLER (STAPLES) GREATWALL GW-NO. 10 (KECIL)</v>
      </c>
      <c r="P111" s="271" t="s">
        <v>336</v>
      </c>
      <c r="Q111" s="274">
        <v>13500</v>
      </c>
      <c r="R111" s="275"/>
      <c r="S111" s="275"/>
      <c r="T111" s="274">
        <f>Table1[[#This Row],[h_hargasetelahdiskon]]</f>
        <v>1350000</v>
      </c>
      <c r="U111" s="274" t="s">
        <v>130</v>
      </c>
      <c r="V111" s="271"/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</v>
      </c>
      <c r="Y111" s="274">
        <f>IF(Table1[Item Description]="","",Table1[[#This Row],[Qty]]*Table1[[#This Row],[Unit Price]])</f>
        <v>1350000</v>
      </c>
      <c r="Z111" s="274">
        <f>IF(Table1[[#This Row],[h_hargasebelumdiskon]]="","",IF(Table1[[#This Row],[Disc 1]]="",0,Table1[[#This Row],[h_hargasebelumdiskon]]*Table1[[#This Row],[Disc 1]]))</f>
        <v>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0</v>
      </c>
      <c r="AC111" s="274">
        <f>IF(Table1[Item Description]="","",Table1[[#This Row],[h_hargasebelumdiskon]]-Table1[[#This Row],[h_diskon]])</f>
        <v>1350000</v>
      </c>
      <c r="AD111" s="274">
        <f ca="1">IF(Table1[//]="","",SUMIF(Table1[h_id],Table1[h_id],Table1[h_hargasetelahdiskon]))</f>
        <v>1350000</v>
      </c>
      <c r="AF111" s="274" t="str">
        <f>Table1[[#This Row],[Item Description]]&amp;Table1[[#This Row],[Unit]]&amp;Table1[[#This Row],[Unit Price]]</f>
        <v>ISI STAPLER (STAPLES) GREATWALL GW-NO. 10 (KECIL)PAK13500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78">
        <f ca="1">IF(Table1[Column3]="","",B$1+COUNT(INDIRECT("B$2:B"&amp;ROW()-1)))</f>
        <v>24010018</v>
      </c>
      <c r="C113" s="272">
        <f>IF(Table1[[#This Row],[Column2]]="","",Table1[[#This Row],[Column2]]+C$1-1)</f>
        <v>45303</v>
      </c>
      <c r="D113" s="282">
        <v>12</v>
      </c>
      <c r="E113" s="273" t="s">
        <v>337</v>
      </c>
      <c r="F113" s="271" t="s">
        <v>91</v>
      </c>
      <c r="G113" s="278" t="str">
        <f ca="1">IF(Table1[[#This Row],[h_No. Invoice :]]="","",CONCATENATE("AM"," ",Table1[[#This Row],[h_No. Invoice :]]))</f>
        <v>AM 24010018</v>
      </c>
      <c r="H113" s="271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4985</v>
      </c>
      <c r="J113" s="278" t="str">
        <f>IF(Table1[[#This Row],[Column5]]="","",INDEX(Table2[e],IF(Table1[[#This Row],[Column5]]="","",MATCH(Table1[[#This Row],[Column5]],Table2[a],0)),))</f>
        <v>CV LANCAR JAYA SENTOSA MALANG</v>
      </c>
      <c r="K113" s="271">
        <v>500</v>
      </c>
      <c r="L113" s="271" t="s">
        <v>136</v>
      </c>
      <c r="M113" s="271">
        <v>5</v>
      </c>
      <c r="N113" s="271" t="s">
        <v>335</v>
      </c>
      <c r="O113" s="278" t="str">
        <f>IF(Table1[[#This Row],[h_Item Description]]="","",INDEX([1]!db[NB PAJAK],MATCH(Table1[[#This Row],[h_Item Description]],[1]!db[kode],0)))</f>
        <v>ISI STAPLER (STAPLES) GREATWALL GW-NO. 10 (KECIL)</v>
      </c>
      <c r="P113" s="271" t="s">
        <v>336</v>
      </c>
      <c r="Q113" s="274">
        <v>13100</v>
      </c>
      <c r="R113" s="275"/>
      <c r="S113" s="275"/>
      <c r="T113" s="274">
        <f>Table1[[#This Row],[h_hargasetelahdiskon]]</f>
        <v>6550000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1</v>
      </c>
      <c r="Y113" s="274">
        <f>IF(Table1[Item Description]="","",Table1[[#This Row],[Qty]]*Table1[[#This Row],[Unit Price]])</f>
        <v>6550000</v>
      </c>
      <c r="Z113" s="274">
        <f>IF(Table1[[#This Row],[h_hargasebelumdiskon]]="","",IF(Table1[[#This Row],[Disc 1]]="",0,Table1[[#This Row],[h_hargasebelumdiskon]]*Table1[[#This Row],[Disc 1]]))</f>
        <v>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0</v>
      </c>
      <c r="AC113" s="274">
        <f>IF(Table1[Item Description]="","",Table1[[#This Row],[h_hargasebelumdiskon]]-Table1[[#This Row],[h_diskon]])</f>
        <v>6550000</v>
      </c>
      <c r="AD113" s="274">
        <f ca="1">IF(Table1[//]="","",SUMIF(Table1[h_id],Table1[h_id],Table1[h_hargasetelahdiskon]))</f>
        <v>6550000</v>
      </c>
      <c r="AF113" s="274" t="str">
        <f>Table1[[#This Row],[Item Description]]&amp;Table1[[#This Row],[Unit]]&amp;Table1[[#This Row],[Unit Price]]</f>
        <v>ISI STAPLER (STAPLES) GREATWALL GW-NO. 10 (KECIL)PAK13100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24010019</v>
      </c>
      <c r="C115" s="272">
        <f>IF(Table1[[#This Row],[Column2]]="","",Table1[[#This Row],[Column2]]+C$1-1)</f>
        <v>45304</v>
      </c>
      <c r="D115" s="282">
        <v>13</v>
      </c>
      <c r="E115" s="273" t="s">
        <v>353</v>
      </c>
      <c r="F115" s="271" t="s">
        <v>192</v>
      </c>
      <c r="G115" s="278" t="str">
        <f ca="1">IF(Table1[[#This Row],[h_No. Invoice :]]="","",CONCATENATE("AM"," ",Table1[[#This Row],[h_No. Invoice :]]))</f>
        <v>AM 24010019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0881</v>
      </c>
      <c r="J115" s="278" t="str">
        <f>IF(Table1[[#This Row],[Column5]]="","",INDEX(Table2[e],IF(Table1[[#This Row],[Column5]]="","",MATCH(Table1[[#This Row],[Column5]],Table2[a],0)),))</f>
        <v>CV PELITA JAYA (ANUGERAH SEJAHTERA) PURWOKERTO</v>
      </c>
      <c r="K115" s="271">
        <v>400</v>
      </c>
      <c r="L115" s="271" t="s">
        <v>150</v>
      </c>
      <c r="M115" s="271">
        <v>2</v>
      </c>
      <c r="N115" s="271" t="s">
        <v>354</v>
      </c>
      <c r="O115" s="278" t="str">
        <f>IF(Table1[[#This Row],[h_Item Description]]="","",INDEX([1]!db[NB PAJAK],MATCH(Table1[[#This Row],[h_Item Description]],[1]!db[kode],0)))</f>
        <v>ISI STAPLER (STAPLES) KENKO 1210 PREMIUM (23/10)</v>
      </c>
      <c r="P115" s="271" t="s">
        <v>325</v>
      </c>
      <c r="Q115" s="274">
        <v>4200</v>
      </c>
      <c r="R115" s="275">
        <v>0.13500000000000001</v>
      </c>
      <c r="S115" s="275"/>
      <c r="T115" s="274">
        <f>Table1[[#This Row],[h_hargasetelahdiskon]]</f>
        <v>1453200</v>
      </c>
      <c r="U115" s="274" t="s">
        <v>130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</v>
      </c>
      <c r="Y115" s="274">
        <f>IF(Table1[Item Description]="","",Table1[[#This Row],[Qty]]*Table1[[#This Row],[Unit Price]])</f>
        <v>1680000</v>
      </c>
      <c r="Z115" s="274">
        <f>IF(Table1[[#This Row],[h_hargasebelumdiskon]]="","",IF(Table1[[#This Row],[Disc 1]]="",0,Table1[[#This Row],[h_hargasebelumdiskon]]*Table1[[#This Row],[Disc 1]]))</f>
        <v>226800.00000000003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226800.00000000003</v>
      </c>
      <c r="AC115" s="274">
        <f>IF(Table1[Item Description]="","",Table1[[#This Row],[h_hargasebelumdiskon]]-Table1[[#This Row],[h_diskon]])</f>
        <v>1453200</v>
      </c>
      <c r="AD115" s="274">
        <f ca="1">IF(Table1[//]="","",SUMIF(Table1[h_id],Table1[h_id],Table1[h_hargasetelahdiskon]))</f>
        <v>1453200</v>
      </c>
      <c r="AF115" s="274" t="str">
        <f>Table1[[#This Row],[Item Description]]&amp;Table1[[#This Row],[Unit]]&amp;Table1[[#This Row],[Unit Price]]</f>
        <v>ISI STAPLER (STAPLES) KENKO 1210 PREMIUM (23/10)PCS4200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>
        <f ca="1">IF(Table1[[#This Row],[No. Invoice :]]="","",ROW())</f>
        <v>117</v>
      </c>
      <c r="B117" s="278">
        <f ca="1">IF(Table1[Column3]="","",B$1+COUNT(INDIRECT("B$2:B"&amp;ROW()-1)))</f>
        <v>24010020</v>
      </c>
      <c r="C117" s="272">
        <f>IF(Table1[[#This Row],[Column2]]="","",Table1[[#This Row],[Column2]]+C$1-1)</f>
        <v>45304</v>
      </c>
      <c r="D117" s="282">
        <v>13</v>
      </c>
      <c r="E117" s="273" t="s">
        <v>427</v>
      </c>
      <c r="F117" s="271" t="s">
        <v>428</v>
      </c>
      <c r="G117" s="278" t="str">
        <f ca="1">IF(Table1[[#This Row],[h_No. Invoice :]]="","",CONCATENATE("AM"," ",Table1[[#This Row],[h_No. Invoice :]]))</f>
        <v>AM 24010020</v>
      </c>
      <c r="H117" s="271" t="str">
        <f>IF(Table1[[#This Row],[Column5]]="","",INDEX(Table2[Column1],MATCH(Table1[[#This Row],[Column5]],Table2[a],0)))</f>
        <v>A</v>
      </c>
      <c r="I117" s="279" t="str">
        <f>IF(Table1[[#This Row],[Column3]]=0,"",CONCATENATE(UPPER(Table1[[#This Row],[Column3]])," ",Table1[[#This Row],[Column4]]))</f>
        <v>A 0221</v>
      </c>
      <c r="J117" s="278" t="str">
        <f>IF(Table1[[#This Row],[Column5]]="","",INDEX(Table2[e],IF(Table1[[#This Row],[Column5]]="","",MATCH(Table1[[#This Row],[Column5]],Table2[a],0)),))</f>
        <v>PT RAMAI SANTOSO SEJAHTERA ( RAMAI SWALAYAN ) UNGARAN</v>
      </c>
      <c r="K117" s="271">
        <v>6</v>
      </c>
      <c r="L117" s="271" t="s">
        <v>308</v>
      </c>
      <c r="O117" s="278" t="str">
        <f>IF(Table1[[#This Row],[h_Item Description]]="","",INDEX([1]!db[NB PAJAK],MATCH(Table1[[#This Row],[h_Item Description]],[1]!db[kode],0)))</f>
        <v/>
      </c>
      <c r="P117" s="271" t="s">
        <v>429</v>
      </c>
      <c r="Q117" s="274">
        <v>7020</v>
      </c>
      <c r="R117" s="275">
        <v>0.1</v>
      </c>
      <c r="S117" s="275"/>
      <c r="T117" s="274">
        <f>Table1[[#This Row],[h_hargasetelahdiskon]]</f>
        <v>37908</v>
      </c>
      <c r="U117" s="274" t="s">
        <v>305</v>
      </c>
      <c r="V117" s="271"/>
      <c r="W117" s="278">
        <f ca="1">IF(Table1[[#This Row],[Item Description]]="","",IF(Table1[[#This Row],[//]]="",INDIRECT(ADDRESS(ROW()-1,COLUMN())),Table1[[#This Row],[//]]))</f>
        <v>117</v>
      </c>
      <c r="X117" s="278">
        <f ca="1">IF(Table1[[#This Row],[h_id]]="","",COUNTIF(Table1[h_id],Table1[[#This Row],[h_id]]))</f>
        <v>9</v>
      </c>
      <c r="Y117" s="274">
        <f>IF(Table1[Item Description]="","",Table1[[#This Row],[Qty]]*Table1[[#This Row],[Unit Price]])</f>
        <v>42120</v>
      </c>
      <c r="Z117" s="274">
        <f>IF(Table1[[#This Row],[h_hargasebelumdiskon]]="","",IF(Table1[[#This Row],[Disc 1]]="",0,Table1[[#This Row],[h_hargasebelumdiskon]]*Table1[[#This Row],[Disc 1]]))</f>
        <v>4212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4212</v>
      </c>
      <c r="AC117" s="274">
        <f>IF(Table1[Item Description]="","",Table1[[#This Row],[h_hargasebelumdiskon]]-Table1[[#This Row],[h_diskon]])</f>
        <v>37908</v>
      </c>
      <c r="AD117" s="274">
        <f ca="1">IF(Table1[//]="","",SUMIF(Table1[h_id],Table1[h_id],Table1[h_hargasetelahdiskon]))</f>
        <v>1317792</v>
      </c>
      <c r="AF117" s="274" t="str">
        <f>Table1[[#This Row],[Item Description]]&amp;Table1[[#This Row],[Unit]]&amp;Table1[[#This Row],[Unit Price]]</f>
        <v>BALLPEN JOYKO BP-250 BRIZLS7020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73"/>
      <c r="F118" s="271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3</v>
      </c>
      <c r="L118" s="271" t="s">
        <v>307</v>
      </c>
      <c r="O118" s="285" t="str">
        <f>IF(Table1[[#This Row],[h_Item Description]]="","",INDEX([1]!db[NB PAJAK],MATCH(Table1[[#This Row],[h_Item Description]],[1]!db[kode],0)))</f>
        <v/>
      </c>
      <c r="P118" s="271" t="s">
        <v>430</v>
      </c>
      <c r="Q118" s="274">
        <v>67000</v>
      </c>
      <c r="R118" s="275">
        <v>0.1</v>
      </c>
      <c r="S118" s="275"/>
      <c r="T118" s="289">
        <f>Table1[[#This Row],[h_hargasetelahdiskon]]</f>
        <v>180900</v>
      </c>
      <c r="V118" s="271"/>
      <c r="W118" s="278">
        <f ca="1">IF(Table1[[#This Row],[Item Description]]="","",IF(Table1[[#This Row],[//]]="",INDIRECT(ADDRESS(ROW()-1,COLUMN())),Table1[[#This Row],[//]]))</f>
        <v>117</v>
      </c>
      <c r="X118" s="278">
        <f ca="1">IF(Table1[[#This Row],[h_id]]="","",COUNTIF(Table1[h_id],Table1[[#This Row],[h_id]]))</f>
        <v>9</v>
      </c>
      <c r="Y118" s="274">
        <f>IF(Table1[Item Description]="","",Table1[[#This Row],[Qty]]*Table1[[#This Row],[Unit Price]])</f>
        <v>201000</v>
      </c>
      <c r="Z118" s="289">
        <f>IF(Table1[[#This Row],[h_hargasebelumdiskon]]="","",IF(Table1[[#This Row],[Disc 1]]="",0,Table1[[#This Row],[h_hargasebelumdiskon]]*Table1[[#This Row],[Disc 1]]))</f>
        <v>20100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20100</v>
      </c>
      <c r="AC118" s="274">
        <f>IF(Table1[Item Description]="","",Table1[[#This Row],[h_hargasebelumdiskon]]-Table1[[#This Row],[h_diskon]])</f>
        <v>180900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CALCULATOR JOYKO CC-25PC67000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</v>
      </c>
      <c r="L119" s="271" t="s">
        <v>308</v>
      </c>
      <c r="O119" s="285" t="str">
        <f>IF(Table1[[#This Row],[h_Item Description]]="","",INDEX([1]!db[NB PAJAK],MATCH(Table1[[#This Row],[h_Item Description]],[1]!db[kode],0)))</f>
        <v/>
      </c>
      <c r="P119" s="271" t="s">
        <v>431</v>
      </c>
      <c r="Q119" s="274">
        <v>55000</v>
      </c>
      <c r="R119" s="275"/>
      <c r="S119" s="275"/>
      <c r="T119" s="289">
        <f>Table1[[#This Row],[h_hargasetelahdiskon]]</f>
        <v>55000</v>
      </c>
      <c r="V119" s="271"/>
      <c r="W119" s="278">
        <f ca="1">IF(Table1[[#This Row],[Item Description]]="","",IF(Table1[[#This Row],[//]]="",INDIRECT(ADDRESS(ROW()-1,COLUMN())),Table1[[#This Row],[//]]))</f>
        <v>117</v>
      </c>
      <c r="X119" s="278">
        <f ca="1">IF(Table1[[#This Row],[h_id]]="","",COUNTIF(Table1[h_id],Table1[[#This Row],[h_id]]))</f>
        <v>9</v>
      </c>
      <c r="Y119" s="274">
        <f>IF(Table1[Item Description]="","",Table1[[#This Row],[Qty]]*Table1[[#This Row],[Unit Price]])</f>
        <v>55000</v>
      </c>
      <c r="Z119" s="289">
        <f>IF(Table1[[#This Row],[h_hargasebelumdiskon]]="","",IF(Table1[[#This Row],[Disc 1]]="",0,Table1[[#This Row],[h_hargasebelumdiskon]]*Table1[[#This Row],[Disc 1]]))</f>
        <v>0</v>
      </c>
      <c r="AA119" s="289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55000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DOCUMEN BAG DLL-8623-A5LS55000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2</v>
      </c>
      <c r="L120" s="271" t="s">
        <v>136</v>
      </c>
      <c r="O120" s="285" t="str">
        <f>IF(Table1[[#This Row],[h_Item Description]]="","",INDEX([1]!db[NB PAJAK],MATCH(Table1[[#This Row],[h_Item Description]],[1]!db[kode],0)))</f>
        <v/>
      </c>
      <c r="P120" s="271" t="s">
        <v>432</v>
      </c>
      <c r="Q120" s="274">
        <v>10000</v>
      </c>
      <c r="R120" s="275"/>
      <c r="S120" s="275"/>
      <c r="T120" s="289">
        <f>Table1[[#This Row],[h_hargasetelahdiskon]]</f>
        <v>20000</v>
      </c>
      <c r="V120" s="271"/>
      <c r="W120" s="278">
        <f ca="1">IF(Table1[[#This Row],[Item Description]]="","",IF(Table1[[#This Row],[//]]="",INDIRECT(ADDRESS(ROW()-1,COLUMN())),Table1[[#This Row],[//]]))</f>
        <v>117</v>
      </c>
      <c r="X120" s="278">
        <f ca="1">IF(Table1[[#This Row],[h_id]]="","",COUNTIF(Table1[h_id],Table1[[#This Row],[h_id]]))</f>
        <v>9</v>
      </c>
      <c r="Y120" s="274">
        <f>IF(Table1[Item Description]="","",Table1[[#This Row],[Qty]]*Table1[[#This Row],[Unit Price]])</f>
        <v>20000</v>
      </c>
      <c r="Z120" s="289">
        <f>IF(Table1[[#This Row],[h_hargasebelumdiskon]]="","",IF(Table1[[#This Row],[Disc 1]]="",0,Table1[[#This Row],[h_hargasebelumdiskon]]*Table1[[#This Row],[Disc 1]]))</f>
        <v>0</v>
      </c>
      <c r="AA120" s="289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0</v>
      </c>
      <c r="AC120" s="274">
        <f>IF(Table1[Item Description]="","",Table1[[#This Row],[h_hargasebelumdiskon]]-Table1[[#This Row],[h_diskon]])</f>
        <v>20000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STIP / PENGHAPUS GOZTAR B-24 WARNA BESARPAK10000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308</v>
      </c>
      <c r="O121" s="285" t="str">
        <f>IF(Table1[[#This Row],[h_Item Description]]="","",INDEX([1]!db[NB PAJAK],MATCH(Table1[[#This Row],[h_Item Description]],[1]!db[kode],0)))</f>
        <v/>
      </c>
      <c r="P121" s="271" t="s">
        <v>433</v>
      </c>
      <c r="Q121" s="274">
        <v>156000</v>
      </c>
      <c r="R121" s="275"/>
      <c r="S121" s="275"/>
      <c r="T121" s="289">
        <f>Table1[[#This Row],[h_hargasetelahdiskon]]</f>
        <v>156000</v>
      </c>
      <c r="V121" s="271"/>
      <c r="W121" s="278">
        <f ca="1">IF(Table1[[#This Row],[Item Description]]="","",IF(Table1[[#This Row],[//]]="",INDIRECT(ADDRESS(ROW()-1,COLUMN())),Table1[[#This Row],[//]]))</f>
        <v>117</v>
      </c>
      <c r="X121" s="278">
        <f ca="1">IF(Table1[[#This Row],[h_id]]="","",COUNTIF(Table1[h_id],Table1[[#This Row],[h_id]]))</f>
        <v>9</v>
      </c>
      <c r="Y121" s="274">
        <f>IF(Table1[Item Description]="","",Table1[[#This Row],[Qty]]*Table1[[#This Row],[Unit Price]])</f>
        <v>156000</v>
      </c>
      <c r="Z121" s="289">
        <f>IF(Table1[[#This Row],[h_hargasebelumdiskon]]="","",IF(Table1[[#This Row],[Disc 1]]="",0,Table1[[#This Row],[h_hargasebelumdiskon]]*Table1[[#This Row],[Disc 1]]))</f>
        <v>0</v>
      </c>
      <c r="AA121" s="289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0</v>
      </c>
      <c r="AC121" s="274">
        <f>IF(Table1[Item Description]="","",Table1[[#This Row],[h_hargasebelumdiskon]]-Table1[[#This Row],[h_diskon]])</f>
        <v>156000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PENCIL CASE 23 x 8.5 MAGNET FY-6823LS156000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308</v>
      </c>
      <c r="O122" s="285" t="str">
        <f>IF(Table1[[#This Row],[h_Item Description]]="","",INDEX([1]!db[NB PAJAK],MATCH(Table1[[#This Row],[h_Item Description]],[1]!db[kode],0)))</f>
        <v/>
      </c>
      <c r="P122" s="271" t="s">
        <v>434</v>
      </c>
      <c r="Q122" s="274">
        <v>132000</v>
      </c>
      <c r="R122" s="275"/>
      <c r="S122" s="275"/>
      <c r="T122" s="289">
        <f>Table1[[#This Row],[h_hargasetelahdiskon]]</f>
        <v>132000</v>
      </c>
      <c r="V122" s="271"/>
      <c r="W122" s="278">
        <f ca="1">IF(Table1[[#This Row],[Item Description]]="","",IF(Table1[[#This Row],[//]]="",INDIRECT(ADDRESS(ROW()-1,COLUMN())),Table1[[#This Row],[//]]))</f>
        <v>117</v>
      </c>
      <c r="X122" s="278">
        <f ca="1">IF(Table1[[#This Row],[h_id]]="","",COUNTIF(Table1[h_id],Table1[[#This Row],[h_id]]))</f>
        <v>9</v>
      </c>
      <c r="Y122" s="274">
        <f>IF(Table1[Item Description]="","",Table1[[#This Row],[Qty]]*Table1[[#This Row],[Unit Price]])</f>
        <v>132000</v>
      </c>
      <c r="Z122" s="289">
        <f>IF(Table1[[#This Row],[h_hargasebelumdiskon]]="","",IF(Table1[[#This Row],[Disc 1]]="",0,Table1[[#This Row],[h_hargasebelumdiskon]]*Table1[[#This Row],[Disc 1]]))</f>
        <v>0</v>
      </c>
      <c r="AA122" s="289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0</v>
      </c>
      <c r="AC122" s="274">
        <f>IF(Table1[Item Description]="","",Table1[[#This Row],[h_hargasebelumdiskon]]-Table1[[#This Row],[h_diskon]])</f>
        <v>132000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PENCIL CASE 22 x 7.5 MAGNET AC-1762LS132000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308</v>
      </c>
      <c r="O123" s="285" t="str">
        <f>IF(Table1[[#This Row],[h_Item Description]]="","",INDEX([1]!db[NB PAJAK],MATCH(Table1[[#This Row],[h_Item Description]],[1]!db[kode],0)))</f>
        <v/>
      </c>
      <c r="P123" s="271" t="s">
        <v>435</v>
      </c>
      <c r="Q123" s="274">
        <v>156000</v>
      </c>
      <c r="R123" s="275"/>
      <c r="S123" s="275"/>
      <c r="T123" s="289">
        <f>Table1[[#This Row],[h_hargasetelahdiskon]]</f>
        <v>156000</v>
      </c>
      <c r="V123" s="271"/>
      <c r="W123" s="278">
        <f ca="1">IF(Table1[[#This Row],[Item Description]]="","",IF(Table1[[#This Row],[//]]="",INDIRECT(ADDRESS(ROW()-1,COLUMN())),Table1[[#This Row],[//]]))</f>
        <v>117</v>
      </c>
      <c r="X123" s="278">
        <f ca="1">IF(Table1[[#This Row],[h_id]]="","",COUNTIF(Table1[h_id],Table1[[#This Row],[h_id]]))</f>
        <v>9</v>
      </c>
      <c r="Y123" s="274">
        <f>IF(Table1[Item Description]="","",Table1[[#This Row],[Qty]]*Table1[[#This Row],[Unit Price]])</f>
        <v>156000</v>
      </c>
      <c r="Z123" s="289">
        <f>IF(Table1[[#This Row],[h_hargasebelumdiskon]]="","",IF(Table1[[#This Row],[Disc 1]]="",0,Table1[[#This Row],[h_hargasebelumdiskon]]*Table1[[#This Row],[Disc 1]]))</f>
        <v>0</v>
      </c>
      <c r="AA123" s="289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0</v>
      </c>
      <c r="AC123" s="274">
        <f>IF(Table1[Item Description]="","",Table1[[#This Row],[h_hargasebelumdiskon]]-Table1[[#This Row],[h_diskon]])</f>
        <v>156000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PENCIL CASE 22 x 7.5 MAGNET FX-2275 (METALIK)LS156000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24</v>
      </c>
      <c r="L124" s="271" t="s">
        <v>307</v>
      </c>
      <c r="O124" s="285" t="str">
        <f>IF(Table1[[#This Row],[h_Item Description]]="","",INDEX([1]!db[NB PAJAK],MATCH(Table1[[#This Row],[h_Item Description]],[1]!db[kode],0)))</f>
        <v/>
      </c>
      <c r="P124" s="271" t="s">
        <v>436</v>
      </c>
      <c r="Q124" s="274">
        <v>20000</v>
      </c>
      <c r="R124" s="275"/>
      <c r="S124" s="275"/>
      <c r="T124" s="289">
        <f>Table1[[#This Row],[h_hargasetelahdiskon]]</f>
        <v>480000</v>
      </c>
      <c r="V124" s="271"/>
      <c r="W124" s="278">
        <f ca="1">IF(Table1[[#This Row],[Item Description]]="","",IF(Table1[[#This Row],[//]]="",INDIRECT(ADDRESS(ROW()-1,COLUMN())),Table1[[#This Row],[//]]))</f>
        <v>117</v>
      </c>
      <c r="X124" s="278">
        <f ca="1">IF(Table1[[#This Row],[h_id]]="","",COUNTIF(Table1[h_id],Table1[[#This Row],[h_id]]))</f>
        <v>9</v>
      </c>
      <c r="Y124" s="274">
        <f>IF(Table1[Item Description]="","",Table1[[#This Row],[Qty]]*Table1[[#This Row],[Unit Price]])</f>
        <v>480000</v>
      </c>
      <c r="Z124" s="289">
        <f>IF(Table1[[#This Row],[h_hargasebelumdiskon]]="","",IF(Table1[[#This Row],[Disc 1]]="",0,Table1[[#This Row],[h_hargasebelumdiskon]]*Table1[[#This Row],[Disc 1]]))</f>
        <v>0</v>
      </c>
      <c r="AA124" s="289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480000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NOTEBOOK KANCING 32K1008-21 (A5)PC20000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48</v>
      </c>
      <c r="L125" s="271" t="s">
        <v>307</v>
      </c>
      <c r="O125" s="285" t="str">
        <f>IF(Table1[[#This Row],[h_Item Description]]="","",INDEX([1]!db[NB PAJAK],MATCH(Table1[[#This Row],[h_Item Description]],[1]!db[kode],0)))</f>
        <v/>
      </c>
      <c r="P125" s="271" t="s">
        <v>437</v>
      </c>
      <c r="Q125" s="274">
        <v>2083</v>
      </c>
      <c r="R125" s="275"/>
      <c r="S125" s="275"/>
      <c r="T125" s="289">
        <f>Table1[[#This Row],[h_hargasetelahdiskon]]</f>
        <v>99984</v>
      </c>
      <c r="V125" s="271"/>
      <c r="W125" s="278">
        <f ca="1">IF(Table1[[#This Row],[Item Description]]="","",IF(Table1[[#This Row],[//]]="",INDIRECT(ADDRESS(ROW()-1,COLUMN())),Table1[[#This Row],[//]]))</f>
        <v>117</v>
      </c>
      <c r="X125" s="278">
        <f ca="1">IF(Table1[[#This Row],[h_id]]="","",COUNTIF(Table1[h_id],Table1[[#This Row],[h_id]]))</f>
        <v>9</v>
      </c>
      <c r="Y125" s="274">
        <f>IF(Table1[Item Description]="","",Table1[[#This Row],[Qty]]*Table1[[#This Row],[Unit Price]])</f>
        <v>99984</v>
      </c>
      <c r="Z125" s="289">
        <f>IF(Table1[[#This Row],[h_hargasebelumdiskon]]="","",IF(Table1[[#This Row],[Disc 1]]="",0,Table1[[#This Row],[h_hargasebelumdiskon]]*Table1[[#This Row],[Disc 1]]))</f>
        <v>0</v>
      </c>
      <c r="AA125" s="289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0</v>
      </c>
      <c r="AC125" s="274">
        <f>IF(Table1[Item Description]="","",Table1[[#This Row],[h_hargasebelumdiskon]]-Table1[[#This Row],[h_diskon]])</f>
        <v>99984</v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>HIGHLIGHTER / STABILLO VANCO HL-521PC2083</v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>
        <f ca="1">IF(Table1[[#This Row],[No. Invoice :]]="","",ROW())</f>
        <v>127</v>
      </c>
      <c r="B127" s="285">
        <f ca="1">IF(Table1[Column3]="","",B$1+COUNT(INDIRECT("B$2:B"&amp;ROW()-1)))</f>
        <v>24010021</v>
      </c>
      <c r="C127" s="272">
        <f>IF(Table1[[#This Row],[Column2]]="","",Table1[[#This Row],[Column2]]+C$1-1)</f>
        <v>45306</v>
      </c>
      <c r="D127" s="286">
        <v>15</v>
      </c>
      <c r="E127" s="273" t="s">
        <v>355</v>
      </c>
      <c r="F127" s="271" t="s">
        <v>192</v>
      </c>
      <c r="G127" s="278" t="str">
        <f ca="1">IF(Table1[[#This Row],[h_No. Invoice :]]="","",CONCATENATE("AM"," ",Table1[[#This Row],[h_No. Invoice :]]))</f>
        <v>AM 24010021</v>
      </c>
      <c r="H127" s="287" t="str">
        <f>IF(Table1[[#This Row],[Column5]]="","",INDEX(Table2[Column1],MATCH(Table1[[#This Row],[Column5]],Table2[a],0)))</f>
        <v>KO</v>
      </c>
      <c r="I127" s="279" t="str">
        <f>IF(Table1[[#This Row],[Column3]]=0,"",CONCATENATE(UPPER(Table1[[#This Row],[Column3]])," ",Table1[[#This Row],[Column4]]))</f>
        <v>KO 0715</v>
      </c>
      <c r="J127" s="278" t="str">
        <f>IF(Table1[[#This Row],[Column5]]="","",INDEX(Table2[e],IF(Table1[[#This Row],[Column5]]="","",MATCH(Table1[[#This Row],[Column5]],Table2[a],0)),))</f>
        <v>CV PELITA JAYA (ANUGERAH SEJAHTERA) PURWOKERTO</v>
      </c>
      <c r="K127" s="271">
        <v>144</v>
      </c>
      <c r="L127" s="271" t="s">
        <v>137</v>
      </c>
      <c r="M127" s="271">
        <v>1</v>
      </c>
      <c r="N127" s="271" t="s">
        <v>356</v>
      </c>
      <c r="O127" s="285" t="str">
        <f>IF(Table1[[#This Row],[h_Item Description]]="","",INDEX([1]!db[NB PAJAK],MATCH(Table1[[#This Row],[h_Item Description]],[1]!db[kode],0)))</f>
        <v>GEL PEN KENKO EASY GEL HITAM</v>
      </c>
      <c r="P127" s="271" t="s">
        <v>358</v>
      </c>
      <c r="Q127" s="274">
        <v>26100</v>
      </c>
      <c r="R127" s="275">
        <v>0.13500000000000001</v>
      </c>
      <c r="S127" s="275"/>
      <c r="T127" s="289">
        <f>Table1[[#This Row],[h_hargasetelahdiskon]]</f>
        <v>3251016</v>
      </c>
      <c r="U127" s="274" t="s">
        <v>130</v>
      </c>
      <c r="V127" s="271"/>
      <c r="W127" s="278">
        <f ca="1">IF(Table1[[#This Row],[Item Description]]="","",IF(Table1[[#This Row],[//]]="",INDIRECT(ADDRESS(ROW()-1,COLUMN())),Table1[[#This Row],[//]]))</f>
        <v>127</v>
      </c>
      <c r="X127" s="278">
        <f ca="1">IF(Table1[[#This Row],[h_id]]="","",COUNTIF(Table1[h_id],Table1[[#This Row],[h_id]]))</f>
        <v>3</v>
      </c>
      <c r="Y127" s="274">
        <f>IF(Table1[Item Description]="","",Table1[[#This Row],[Qty]]*Table1[[#This Row],[Unit Price]])</f>
        <v>3758400</v>
      </c>
      <c r="Z127" s="289">
        <f>IF(Table1[[#This Row],[h_hargasebelumdiskon]]="","",IF(Table1[[#This Row],[Disc 1]]="",0,Table1[[#This Row],[h_hargasebelumdiskon]]*Table1[[#This Row],[Disc 1]]))</f>
        <v>507384.00000000006</v>
      </c>
      <c r="AA127" s="289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507384.00000000006</v>
      </c>
      <c r="AC127" s="274">
        <f>IF(Table1[Item Description]="","",Table1[[#This Row],[h_hargasebelumdiskon]]-Table1[[#This Row],[h_diskon]])</f>
        <v>3251016</v>
      </c>
      <c r="AD127" s="274">
        <f ca="1">IF(Table1[//]="","",SUMIF(Table1[h_id],Table1[h_id],Table1[h_hargasetelahdiskon]))</f>
        <v>13265640</v>
      </c>
      <c r="AF127" s="274" t="str">
        <f>Table1[[#This Row],[Item Description]]&amp;Table1[[#This Row],[Unit]]&amp;Table1[[#This Row],[Unit Price]]</f>
        <v>GEL PEN KENKO EASY GEL HITAMLSN26100</v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88"/>
      <c r="F128" s="287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>
        <v>144</v>
      </c>
      <c r="L128" s="271" t="s">
        <v>137</v>
      </c>
      <c r="M128" s="271">
        <v>1</v>
      </c>
      <c r="N128" s="271" t="s">
        <v>357</v>
      </c>
      <c r="O128" s="285" t="str">
        <f>IF(Table1[[#This Row],[h_Item Description]]="","",INDEX([1]!db[NB PAJAK],MATCH(Table1[[#This Row],[h_Item Description]],[1]!db[kode],0)))</f>
        <v>GEL PEN KENKO EASY GEL BIRU</v>
      </c>
      <c r="P128" s="271" t="s">
        <v>359</v>
      </c>
      <c r="Q128" s="274">
        <v>26100</v>
      </c>
      <c r="R128" s="275">
        <v>0.13500000000000001</v>
      </c>
      <c r="S128" s="275"/>
      <c r="T128" s="289">
        <f>Table1[[#This Row],[h_hargasetelahdiskon]]</f>
        <v>3251016</v>
      </c>
      <c r="V128" s="271"/>
      <c r="W128" s="278">
        <f ca="1">IF(Table1[[#This Row],[Item Description]]="","",IF(Table1[[#This Row],[//]]="",INDIRECT(ADDRESS(ROW()-1,COLUMN())),Table1[[#This Row],[//]]))</f>
        <v>127</v>
      </c>
      <c r="X128" s="278">
        <f ca="1">IF(Table1[[#This Row],[h_id]]="","",COUNTIF(Table1[h_id],Table1[[#This Row],[h_id]]))</f>
        <v>3</v>
      </c>
      <c r="Y128" s="274">
        <f>IF(Table1[Item Description]="","",Table1[[#This Row],[Qty]]*Table1[[#This Row],[Unit Price]])</f>
        <v>3758400</v>
      </c>
      <c r="Z128" s="289">
        <f>IF(Table1[[#This Row],[h_hargasebelumdiskon]]="","",IF(Table1[[#This Row],[Disc 1]]="",0,Table1[[#This Row],[h_hargasebelumdiskon]]*Table1[[#This Row],[Disc 1]]))</f>
        <v>507384.00000000006</v>
      </c>
      <c r="AA128" s="289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507384.00000000006</v>
      </c>
      <c r="AC128" s="274">
        <f>IF(Table1[Item Description]="","",Table1[[#This Row],[h_hargasebelumdiskon]]-Table1[[#This Row],[h_diskon]])</f>
        <v>3251016</v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>GEL PEN KENKO EASY GEL BIRULSN26100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137</v>
      </c>
      <c r="M129" s="271">
        <v>2</v>
      </c>
      <c r="N129" s="271" t="s">
        <v>151</v>
      </c>
      <c r="O129" s="285" t="str">
        <f>IF(Table1[[#This Row],[h_Item Description]]="","",INDEX([1]!db[NB PAJAK],MATCH(Table1[[#This Row],[h_Item Description]],[1]!db[kode],0)))</f>
        <v>CORRECTION FLUID KENKO KE-01</v>
      </c>
      <c r="P129" s="271" t="s">
        <v>152</v>
      </c>
      <c r="Q129" s="274">
        <v>54300</v>
      </c>
      <c r="R129" s="275">
        <v>0.13500000000000001</v>
      </c>
      <c r="S129" s="275"/>
      <c r="T129" s="289">
        <f>Table1[[#This Row],[h_hargasetelahdiskon]]</f>
        <v>6763608</v>
      </c>
      <c r="V129" s="271"/>
      <c r="W129" s="278">
        <f ca="1">IF(Table1[[#This Row],[Item Description]]="","",IF(Table1[[#This Row],[//]]="",INDIRECT(ADDRESS(ROW()-1,COLUMN())),Table1[[#This Row],[//]]))</f>
        <v>127</v>
      </c>
      <c r="X129" s="278">
        <f ca="1">IF(Table1[[#This Row],[h_id]]="","",COUNTIF(Table1[h_id],Table1[[#This Row],[h_id]]))</f>
        <v>3</v>
      </c>
      <c r="Y129" s="274">
        <f>IF(Table1[Item Description]="","",Table1[[#This Row],[Qty]]*Table1[[#This Row],[Unit Price]])</f>
        <v>7819200</v>
      </c>
      <c r="Z129" s="289">
        <f>IF(Table1[[#This Row],[h_hargasebelumdiskon]]="","",IF(Table1[[#This Row],[Disc 1]]="",0,Table1[[#This Row],[h_hargasebelumdiskon]]*Table1[[#This Row],[Disc 1]]))</f>
        <v>1055592</v>
      </c>
      <c r="AA129" s="289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1055592</v>
      </c>
      <c r="AC129" s="274">
        <f>IF(Table1[Item Description]="","",Table1[[#This Row],[h_hargasebelumdiskon]]-Table1[[#This Row],[h_diskon]])</f>
        <v>6763608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KENKO KE-01LSN54300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85">
        <f ca="1">IF(Table1[Column3]="","",B$1+COUNT(INDIRECT("B$2:B"&amp;ROW()-1)))</f>
        <v>24010022</v>
      </c>
      <c r="C131" s="272">
        <f>IF(Table1[[#This Row],[Column2]]="","",Table1[[#This Row],[Column2]]+C$1-1)</f>
        <v>45307</v>
      </c>
      <c r="D131" s="286">
        <v>16</v>
      </c>
      <c r="E131" s="273" t="s">
        <v>360</v>
      </c>
      <c r="F131" s="271" t="s">
        <v>361</v>
      </c>
      <c r="G131" s="278" t="str">
        <f ca="1">IF(Table1[[#This Row],[h_No. Invoice :]]="","",CONCATENATE("AM"," ",Table1[[#This Row],[h_No. Invoice :]]))</f>
        <v>AM 24010022</v>
      </c>
      <c r="H131" s="287" t="str">
        <f>IF(Table1[[#This Row],[Column5]]="","",INDEX(Table2[Column1],MATCH(Table1[[#This Row],[Column5]],Table2[a],0)))</f>
        <v>A</v>
      </c>
      <c r="I131" s="279" t="str">
        <f>IF(Table1[[#This Row],[Column3]]=0,"",CONCATENATE(UPPER(Table1[[#This Row],[Column3]])," ",Table1[[#This Row],[Column4]]))</f>
        <v>A 0837</v>
      </c>
      <c r="J131" s="278" t="str">
        <f>IF(Table1[[#This Row],[Column5]]="","",INDEX(Table2[e],IF(Table1[[#This Row],[Column5]]="","",MATCH(Table1[[#This Row],[Column5]],Table2[a],0)),))</f>
        <v>CV FM 90 KEBUMEN</v>
      </c>
      <c r="K131" s="271">
        <v>144</v>
      </c>
      <c r="L131" s="271" t="s">
        <v>137</v>
      </c>
      <c r="M131" s="271">
        <v>1</v>
      </c>
      <c r="N131" s="271" t="s">
        <v>362</v>
      </c>
      <c r="O131" s="278" t="str">
        <f>IF(Table1[[#This Row],[h_Item Description]]="","",INDEX([1]!db[NB PAJAK],MATCH(Table1[[#This Row],[h_Item Description]],[1]!db[kode],0)))</f>
        <v>GEL PEN TRIFELLO HI-TECH TF-1190</v>
      </c>
      <c r="P131" s="278" t="s">
        <v>363</v>
      </c>
      <c r="Q131" s="274">
        <v>28500</v>
      </c>
      <c r="R131" s="275"/>
      <c r="S131" s="275"/>
      <c r="T131" s="289">
        <f>Table1[[#This Row],[h_hargasetelahdiskon]]</f>
        <v>4104000</v>
      </c>
      <c r="U131" s="274" t="s">
        <v>177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2</v>
      </c>
      <c r="Y131" s="274">
        <f>IF(Table1[Item Description]="","",Table1[[#This Row],[Qty]]*Table1[[#This Row],[Unit Price]])</f>
        <v>4104000</v>
      </c>
      <c r="Z131" s="289">
        <f>IF(Table1[[#This Row],[h_hargasebelumdiskon]]="","",IF(Table1[[#This Row],[Disc 1]]="",0,Table1[[#This Row],[h_hargasebelumdiskon]]*Table1[[#This Row],[Disc 1]]))</f>
        <v>0</v>
      </c>
      <c r="AA131" s="289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4104000</v>
      </c>
      <c r="AD131" s="274">
        <f ca="1">IF(Table1[//]="","",SUMIF(Table1[h_id],Table1[h_id],Table1[h_hargasetelahdiskon]))</f>
        <v>8208000</v>
      </c>
      <c r="AF131" s="274" t="str">
        <f>Table1[[#This Row],[Item Description]]&amp;Table1[[#This Row],[Unit]]&amp;Table1[[#This Row],[Unit Price]]</f>
        <v>GEL PEN TRIFELLO HI-TECH TF-1190 BIRULSN28500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88"/>
      <c r="F132" s="287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137</v>
      </c>
      <c r="M132" s="271">
        <v>1</v>
      </c>
      <c r="N132" s="271" t="s">
        <v>362</v>
      </c>
      <c r="O132" s="285" t="str">
        <f>IF(Table1[[#This Row],[h_Item Description]]="","",INDEX([1]!db[NB PAJAK],MATCH(Table1[[#This Row],[h_Item Description]],[1]!db[kode],0)))</f>
        <v>GEL PEN TRIFELLO HI-TECH TF-1190</v>
      </c>
      <c r="P132" s="278" t="s">
        <v>364</v>
      </c>
      <c r="Q132" s="274">
        <v>28500</v>
      </c>
      <c r="R132" s="275"/>
      <c r="S132" s="275"/>
      <c r="T132" s="289">
        <f>Table1[[#This Row],[h_hargasetelahdiskon]]</f>
        <v>4104000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4104000</v>
      </c>
      <c r="Z132" s="289">
        <f>IF(Table1[[#This Row],[h_hargasebelumdiskon]]="","",IF(Table1[[#This Row],[Disc 1]]="",0,Table1[[#This Row],[h_hargasebelumdiskon]]*Table1[[#This Row],[Disc 1]]))</f>
        <v>0</v>
      </c>
      <c r="AA132" s="289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4104000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GEL PEN TRIFELLO HI-TECH TF-1190 HITAMLSN28500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24010023</v>
      </c>
      <c r="C134" s="272">
        <f>IF(Table1[[#This Row],[Column2]]="","",Table1[[#This Row],[Column2]]+C$1-1)</f>
        <v>45307</v>
      </c>
      <c r="D134" s="282">
        <v>16</v>
      </c>
      <c r="E134" s="273" t="s">
        <v>365</v>
      </c>
      <c r="F134" s="271" t="s">
        <v>366</v>
      </c>
      <c r="G134" s="278" t="str">
        <f ca="1">IF(Table1[[#This Row],[h_No. Invoice :]]="","",CONCATENATE("AM"," ",Table1[[#This Row],[h_No. Invoice :]]))</f>
        <v>AM 24010023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3102</v>
      </c>
      <c r="J134" s="278" t="str">
        <f>IF(Table1[[#This Row],[Column5]]="","",INDEX(Table2[e],IF(Table1[[#This Row],[Column5]]="","",MATCH(Table1[[#This Row],[Column5]],Table2[a],0)),))</f>
        <v>CV LANCAR JAYA SENTOSA MALANG</v>
      </c>
      <c r="K134" s="271">
        <v>240</v>
      </c>
      <c r="L134" s="271" t="s">
        <v>150</v>
      </c>
      <c r="M134" s="271">
        <v>5</v>
      </c>
      <c r="N134" s="271" t="s">
        <v>212</v>
      </c>
      <c r="O134" s="278" t="str">
        <f>IF(Table1[[#This Row],[h_Item Description]]="","",INDEX([1]!db[NB PAJAK],MATCH(Table1[[#This Row],[h_Item Description]],[1]!db[kode],0)))</f>
        <v>TAPE CUTTER JOYKO TD-103</v>
      </c>
      <c r="P134" s="271" t="s">
        <v>228</v>
      </c>
      <c r="Q134" s="274">
        <v>19000</v>
      </c>
      <c r="R134" s="275">
        <v>0.125</v>
      </c>
      <c r="S134" s="275"/>
      <c r="T134" s="274">
        <f>Table1[[#This Row],[h_hargasetelahdiskon]]</f>
        <v>3990000</v>
      </c>
      <c r="U134" s="274" t="s">
        <v>177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4560000</v>
      </c>
      <c r="Z134" s="274">
        <f>IF(Table1[[#This Row],[h_hargasebelumdiskon]]="","",IF(Table1[[#This Row],[Disc 1]]="",0,Table1[[#This Row],[h_hargasebelumdiskon]]*Table1[[#This Row],[Disc 1]]))</f>
        <v>570000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570000</v>
      </c>
      <c r="AC134" s="274">
        <f>IF(Table1[Item Description]="","",Table1[[#This Row],[h_hargasebelumdiskon]]-Table1[[#This Row],[h_diskon]])</f>
        <v>3990000</v>
      </c>
      <c r="AD134" s="274">
        <f ca="1">IF(Table1[//]="","",SUMIF(Table1[h_id],Table1[h_id],Table1[h_hargasetelahdiskon]))</f>
        <v>19278000</v>
      </c>
      <c r="AF134" s="274" t="str">
        <f>Table1[[#This Row],[Item Description]]&amp;Table1[[#This Row],[Unit]]&amp;Table1[[#This Row],[Unit Price]]</f>
        <v>TAPE CUTTER JOYKO TD-103PCS19000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100</v>
      </c>
      <c r="L135" s="271" t="s">
        <v>193</v>
      </c>
      <c r="M135" s="271">
        <v>2</v>
      </c>
      <c r="N135" s="271" t="s">
        <v>277</v>
      </c>
      <c r="O135" s="278" t="str">
        <f>IF(Table1[[#This Row],[h_Item Description]]="","",INDEX([1]!db[NB PAJAK],MATCH(Table1[[#This Row],[h_Item Description]],[1]!db[kode],0)))</f>
        <v>STIP / PENGHAPUS JOYKO 526-B40P PUTIH</v>
      </c>
      <c r="P135" s="271" t="s">
        <v>290</v>
      </c>
      <c r="Q135" s="274">
        <v>28300</v>
      </c>
      <c r="R135" s="275">
        <v>0.125</v>
      </c>
      <c r="S135" s="275"/>
      <c r="T135" s="274">
        <f>Table1[[#This Row],[h_hargasetelahdiskon]]</f>
        <v>2476250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4</v>
      </c>
      <c r="Y135" s="274">
        <f>IF(Table1[Item Description]="","",Table1[[#This Row],[Qty]]*Table1[[#This Row],[Unit Price]])</f>
        <v>2830000</v>
      </c>
      <c r="Z135" s="274">
        <f>IF(Table1[[#This Row],[h_hargasebelumdiskon]]="","",IF(Table1[[#This Row],[Disc 1]]="",0,Table1[[#This Row],[h_hargasebelumdiskon]]*Table1[[#This Row],[Disc 1]]))</f>
        <v>353750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353750</v>
      </c>
      <c r="AC135" s="274">
        <f>IF(Table1[Item Description]="","",Table1[[#This Row],[h_hargasebelumdiskon]]-Table1[[#This Row],[h_diskon]])</f>
        <v>2476250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STIP / PENGHAPUS JOYKO 526-B40P PUTIHBOX28300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100</v>
      </c>
      <c r="L136" s="271" t="s">
        <v>193</v>
      </c>
      <c r="M136" s="271">
        <v>2</v>
      </c>
      <c r="N136" s="271" t="s">
        <v>246</v>
      </c>
      <c r="O136" s="278" t="str">
        <f>IF(Table1[[#This Row],[h_Item Description]]="","",INDEX([1]!db[NB PAJAK],MATCH(Table1[[#This Row],[h_Item Description]],[1]!db[kode],0)))</f>
        <v>STIP / PENGHAPUS JOYKO 526-B20 PUTIH</v>
      </c>
      <c r="P136" s="271" t="s">
        <v>256</v>
      </c>
      <c r="Q136" s="274">
        <v>34100</v>
      </c>
      <c r="R136" s="275">
        <v>0.125</v>
      </c>
      <c r="S136" s="275"/>
      <c r="T136" s="274">
        <f>Table1[[#This Row],[h_hargasetelahdiskon]]</f>
        <v>2983750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4</v>
      </c>
      <c r="Y136" s="274">
        <f>IF(Table1[Item Description]="","",Table1[[#This Row],[Qty]]*Table1[[#This Row],[Unit Price]])</f>
        <v>3410000</v>
      </c>
      <c r="Z136" s="274">
        <f>IF(Table1[[#This Row],[h_hargasebelumdiskon]]="","",IF(Table1[[#This Row],[Disc 1]]="",0,Table1[[#This Row],[h_hargasebelumdiskon]]*Table1[[#This Row],[Disc 1]]))</f>
        <v>426250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426250</v>
      </c>
      <c r="AC136" s="274">
        <f>IF(Table1[Item Description]="","",Table1[[#This Row],[h_hargasebelumdiskon]]-Table1[[#This Row],[h_diskon]])</f>
        <v>2983750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STIP / PENGHAPUS JOYKO 526-B20 PUTIHBOX34100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367</v>
      </c>
      <c r="O137" s="278" t="str">
        <f>IF(Table1[[#This Row],[h_Item Description]]="","",INDEX([1]!db[NB PAJAK],MATCH(Table1[[#This Row],[h_Item Description]],[1]!db[kode],0)))</f>
        <v>GEL PEN KENKO HI-TECH-H 0.28 MM HITAM</v>
      </c>
      <c r="P137" s="271" t="s">
        <v>368</v>
      </c>
      <c r="Q137" s="274">
        <v>39000</v>
      </c>
      <c r="R137" s="275">
        <v>0.125</v>
      </c>
      <c r="S137" s="275"/>
      <c r="T137" s="274">
        <f>Table1[[#This Row],[h_hargasetelahdiskon]]</f>
        <v>9828000</v>
      </c>
      <c r="V137" s="271"/>
      <c r="W137" s="278">
        <f ca="1">IF(Table1[[#This Row],[Item Description]]="","",IF(Table1[[#This Row],[//]]="",INDIRECT(ADDRESS(ROW()-1,COLUMN())),Table1[[#This Row],[//]]))</f>
        <v>134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11232000</v>
      </c>
      <c r="Z137" s="274">
        <f>IF(Table1[[#This Row],[h_hargasebelumdiskon]]="","",IF(Table1[[#This Row],[Disc 1]]="",0,Table1[[#This Row],[h_hargasebelumdiskon]]*Table1[[#This Row],[Disc 1]]))</f>
        <v>1404000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1404000</v>
      </c>
      <c r="AC137" s="274">
        <f>IF(Table1[Item Description]="","",Table1[[#This Row],[h_hargasebelumdiskon]]-Table1[[#This Row],[h_diskon]])</f>
        <v>9828000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KENKO HI-TECH-H 0.28 MM HITAMLSN39000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24010024</v>
      </c>
      <c r="C139" s="272">
        <f>IF(Table1[[#This Row],[Column2]]="","",Table1[[#This Row],[Column2]]+C$1-1)</f>
        <v>45307</v>
      </c>
      <c r="D139" s="282">
        <v>16</v>
      </c>
      <c r="E139" s="273" t="s">
        <v>369</v>
      </c>
      <c r="F139" s="271" t="s">
        <v>192</v>
      </c>
      <c r="G139" s="278" t="str">
        <f ca="1">IF(Table1[[#This Row],[h_No. Invoice :]]="","",CONCATENATE("AM"," ",Table1[[#This Row],[h_No. Invoice :]]))</f>
        <v>AM 24010024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0726</v>
      </c>
      <c r="J139" s="278" t="str">
        <f>IF(Table1[[#This Row],[Column5]]="","",INDEX(Table2[e],IF(Table1[[#This Row],[Column5]]="","",MATCH(Table1[[#This Row],[Column5]],Table2[a],0)),))</f>
        <v>CV PELITA JAYA (ANUGERAH SEJAHTERA) PURWOKERTO</v>
      </c>
      <c r="K139" s="271">
        <v>72</v>
      </c>
      <c r="L139" s="271" t="s">
        <v>137</v>
      </c>
      <c r="M139" s="271">
        <v>1</v>
      </c>
      <c r="N139" s="271" t="s">
        <v>151</v>
      </c>
      <c r="O139" s="278" t="str">
        <f>IF(Table1[[#This Row],[h_Item Description]]="","",INDEX([1]!db[NB PAJAK],MATCH(Table1[[#This Row],[h_Item Description]],[1]!db[kode],0)))</f>
        <v>CORRECTION FLUID KENKO KE-01</v>
      </c>
      <c r="P139" s="271" t="s">
        <v>152</v>
      </c>
      <c r="Q139" s="274">
        <v>54300</v>
      </c>
      <c r="R139" s="275">
        <v>0.13500000000000001</v>
      </c>
      <c r="S139" s="275"/>
      <c r="T139" s="274">
        <f>Table1[[#This Row],[h_hargasetelahdiskon]]</f>
        <v>3381804</v>
      </c>
      <c r="U139" s="274" t="s">
        <v>177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3909600</v>
      </c>
      <c r="Z139" s="274">
        <f>IF(Table1[[#This Row],[h_hargasebelumdiskon]]="","",IF(Table1[[#This Row],[Disc 1]]="",0,Table1[[#This Row],[h_hargasebelumdiskon]]*Table1[[#This Row],[Disc 1]]))</f>
        <v>527796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527796</v>
      </c>
      <c r="AC139" s="274">
        <f>IF(Table1[Item Description]="","",Table1[[#This Row],[h_hargasebelumdiskon]]-Table1[[#This Row],[h_diskon]])</f>
        <v>3381804</v>
      </c>
      <c r="AD139" s="274">
        <f ca="1">IF(Table1[//]="","",SUMIF(Table1[h_id],Table1[h_id],Table1[h_hargasetelahdiskon]))</f>
        <v>6632820</v>
      </c>
      <c r="AF139" s="274" t="str">
        <f>Table1[[#This Row],[Item Description]]&amp;Table1[[#This Row],[Unit]]&amp;Table1[[#This Row],[Unit Price]]</f>
        <v>CORRECTION FLUID KENKO KE-01LSN54300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144</v>
      </c>
      <c r="L140" s="271" t="s">
        <v>137</v>
      </c>
      <c r="M140" s="271">
        <v>1</v>
      </c>
      <c r="N140" s="271" t="s">
        <v>356</v>
      </c>
      <c r="O140" s="278" t="str">
        <f>IF(Table1[[#This Row],[h_Item Description]]="","",INDEX([1]!db[NB PAJAK],MATCH(Table1[[#This Row],[h_Item Description]],[1]!db[kode],0)))</f>
        <v>GEL PEN KENKO EASY GEL HITAM</v>
      </c>
      <c r="P140" s="271" t="s">
        <v>358</v>
      </c>
      <c r="Q140" s="274">
        <v>26100</v>
      </c>
      <c r="R140" s="275">
        <v>0.13500000000000001</v>
      </c>
      <c r="S140" s="275"/>
      <c r="T140" s="274">
        <f>Table1[[#This Row],[h_hargasetelahdiskon]]</f>
        <v>3251016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2</v>
      </c>
      <c r="Y140" s="274">
        <f>IF(Table1[Item Description]="","",Table1[[#This Row],[Qty]]*Table1[[#This Row],[Unit Price]])</f>
        <v>3758400</v>
      </c>
      <c r="Z140" s="274">
        <f>IF(Table1[[#This Row],[h_hargasebelumdiskon]]="","",IF(Table1[[#This Row],[Disc 1]]="",0,Table1[[#This Row],[h_hargasebelumdiskon]]*Table1[[#This Row],[Disc 1]]))</f>
        <v>507384.00000000006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507384.00000000006</v>
      </c>
      <c r="AC140" s="274">
        <f>IF(Table1[Item Description]="","",Table1[[#This Row],[h_hargasebelumdiskon]]-Table1[[#This Row],[h_diskon]])</f>
        <v>3251016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GEL PEN KENKO EASY GEL HITAMLSN26100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24010025</v>
      </c>
      <c r="C142" s="272">
        <f>IF(Table1[[#This Row],[Column2]]="","",Table1[[#This Row],[Column2]]+C$1-1)</f>
        <v>45307</v>
      </c>
      <c r="D142" s="282">
        <v>16</v>
      </c>
      <c r="E142" s="273" t="s">
        <v>370</v>
      </c>
      <c r="F142" s="271" t="s">
        <v>146</v>
      </c>
      <c r="G142" s="278" t="str">
        <f ca="1">IF(Table1[[#This Row],[h_No. Invoice :]]="","",CONCATENATE("AM"," ",Table1[[#This Row],[h_No. Invoice :]]))</f>
        <v>AM 24010025</v>
      </c>
      <c r="H142" s="271" t="str">
        <f>IF(Table1[[#This Row],[Column5]]="","",INDEX(Table2[Column1],MATCH(Table1[[#This Row],[Column5]],Table2[a],0)))</f>
        <v>G</v>
      </c>
      <c r="I142" s="279" t="str">
        <f>IF(Table1[[#This Row],[Column3]]=0,"",CONCATENATE(UPPER(Table1[[#This Row],[Column3]])," ",Table1[[#This Row],[Column4]]))</f>
        <v>G 0888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12</v>
      </c>
      <c r="L142" s="271" t="s">
        <v>150</v>
      </c>
      <c r="M142" s="271">
        <v>1</v>
      </c>
      <c r="N142" s="271" t="s">
        <v>371</v>
      </c>
      <c r="O142" s="278" t="str">
        <f>IF(Table1[[#This Row],[h_Item Description]]="","",INDEX([1]!db[NB PAJAK],MATCH(Table1[[#This Row],[h_Item Description]],[1]!db[kode],0)))</f>
        <v>STAPLER HEAVY DUTY JOYKO HD-12N/13</v>
      </c>
      <c r="P142" s="271" t="s">
        <v>377</v>
      </c>
      <c r="Q142" s="274">
        <v>97000</v>
      </c>
      <c r="R142" s="275">
        <v>0.125</v>
      </c>
      <c r="S142" s="275"/>
      <c r="T142" s="274">
        <f>Table1[[#This Row],[h_hargasetelahdiskon]]</f>
        <v>1018500</v>
      </c>
      <c r="U142" s="274" t="s">
        <v>130</v>
      </c>
      <c r="V142" s="271"/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6</v>
      </c>
      <c r="Y142" s="274">
        <f>IF(Table1[Item Description]="","",Table1[[#This Row],[Qty]]*Table1[[#This Row],[Unit Price]])</f>
        <v>1164000</v>
      </c>
      <c r="Z142" s="274">
        <f>IF(Table1[[#This Row],[h_hargasebelumdiskon]]="","",IF(Table1[[#This Row],[Disc 1]]="",0,Table1[[#This Row],[h_hargasebelumdiskon]]*Table1[[#This Row],[Disc 1]]))</f>
        <v>145500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145500</v>
      </c>
      <c r="AC142" s="274">
        <f>IF(Table1[Item Description]="","",Table1[[#This Row],[h_hargasebelumdiskon]]-Table1[[#This Row],[h_diskon]])</f>
        <v>1018500</v>
      </c>
      <c r="AD142" s="274">
        <f ca="1">IF(Table1[//]="","",SUMIF(Table1[h_id],Table1[h_id],Table1[h_hargasetelahdiskon]))</f>
        <v>18537750</v>
      </c>
      <c r="AF142" s="274" t="str">
        <f>Table1[[#This Row],[Item Description]]&amp;Table1[[#This Row],[Unit]]&amp;Table1[[#This Row],[Unit Price]]</f>
        <v>STAPLER HEAVY DUTY JOYKO HD-12N/13PCS97000</v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6</v>
      </c>
      <c r="L143" s="271" t="s">
        <v>150</v>
      </c>
      <c r="M143" s="271">
        <v>1</v>
      </c>
      <c r="N143" s="271" t="s">
        <v>372</v>
      </c>
      <c r="O143" s="278" t="str">
        <f>IF(Table1[[#This Row],[h_Item Description]]="","",INDEX([1]!db[NB PAJAK],MATCH(Table1[[#This Row],[h_Item Description]],[1]!db[kode],0)))</f>
        <v>STAPLER HEAVY DUTY JOYKO HD-12N/24</v>
      </c>
      <c r="P143" s="271" t="s">
        <v>378</v>
      </c>
      <c r="Q143" s="274">
        <v>187000</v>
      </c>
      <c r="R143" s="275">
        <v>0.125</v>
      </c>
      <c r="S143" s="275"/>
      <c r="T143" s="274">
        <f>Table1[[#This Row],[h_hargasetelahdiskon]]</f>
        <v>981750</v>
      </c>
      <c r="V143" s="271"/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6</v>
      </c>
      <c r="Y143" s="274">
        <f>IF(Table1[Item Description]="","",Table1[[#This Row],[Qty]]*Table1[[#This Row],[Unit Price]])</f>
        <v>1122000</v>
      </c>
      <c r="Z143" s="274">
        <f>IF(Table1[[#This Row],[h_hargasebelumdiskon]]="","",IF(Table1[[#This Row],[Disc 1]]="",0,Table1[[#This Row],[h_hargasebelumdiskon]]*Table1[[#This Row],[Disc 1]]))</f>
        <v>140250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140250</v>
      </c>
      <c r="AC143" s="274">
        <f>IF(Table1[Item Description]="","",Table1[[#This Row],[h_hargasebelumdiskon]]-Table1[[#This Row],[h_diskon]])</f>
        <v>981750</v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>STAPLER HEAVY DUTY JOYKO HD-12N/24PCS187000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240</v>
      </c>
      <c r="L144" s="271" t="s">
        <v>150</v>
      </c>
      <c r="M144" s="271">
        <v>2</v>
      </c>
      <c r="N144" s="271" t="s">
        <v>373</v>
      </c>
      <c r="O144" s="278" t="str">
        <f>IF(Table1[[#This Row],[h_Item Description]]="","",INDEX([1]!db[NB PAJAK],MATCH(Table1[[#This Row],[h_Item Description]],[1]!db[kode],0)))</f>
        <v>PUNCH JOYKO 30XL</v>
      </c>
      <c r="P144" s="271" t="s">
        <v>379</v>
      </c>
      <c r="Q144" s="274">
        <v>12950</v>
      </c>
      <c r="R144" s="275">
        <v>0.125</v>
      </c>
      <c r="S144" s="275"/>
      <c r="T144" s="274">
        <f>Table1[[#This Row],[h_hargasetelahdiskon]]</f>
        <v>2719500</v>
      </c>
      <c r="V144" s="271"/>
      <c r="W144" s="278">
        <f ca="1">IF(Table1[[#This Row],[Item Description]]="","",IF(Table1[[#This Row],[//]]="",INDIRECT(ADDRESS(ROW()-1,COLUMN())),Table1[[#This Row],[//]]))</f>
        <v>142</v>
      </c>
      <c r="X144" s="278">
        <f ca="1">IF(Table1[[#This Row],[h_id]]="","",COUNTIF(Table1[h_id],Table1[[#This Row],[h_id]]))</f>
        <v>6</v>
      </c>
      <c r="Y144" s="274">
        <f>IF(Table1[Item Description]="","",Table1[[#This Row],[Qty]]*Table1[[#This Row],[Unit Price]])</f>
        <v>3108000</v>
      </c>
      <c r="Z144" s="274">
        <f>IF(Table1[[#This Row],[h_hargasebelumdiskon]]="","",IF(Table1[[#This Row],[Disc 1]]="",0,Table1[[#This Row],[h_hargasebelumdiskon]]*Table1[[#This Row],[Disc 1]]))</f>
        <v>388500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388500</v>
      </c>
      <c r="AC144" s="274">
        <f>IF(Table1[Item Description]="","",Table1[[#This Row],[h_hargasebelumdiskon]]-Table1[[#This Row],[h_diskon]])</f>
        <v>2719500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PUNCH JOYKO 30XLPCS12950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>
        <v>120</v>
      </c>
      <c r="L145" s="271" t="s">
        <v>150</v>
      </c>
      <c r="M145" s="271">
        <v>2</v>
      </c>
      <c r="N145" s="271" t="s">
        <v>374</v>
      </c>
      <c r="O145" s="278" t="str">
        <f>IF(Table1[[#This Row],[h_Item Description]]="","",INDEX([1]!db[NB PAJAK],MATCH(Table1[[#This Row],[h_Item Description]],[1]!db[kode],0)))</f>
        <v>CALCULATOR JOYKO CC-41</v>
      </c>
      <c r="P145" s="271" t="s">
        <v>380</v>
      </c>
      <c r="Q145" s="274">
        <v>74000</v>
      </c>
      <c r="R145" s="275">
        <v>0.125</v>
      </c>
      <c r="S145" s="275"/>
      <c r="T145" s="274">
        <f>Table1[[#This Row],[h_hargasetelahdiskon]]</f>
        <v>7770000</v>
      </c>
      <c r="V145" s="271"/>
      <c r="W145" s="278">
        <f ca="1">IF(Table1[[#This Row],[Item Description]]="","",IF(Table1[[#This Row],[//]]="",INDIRECT(ADDRESS(ROW()-1,COLUMN())),Table1[[#This Row],[//]]))</f>
        <v>142</v>
      </c>
      <c r="X145" s="278">
        <f ca="1">IF(Table1[[#This Row],[h_id]]="","",COUNTIF(Table1[h_id],Table1[[#This Row],[h_id]]))</f>
        <v>6</v>
      </c>
      <c r="Y145" s="274">
        <f>IF(Table1[Item Description]="","",Table1[[#This Row],[Qty]]*Table1[[#This Row],[Unit Price]])</f>
        <v>8880000</v>
      </c>
      <c r="Z145" s="274">
        <f>IF(Table1[[#This Row],[h_hargasebelumdiskon]]="","",IF(Table1[[#This Row],[Disc 1]]="",0,Table1[[#This Row],[h_hargasebelumdiskon]]*Table1[[#This Row],[Disc 1]]))</f>
        <v>1110000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1110000</v>
      </c>
      <c r="AC145" s="274">
        <f>IF(Table1[Item Description]="","",Table1[[#This Row],[h_hargasebelumdiskon]]-Table1[[#This Row],[h_diskon]])</f>
        <v>7770000</v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>CALCULATOR JOYKO CC-41PCS74000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288</v>
      </c>
      <c r="L146" s="271" t="s">
        <v>150</v>
      </c>
      <c r="M146" s="271">
        <v>1</v>
      </c>
      <c r="N146" s="271" t="s">
        <v>375</v>
      </c>
      <c r="O146" s="278" t="e">
        <f>IF(Table1[[#This Row],[h_Item Description]]="","",INDEX([1]!db[NB PAJAK],MATCH(Table1[[#This Row],[h_Item Description]],[1]!db[kode],0)))</f>
        <v>#N/A</v>
      </c>
      <c r="P146" s="271" t="s">
        <v>381</v>
      </c>
      <c r="Q146" s="274">
        <v>4800</v>
      </c>
      <c r="R146" s="275">
        <v>0.125</v>
      </c>
      <c r="S146" s="275"/>
      <c r="T146" s="274">
        <f>Table1[[#This Row],[h_hargasetelahdiskon]]</f>
        <v>1209600</v>
      </c>
      <c r="V146" s="271"/>
      <c r="W146" s="278">
        <f ca="1">IF(Table1[[#This Row],[Item Description]]="","",IF(Table1[[#This Row],[//]]="",INDIRECT(ADDRESS(ROW()-1,COLUMN())),Table1[[#This Row],[//]]))</f>
        <v>142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1382400</v>
      </c>
      <c r="Z146" s="274">
        <f>IF(Table1[[#This Row],[h_hargasebelumdiskon]]="","",IF(Table1[[#This Row],[Disc 1]]="",0,Table1[[#This Row],[h_hargasebelumdiskon]]*Table1[[#This Row],[Disc 1]]))</f>
        <v>172800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172800</v>
      </c>
      <c r="AC146" s="274">
        <f>IF(Table1[Item Description]="","",Table1[[#This Row],[h_hargasebelumdiskon]]-Table1[[#This Row],[h_diskon]])</f>
        <v>1209600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KENKO PENCIL CASE PC-0719 (POLOS)PCS4800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1152</v>
      </c>
      <c r="L147" s="271" t="s">
        <v>150</v>
      </c>
      <c r="M147" s="271">
        <v>4</v>
      </c>
      <c r="N147" s="271" t="s">
        <v>376</v>
      </c>
      <c r="O147" s="278" t="e">
        <f>IF(Table1[[#This Row],[h_Item Description]]="","",INDEX([1]!db[NB PAJAK],MATCH(Table1[[#This Row],[h_Item Description]],[1]!db[kode],0)))</f>
        <v>#N/A</v>
      </c>
      <c r="P147" s="271" t="s">
        <v>382</v>
      </c>
      <c r="Q147" s="274">
        <v>4800</v>
      </c>
      <c r="R147" s="275">
        <v>0.125</v>
      </c>
      <c r="S147" s="275"/>
      <c r="T147" s="274">
        <f>Table1[[#This Row],[h_hargasetelahdiskon]]</f>
        <v>4838400</v>
      </c>
      <c r="V147" s="271"/>
      <c r="W147" s="278">
        <f ca="1">IF(Table1[[#This Row],[Item Description]]="","",IF(Table1[[#This Row],[//]]="",INDIRECT(ADDRESS(ROW()-1,COLUMN())),Table1[[#This Row],[//]]))</f>
        <v>142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5529600</v>
      </c>
      <c r="Z147" s="274">
        <f>IF(Table1[[#This Row],[h_hargasebelumdiskon]]="","",IF(Table1[[#This Row],[Disc 1]]="",0,Table1[[#This Row],[h_hargasebelumdiskon]]*Table1[[#This Row],[Disc 1]]))</f>
        <v>691200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691200</v>
      </c>
      <c r="AC147" s="274">
        <f>IF(Table1[Item Description]="","",Table1[[#This Row],[h_hargasebelumdiskon]]-Table1[[#This Row],[h_diskon]])</f>
        <v>4838400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KENKO PENCIL CASE PC-0719 (FANCY)PCS4800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>
        <f ca="1">IF(Table1[[#This Row],[No. Invoice :]]="","",ROW())</f>
        <v>149</v>
      </c>
      <c r="B149" s="278">
        <f ca="1">IF(Table1[Column3]="","",B$1+COUNT(INDIRECT("B$2:B"&amp;ROW()-1)))</f>
        <v>24010026</v>
      </c>
      <c r="C149" s="272">
        <f>IF(Table1[[#This Row],[Column2]]="","",Table1[[#This Row],[Column2]]+C$1-1)</f>
        <v>45308</v>
      </c>
      <c r="D149" s="282">
        <v>17</v>
      </c>
      <c r="E149" s="273" t="s">
        <v>383</v>
      </c>
      <c r="F149" s="271" t="s">
        <v>89</v>
      </c>
      <c r="G149" s="278" t="str">
        <f ca="1">IF(Table1[[#This Row],[h_No. Invoice :]]="","",CONCATENATE("AM"," ",Table1[[#This Row],[h_No. Invoice :]]))</f>
        <v>AM 24010026</v>
      </c>
      <c r="H149" s="271" t="str">
        <f>IF(Table1[[#This Row],[Column5]]="","",INDEX(Table2[Column1],MATCH(Table1[[#This Row],[Column5]],Table2[a],0)))</f>
        <v>G</v>
      </c>
      <c r="I149" s="279" t="str">
        <f>IF(Table1[[#This Row],[Column3]]=0,"",CONCATENATE(UPPER(Table1[[#This Row],[Column3]])," ",Table1[[#This Row],[Column4]]))</f>
        <v>G 0893</v>
      </c>
      <c r="J149" s="278" t="str">
        <f>IF(Table1[[#This Row],[Column5]]="","",INDEX(Table2[e],IF(Table1[[#This Row],[Column5]]="","",MATCH(Table1[[#This Row],[Column5]],Table2[a],0)),))</f>
        <v>CV UTAMA PUTRA TULUNG AGUNG</v>
      </c>
      <c r="K149" s="271">
        <v>144</v>
      </c>
      <c r="L149" s="271" t="s">
        <v>137</v>
      </c>
      <c r="M149" s="271">
        <v>1</v>
      </c>
      <c r="N149" s="271" t="s">
        <v>185</v>
      </c>
      <c r="O149" s="278" t="str">
        <f>IF(Table1[[#This Row],[h_Item Description]]="","",INDEX([1]!db[NB PAJAK],MATCH(Table1[[#This Row],[h_Item Description]],[1]!db[kode],0)))</f>
        <v>GEL PEN KENKO KE-303 T-GEL TRIANGULAR</v>
      </c>
      <c r="P149" s="278" t="s">
        <v>186</v>
      </c>
      <c r="Q149" s="274">
        <v>21600</v>
      </c>
      <c r="R149" s="275">
        <v>0.125</v>
      </c>
      <c r="S149" s="275"/>
      <c r="T149" s="274">
        <f>Table1[[#This Row],[h_hargasetelahdiskon]]</f>
        <v>2721600</v>
      </c>
      <c r="U149" s="274" t="s">
        <v>130</v>
      </c>
      <c r="V149" s="271"/>
      <c r="W149" s="278">
        <f ca="1">IF(Table1[[#This Row],[Item Description]]="","",IF(Table1[[#This Row],[//]]="",INDIRECT(ADDRESS(ROW()-1,COLUMN())),Table1[[#This Row],[//]]))</f>
        <v>149</v>
      </c>
      <c r="X149" s="278">
        <f ca="1">IF(Table1[[#This Row],[h_id]]="","",COUNTIF(Table1[h_id],Table1[[#This Row],[h_id]]))</f>
        <v>3</v>
      </c>
      <c r="Y149" s="274">
        <f>IF(Table1[Item Description]="","",Table1[[#This Row],[Qty]]*Table1[[#This Row],[Unit Price]])</f>
        <v>3110400</v>
      </c>
      <c r="Z149" s="274">
        <f>IF(Table1[[#This Row],[h_hargasebelumdiskon]]="","",IF(Table1[[#This Row],[Disc 1]]="",0,Table1[[#This Row],[h_hargasebelumdiskon]]*Table1[[#This Row],[Disc 1]]))</f>
        <v>388800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388800</v>
      </c>
      <c r="AC149" s="274">
        <f>IF(Table1[Item Description]="","",Table1[[#This Row],[h_hargasebelumdiskon]]-Table1[[#This Row],[h_diskon]])</f>
        <v>2721600</v>
      </c>
      <c r="AD149" s="274">
        <f ca="1">IF(Table1[//]="","",SUMIF(Table1[h_id],Table1[h_id],Table1[h_hargasetelahdiskon]))</f>
        <v>8341200</v>
      </c>
      <c r="AF149" s="274" t="str">
        <f>Table1[[#This Row],[Item Description]]&amp;Table1[[#This Row],[Unit]]&amp;Table1[[#This Row],[Unit Price]]</f>
        <v>GEL PEN KENKO KE-303 T-GEL TRIANGULARLSN21600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144</v>
      </c>
      <c r="L150" s="271" t="s">
        <v>137</v>
      </c>
      <c r="M150" s="271">
        <v>1</v>
      </c>
      <c r="N150" s="271" t="s">
        <v>384</v>
      </c>
      <c r="O150" s="278" t="str">
        <f>IF(Table1[[#This Row],[h_Item Description]]="","",INDEX([1]!db[NB PAJAK],MATCH(Table1[[#This Row],[h_Item Description]],[1]!db[kode],0)))</f>
        <v>GEL PEN KENKO MICROTECH 0.28 MM HITAM</v>
      </c>
      <c r="P150" s="271" t="s">
        <v>385</v>
      </c>
      <c r="Q150" s="274">
        <v>39600</v>
      </c>
      <c r="R150" s="275">
        <v>0.125</v>
      </c>
      <c r="S150" s="275"/>
      <c r="T150" s="274">
        <f>Table1[[#This Row],[h_hargasetelahdiskon]]</f>
        <v>4989600</v>
      </c>
      <c r="V150" s="271"/>
      <c r="W150" s="278">
        <f ca="1">IF(Table1[[#This Row],[Item Description]]="","",IF(Table1[[#This Row],[//]]="",INDIRECT(ADDRESS(ROW()-1,COLUMN())),Table1[[#This Row],[//]]))</f>
        <v>149</v>
      </c>
      <c r="X150" s="278">
        <f ca="1">IF(Table1[[#This Row],[h_id]]="","",COUNTIF(Table1[h_id],Table1[[#This Row],[h_id]]))</f>
        <v>3</v>
      </c>
      <c r="Y150" s="274">
        <f>IF(Table1[Item Description]="","",Table1[[#This Row],[Qty]]*Table1[[#This Row],[Unit Price]])</f>
        <v>5702400</v>
      </c>
      <c r="Z150" s="274">
        <f>IF(Table1[[#This Row],[h_hargasebelumdiskon]]="","",IF(Table1[[#This Row],[Disc 1]]="",0,Table1[[#This Row],[h_hargasebelumdiskon]]*Table1[[#This Row],[Disc 1]]))</f>
        <v>712800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712800</v>
      </c>
      <c r="AC150" s="274">
        <f>IF(Table1[Item Description]="","",Table1[[#This Row],[h_hargasebelumdiskon]]-Table1[[#This Row],[h_diskon]])</f>
        <v>4989600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GEL PEN KENKO MICROTECH 0.28 MM HITAMLSN39600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12</v>
      </c>
      <c r="L151" s="271" t="s">
        <v>137</v>
      </c>
      <c r="N151" s="271" t="s">
        <v>266</v>
      </c>
      <c r="O151" s="278" t="str">
        <f>IF(Table1[[#This Row],[h_Item Description]]="","",INDEX([1]!db[NB PAJAK],MATCH(Table1[[#This Row],[h_Item Description]],[1]!db[kode],0)))</f>
        <v>CORRECTION TAPE KENKO CT-902 (12M x 5MM)</v>
      </c>
      <c r="P151" s="271" t="s">
        <v>271</v>
      </c>
      <c r="Q151" s="274">
        <v>60000</v>
      </c>
      <c r="R151" s="275">
        <v>0.125</v>
      </c>
      <c r="S151" s="275"/>
      <c r="T151" s="274">
        <f>Table1[[#This Row],[h_hargasetelahdiskon]]</f>
        <v>630000</v>
      </c>
      <c r="V151" s="271"/>
      <c r="W151" s="278">
        <f ca="1">IF(Table1[[#This Row],[Item Description]]="","",IF(Table1[[#This Row],[//]]="",INDIRECT(ADDRESS(ROW()-1,COLUMN())),Table1[[#This Row],[//]]))</f>
        <v>149</v>
      </c>
      <c r="X151" s="278">
        <f ca="1">IF(Table1[[#This Row],[h_id]]="","",COUNTIF(Table1[h_id],Table1[[#This Row],[h_id]]))</f>
        <v>3</v>
      </c>
      <c r="Y151" s="274">
        <f>IF(Table1[Item Description]="","",Table1[[#This Row],[Qty]]*Table1[[#This Row],[Unit Price]])</f>
        <v>720000</v>
      </c>
      <c r="Z151" s="274">
        <f>IF(Table1[[#This Row],[h_hargasebelumdiskon]]="","",IF(Table1[[#This Row],[Disc 1]]="",0,Table1[[#This Row],[h_hargasebelumdiskon]]*Table1[[#This Row],[Disc 1]]))</f>
        <v>90000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90000</v>
      </c>
      <c r="AC151" s="274">
        <f>IF(Table1[Item Description]="","",Table1[[#This Row],[h_hargasebelumdiskon]]-Table1[[#This Row],[h_diskon]])</f>
        <v>630000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CORRECTION TAPE KENKO CT-902 (12M x 5MM)LSN60000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1">
        <f ca="1">IF(Table1[Column3]="","",B$1+COUNT(INDIRECT("B$2:B"&amp;ROW()-1)))</f>
        <v>24010027</v>
      </c>
      <c r="C153" s="272">
        <f>IF(Table1[[#This Row],[Column2]]="","",Table1[[#This Row],[Column2]]+C$1-1)</f>
        <v>45309</v>
      </c>
      <c r="D153" s="282">
        <v>18</v>
      </c>
      <c r="E153" s="273" t="s">
        <v>405</v>
      </c>
      <c r="F153" s="271" t="s">
        <v>406</v>
      </c>
      <c r="G153" s="278" t="str">
        <f ca="1">IF(Table1[[#This Row],[h_No. Invoice :]]="","",CONCATENATE("AM"," ",Table1[[#This Row],[h_No. Invoice :]]))</f>
        <v>AM 24010027</v>
      </c>
      <c r="H153" s="271" t="str">
        <f>IF(Table1[[#This Row],[Column5]]="","",INDEX(Table2[Column1],MATCH(Table1[[#This Row],[Column5]],Table2[a],0)))</f>
        <v>A</v>
      </c>
      <c r="I153" s="279" t="str">
        <f>IF(Table1[[#This Row],[Column3]]=0,"",CONCATENATE(UPPER(Table1[[#This Row],[Column3]])," ",Table1[[#This Row],[Column4]]))</f>
        <v>A 1498</v>
      </c>
      <c r="J153" s="278" t="str">
        <f>IF(Table1[[#This Row],[Column5]]="","",INDEX(Table2[e],IF(Table1[[#This Row],[Column5]]="","",MATCH(Table1[[#This Row],[Column5]],Table2[a],0)),))</f>
        <v>CV.BENGAWAN MULTI TRENDING (LUWES) PATI</v>
      </c>
      <c r="K153" s="271">
        <v>1</v>
      </c>
      <c r="L153" s="271" t="s">
        <v>137</v>
      </c>
      <c r="N153" s="271" t="s">
        <v>407</v>
      </c>
      <c r="O153" s="278" t="e">
        <f>IF(Table1[[#This Row],[h_Item Description]]="","",INDEX([1]!db[NB PAJAK],MATCH(Table1[[#This Row],[h_Item Description]],[1]!db[kode],0)))</f>
        <v>#N/A</v>
      </c>
      <c r="P153" t="s">
        <v>416</v>
      </c>
      <c r="Q153" s="274">
        <v>180000</v>
      </c>
      <c r="R153" s="275"/>
      <c r="S153" s="275"/>
      <c r="T153" s="274">
        <f>Table1[[#This Row],[h_hargasetelahdiskon]]</f>
        <v>180000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8</v>
      </c>
      <c r="Y153" s="274">
        <f>IF(Table1[Item Description]="","",Table1[[#This Row],[Qty]]*Table1[[#This Row],[Unit Price]])</f>
        <v>180000</v>
      </c>
      <c r="Z153" s="274">
        <f>IF(Table1[[#This Row],[h_hargasebelumdiskon]]="","",IF(Table1[[#This Row],[Disc 1]]="",0,Table1[[#This Row],[h_hargasebelumdiskon]]*Table1[[#This Row],[Disc 1]]))</f>
        <v>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0</v>
      </c>
      <c r="AC153" s="274">
        <f>IF(Table1[Item Description]="","",Table1[[#This Row],[h_hargasebelumdiskon]]-Table1[[#This Row],[h_diskon]])</f>
        <v>180000</v>
      </c>
      <c r="AD153" s="274">
        <f ca="1">IF(Table1[//]="","",SUMIF(Table1[h_id],Table1[h_id],Table1[h_hargasetelahdiskon]))</f>
        <v>782000</v>
      </c>
      <c r="AF153" s="274" t="str">
        <f>Table1[[#This Row],[Item Description]]&amp;Table1[[#This Row],[Unit]]&amp;Table1[[#This Row],[Unit Price]]</f>
        <v>TAS KARUNG V 35 X 40LSN180000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1</v>
      </c>
      <c r="L154" s="271" t="s">
        <v>137</v>
      </c>
      <c r="N154" s="271" t="s">
        <v>408</v>
      </c>
      <c r="O154" s="278" t="str">
        <f>IF(Table1[[#This Row],[h_Item Description]]="","",INDEX([1]!db[NB PAJAK],MATCH(Table1[[#This Row],[h_Item Description]],[1]!db[kode],0)))</f>
        <v>PENCIL CASE 23 x 8.5 MAGNET 3D FC-5223</v>
      </c>
      <c r="P154" s="271" t="s">
        <v>417</v>
      </c>
      <c r="Q154" s="274">
        <v>210000</v>
      </c>
      <c r="R154" s="275"/>
      <c r="S154" s="275"/>
      <c r="T154" s="274">
        <f>Table1[[#This Row],[h_hargasetelahdiskon]]</f>
        <v>210000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8</v>
      </c>
      <c r="Y154" s="274">
        <f>IF(Table1[Item Description]="","",Table1[[#This Row],[Qty]]*Table1[[#This Row],[Unit Price]])</f>
        <v>210000</v>
      </c>
      <c r="Z154" s="274">
        <f>IF(Table1[[#This Row],[h_hargasebelumdiskon]]="","",IF(Table1[[#This Row],[Disc 1]]="",0,Table1[[#This Row],[h_hargasebelumdiskon]]*Table1[[#This Row],[Disc 1]]))</f>
        <v>0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0</v>
      </c>
      <c r="AC154" s="274">
        <f>IF(Table1[Item Description]="","",Table1[[#This Row],[h_hargasebelumdiskon]]-Table1[[#This Row],[h_diskon]])</f>
        <v>210000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PENCIL CASE 23 x 8.5 MAGNET 3D FC-5223LSN210000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>
        <v>1</v>
      </c>
      <c r="L155" s="271" t="s">
        <v>137</v>
      </c>
      <c r="N155" s="271" t="s">
        <v>409</v>
      </c>
      <c r="O155" s="278" t="e">
        <f>IF(Table1[[#This Row],[h_Item Description]]="","",INDEX([1]!db[NB PAJAK],MATCH(Table1[[#This Row],[h_Item Description]],[1]!db[kode],0)))</f>
        <v>#N/A</v>
      </c>
      <c r="P155" t="s">
        <v>418</v>
      </c>
      <c r="Q155" s="274">
        <v>66000</v>
      </c>
      <c r="R155" s="275"/>
      <c r="S155" s="275"/>
      <c r="T155" s="274">
        <f>Table1[[#This Row],[h_hargasetelahdiskon]]</f>
        <v>66000</v>
      </c>
      <c r="V155" s="271"/>
      <c r="W155" s="278">
        <f ca="1">IF(Table1[[#This Row],[Item Description]]="","",IF(Table1[[#This Row],[//]]="",INDIRECT(ADDRESS(ROW()-1,COLUMN())),Table1[[#This Row],[//]]))</f>
        <v>153</v>
      </c>
      <c r="X155" s="278">
        <f ca="1">IF(Table1[[#This Row],[h_id]]="","",COUNTIF(Table1[h_id],Table1[[#This Row],[h_id]]))</f>
        <v>8</v>
      </c>
      <c r="Y155" s="274">
        <f>IF(Table1[Item Description]="","",Table1[[#This Row],[Qty]]*Table1[[#This Row],[Unit Price]])</f>
        <v>66000</v>
      </c>
      <c r="Z155" s="274">
        <f>IF(Table1[[#This Row],[h_hargasebelumdiskon]]="","",IF(Table1[[#This Row],[Disc 1]]="",0,Table1[[#This Row],[h_hargasebelumdiskon]]*Table1[[#This Row],[Disc 1]]))</f>
        <v>0</v>
      </c>
      <c r="AA155" s="274">
        <f>IF(Table1[[#This Row],[h_hargasebelumdiskon]]="","",IF(Table1[[#This Row],[Disc 2]]="",0,(Table1[[#This Row],[h_hargasebelumdiskon]]-Table1[[#This Row],[h_disc 1]])*Table1[[#This Row],[Disc 2]]))</f>
        <v>0</v>
      </c>
      <c r="AB155" s="274">
        <f>IF(Table1[Item Description]="","",Table1[[#This Row],[h_disc 1]]+Table1[[#This Row],[h_disc 2]])</f>
        <v>0</v>
      </c>
      <c r="AC155" s="274">
        <f>IF(Table1[Item Description]="","",Table1[[#This Row],[h_hargasebelumdiskon]]-Table1[[#This Row],[h_diskon]])</f>
        <v>66000</v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>MAP DLL-226LSN66000</v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>
        <v>1</v>
      </c>
      <c r="L156" s="271" t="s">
        <v>137</v>
      </c>
      <c r="N156" s="271" t="s">
        <v>410</v>
      </c>
      <c r="O156" s="278" t="e">
        <f>IF(Table1[[#This Row],[h_Item Description]]="","",INDEX([1]!db[NB PAJAK],MATCH(Table1[[#This Row],[h_Item Description]],[1]!db[kode],0)))</f>
        <v>#N/A</v>
      </c>
      <c r="P156" s="271" t="s">
        <v>419</v>
      </c>
      <c r="Q156" s="274">
        <v>66000</v>
      </c>
      <c r="R156" s="275"/>
      <c r="S156" s="275"/>
      <c r="T156" s="274">
        <f>Table1[[#This Row],[h_hargasetelahdiskon]]</f>
        <v>66000</v>
      </c>
      <c r="V156" s="271"/>
      <c r="W156" s="278">
        <f ca="1">IF(Table1[[#This Row],[Item Description]]="","",IF(Table1[[#This Row],[//]]="",INDIRECT(ADDRESS(ROW()-1,COLUMN())),Table1[[#This Row],[//]]))</f>
        <v>153</v>
      </c>
      <c r="X156" s="278">
        <f ca="1">IF(Table1[[#This Row],[h_id]]="","",COUNTIF(Table1[h_id],Table1[[#This Row],[h_id]]))</f>
        <v>8</v>
      </c>
      <c r="Y156" s="274">
        <f>IF(Table1[Item Description]="","",Table1[[#This Row],[Qty]]*Table1[[#This Row],[Unit Price]])</f>
        <v>66000</v>
      </c>
      <c r="Z156" s="274">
        <f>IF(Table1[[#This Row],[h_hargasebelumdiskon]]="","",IF(Table1[[#This Row],[Disc 1]]="",0,Table1[[#This Row],[h_hargasebelumdiskon]]*Table1[[#This Row],[Disc 1]]))</f>
        <v>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0</v>
      </c>
      <c r="AC156" s="274">
        <f>IF(Table1[Item Description]="","",Table1[[#This Row],[h_hargasebelumdiskon]]-Table1[[#This Row],[h_diskon]])</f>
        <v>66000</v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>MAP DLL-204LSN66000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</v>
      </c>
      <c r="L157" s="271" t="s">
        <v>137</v>
      </c>
      <c r="N157" s="271" t="s">
        <v>411</v>
      </c>
      <c r="O157" s="278" t="e">
        <f>IF(Table1[[#This Row],[h_Item Description]]="","",INDEX([1]!db[NB PAJAK],MATCH(Table1[[#This Row],[h_Item Description]],[1]!db[kode],0)))</f>
        <v>#N/A</v>
      </c>
      <c r="P157" s="271" t="s">
        <v>420</v>
      </c>
      <c r="Q157" s="274">
        <v>66000</v>
      </c>
      <c r="R157" s="275"/>
      <c r="S157" s="275"/>
      <c r="T157" s="274">
        <f>Table1[[#This Row],[h_hargasetelahdiskon]]</f>
        <v>66000</v>
      </c>
      <c r="V157" s="271"/>
      <c r="W157" s="278">
        <f ca="1">IF(Table1[[#This Row],[Item Description]]="","",IF(Table1[[#This Row],[//]]="",INDIRECT(ADDRESS(ROW()-1,COLUMN())),Table1[[#This Row],[//]]))</f>
        <v>153</v>
      </c>
      <c r="X157" s="278">
        <f ca="1">IF(Table1[[#This Row],[h_id]]="","",COUNTIF(Table1[h_id],Table1[[#This Row],[h_id]]))</f>
        <v>8</v>
      </c>
      <c r="Y157" s="274">
        <f>IF(Table1[Item Description]="","",Table1[[#This Row],[Qty]]*Table1[[#This Row],[Unit Price]])</f>
        <v>66000</v>
      </c>
      <c r="Z157" s="274">
        <f>IF(Table1[[#This Row],[h_hargasebelumdiskon]]="","",IF(Table1[[#This Row],[Disc 1]]="",0,Table1[[#This Row],[h_hargasebelumdiskon]]*Table1[[#This Row],[Disc 1]]))</f>
        <v>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0</v>
      </c>
      <c r="AC157" s="274">
        <f>IF(Table1[Item Description]="","",Table1[[#This Row],[h_hargasebelumdiskon]]-Table1[[#This Row],[h_diskon]])</f>
        <v>66000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MAP DLL-224LSN66000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1</v>
      </c>
      <c r="L158" s="271" t="s">
        <v>137</v>
      </c>
      <c r="N158" s="271" t="s">
        <v>412</v>
      </c>
      <c r="O158" s="278" t="e">
        <f>IF(Table1[[#This Row],[h_Item Description]]="","",INDEX([1]!db[NB PAJAK],MATCH(Table1[[#This Row],[h_Item Description]],[1]!db[kode],0)))</f>
        <v>#N/A</v>
      </c>
      <c r="P158" s="271" t="s">
        <v>421</v>
      </c>
      <c r="Q158" s="274">
        <v>60000</v>
      </c>
      <c r="R158" s="275"/>
      <c r="S158" s="275"/>
      <c r="T158" s="274">
        <f>Table1[[#This Row],[h_hargasetelahdiskon]]</f>
        <v>60000</v>
      </c>
      <c r="V158" s="271"/>
      <c r="W158" s="278">
        <f ca="1">IF(Table1[[#This Row],[Item Description]]="","",IF(Table1[[#This Row],[//]]="",INDIRECT(ADDRESS(ROW()-1,COLUMN())),Table1[[#This Row],[//]]))</f>
        <v>153</v>
      </c>
      <c r="X158" s="278">
        <f ca="1">IF(Table1[[#This Row],[h_id]]="","",COUNTIF(Table1[h_id],Table1[[#This Row],[h_id]]))</f>
        <v>8</v>
      </c>
      <c r="Y158" s="274">
        <f>IF(Table1[Item Description]="","",Table1[[#This Row],[Qty]]*Table1[[#This Row],[Unit Price]])</f>
        <v>60000</v>
      </c>
      <c r="Z158" s="274">
        <f>IF(Table1[[#This Row],[h_hargasebelumdiskon]]="","",IF(Table1[[#This Row],[Disc 1]]="",0,Table1[[#This Row],[h_hargasebelumdiskon]]*Table1[[#This Row],[Disc 1]]))</f>
        <v>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0</v>
      </c>
      <c r="AC158" s="274">
        <f>IF(Table1[Item Description]="","",Table1[[#This Row],[h_hargasebelumdiskon]]-Table1[[#This Row],[h_diskon]])</f>
        <v>60000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MAP DLL-8623LSN60000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>
        <v>1</v>
      </c>
      <c r="L159" s="271" t="s">
        <v>413</v>
      </c>
      <c r="N159" s="271" t="s">
        <v>414</v>
      </c>
      <c r="O159" s="278" t="e">
        <f>IF(Table1[[#This Row],[h_Item Description]]="","",INDEX([1]!db[NB PAJAK],MATCH(Table1[[#This Row],[h_Item Description]],[1]!db[kode],0)))</f>
        <v>#N/A</v>
      </c>
      <c r="P159" s="271" t="s">
        <v>422</v>
      </c>
      <c r="Q159" s="274">
        <v>95000</v>
      </c>
      <c r="R159" s="275"/>
      <c r="S159" s="275"/>
      <c r="T159" s="274">
        <f>Table1[[#This Row],[h_hargasetelahdiskon]]</f>
        <v>95000</v>
      </c>
      <c r="V159" s="271"/>
      <c r="W159" s="278">
        <f ca="1">IF(Table1[[#This Row],[Item Description]]="","",IF(Table1[[#This Row],[//]]="",INDIRECT(ADDRESS(ROW()-1,COLUMN())),Table1[[#This Row],[//]]))</f>
        <v>153</v>
      </c>
      <c r="X159" s="278">
        <f ca="1">IF(Table1[[#This Row],[h_id]]="","",COUNTIF(Table1[h_id],Table1[[#This Row],[h_id]]))</f>
        <v>8</v>
      </c>
      <c r="Y159" s="274">
        <f>IF(Table1[Item Description]="","",Table1[[#This Row],[Qty]]*Table1[[#This Row],[Unit Price]])</f>
        <v>95000</v>
      </c>
      <c r="Z159" s="274">
        <f>IF(Table1[[#This Row],[h_hargasebelumdiskon]]="","",IF(Table1[[#This Row],[Disc 1]]="",0,Table1[[#This Row],[h_hargasebelumdiskon]]*Table1[[#This Row],[Disc 1]]))</f>
        <v>0</v>
      </c>
      <c r="AA159" s="274">
        <f>IF(Table1[[#This Row],[h_hargasebelumdiskon]]="","",IF(Table1[[#This Row],[Disc 2]]="",0,(Table1[[#This Row],[h_hargasebelumdiskon]]-Table1[[#This Row],[h_disc 1]])*Table1[[#This Row],[Disc 2]]))</f>
        <v>0</v>
      </c>
      <c r="AB159" s="274">
        <f>IF(Table1[Item Description]="","",Table1[[#This Row],[h_disc 1]]+Table1[[#This Row],[h_disc 2]])</f>
        <v>0</v>
      </c>
      <c r="AC159" s="274">
        <f>IF(Table1[Item Description]="","",Table1[[#This Row],[h_hargasebelumdiskon]]-Table1[[#This Row],[h_diskon]])</f>
        <v>95000</v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>PENSIL ZHONG HUA 6925-2B/B OVALPOT95000</v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>
        <v>3</v>
      </c>
      <c r="L160" s="271" t="s">
        <v>136</v>
      </c>
      <c r="N160" s="271" t="s">
        <v>415</v>
      </c>
      <c r="O160" s="278" t="e">
        <f>IF(Table1[[#This Row],[h_Item Description]]="","",INDEX([1]!db[NB PAJAK],MATCH(Table1[[#This Row],[h_Item Description]],[1]!db[kode],0)))</f>
        <v>#N/A</v>
      </c>
      <c r="P160" s="271" t="s">
        <v>423</v>
      </c>
      <c r="Q160" s="274">
        <v>13000</v>
      </c>
      <c r="R160" s="275"/>
      <c r="S160" s="275"/>
      <c r="T160" s="274">
        <f>Table1[[#This Row],[h_hargasetelahdiskon]]</f>
        <v>39000</v>
      </c>
      <c r="V160" s="271"/>
      <c r="W160" s="278">
        <f ca="1">IF(Table1[[#This Row],[Item Description]]="","",IF(Table1[[#This Row],[//]]="",INDIRECT(ADDRESS(ROW()-1,COLUMN())),Table1[[#This Row],[//]]))</f>
        <v>153</v>
      </c>
      <c r="X160" s="278">
        <f ca="1">IF(Table1[[#This Row],[h_id]]="","",COUNTIF(Table1[h_id],Table1[[#This Row],[h_id]]))</f>
        <v>8</v>
      </c>
      <c r="Y160" s="274">
        <f>IF(Table1[Item Description]="","",Table1[[#This Row],[Qty]]*Table1[[#This Row],[Unit Price]])</f>
        <v>39000</v>
      </c>
      <c r="Z160" s="274">
        <f>IF(Table1[[#This Row],[h_hargasebelumdiskon]]="","",IF(Table1[[#This Row],[Disc 1]]="",0,Table1[[#This Row],[h_hargasebelumdiskon]]*Table1[[#This Row],[Disc 1]]))</f>
        <v>0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0</v>
      </c>
      <c r="AC160" s="274">
        <f>IF(Table1[Item Description]="","",Table1[[#This Row],[h_hargasebelumdiskon]]-Table1[[#This Row],[h_diskon]])</f>
        <v>39000</v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>STIP/ PENGHAPUS B-24 M MACARON (GOZTAR)PAK13000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>
        <f ca="1">IF(Table1[[#This Row],[No. Invoice :]]="","",ROW())</f>
        <v>162</v>
      </c>
      <c r="B162" s="278">
        <f ca="1">IF(Table1[Column3]="","",B$1+COUNT(INDIRECT("B$2:B"&amp;ROW()-1)))</f>
        <v>24010028</v>
      </c>
      <c r="C162" s="272">
        <f>IF(Table1[[#This Row],[Column2]]="","",Table1[[#This Row],[Column2]]+C$1-1)</f>
        <v>45303</v>
      </c>
      <c r="D162" s="282">
        <v>12</v>
      </c>
      <c r="E162" s="273" t="s">
        <v>386</v>
      </c>
      <c r="F162" s="271" t="s">
        <v>174</v>
      </c>
      <c r="G162" s="278" t="str">
        <f ca="1">IF(Table1[[#This Row],[h_No. Invoice :]]="","",CONCATENATE("AM"," ",Table1[[#This Row],[h_No. Invoice :]]))</f>
        <v>AM 24010028</v>
      </c>
      <c r="H162" s="271" t="str">
        <f>IF(Table1[[#This Row],[Column5]]="","",INDEX(Table2[Column1],MATCH(Table1[[#This Row],[Column5]],Table2[a],0)))</f>
        <v>G</v>
      </c>
      <c r="I162" s="279" t="str">
        <f>IF(Table1[[#This Row],[Column3]]=0,"",CONCATENATE(UPPER(Table1[[#This Row],[Column3]])," ",Table1[[#This Row],[Column4]]))</f>
        <v>G 0877</v>
      </c>
      <c r="J162" s="278" t="str">
        <f>IF(Table1[[#This Row],[Column5]]="","",INDEX(Table2[e],IF(Table1[[#This Row],[Column5]]="","",MATCH(Table1[[#This Row],[Column5]],Table2[a],0)),))</f>
        <v>PT.HASTA KENCANA SAKTI ( TRIO PLAZA ) MAGELANG</v>
      </c>
      <c r="K162" s="271">
        <v>3</v>
      </c>
      <c r="L162" s="271" t="s">
        <v>150</v>
      </c>
      <c r="N162" s="271" t="s">
        <v>387</v>
      </c>
      <c r="O162" s="278" t="str">
        <f>IF(Table1[[#This Row],[h_Item Description]]="","",INDEX([1]!db[NB PAJAK],MATCH(Table1[[#This Row],[h_Item Description]],[1]!db[kode],0)))</f>
        <v>CALCULATOR JOYKO CC-23</v>
      </c>
      <c r="P162" s="271" t="s">
        <v>395</v>
      </c>
      <c r="Q162" s="274">
        <v>50000</v>
      </c>
      <c r="R162" s="275"/>
      <c r="S162" s="275"/>
      <c r="T162" s="274">
        <f>Table1[[#This Row],[h_hargasetelahdiskon]]</f>
        <v>150000</v>
      </c>
      <c r="U162" s="274" t="s">
        <v>130</v>
      </c>
      <c r="V162" s="271"/>
      <c r="W162" s="278">
        <f ca="1">IF(Table1[[#This Row],[Item Description]]="","",IF(Table1[[#This Row],[//]]="",INDIRECT(ADDRESS(ROW()-1,COLUMN())),Table1[[#This Row],[//]]))</f>
        <v>162</v>
      </c>
      <c r="X162" s="278">
        <f ca="1">IF(Table1[[#This Row],[h_id]]="","",COUNTIF(Table1[h_id],Table1[[#This Row],[h_id]]))</f>
        <v>11</v>
      </c>
      <c r="Y162" s="274">
        <f>IF(Table1[Item Description]="","",Table1[[#This Row],[Qty]]*Table1[[#This Row],[Unit Price]])</f>
        <v>150000</v>
      </c>
      <c r="Z162" s="274">
        <f>IF(Table1[[#This Row],[h_hargasebelumdiskon]]="","",IF(Table1[[#This Row],[Disc 1]]="",0,Table1[[#This Row],[h_hargasebelumdiskon]]*Table1[[#This Row],[Disc 1]]))</f>
        <v>0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0</v>
      </c>
      <c r="AC162" s="274">
        <f>IF(Table1[Item Description]="","",Table1[[#This Row],[h_hargasebelumdiskon]]-Table1[[#This Row],[h_diskon]])</f>
        <v>150000</v>
      </c>
      <c r="AD162" s="274">
        <f ca="1">IF(Table1[//]="","",SUMIF(Table1[h_id],Table1[h_id],Table1[h_hargasetelahdiskon]))</f>
        <v>1347950</v>
      </c>
      <c r="AF162" s="274" t="str">
        <f>Table1[[#This Row],[Item Description]]&amp;Table1[[#This Row],[Unit]]&amp;Table1[[#This Row],[Unit Price]]</f>
        <v>CALCULATOR JOYKO CC-23PCS50000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24</v>
      </c>
      <c r="L163" s="271" t="s">
        <v>150</v>
      </c>
      <c r="N163" s="271" t="s">
        <v>151</v>
      </c>
      <c r="O163" s="278" t="str">
        <f>IF(Table1[[#This Row],[h_Item Description]]="","",INDEX([1]!db[NB PAJAK],MATCH(Table1[[#This Row],[h_Item Description]],[1]!db[kode],0)))</f>
        <v>CORRECTION FLUID KENKO KE-01</v>
      </c>
      <c r="P163" s="271" t="s">
        <v>152</v>
      </c>
      <c r="Q163" s="274">
        <v>4541.6000000000004</v>
      </c>
      <c r="R163" s="275"/>
      <c r="S163" s="275"/>
      <c r="T163" s="274">
        <f>Table1[[#This Row],[h_hargasetelahdiskon]]</f>
        <v>108998.40000000001</v>
      </c>
      <c r="V163" s="271"/>
      <c r="W163" s="278">
        <f ca="1">IF(Table1[[#This Row],[Item Description]]="","",IF(Table1[[#This Row],[//]]="",INDIRECT(ADDRESS(ROW()-1,COLUMN())),Table1[[#This Row],[//]]))</f>
        <v>162</v>
      </c>
      <c r="X163" s="278">
        <f ca="1">IF(Table1[[#This Row],[h_id]]="","",COUNTIF(Table1[h_id],Table1[[#This Row],[h_id]]))</f>
        <v>11</v>
      </c>
      <c r="Y163" s="274">
        <f>IF(Table1[Item Description]="","",Table1[[#This Row],[Qty]]*Table1[[#This Row],[Unit Price]])</f>
        <v>108998.40000000001</v>
      </c>
      <c r="Z163" s="274">
        <f>IF(Table1[[#This Row],[h_hargasebelumdiskon]]="","",IF(Table1[[#This Row],[Disc 1]]="",0,Table1[[#This Row],[h_hargasebelumdiskon]]*Table1[[#This Row],[Disc 1]]))</f>
        <v>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0</v>
      </c>
      <c r="AC163" s="274">
        <f>IF(Table1[Item Description]="","",Table1[[#This Row],[h_hargasebelumdiskon]]-Table1[[#This Row],[h_diskon]])</f>
        <v>108998.40000000001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CORRECTION FLUID KENKO KE-01PCS4541.6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>
        <v>24</v>
      </c>
      <c r="L164" s="271" t="s">
        <v>150</v>
      </c>
      <c r="N164" s="271" t="s">
        <v>162</v>
      </c>
      <c r="O164" s="278" t="str">
        <f>IF(Table1[[#This Row],[h_Item Description]]="","",INDEX([1]!db[NB PAJAK],MATCH(Table1[[#This Row],[h_Item Description]],[1]!db[kode],0)))</f>
        <v>CORRECTION FLUID KENKO KE-108</v>
      </c>
      <c r="P164" s="271" t="s">
        <v>165</v>
      </c>
      <c r="Q164" s="274">
        <v>3958.4</v>
      </c>
      <c r="R164" s="275"/>
      <c r="S164" s="275"/>
      <c r="T164" s="274">
        <f>Table1[[#This Row],[h_hargasetelahdiskon]]</f>
        <v>95001.600000000006</v>
      </c>
      <c r="V164" s="271"/>
      <c r="W164" s="278">
        <f ca="1">IF(Table1[[#This Row],[Item Description]]="","",IF(Table1[[#This Row],[//]]="",INDIRECT(ADDRESS(ROW()-1,COLUMN())),Table1[[#This Row],[//]]))</f>
        <v>162</v>
      </c>
      <c r="X164" s="278">
        <f ca="1">IF(Table1[[#This Row],[h_id]]="","",COUNTIF(Table1[h_id],Table1[[#This Row],[h_id]]))</f>
        <v>11</v>
      </c>
      <c r="Y164" s="274">
        <f>IF(Table1[Item Description]="","",Table1[[#This Row],[Qty]]*Table1[[#This Row],[Unit Price]])</f>
        <v>95001.600000000006</v>
      </c>
      <c r="Z164" s="274">
        <f>IF(Table1[[#This Row],[h_hargasebelumdiskon]]="","",IF(Table1[[#This Row],[Disc 1]]="",0,Table1[[#This Row],[h_hargasebelumdiskon]]*Table1[[#This Row],[Disc 1]]))</f>
        <v>0</v>
      </c>
      <c r="AA164" s="274">
        <f>IF(Table1[[#This Row],[h_hargasebelumdiskon]]="","",IF(Table1[[#This Row],[Disc 2]]="",0,(Table1[[#This Row],[h_hargasebelumdiskon]]-Table1[[#This Row],[h_disc 1]])*Table1[[#This Row],[Disc 2]]))</f>
        <v>0</v>
      </c>
      <c r="AB164" s="274">
        <f>IF(Table1[Item Description]="","",Table1[[#This Row],[h_disc 1]]+Table1[[#This Row],[h_disc 2]])</f>
        <v>0</v>
      </c>
      <c r="AC164" s="274">
        <f>IF(Table1[Item Description]="","",Table1[[#This Row],[h_hargasebelumdiskon]]-Table1[[#This Row],[h_diskon]])</f>
        <v>95001.600000000006</v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>CORRECTION FLUID KENKO KE-108PCS3958.4</v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>
        <v>24</v>
      </c>
      <c r="L165" s="271" t="s">
        <v>150</v>
      </c>
      <c r="N165" s="271" t="s">
        <v>388</v>
      </c>
      <c r="O165" s="278" t="str">
        <f>IF(Table1[[#This Row],[h_Item Description]]="","",INDEX([1]!db[NB PAJAK],MATCH(Table1[[#This Row],[h_Item Description]],[1]!db[kode],0)))</f>
        <v>CORRECTION FLUID KENKO KE-823M</v>
      </c>
      <c r="P165" s="271" t="s">
        <v>323</v>
      </c>
      <c r="Q165" s="274">
        <v>4750</v>
      </c>
      <c r="R165" s="275"/>
      <c r="S165" s="275"/>
      <c r="T165" s="274">
        <f>Table1[[#This Row],[h_hargasetelahdiskon]]</f>
        <v>114000</v>
      </c>
      <c r="V165" s="271"/>
      <c r="W165" s="278">
        <f ca="1">IF(Table1[[#This Row],[Item Description]]="","",IF(Table1[[#This Row],[//]]="",INDIRECT(ADDRESS(ROW()-1,COLUMN())),Table1[[#This Row],[//]]))</f>
        <v>162</v>
      </c>
      <c r="X165" s="278">
        <f ca="1">IF(Table1[[#This Row],[h_id]]="","",COUNTIF(Table1[h_id],Table1[[#This Row],[h_id]]))</f>
        <v>11</v>
      </c>
      <c r="Y165" s="274">
        <f>IF(Table1[Item Description]="","",Table1[[#This Row],[Qty]]*Table1[[#This Row],[Unit Price]])</f>
        <v>114000</v>
      </c>
      <c r="Z165" s="274">
        <f>IF(Table1[[#This Row],[h_hargasebelumdiskon]]="","",IF(Table1[[#This Row],[Disc 1]]="",0,Table1[[#This Row],[h_hargasebelumdiskon]]*Table1[[#This Row],[Disc 1]]))</f>
        <v>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0</v>
      </c>
      <c r="AC165" s="274">
        <f>IF(Table1[Item Description]="","",Table1[[#This Row],[h_hargasebelumdiskon]]-Table1[[#This Row],[h_diskon]])</f>
        <v>114000</v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>CORRECTION FLUID KENKO KE-823MPCS4750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>
        <v>15</v>
      </c>
      <c r="L166" s="271" t="s">
        <v>150</v>
      </c>
      <c r="N166" s="271" t="s">
        <v>389</v>
      </c>
      <c r="O166" s="278" t="str">
        <f>IF(Table1[[#This Row],[h_Item Description]]="","",INDEX([1]!db[NB PAJAK],MATCH(Table1[[#This Row],[h_Item Description]],[1]!db[kode],0)))</f>
        <v>LOOSE LEAF KENKO A5-LL 100-2070</v>
      </c>
      <c r="P166" s="271" t="s">
        <v>396</v>
      </c>
      <c r="Q166" s="274">
        <v>8350</v>
      </c>
      <c r="R166" s="275"/>
      <c r="S166" s="275"/>
      <c r="T166" s="274">
        <f>Table1[[#This Row],[h_hargasetelahdiskon]]</f>
        <v>125250</v>
      </c>
      <c r="V166" s="271"/>
      <c r="W166" s="278">
        <f ca="1">IF(Table1[[#This Row],[Item Description]]="","",IF(Table1[[#This Row],[//]]="",INDIRECT(ADDRESS(ROW()-1,COLUMN())),Table1[[#This Row],[//]]))</f>
        <v>162</v>
      </c>
      <c r="X166" s="278">
        <f ca="1">IF(Table1[[#This Row],[h_id]]="","",COUNTIF(Table1[h_id],Table1[[#This Row],[h_id]]))</f>
        <v>11</v>
      </c>
      <c r="Y166" s="274">
        <f>IF(Table1[Item Description]="","",Table1[[#This Row],[Qty]]*Table1[[#This Row],[Unit Price]])</f>
        <v>125250</v>
      </c>
      <c r="Z166" s="274">
        <f>IF(Table1[[#This Row],[h_hargasebelumdiskon]]="","",IF(Table1[[#This Row],[Disc 1]]="",0,Table1[[#This Row],[h_hargasebelumdiskon]]*Table1[[#This Row],[Disc 1]]))</f>
        <v>0</v>
      </c>
      <c r="AA166" s="274">
        <f>IF(Table1[[#This Row],[h_hargasebelumdiskon]]="","",IF(Table1[[#This Row],[Disc 2]]="",0,(Table1[[#This Row],[h_hargasebelumdiskon]]-Table1[[#This Row],[h_disc 1]])*Table1[[#This Row],[Disc 2]]))</f>
        <v>0</v>
      </c>
      <c r="AB166" s="274">
        <f>IF(Table1[Item Description]="","",Table1[[#This Row],[h_disc 1]]+Table1[[#This Row],[h_disc 2]])</f>
        <v>0</v>
      </c>
      <c r="AC166" s="274">
        <f>IF(Table1[Item Description]="","",Table1[[#This Row],[h_hargasebelumdiskon]]-Table1[[#This Row],[h_diskon]])</f>
        <v>125250</v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>LOOSE LEAF KENKO A5-LL 100-2070PCS8350</v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>
        <v>20</v>
      </c>
      <c r="L167" s="271" t="s">
        <v>150</v>
      </c>
      <c r="N167" s="271" t="s">
        <v>390</v>
      </c>
      <c r="O167" s="278" t="str">
        <f>IF(Table1[[#This Row],[h_Item Description]]="","",INDEX([1]!db[NB PAJAK],MATCH(Table1[[#This Row],[h_Item Description]],[1]!db[kode],0)))</f>
        <v>ISI STAPLER (STAPLES) SDI 1204 No. 3</v>
      </c>
      <c r="P167" s="271" t="s">
        <v>397</v>
      </c>
      <c r="Q167" s="274">
        <v>3370</v>
      </c>
      <c r="R167" s="275"/>
      <c r="S167" s="275"/>
      <c r="T167" s="274">
        <f>Table1[[#This Row],[h_hargasetelahdiskon]]</f>
        <v>67400</v>
      </c>
      <c r="V167" s="271"/>
      <c r="W167" s="278">
        <f ca="1">IF(Table1[[#This Row],[Item Description]]="","",IF(Table1[[#This Row],[//]]="",INDIRECT(ADDRESS(ROW()-1,COLUMN())),Table1[[#This Row],[//]]))</f>
        <v>162</v>
      </c>
      <c r="X167" s="278">
        <f ca="1">IF(Table1[[#This Row],[h_id]]="","",COUNTIF(Table1[h_id],Table1[[#This Row],[h_id]]))</f>
        <v>11</v>
      </c>
      <c r="Y167" s="274">
        <f>IF(Table1[Item Description]="","",Table1[[#This Row],[Qty]]*Table1[[#This Row],[Unit Price]])</f>
        <v>67400</v>
      </c>
      <c r="Z167" s="274">
        <f>IF(Table1[[#This Row],[h_hargasebelumdiskon]]="","",IF(Table1[[#This Row],[Disc 1]]="",0,Table1[[#This Row],[h_hargasebelumdiskon]]*Table1[[#This Row],[Disc 1]]))</f>
        <v>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0</v>
      </c>
      <c r="AC167" s="274">
        <f>IF(Table1[Item Description]="","",Table1[[#This Row],[h_hargasebelumdiskon]]-Table1[[#This Row],[h_diskon]])</f>
        <v>67400</v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>ISI STAPLER (STAPLES) SDI 1204 No. 3PCS3370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12</v>
      </c>
      <c r="L168" s="271" t="s">
        <v>150</v>
      </c>
      <c r="N168" s="271" t="s">
        <v>391</v>
      </c>
      <c r="P168" s="271" t="s">
        <v>398</v>
      </c>
      <c r="Q168" s="274">
        <v>11900</v>
      </c>
      <c r="R168" s="275"/>
      <c r="S168" s="275"/>
      <c r="T168" s="274">
        <f>Table1[[#This Row],[h_hargasetelahdiskon]]</f>
        <v>142800</v>
      </c>
      <c r="V168" s="271"/>
      <c r="W168" s="278">
        <f ca="1">IF(Table1[[#This Row],[Item Description]]="","",IF(Table1[[#This Row],[//]]="",INDIRECT(ADDRESS(ROW()-1,COLUMN())),Table1[[#This Row],[//]]))</f>
        <v>162</v>
      </c>
      <c r="X168" s="278">
        <f ca="1">IF(Table1[[#This Row],[h_id]]="","",COUNTIF(Table1[h_id],Table1[[#This Row],[h_id]]))</f>
        <v>11</v>
      </c>
      <c r="Y168" s="274">
        <f>IF(Table1[Item Description]="","",Table1[[#This Row],[Qty]]*Table1[[#This Row],[Unit Price]])</f>
        <v>142800</v>
      </c>
      <c r="Z168" s="274">
        <f>IF(Table1[[#This Row],[h_hargasebelumdiskon]]="","",IF(Table1[[#This Row],[Disc 1]]="",0,Table1[[#This Row],[h_hargasebelumdiskon]]*Table1[[#This Row],[Disc 1]]))</f>
        <v>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0</v>
      </c>
      <c r="AC168" s="274">
        <f>IF(Table1[Item Description]="","",Table1[[#This Row],[h_hargasebelumdiskon]]-Table1[[#This Row],[h_diskon]])</f>
        <v>142800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CRAYON / OIL PASTEL JOYKO OP-12S PP CASE SEA WORLDPCS11900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12</v>
      </c>
      <c r="L169" s="271" t="s">
        <v>150</v>
      </c>
      <c r="N169" s="271" t="s">
        <v>329</v>
      </c>
      <c r="O169" s="278" t="str">
        <f>IF(Table1[[#This Row],[h_Item Description]]="","",INDEX([1]!db[NB PAJAK],MATCH(Table1[[#This Row],[h_Item Description]],[1]!db[kode],0)))</f>
        <v>CRAYON / OIL PASTEL JOYKO OP-18S PP CASE SEA WORLD</v>
      </c>
      <c r="P169" s="271" t="s">
        <v>330</v>
      </c>
      <c r="Q169" s="274">
        <v>23000</v>
      </c>
      <c r="R169" s="275"/>
      <c r="S169" s="275"/>
      <c r="T169" s="274">
        <f>Table1[[#This Row],[h_hargasetelahdiskon]]</f>
        <v>276000</v>
      </c>
      <c r="V169" s="271"/>
      <c r="W169" s="278">
        <f ca="1">IF(Table1[[#This Row],[Item Description]]="","",IF(Table1[[#This Row],[//]]="",INDIRECT(ADDRESS(ROW()-1,COLUMN())),Table1[[#This Row],[//]]))</f>
        <v>162</v>
      </c>
      <c r="X169" s="278">
        <f ca="1">IF(Table1[[#This Row],[h_id]]="","",COUNTIF(Table1[h_id],Table1[[#This Row],[h_id]]))</f>
        <v>11</v>
      </c>
      <c r="Y169" s="274">
        <f>IF(Table1[Item Description]="","",Table1[[#This Row],[Qty]]*Table1[[#This Row],[Unit Price]])</f>
        <v>276000</v>
      </c>
      <c r="Z169" s="274">
        <f>IF(Table1[[#This Row],[h_hargasebelumdiskon]]="","",IF(Table1[[#This Row],[Disc 1]]="",0,Table1[[#This Row],[h_hargasebelumdiskon]]*Table1[[#This Row],[Disc 1]]))</f>
        <v>0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0</v>
      </c>
      <c r="AC169" s="274">
        <f>IF(Table1[Item Description]="","",Table1[[#This Row],[h_hargasebelumdiskon]]-Table1[[#This Row],[h_diskon]])</f>
        <v>276000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CRAYON / OIL PASTEL JOYKO OP-18S PP CASE SEA WORLDPCS23000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>
        <v>36</v>
      </c>
      <c r="L170" s="271" t="s">
        <v>150</v>
      </c>
      <c r="N170" s="271" t="s">
        <v>393</v>
      </c>
      <c r="O170" s="278" t="str">
        <f>IF(Table1[[#This Row],[h_Item Description]]="","",INDEX([1]!db[NB PAJAK],MATCH(Table1[[#This Row],[h_Item Description]],[1]!db[kode],0)))</f>
        <v>GEL PEN KENKO HI-TECH-H 0.4 MM BIRU</v>
      </c>
      <c r="P170" s="271" t="s">
        <v>399</v>
      </c>
      <c r="Q170" s="274">
        <v>3250</v>
      </c>
      <c r="R170" s="275"/>
      <c r="S170" s="275"/>
      <c r="T170" s="274">
        <f>Table1[[#This Row],[h_hargasetelahdiskon]]</f>
        <v>117000</v>
      </c>
      <c r="V170" s="271"/>
      <c r="W170" s="278">
        <f ca="1">IF(Table1[[#This Row],[Item Description]]="","",IF(Table1[[#This Row],[//]]="",INDIRECT(ADDRESS(ROW()-1,COLUMN())),Table1[[#This Row],[//]]))</f>
        <v>162</v>
      </c>
      <c r="X170" s="278">
        <f ca="1">IF(Table1[[#This Row],[h_id]]="","",COUNTIF(Table1[h_id],Table1[[#This Row],[h_id]]))</f>
        <v>11</v>
      </c>
      <c r="Y170" s="274">
        <f>IF(Table1[Item Description]="","",Table1[[#This Row],[Qty]]*Table1[[#This Row],[Unit Price]])</f>
        <v>117000</v>
      </c>
      <c r="Z170" s="274">
        <f>IF(Table1[[#This Row],[h_hargasebelumdiskon]]="","",IF(Table1[[#This Row],[Disc 1]]="",0,Table1[[#This Row],[h_hargasebelumdiskon]]*Table1[[#This Row],[Disc 1]]))</f>
        <v>0</v>
      </c>
      <c r="AA170" s="274">
        <f>IF(Table1[[#This Row],[h_hargasebelumdiskon]]="","",IF(Table1[[#This Row],[Disc 2]]="",0,(Table1[[#This Row],[h_hargasebelumdiskon]]-Table1[[#This Row],[h_disc 1]])*Table1[[#This Row],[Disc 2]]))</f>
        <v>0</v>
      </c>
      <c r="AB170" s="274">
        <f>IF(Table1[Item Description]="","",Table1[[#This Row],[h_disc 1]]+Table1[[#This Row],[h_disc 2]])</f>
        <v>0</v>
      </c>
      <c r="AC170" s="274">
        <f>IF(Table1[Item Description]="","",Table1[[#This Row],[h_hargasebelumdiskon]]-Table1[[#This Row],[h_diskon]])</f>
        <v>117000</v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>GEL PEN KENKO HI-TECH-H 0.4 MM BIRUPCS3250</v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>
        <v>15</v>
      </c>
      <c r="L171" s="271" t="s">
        <v>150</v>
      </c>
      <c r="N171" s="271" t="s">
        <v>394</v>
      </c>
      <c r="O171" s="278" t="str">
        <f>IF(Table1[[#This Row],[h_Item Description]]="","",INDEX([1]!db[NB PAJAK],MATCH(Table1[[#This Row],[h_Item Description]],[1]!db[kode],0)))</f>
        <v>ORIGAMI FLUORESCENT ALFA 14X14</v>
      </c>
      <c r="P171" s="271" t="s">
        <v>400</v>
      </c>
      <c r="Q171" s="274">
        <v>3100</v>
      </c>
      <c r="R171" s="275"/>
      <c r="S171" s="275"/>
      <c r="T171" s="274">
        <f>Table1[[#This Row],[h_hargasetelahdiskon]]</f>
        <v>46500</v>
      </c>
      <c r="V171" s="271"/>
      <c r="W171" s="278">
        <f ca="1">IF(Table1[[#This Row],[Item Description]]="","",IF(Table1[[#This Row],[//]]="",INDIRECT(ADDRESS(ROW()-1,COLUMN())),Table1[[#This Row],[//]]))</f>
        <v>162</v>
      </c>
      <c r="X171" s="278">
        <f ca="1">IF(Table1[[#This Row],[h_id]]="","",COUNTIF(Table1[h_id],Table1[[#This Row],[h_id]]))</f>
        <v>11</v>
      </c>
      <c r="Y171" s="274">
        <f>IF(Table1[Item Description]="","",Table1[[#This Row],[Qty]]*Table1[[#This Row],[Unit Price]])</f>
        <v>46500</v>
      </c>
      <c r="Z171" s="274">
        <f>IF(Table1[[#This Row],[h_hargasebelumdiskon]]="","",IF(Table1[[#This Row],[Disc 1]]="",0,Table1[[#This Row],[h_hargasebelumdiskon]]*Table1[[#This Row],[Disc 1]]))</f>
        <v>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0</v>
      </c>
      <c r="AC171" s="274">
        <f>IF(Table1[Item Description]="","",Table1[[#This Row],[h_hargasebelumdiskon]]-Table1[[#This Row],[h_diskon]])</f>
        <v>46500</v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>ORIGAMI FLUORESCENT ALFA 14X14PCS3100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12</v>
      </c>
      <c r="L172" s="271" t="s">
        <v>150</v>
      </c>
      <c r="N172" s="271" t="s">
        <v>392</v>
      </c>
      <c r="O172" s="278" t="str">
        <f>IF(Table1[[#This Row],[h_Item Description]]="","",INDEX([1]!db[NB PAJAK],MATCH(Table1[[#This Row],[h_Item Description]],[1]!db[kode],0)))</f>
        <v>TAPE DISPENSER POLAR BEAR MN-305 @12pc</v>
      </c>
      <c r="P172" s="271" t="s">
        <v>401</v>
      </c>
      <c r="Q172" s="274">
        <v>8750</v>
      </c>
      <c r="R172" s="275"/>
      <c r="S172" s="275"/>
      <c r="T172" s="274">
        <f>Table1[[#This Row],[h_hargasetelahdiskon]]</f>
        <v>105000</v>
      </c>
      <c r="V172" s="271"/>
      <c r="W172" s="278">
        <f ca="1">IF(Table1[[#This Row],[Item Description]]="","",IF(Table1[[#This Row],[//]]="",INDIRECT(ADDRESS(ROW()-1,COLUMN())),Table1[[#This Row],[//]]))</f>
        <v>162</v>
      </c>
      <c r="X172" s="278">
        <f ca="1">IF(Table1[[#This Row],[h_id]]="","",COUNTIF(Table1[h_id],Table1[[#This Row],[h_id]]))</f>
        <v>11</v>
      </c>
      <c r="Y172" s="274">
        <f>IF(Table1[Item Description]="","",Table1[[#This Row],[Qty]]*Table1[[#This Row],[Unit Price]])</f>
        <v>105000</v>
      </c>
      <c r="Z172" s="274">
        <f>IF(Table1[[#This Row],[h_hargasebelumdiskon]]="","",IF(Table1[[#This Row],[Disc 1]]="",0,Table1[[#This Row],[h_hargasebelumdiskon]]*Table1[[#This Row],[Disc 1]]))</f>
        <v>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0</v>
      </c>
      <c r="AC172" s="274">
        <f>IF(Table1[Item Description]="","",Table1[[#This Row],[h_hargasebelumdiskon]]-Table1[[#This Row],[h_diskon]])</f>
        <v>105000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TAPE DISPENSER POLAR BEAR MN-305 @12pcPCS8750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>
        <f ca="1">IF(Table1[[#This Row],[No. Invoice :]]="","",ROW())</f>
        <v>174</v>
      </c>
      <c r="B174" s="278">
        <f ca="1">IF(Table1[Column3]="","",B$1+COUNT(INDIRECT("B$2:B"&amp;ROW()-1)))</f>
        <v>24010029</v>
      </c>
      <c r="C174" s="272">
        <f>IF(Table1[[#This Row],[Column2]]="","",Table1[[#This Row],[Column2]]+C$1-1)</f>
        <v>45310</v>
      </c>
      <c r="D174" s="282">
        <v>19</v>
      </c>
      <c r="E174" s="273" t="s">
        <v>438</v>
      </c>
      <c r="F174" s="271" t="s">
        <v>439</v>
      </c>
      <c r="G174" s="278" t="str">
        <f ca="1">IF(Table1[[#This Row],[h_No. Invoice :]]="","",CONCATENATE("AM"," ",Table1[[#This Row],[h_No. Invoice :]]))</f>
        <v>AM 24010029</v>
      </c>
      <c r="H174" s="271" t="str">
        <f>IF(Table1[[#This Row],[Column5]]="","",INDEX(Table2[Column1],MATCH(Table1[[#This Row],[Column5]],Table2[a],0)))</f>
        <v>KO</v>
      </c>
      <c r="I174" s="279" t="str">
        <f>IF(Table1[[#This Row],[Column3]]=0,"",CONCATENATE(UPPER(Table1[[#This Row],[Column3]])," ",Table1[[#This Row],[Column4]]))</f>
        <v>KO 0952</v>
      </c>
      <c r="J174" s="278" t="str">
        <f>IF(Table1[[#This Row],[Column5]]="","",INDEX(Table2[e],IF(Table1[[#This Row],[Column5]]="","",MATCH(Table1[[#This Row],[Column5]],Table2[a],0)),))</f>
        <v>HARNOYO (BENDAN) PEKALONGAN</v>
      </c>
      <c r="K174" s="271">
        <v>24</v>
      </c>
      <c r="L174" s="271" t="s">
        <v>137</v>
      </c>
      <c r="N174" s="271" t="s">
        <v>440</v>
      </c>
      <c r="O174" s="278" t="str">
        <f>IF(Table1[[#This Row],[h_Item Description]]="","",INDEX([1]!db[NB PAJAK],MATCH(Table1[[#This Row],[h_Item Description]],[1]!db[kode],0)))</f>
        <v>GEL PEN KENKO K-1 HITAM</v>
      </c>
      <c r="P174" s="271" t="s">
        <v>441</v>
      </c>
      <c r="Q174" s="274">
        <v>39600</v>
      </c>
      <c r="R174" s="275">
        <v>0.14000000000000001</v>
      </c>
      <c r="S174" s="275"/>
      <c r="T174" s="274">
        <f>Table1[[#This Row],[h_hargasetelahdiskon]]</f>
        <v>817344</v>
      </c>
      <c r="U174" s="274" t="s">
        <v>130</v>
      </c>
      <c r="V174" s="271"/>
      <c r="W174" s="278">
        <f ca="1">IF(Table1[[#This Row],[Item Description]]="","",IF(Table1[[#This Row],[//]]="",INDIRECT(ADDRESS(ROW()-1,COLUMN())),Table1[[#This Row],[//]]))</f>
        <v>174</v>
      </c>
      <c r="X174" s="278">
        <f ca="1">IF(Table1[[#This Row],[h_id]]="","",COUNTIF(Table1[h_id],Table1[[#This Row],[h_id]]))</f>
        <v>1</v>
      </c>
      <c r="Y174" s="274">
        <f>IF(Table1[Item Description]="","",Table1[[#This Row],[Qty]]*Table1[[#This Row],[Unit Price]])</f>
        <v>950400</v>
      </c>
      <c r="Z174" s="274">
        <f>IF(Table1[[#This Row],[h_hargasebelumdiskon]]="","",IF(Table1[[#This Row],[Disc 1]]="",0,Table1[[#This Row],[h_hargasebelumdiskon]]*Table1[[#This Row],[Disc 1]]))</f>
        <v>133056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133056</v>
      </c>
      <c r="AC174" s="274">
        <f>IF(Table1[Item Description]="","",Table1[[#This Row],[h_hargasebelumdiskon]]-Table1[[#This Row],[h_diskon]])</f>
        <v>817344</v>
      </c>
      <c r="AD174" s="274">
        <f ca="1">IF(Table1[//]="","",SUMIF(Table1[h_id],Table1[h_id],Table1[h_hargasetelahdiskon]))</f>
        <v>817344</v>
      </c>
      <c r="AF174" s="274" t="str">
        <f>Table1[[#This Row],[Item Description]]&amp;Table1[[#This Row],[Unit]]&amp;Table1[[#This Row],[Unit Price]]</f>
        <v>GEL PEN KENKO K-1 HITAMLSN39600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 ca="1">IF(Table1[[#This Row],[No. Invoice :]]="","",ROW())</f>
        <v>176</v>
      </c>
      <c r="B176" s="278">
        <f ca="1">IF(Table1[Column3]="","",B$1+COUNT(INDIRECT("B$2:B"&amp;ROW()-1)))</f>
        <v>24010030</v>
      </c>
      <c r="C176" s="272">
        <f>IF(Table1[[#This Row],[Column2]]="","",Table1[[#This Row],[Column2]]+C$1-1)</f>
        <v>45310</v>
      </c>
      <c r="D176" s="282">
        <v>19</v>
      </c>
      <c r="E176" s="273" t="s">
        <v>442</v>
      </c>
      <c r="F176" s="271" t="s">
        <v>38</v>
      </c>
      <c r="G176" s="278" t="str">
        <f ca="1">IF(Table1[[#This Row],[h_No. Invoice :]]="","",CONCATENATE("AM"," ",Table1[[#This Row],[h_No. Invoice :]]))</f>
        <v>AM 24010030</v>
      </c>
      <c r="H176" s="271" t="str">
        <f>IF(Table1[[#This Row],[Column5]]="","",INDEX(Table2[Column1],MATCH(Table1[[#This Row],[Column5]],Table2[a],0)))</f>
        <v>KO</v>
      </c>
      <c r="I176" s="279" t="str">
        <f>IF(Table1[[#This Row],[Column3]]=0,"",CONCATENATE(UPPER(Table1[[#This Row],[Column3]])," ",Table1[[#This Row],[Column4]]))</f>
        <v>KO 0953</v>
      </c>
      <c r="J176" s="278" t="str">
        <f>IF(Table1[[#This Row],[Column5]]="","",INDEX(Table2[e],IF(Table1[[#This Row],[Column5]]="","",MATCH(Table1[[#This Row],[Column5]],Table2[a],0)),))</f>
        <v>CV DWI JAYA YOGYAKARTA</v>
      </c>
      <c r="K176" s="271">
        <v>4</v>
      </c>
      <c r="L176" s="271" t="s">
        <v>193</v>
      </c>
      <c r="N176" s="271" t="s">
        <v>443</v>
      </c>
      <c r="O176" s="278" t="str">
        <f>IF(Table1[[#This Row],[h_Item Description]]="","",INDEX([1]!db[NB PAJAK],MATCH(Table1[[#This Row],[h_Item Description]],[1]!db[kode],0)))</f>
        <v>LEM STICK KENKO 8 GR (KECIL) isi 30 pc</v>
      </c>
      <c r="P176" s="271" t="s">
        <v>444</v>
      </c>
      <c r="Q176" s="274">
        <v>66000</v>
      </c>
      <c r="R176" s="275">
        <v>0.1</v>
      </c>
      <c r="S176" s="275"/>
      <c r="T176" s="274">
        <f>Table1[[#This Row],[h_hargasetelahdiskon]]</f>
        <v>237600</v>
      </c>
      <c r="U176" s="274" t="s">
        <v>130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5</v>
      </c>
      <c r="Y176" s="274">
        <f>IF(Table1[Item Description]="","",Table1[[#This Row],[Qty]]*Table1[[#This Row],[Unit Price]])</f>
        <v>264000</v>
      </c>
      <c r="Z176" s="274">
        <f>IF(Table1[[#This Row],[h_hargasebelumdiskon]]="","",IF(Table1[[#This Row],[Disc 1]]="",0,Table1[[#This Row],[h_hargasebelumdiskon]]*Table1[[#This Row],[Disc 1]]))</f>
        <v>26400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26400</v>
      </c>
      <c r="AC176" s="274">
        <f>IF(Table1[Item Description]="","",Table1[[#This Row],[h_hargasebelumdiskon]]-Table1[[#This Row],[h_diskon]])</f>
        <v>237600</v>
      </c>
      <c r="AD176" s="274">
        <f ca="1">IF(Table1[//]="","",SUMIF(Table1[h_id],Table1[h_id],Table1[h_hargasetelahdiskon]))</f>
        <v>3206520</v>
      </c>
      <c r="AF176" s="274" t="str">
        <f>Table1[[#This Row],[Item Description]]&amp;Table1[[#This Row],[Unit]]&amp;Table1[[#This Row],[Unit Price]]</f>
        <v>LEM STICK KENKO 8 GR (KECIL) isi 30 pcBOX66000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4</v>
      </c>
      <c r="L177" s="271" t="s">
        <v>137</v>
      </c>
      <c r="N177" s="271" t="s">
        <v>266</v>
      </c>
      <c r="O177" s="278" t="str">
        <f>IF(Table1[[#This Row],[h_Item Description]]="","",INDEX([1]!db[NB PAJAK],MATCH(Table1[[#This Row],[h_Item Description]],[1]!db[kode],0)))</f>
        <v>CORRECTION TAPE KENKO CT-902 (12M x 5MM)</v>
      </c>
      <c r="P177" s="271" t="s">
        <v>271</v>
      </c>
      <c r="Q177" s="274">
        <v>60000</v>
      </c>
      <c r="R177" s="275">
        <v>0.1</v>
      </c>
      <c r="S177" s="275"/>
      <c r="T177" s="274">
        <f>Table1[[#This Row],[h_hargasetelahdiskon]]</f>
        <v>216000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5</v>
      </c>
      <c r="Y177" s="274">
        <f>IF(Table1[Item Description]="","",Table1[[#This Row],[Qty]]*Table1[[#This Row],[Unit Price]])</f>
        <v>240000</v>
      </c>
      <c r="Z177" s="274">
        <f>IF(Table1[[#This Row],[h_hargasebelumdiskon]]="","",IF(Table1[[#This Row],[Disc 1]]="",0,Table1[[#This Row],[h_hargasebelumdiskon]]*Table1[[#This Row],[Disc 1]]))</f>
        <v>24000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24000</v>
      </c>
      <c r="AC177" s="274">
        <f>IF(Table1[Item Description]="","",Table1[[#This Row],[h_hargasebelumdiskon]]-Table1[[#This Row],[h_diskon]])</f>
        <v>216000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CORRECTION TAPE KENKO CT-902 (12M x 5MM)LSN60000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>
        <v>5</v>
      </c>
      <c r="L178" s="271" t="s">
        <v>137</v>
      </c>
      <c r="N178" s="271" t="s">
        <v>445</v>
      </c>
      <c r="O178" s="278" t="str">
        <f>IF(Table1[[#This Row],[h_Item Description]]="","",INDEX([1]!db[NB PAJAK],MATCH(Table1[[#This Row],[h_Item Description]],[1]!db[kode],0)))</f>
        <v>CUTTER 18 MM KENKO L-500 (BESAR)</v>
      </c>
      <c r="P178" s="271" t="s">
        <v>313</v>
      </c>
      <c r="Q178" s="274">
        <v>147600</v>
      </c>
      <c r="R178" s="275">
        <v>0.1</v>
      </c>
      <c r="S178" s="275"/>
      <c r="T178" s="274">
        <f>Table1[[#This Row],[h_hargasetelahdiskon]]</f>
        <v>664200</v>
      </c>
      <c r="V178" s="271"/>
      <c r="W178" s="278">
        <f ca="1">IF(Table1[[#This Row],[Item Description]]="","",IF(Table1[[#This Row],[//]]="",INDIRECT(ADDRESS(ROW()-1,COLUMN())),Table1[[#This Row],[//]]))</f>
        <v>176</v>
      </c>
      <c r="X178" s="278">
        <f ca="1">IF(Table1[[#This Row],[h_id]]="","",COUNTIF(Table1[h_id],Table1[[#This Row],[h_id]]))</f>
        <v>5</v>
      </c>
      <c r="Y178" s="274">
        <f>IF(Table1[Item Description]="","",Table1[[#This Row],[Qty]]*Table1[[#This Row],[Unit Price]])</f>
        <v>738000</v>
      </c>
      <c r="Z178" s="274">
        <f>IF(Table1[[#This Row],[h_hargasebelumdiskon]]="","",IF(Table1[[#This Row],[Disc 1]]="",0,Table1[[#This Row],[h_hargasebelumdiskon]]*Table1[[#This Row],[Disc 1]]))</f>
        <v>73800</v>
      </c>
      <c r="AA178" s="274">
        <f>IF(Table1[[#This Row],[h_hargasebelumdiskon]]="","",IF(Table1[[#This Row],[Disc 2]]="",0,(Table1[[#This Row],[h_hargasebelumdiskon]]-Table1[[#This Row],[h_disc 1]])*Table1[[#This Row],[Disc 2]]))</f>
        <v>0</v>
      </c>
      <c r="AB178" s="274">
        <f>IF(Table1[Item Description]="","",Table1[[#This Row],[h_disc 1]]+Table1[[#This Row],[h_disc 2]])</f>
        <v>73800</v>
      </c>
      <c r="AC178" s="274">
        <f>IF(Table1[Item Description]="","",Table1[[#This Row],[h_hargasebelumdiskon]]-Table1[[#This Row],[h_diskon]])</f>
        <v>664200</v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>CUTTER 18 MM KENKO L-500 (BESAR)LSN147600</v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>
        <v>10</v>
      </c>
      <c r="L179" s="271" t="s">
        <v>137</v>
      </c>
      <c r="N179" s="271" t="s">
        <v>446</v>
      </c>
      <c r="O179" s="278" t="str">
        <f>IF(Table1[[#This Row],[h_Item Description]]="","",INDEX([1]!db[NB PAJAK],MATCH(Table1[[#This Row],[h_Item Description]],[1]!db[kode],0)))</f>
        <v>GUNTING KENKO SC-838N</v>
      </c>
      <c r="P179" s="271" t="s">
        <v>447</v>
      </c>
      <c r="Q179" s="274">
        <v>79800</v>
      </c>
      <c r="R179" s="275">
        <v>0.1</v>
      </c>
      <c r="S179" s="275"/>
      <c r="T179" s="274">
        <f>Table1[[#This Row],[h_hargasetelahdiskon]]</f>
        <v>718200</v>
      </c>
      <c r="V179" s="271"/>
      <c r="W179" s="278">
        <f ca="1">IF(Table1[[#This Row],[Item Description]]="","",IF(Table1[[#This Row],[//]]="",INDIRECT(ADDRESS(ROW()-1,COLUMN())),Table1[[#This Row],[//]]))</f>
        <v>176</v>
      </c>
      <c r="X179" s="278">
        <f ca="1">IF(Table1[[#This Row],[h_id]]="","",COUNTIF(Table1[h_id],Table1[[#This Row],[h_id]]))</f>
        <v>5</v>
      </c>
      <c r="Y179" s="274">
        <f>IF(Table1[Item Description]="","",Table1[[#This Row],[Qty]]*Table1[[#This Row],[Unit Price]])</f>
        <v>798000</v>
      </c>
      <c r="Z179" s="274">
        <f>IF(Table1[[#This Row],[h_hargasebelumdiskon]]="","",IF(Table1[[#This Row],[Disc 1]]="",0,Table1[[#This Row],[h_hargasebelumdiskon]]*Table1[[#This Row],[Disc 1]]))</f>
        <v>79800</v>
      </c>
      <c r="AA179" s="274">
        <f>IF(Table1[[#This Row],[h_hargasebelumdiskon]]="","",IF(Table1[[#This Row],[Disc 2]]="",0,(Table1[[#This Row],[h_hargasebelumdiskon]]-Table1[[#This Row],[h_disc 1]])*Table1[[#This Row],[Disc 2]]))</f>
        <v>0</v>
      </c>
      <c r="AB179" s="274">
        <f>IF(Table1[Item Description]="","",Table1[[#This Row],[h_disc 1]]+Table1[[#This Row],[h_disc 2]])</f>
        <v>79800</v>
      </c>
      <c r="AC179" s="274">
        <f>IF(Table1[Item Description]="","",Table1[[#This Row],[h_hargasebelumdiskon]]-Table1[[#This Row],[h_diskon]])</f>
        <v>718200</v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>GUNTING KENKO SC-838NLSN79800</v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>
        <v>36</v>
      </c>
      <c r="L180" s="271" t="s">
        <v>137</v>
      </c>
      <c r="M180" s="271">
        <v>1</v>
      </c>
      <c r="N180" s="271" t="s">
        <v>448</v>
      </c>
      <c r="O180" s="278" t="str">
        <f>IF(Table1[[#This Row],[h_Item Description]]="","",INDEX([1]!db[NB PAJAK],MATCH(Table1[[#This Row],[h_Item Description]],[1]!db[kode],0)))</f>
        <v>BINDER CLIP JOYKO 280</v>
      </c>
      <c r="P180" s="271" t="s">
        <v>452</v>
      </c>
      <c r="Q180" s="274">
        <v>42300</v>
      </c>
      <c r="R180" s="275">
        <v>0.1</v>
      </c>
      <c r="S180" s="275"/>
      <c r="T180" s="274">
        <f>Table1[[#This Row],[h_hargasetelahdiskon]]</f>
        <v>1370520</v>
      </c>
      <c r="V180" s="271"/>
      <c r="W180" s="278">
        <f ca="1">IF(Table1[[#This Row],[Item Description]]="","",IF(Table1[[#This Row],[//]]="",INDIRECT(ADDRESS(ROW()-1,COLUMN())),Table1[[#This Row],[//]]))</f>
        <v>176</v>
      </c>
      <c r="X180" s="278">
        <f ca="1">IF(Table1[[#This Row],[h_id]]="","",COUNTIF(Table1[h_id],Table1[[#This Row],[h_id]]))</f>
        <v>5</v>
      </c>
      <c r="Y180" s="274">
        <f>IF(Table1[Item Description]="","",Table1[[#This Row],[Qty]]*Table1[[#This Row],[Unit Price]])</f>
        <v>1522800</v>
      </c>
      <c r="Z180" s="274">
        <f>IF(Table1[[#This Row],[h_hargasebelumdiskon]]="","",IF(Table1[[#This Row],[Disc 1]]="",0,Table1[[#This Row],[h_hargasebelumdiskon]]*Table1[[#This Row],[Disc 1]]))</f>
        <v>152280</v>
      </c>
      <c r="AA180" s="274">
        <f>IF(Table1[[#This Row],[h_hargasebelumdiskon]]="","",IF(Table1[[#This Row],[Disc 2]]="",0,(Table1[[#This Row],[h_hargasebelumdiskon]]-Table1[[#This Row],[h_disc 1]])*Table1[[#This Row],[Disc 2]]))</f>
        <v>0</v>
      </c>
      <c r="AB180" s="274">
        <f>IF(Table1[Item Description]="","",Table1[[#This Row],[h_disc 1]]+Table1[[#This Row],[h_disc 2]])</f>
        <v>152280</v>
      </c>
      <c r="AC180" s="274">
        <f>IF(Table1[Item Description]="","",Table1[[#This Row],[h_hargasebelumdiskon]]-Table1[[#This Row],[h_diskon]])</f>
        <v>1370520</v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>BINDER CLIP JOYKO 280LSN42300</v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>
        <f ca="1">IF(Table1[[#This Row],[No. Invoice :]]="","",ROW())</f>
        <v>182</v>
      </c>
      <c r="B182" s="278">
        <f ca="1">IF(Table1[Column3]="","",B$1+COUNT(INDIRECT("B$2:B"&amp;ROW()-1)))</f>
        <v>24010031</v>
      </c>
      <c r="C182" s="272">
        <f>IF(Table1[[#This Row],[Column2]]="","",Table1[[#This Row],[Column2]]+C$1-1)</f>
        <v>45311</v>
      </c>
      <c r="D182" s="282">
        <v>20</v>
      </c>
      <c r="E182" s="273" t="s">
        <v>450</v>
      </c>
      <c r="F182" s="271" t="s">
        <v>38</v>
      </c>
      <c r="G182" s="278" t="str">
        <f ca="1">IF(Table1[[#This Row],[h_No. Invoice :]]="","",CONCATENATE("AM"," ",Table1[[#This Row],[h_No. Invoice :]]))</f>
        <v>AM 24010031</v>
      </c>
      <c r="H182" s="271" t="str">
        <f>IF(Table1[[#This Row],[Column5]]="","",INDEX(Table2[Column1],MATCH(Table1[[#This Row],[Column5]],Table2[a],0)))</f>
        <v>KO</v>
      </c>
      <c r="I182" s="279" t="str">
        <f>IF(Table1[[#This Row],[Column3]]=0,"",CONCATENATE(UPPER(Table1[[#This Row],[Column3]])," ",Table1[[#This Row],[Column4]]))</f>
        <v>KO 0967</v>
      </c>
      <c r="J182" s="278" t="str">
        <f>IF(Table1[[#This Row],[Column5]]="","",INDEX(Table2[e],IF(Table1[[#This Row],[Column5]]="","",MATCH(Table1[[#This Row],[Column5]],Table2[a],0)),))</f>
        <v>CV DWI JAYA YOGYAKARTA</v>
      </c>
      <c r="K182" s="271">
        <v>20</v>
      </c>
      <c r="L182" s="271" t="s">
        <v>136</v>
      </c>
      <c r="N182" s="271" t="s">
        <v>216</v>
      </c>
      <c r="O182" s="278" t="str">
        <f>IF(Table1[[#This Row],[h_Item Description]]="","",INDEX([1]!db[NB PAJAK],MATCH(Table1[[#This Row],[h_Item Description]],[1]!db[kode],0)))</f>
        <v>LABEL HARGA JOYKO LB-2RL (1 LINE PUTIH)</v>
      </c>
      <c r="P182" s="271" t="s">
        <v>231</v>
      </c>
      <c r="Q182" s="274">
        <v>20500</v>
      </c>
      <c r="R182" s="275">
        <v>0.1</v>
      </c>
      <c r="S182" s="275"/>
      <c r="T182" s="274">
        <f>Table1[[#This Row],[h_hargasetelahdiskon]]</f>
        <v>369000</v>
      </c>
      <c r="U182" s="274" t="s">
        <v>130</v>
      </c>
      <c r="V182" s="271"/>
      <c r="W182" s="278">
        <f ca="1">IF(Table1[[#This Row],[Item Description]]="","",IF(Table1[[#This Row],[//]]="",INDIRECT(ADDRESS(ROW()-1,COLUMN())),Table1[[#This Row],[//]]))</f>
        <v>182</v>
      </c>
      <c r="X182" s="278">
        <f ca="1">IF(Table1[[#This Row],[h_id]]="","",COUNTIF(Table1[h_id],Table1[[#This Row],[h_id]]))</f>
        <v>2</v>
      </c>
      <c r="Y182" s="274">
        <f>IF(Table1[Item Description]="","",Table1[[#This Row],[Qty]]*Table1[[#This Row],[Unit Price]])</f>
        <v>410000</v>
      </c>
      <c r="Z182" s="274">
        <f>IF(Table1[[#This Row],[h_hargasebelumdiskon]]="","",IF(Table1[[#This Row],[Disc 1]]="",0,Table1[[#This Row],[h_hargasebelumdiskon]]*Table1[[#This Row],[Disc 1]]))</f>
        <v>41000</v>
      </c>
      <c r="AA182" s="274">
        <f>IF(Table1[[#This Row],[h_hargasebelumdiskon]]="","",IF(Table1[[#This Row],[Disc 2]]="",0,(Table1[[#This Row],[h_hargasebelumdiskon]]-Table1[[#This Row],[h_disc 1]])*Table1[[#This Row],[Disc 2]]))</f>
        <v>0</v>
      </c>
      <c r="AB182" s="274">
        <f>IF(Table1[Item Description]="","",Table1[[#This Row],[h_disc 1]]+Table1[[#This Row],[h_disc 2]])</f>
        <v>41000</v>
      </c>
      <c r="AC182" s="274">
        <f>IF(Table1[Item Description]="","",Table1[[#This Row],[h_hargasebelumdiskon]]-Table1[[#This Row],[h_diskon]])</f>
        <v>369000</v>
      </c>
      <c r="AD182" s="274">
        <f ca="1">IF(Table1[//]="","",SUMIF(Table1[h_id],Table1[h_id],Table1[h_hargasetelahdiskon]))</f>
        <v>1179000</v>
      </c>
      <c r="AF182" s="274" t="str">
        <f>Table1[[#This Row],[Item Description]]&amp;Table1[[#This Row],[Unit]]&amp;Table1[[#This Row],[Unit Price]]</f>
        <v>LABEL HARGA JOYKO LB-2RL (1 LINE PUTIH)PAK20500</v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>
        <v>5</v>
      </c>
      <c r="L183" s="271" t="s">
        <v>244</v>
      </c>
      <c r="M183" s="271">
        <v>1</v>
      </c>
      <c r="N183" s="271" t="s">
        <v>451</v>
      </c>
      <c r="O183" s="278" t="str">
        <f>IF(Table1[[#This Row],[h_Item Description]]="","",INDEX([1]!db[NB PAJAK],MATCH(Table1[[#This Row],[h_Item Description]],[1]!db[kode],0)))</f>
        <v>BINDER CLIP KENKO NO. 260</v>
      </c>
      <c r="P183" s="271" t="s">
        <v>304</v>
      </c>
      <c r="Q183" s="274">
        <v>180000</v>
      </c>
      <c r="R183" s="275">
        <v>0.1</v>
      </c>
      <c r="S183" s="275"/>
      <c r="T183" s="274">
        <f>Table1[[#This Row],[h_hargasetelahdiskon]]</f>
        <v>810000</v>
      </c>
      <c r="V183" s="271"/>
      <c r="W183" s="278">
        <f ca="1">IF(Table1[[#This Row],[Item Description]]="","",IF(Table1[[#This Row],[//]]="",INDIRECT(ADDRESS(ROW()-1,COLUMN())),Table1[[#This Row],[//]]))</f>
        <v>182</v>
      </c>
      <c r="X183" s="278">
        <f ca="1">IF(Table1[[#This Row],[h_id]]="","",COUNTIF(Table1[h_id],Table1[[#This Row],[h_id]]))</f>
        <v>2</v>
      </c>
      <c r="Y183" s="274">
        <f>IF(Table1[Item Description]="","",Table1[[#This Row],[Qty]]*Table1[[#This Row],[Unit Price]])</f>
        <v>900000</v>
      </c>
      <c r="Z183" s="274">
        <f>IF(Table1[[#This Row],[h_hargasebelumdiskon]]="","",IF(Table1[[#This Row],[Disc 1]]="",0,Table1[[#This Row],[h_hargasebelumdiskon]]*Table1[[#This Row],[Disc 1]]))</f>
        <v>90000</v>
      </c>
      <c r="AA183" s="274">
        <f>IF(Table1[[#This Row],[h_hargasebelumdiskon]]="","",IF(Table1[[#This Row],[Disc 2]]="",0,(Table1[[#This Row],[h_hargasebelumdiskon]]-Table1[[#This Row],[h_disc 1]])*Table1[[#This Row],[Disc 2]]))</f>
        <v>0</v>
      </c>
      <c r="AB183" s="274">
        <f>IF(Table1[Item Description]="","",Table1[[#This Row],[h_disc 1]]+Table1[[#This Row],[h_disc 2]])</f>
        <v>90000</v>
      </c>
      <c r="AC183" s="274">
        <f>IF(Table1[Item Description]="","",Table1[[#This Row],[h_hargasebelumdiskon]]-Table1[[#This Row],[h_diskon]])</f>
        <v>810000</v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>BINDER CLIP KENKO NO. 260GRS180000</v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>
        <f ca="1">IF(Table1[[#This Row],[No. Invoice :]]="","",ROW())</f>
        <v>185</v>
      </c>
      <c r="B185" s="278">
        <f ca="1">IF(Table1[Column3]="","",B$1+COUNT(INDIRECT("B$2:B"&amp;ROW()-1)))</f>
        <v>24010032</v>
      </c>
      <c r="C185" s="272">
        <f>IF(Table1[[#This Row],[Column2]]="","",Table1[[#This Row],[Column2]]+C$1-1)</f>
        <v>45313</v>
      </c>
      <c r="D185" s="282">
        <v>22</v>
      </c>
      <c r="E185" s="273" t="s">
        <v>453</v>
      </c>
      <c r="F185" s="271" t="s">
        <v>366</v>
      </c>
      <c r="G185" s="278" t="str">
        <f ca="1">IF(Table1[[#This Row],[h_No. Invoice :]]="","",CONCATENATE("AM"," ",Table1[[#This Row],[h_No. Invoice :]]))</f>
        <v>AM 24010032</v>
      </c>
      <c r="H185" s="271" t="str">
        <f>IF(Table1[[#This Row],[Column5]]="","",INDEX(Table2[Column1],MATCH(Table1[[#This Row],[Column5]],Table2[a],0)))</f>
        <v>KO</v>
      </c>
      <c r="I185" s="279" t="str">
        <f>IF(Table1[[#This Row],[Column3]]=0,"",CONCATENATE(UPPER(Table1[[#This Row],[Column3]])," ",Table1[[#This Row],[Column4]]))</f>
        <v>KO 4996</v>
      </c>
      <c r="J185" s="278" t="str">
        <f>IF(Table1[[#This Row],[Column5]]="","",INDEX(Table2[e],IF(Table1[[#This Row],[Column5]]="","",MATCH(Table1[[#This Row],[Column5]],Table2[a],0)),))</f>
        <v>CV LANCAR JAYA SENTOSA MALANG</v>
      </c>
      <c r="K185" s="271">
        <v>48</v>
      </c>
      <c r="L185" s="271" t="s">
        <v>150</v>
      </c>
      <c r="M185" s="271">
        <v>2</v>
      </c>
      <c r="N185" s="271" t="s">
        <v>454</v>
      </c>
      <c r="O185" s="278" t="str">
        <f>IF(Table1[[#This Row],[h_Item Description]]="","",INDEX([1]!db[NB PAJAK],MATCH(Table1[[#This Row],[h_Item Description]],[1]!db[kode],0)))</f>
        <v>CRAYON / OIL PASTEL JOYKO OP-55S PP CASE SEA WORLD</v>
      </c>
      <c r="P185" s="271" t="s">
        <v>455</v>
      </c>
      <c r="Q185" s="274">
        <v>66900</v>
      </c>
      <c r="R185" s="275">
        <v>0.125</v>
      </c>
      <c r="S185" s="275"/>
      <c r="T185" s="274">
        <f>Table1[[#This Row],[h_hargasetelahdiskon]]</f>
        <v>2809800</v>
      </c>
      <c r="U185" s="274" t="s">
        <v>130</v>
      </c>
      <c r="V185" s="271"/>
      <c r="W185" s="278">
        <f ca="1">IF(Table1[[#This Row],[Item Description]]="","",IF(Table1[[#This Row],[//]]="",INDIRECT(ADDRESS(ROW()-1,COLUMN())),Table1[[#This Row],[//]]))</f>
        <v>185</v>
      </c>
      <c r="X185" s="278">
        <f ca="1">IF(Table1[[#This Row],[h_id]]="","",COUNTIF(Table1[h_id],Table1[[#This Row],[h_id]]))</f>
        <v>2</v>
      </c>
      <c r="Y185" s="274">
        <f>IF(Table1[Item Description]="","",Table1[[#This Row],[Qty]]*Table1[[#This Row],[Unit Price]])</f>
        <v>3211200</v>
      </c>
      <c r="Z185" s="274">
        <f>IF(Table1[[#This Row],[h_hargasebelumdiskon]]="","",IF(Table1[[#This Row],[Disc 1]]="",0,Table1[[#This Row],[h_hargasebelumdiskon]]*Table1[[#This Row],[Disc 1]]))</f>
        <v>401400</v>
      </c>
      <c r="AA185" s="274">
        <f>IF(Table1[[#This Row],[h_hargasebelumdiskon]]="","",IF(Table1[[#This Row],[Disc 2]]="",0,(Table1[[#This Row],[h_hargasebelumdiskon]]-Table1[[#This Row],[h_disc 1]])*Table1[[#This Row],[Disc 2]]))</f>
        <v>0</v>
      </c>
      <c r="AB185" s="274">
        <f>IF(Table1[Item Description]="","",Table1[[#This Row],[h_disc 1]]+Table1[[#This Row],[h_disc 2]])</f>
        <v>401400</v>
      </c>
      <c r="AC185" s="274">
        <f>IF(Table1[Item Description]="","",Table1[[#This Row],[h_hargasebelumdiskon]]-Table1[[#This Row],[h_diskon]])</f>
        <v>2809800</v>
      </c>
      <c r="AD185" s="274">
        <f ca="1">IF(Table1[//]="","",SUMIF(Table1[h_id],Table1[h_id],Table1[h_hargasetelahdiskon]))</f>
        <v>6841800</v>
      </c>
      <c r="AF185" s="274" t="str">
        <f>Table1[[#This Row],[Item Description]]&amp;Table1[[#This Row],[Unit]]&amp;Table1[[#This Row],[Unit Price]]</f>
        <v>CRAYON / OIL PASTEL JOYKO OP-55S PP CASE SEA WORLDPCS66900</v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>
        <v>48</v>
      </c>
      <c r="L186" s="271" t="s">
        <v>150</v>
      </c>
      <c r="M186" s="271">
        <v>2</v>
      </c>
      <c r="N186" s="271" t="s">
        <v>456</v>
      </c>
      <c r="O186" s="278" t="str">
        <f>IF(Table1[[#This Row],[h_Item Description]]="","",INDEX([1]!db[NB PAJAK],MATCH(Table1[[#This Row],[h_Item Description]],[1]!db[kode],0)))</f>
        <v>CRAYON / OIL PASTEL JOYKO OP-72S PP CASE SEA WORLD</v>
      </c>
      <c r="P186" s="271" t="s">
        <v>457</v>
      </c>
      <c r="Q186" s="274">
        <v>96000</v>
      </c>
      <c r="R186" s="275">
        <v>0.125</v>
      </c>
      <c r="S186" s="275"/>
      <c r="T186" s="274">
        <f>Table1[[#This Row],[h_hargasetelahdiskon]]</f>
        <v>4032000</v>
      </c>
      <c r="V186" s="271"/>
      <c r="W186" s="278">
        <f ca="1">IF(Table1[[#This Row],[Item Description]]="","",IF(Table1[[#This Row],[//]]="",INDIRECT(ADDRESS(ROW()-1,COLUMN())),Table1[[#This Row],[//]]))</f>
        <v>185</v>
      </c>
      <c r="X186" s="278">
        <f ca="1">IF(Table1[[#This Row],[h_id]]="","",COUNTIF(Table1[h_id],Table1[[#This Row],[h_id]]))</f>
        <v>2</v>
      </c>
      <c r="Y186" s="274">
        <f>IF(Table1[Item Description]="","",Table1[[#This Row],[Qty]]*Table1[[#This Row],[Unit Price]])</f>
        <v>4608000</v>
      </c>
      <c r="Z186" s="274">
        <f>IF(Table1[[#This Row],[h_hargasebelumdiskon]]="","",IF(Table1[[#This Row],[Disc 1]]="",0,Table1[[#This Row],[h_hargasebelumdiskon]]*Table1[[#This Row],[Disc 1]]))</f>
        <v>576000</v>
      </c>
      <c r="AA186" s="274">
        <f>IF(Table1[[#This Row],[h_hargasebelumdiskon]]="","",IF(Table1[[#This Row],[Disc 2]]="",0,(Table1[[#This Row],[h_hargasebelumdiskon]]-Table1[[#This Row],[h_disc 1]])*Table1[[#This Row],[Disc 2]]))</f>
        <v>0</v>
      </c>
      <c r="AB186" s="274">
        <f>IF(Table1[Item Description]="","",Table1[[#This Row],[h_disc 1]]+Table1[[#This Row],[h_disc 2]])</f>
        <v>576000</v>
      </c>
      <c r="AC186" s="274">
        <f>IF(Table1[Item Description]="","",Table1[[#This Row],[h_hargasebelumdiskon]]-Table1[[#This Row],[h_diskon]])</f>
        <v>4032000</v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>CRAYON / OIL PASTEL JOYKO OP-72S PP CASE SEA WORLDPCS96000</v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>
        <f ca="1">IF(Table1[[#This Row],[No. Invoice :]]="","",ROW())</f>
        <v>188</v>
      </c>
      <c r="B188" s="278">
        <f ca="1">IF(Table1[Column3]="","",B$1+COUNT(INDIRECT("B$2:B"&amp;ROW()-1)))</f>
        <v>24010033</v>
      </c>
      <c r="C188" s="272">
        <f>IF(Table1[[#This Row],[Column2]]="","",Table1[[#This Row],[Column2]]+C$1-1)</f>
        <v>45313</v>
      </c>
      <c r="D188" s="282">
        <v>22</v>
      </c>
      <c r="E188" s="273" t="s">
        <v>458</v>
      </c>
      <c r="F188" s="271" t="s">
        <v>146</v>
      </c>
      <c r="G188" s="278" t="str">
        <f ca="1">IF(Table1[[#This Row],[h_No. Invoice :]]="","",CONCATENATE("AM"," ",Table1[[#This Row],[h_No. Invoice :]]))</f>
        <v>AM 24010033</v>
      </c>
      <c r="H188" s="271" t="str">
        <f>IF(Table1[[#This Row],[Column5]]="","",INDEX(Table2[Column1],MATCH(Table1[[#This Row],[Column5]],Table2[a],0)))</f>
        <v>G</v>
      </c>
      <c r="I188" s="279" t="str">
        <f>IF(Table1[[#This Row],[Column3]]=0,"",CONCATENATE(UPPER(Table1[[#This Row],[Column3]])," ",Table1[[#This Row],[Column4]]))</f>
        <v>G 0964</v>
      </c>
      <c r="J188" s="278" t="str">
        <f>IF(Table1[[#This Row],[Column5]]="","",INDEX(Table2[e],IF(Table1[[#This Row],[Column5]]="","",MATCH(Table1[[#This Row],[Column5]],Table2[a],0)),))</f>
        <v>LILY JULIAWATI (REJO AGUNG) JOMBANG</v>
      </c>
      <c r="K188" s="271">
        <v>72</v>
      </c>
      <c r="L188" s="271" t="s">
        <v>137</v>
      </c>
      <c r="N188" s="271" t="s">
        <v>151</v>
      </c>
      <c r="O188" s="278" t="str">
        <f>IF(Table1[[#This Row],[h_Item Description]]="","",INDEX([1]!db[NB PAJAK],MATCH(Table1[[#This Row],[h_Item Description]],[1]!db[kode],0)))</f>
        <v>CORRECTION FLUID KENKO KE-01</v>
      </c>
      <c r="P188" s="271" t="s">
        <v>152</v>
      </c>
      <c r="Q188" s="274">
        <v>54300</v>
      </c>
      <c r="R188" s="275">
        <v>0.125</v>
      </c>
      <c r="S188" s="275"/>
      <c r="T188" s="274">
        <f>Table1[[#This Row],[h_hargasetelahdiskon]]</f>
        <v>3420900</v>
      </c>
      <c r="U188" s="274" t="s">
        <v>130</v>
      </c>
      <c r="V188" s="271"/>
      <c r="W188" s="278">
        <f ca="1">IF(Table1[[#This Row],[Item Description]]="","",IF(Table1[[#This Row],[//]]="",INDIRECT(ADDRESS(ROW()-1,COLUMN())),Table1[[#This Row],[//]]))</f>
        <v>188</v>
      </c>
      <c r="X188" s="278">
        <f ca="1">IF(Table1[[#This Row],[h_id]]="","",COUNTIF(Table1[h_id],Table1[[#This Row],[h_id]]))</f>
        <v>1</v>
      </c>
      <c r="Y188" s="274">
        <f>IF(Table1[Item Description]="","",Table1[[#This Row],[Qty]]*Table1[[#This Row],[Unit Price]])</f>
        <v>3909600</v>
      </c>
      <c r="Z188" s="274">
        <f>IF(Table1[[#This Row],[h_hargasebelumdiskon]]="","",IF(Table1[[#This Row],[Disc 1]]="",0,Table1[[#This Row],[h_hargasebelumdiskon]]*Table1[[#This Row],[Disc 1]]))</f>
        <v>488700</v>
      </c>
      <c r="AA188" s="274">
        <f>IF(Table1[[#This Row],[h_hargasebelumdiskon]]="","",IF(Table1[[#This Row],[Disc 2]]="",0,(Table1[[#This Row],[h_hargasebelumdiskon]]-Table1[[#This Row],[h_disc 1]])*Table1[[#This Row],[Disc 2]]))</f>
        <v>0</v>
      </c>
      <c r="AB188" s="274">
        <f>IF(Table1[Item Description]="","",Table1[[#This Row],[h_disc 1]]+Table1[[#This Row],[h_disc 2]])</f>
        <v>488700</v>
      </c>
      <c r="AC188" s="274">
        <f>IF(Table1[Item Description]="","",Table1[[#This Row],[h_hargasebelumdiskon]]-Table1[[#This Row],[h_diskon]])</f>
        <v>3420900</v>
      </c>
      <c r="AD188" s="274">
        <f ca="1">IF(Table1[//]="","",SUMIF(Table1[h_id],Table1[h_id],Table1[h_hargasetelahdiskon]))</f>
        <v>3420900</v>
      </c>
      <c r="AF188" s="274" t="str">
        <f>Table1[[#This Row],[Item Description]]&amp;Table1[[#This Row],[Unit]]&amp;Table1[[#This Row],[Unit Price]]</f>
        <v>CORRECTION FLUID KENKO KE-01LSN54300</v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>
        <f ca="1">IF(Table1[[#This Row],[No. Invoice :]]="","",ROW())</f>
        <v>190</v>
      </c>
      <c r="B190" s="278">
        <f ca="1">IF(Table1[Column3]="","",B$1+COUNT(INDIRECT("B$2:B"&amp;ROW()-1)))</f>
        <v>24010034</v>
      </c>
      <c r="C190" s="272">
        <f>IF(Table1[[#This Row],[Column2]]="","",Table1[[#This Row],[Column2]]+C$1-1)</f>
        <v>45313</v>
      </c>
      <c r="D190" s="282">
        <v>22</v>
      </c>
      <c r="E190" s="273" t="s">
        <v>459</v>
      </c>
      <c r="F190" s="271" t="s">
        <v>89</v>
      </c>
      <c r="G190" s="278" t="str">
        <f ca="1">IF(Table1[[#This Row],[h_No. Invoice :]]="","",CONCATENATE("AM"," ",Table1[[#This Row],[h_No. Invoice :]]))</f>
        <v>AM 24010034</v>
      </c>
      <c r="H190" s="271" t="str">
        <f>IF(Table1[[#This Row],[Column5]]="","",INDEX(Table2[Column1],MATCH(Table1[[#This Row],[Column5]],Table2[a],0)))</f>
        <v>G</v>
      </c>
      <c r="I190" s="279" t="str">
        <f>IF(Table1[[#This Row],[Column3]]=0,"",CONCATENATE(UPPER(Table1[[#This Row],[Column3]])," ",Table1[[#This Row],[Column4]]))</f>
        <v>G 0968</v>
      </c>
      <c r="J190" s="278" t="str">
        <f>IF(Table1[[#This Row],[Column5]]="","",INDEX(Table2[e],IF(Table1[[#This Row],[Column5]]="","",MATCH(Table1[[#This Row],[Column5]],Table2[a],0)),))</f>
        <v>CV UTAMA PUTRA TULUNG AGUNG</v>
      </c>
      <c r="K190" s="271">
        <v>60</v>
      </c>
      <c r="L190" s="271" t="s">
        <v>137</v>
      </c>
      <c r="M190" s="271">
        <v>1</v>
      </c>
      <c r="N190" s="271" t="s">
        <v>327</v>
      </c>
      <c r="O190" s="278" t="str">
        <f>IF(Table1[[#This Row],[h_Item Description]]="","",INDEX([1]!db[NB PAJAK],MATCH(Table1[[#This Row],[h_Item Description]],[1]!db[kode],0)))</f>
        <v>ISI CUTTER 18 MM KENKO L-150 (BESAR)</v>
      </c>
      <c r="P190" s="271" t="s">
        <v>328</v>
      </c>
      <c r="Q190" s="274">
        <v>64800</v>
      </c>
      <c r="R190" s="275">
        <v>0.125</v>
      </c>
      <c r="S190" s="275"/>
      <c r="T190" s="274">
        <f>Table1[[#This Row],[h_hargasetelahdiskon]]</f>
        <v>3402000</v>
      </c>
      <c r="U190" s="274" t="s">
        <v>130</v>
      </c>
      <c r="V190" s="271"/>
      <c r="W190" s="278">
        <f ca="1">IF(Table1[[#This Row],[Item Description]]="","",IF(Table1[[#This Row],[//]]="",INDIRECT(ADDRESS(ROW()-1,COLUMN())),Table1[[#This Row],[//]]))</f>
        <v>190</v>
      </c>
      <c r="X190" s="278">
        <f ca="1">IF(Table1[[#This Row],[h_id]]="","",COUNTIF(Table1[h_id],Table1[[#This Row],[h_id]]))</f>
        <v>2</v>
      </c>
      <c r="Y190" s="274">
        <f>IF(Table1[Item Description]="","",Table1[[#This Row],[Qty]]*Table1[[#This Row],[Unit Price]])</f>
        <v>3888000</v>
      </c>
      <c r="Z190" s="274">
        <f>IF(Table1[[#This Row],[h_hargasebelumdiskon]]="","",IF(Table1[[#This Row],[Disc 1]]="",0,Table1[[#This Row],[h_hargasebelumdiskon]]*Table1[[#This Row],[Disc 1]]))</f>
        <v>486000</v>
      </c>
      <c r="AA190" s="274">
        <f>IF(Table1[[#This Row],[h_hargasebelumdiskon]]="","",IF(Table1[[#This Row],[Disc 2]]="",0,(Table1[[#This Row],[h_hargasebelumdiskon]]-Table1[[#This Row],[h_disc 1]])*Table1[[#This Row],[Disc 2]]))</f>
        <v>0</v>
      </c>
      <c r="AB190" s="274">
        <f>IF(Table1[Item Description]="","",Table1[[#This Row],[h_disc 1]]+Table1[[#This Row],[h_disc 2]])</f>
        <v>486000</v>
      </c>
      <c r="AC190" s="274">
        <f>IF(Table1[Item Description]="","",Table1[[#This Row],[h_hargasebelumdiskon]]-Table1[[#This Row],[h_diskon]])</f>
        <v>3402000</v>
      </c>
      <c r="AD190" s="274">
        <f ca="1">IF(Table1[//]="","",SUMIF(Table1[h_id],Table1[h_id],Table1[h_hargasetelahdiskon]))</f>
        <v>5562000</v>
      </c>
      <c r="AF190" s="274" t="str">
        <f>Table1[[#This Row],[Item Description]]&amp;Table1[[#This Row],[Unit]]&amp;Table1[[#This Row],[Unit Price]]</f>
        <v>ISI CUTTER 18 MM KENKO L-150 (BESAR)LSN64800</v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>
        <v>96</v>
      </c>
      <c r="L191" s="271" t="s">
        <v>150</v>
      </c>
      <c r="M191" s="271">
        <v>1</v>
      </c>
      <c r="O191" s="278" t="str">
        <f>IF(Table1[[#This Row],[h_Item Description]]="","",INDEX([1]!db[NB PAJAK],MATCH(Table1[[#This Row],[h_Item Description]],[1]!db[kode],0)))</f>
        <v/>
      </c>
      <c r="P191" s="271" t="s">
        <v>460</v>
      </c>
      <c r="Q191" s="274">
        <v>22500</v>
      </c>
      <c r="R191" s="275"/>
      <c r="S191" s="275"/>
      <c r="T191" s="274">
        <f>Table1[[#This Row],[h_hargasetelahdiskon]]</f>
        <v>2160000</v>
      </c>
      <c r="V191" s="271"/>
      <c r="W191" s="278">
        <f ca="1">IF(Table1[[#This Row],[Item Description]]="","",IF(Table1[[#This Row],[//]]="",INDIRECT(ADDRESS(ROW()-1,COLUMN())),Table1[[#This Row],[//]]))</f>
        <v>190</v>
      </c>
      <c r="X191" s="278">
        <f ca="1">IF(Table1[[#This Row],[h_id]]="","",COUNTIF(Table1[h_id],Table1[[#This Row],[h_id]]))</f>
        <v>2</v>
      </c>
      <c r="Y191" s="274">
        <f>IF(Table1[Item Description]="","",Table1[[#This Row],[Qty]]*Table1[[#This Row],[Unit Price]])</f>
        <v>2160000</v>
      </c>
      <c r="Z191" s="274">
        <f>IF(Table1[[#This Row],[h_hargasebelumdiskon]]="","",IF(Table1[[#This Row],[Disc 1]]="",0,Table1[[#This Row],[h_hargasebelumdiskon]]*Table1[[#This Row],[Disc 1]]))</f>
        <v>0</v>
      </c>
      <c r="AA191" s="274">
        <f>IF(Table1[[#This Row],[h_hargasebelumdiskon]]="","",IF(Table1[[#This Row],[Disc 2]]="",0,(Table1[[#This Row],[h_hargasebelumdiskon]]-Table1[[#This Row],[h_disc 1]])*Table1[[#This Row],[Disc 2]]))</f>
        <v>0</v>
      </c>
      <c r="AB191" s="274">
        <f>IF(Table1[Item Description]="","",Table1[[#This Row],[h_disc 1]]+Table1[[#This Row],[h_disc 2]])</f>
        <v>0</v>
      </c>
      <c r="AC191" s="274">
        <f>IF(Table1[Item Description]="","",Table1[[#This Row],[h_hargasebelumdiskon]]-Table1[[#This Row],[h_diskon]])</f>
        <v>2160000</v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>BINDER NOTE FPHY001-A5-60PCS22500</v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>
        <f ca="1">IF(Table1[[#This Row],[No. Invoice :]]="","",ROW())</f>
        <v>193</v>
      </c>
      <c r="B193" s="278">
        <f ca="1">IF(Table1[Column3]="","",B$1+COUNT(INDIRECT("B$2:B"&amp;ROW()-1)))</f>
        <v>24010035</v>
      </c>
      <c r="C193" s="272">
        <f>IF(Table1[[#This Row],[Column2]]="","",Table1[[#This Row],[Column2]]+C$1-1)</f>
        <v>45313</v>
      </c>
      <c r="D193" s="282">
        <v>22</v>
      </c>
      <c r="E193" s="273" t="s">
        <v>461</v>
      </c>
      <c r="F193" s="271" t="s">
        <v>38</v>
      </c>
      <c r="G193" s="278" t="str">
        <f ca="1">IF(Table1[[#This Row],[h_No. Invoice :]]="","",CONCATENATE("AM"," ",Table1[[#This Row],[h_No. Invoice :]]))</f>
        <v>AM 24010035</v>
      </c>
      <c r="H193" s="271" t="str">
        <f>IF(Table1[[#This Row],[Column5]]="","",INDEX(Table2[Column1],MATCH(Table1[[#This Row],[Column5]],Table2[a],0)))</f>
        <v>KO</v>
      </c>
      <c r="I193" s="279" t="str">
        <f>IF(Table1[[#This Row],[Column3]]=0,"",CONCATENATE(UPPER(Table1[[#This Row],[Column3]])," ",Table1[[#This Row],[Column4]]))</f>
        <v>KO 0975</v>
      </c>
      <c r="J193" s="278" t="str">
        <f>IF(Table1[[#This Row],[Column5]]="","",INDEX(Table2[e],IF(Table1[[#This Row],[Column5]]="","",MATCH(Table1[[#This Row],[Column5]],Table2[a],0)),))</f>
        <v>CV DWI JAYA YOGYAKARTA</v>
      </c>
      <c r="K193" s="271">
        <v>30</v>
      </c>
      <c r="L193" s="271" t="s">
        <v>244</v>
      </c>
      <c r="M193" s="271">
        <v>1</v>
      </c>
      <c r="N193" s="271" t="s">
        <v>462</v>
      </c>
      <c r="O193" s="278" t="str">
        <f>IF(Table1[[#This Row],[h_Item Description]]="","",INDEX([1]!db[NB PAJAK],MATCH(Table1[[#This Row],[h_Item Description]],[1]!db[kode],0)))</f>
        <v>BINDER CLIP JOYKO 111</v>
      </c>
      <c r="P193" s="271" t="s">
        <v>464</v>
      </c>
      <c r="Q193" s="274">
        <v>48600</v>
      </c>
      <c r="R193" s="275">
        <v>0.1</v>
      </c>
      <c r="S193" s="275"/>
      <c r="T193" s="274">
        <f>Table1[[#This Row],[h_hargasetelahdiskon]]</f>
        <v>1312200</v>
      </c>
      <c r="U193" s="274" t="s">
        <v>130</v>
      </c>
      <c r="V193" s="271"/>
      <c r="W193" s="278">
        <f ca="1">IF(Table1[[#This Row],[Item Description]]="","",IF(Table1[[#This Row],[//]]="",INDIRECT(ADDRESS(ROW()-1,COLUMN())),Table1[[#This Row],[//]]))</f>
        <v>193</v>
      </c>
      <c r="X193" s="278">
        <f ca="1">IF(Table1[[#This Row],[h_id]]="","",COUNTIF(Table1[h_id],Table1[[#This Row],[h_id]]))</f>
        <v>2</v>
      </c>
      <c r="Y193" s="274">
        <f>IF(Table1[Item Description]="","",Table1[[#This Row],[Qty]]*Table1[[#This Row],[Unit Price]])</f>
        <v>1458000</v>
      </c>
      <c r="Z193" s="274">
        <f>IF(Table1[[#This Row],[h_hargasebelumdiskon]]="","",IF(Table1[[#This Row],[Disc 1]]="",0,Table1[[#This Row],[h_hargasebelumdiskon]]*Table1[[#This Row],[Disc 1]]))</f>
        <v>145800</v>
      </c>
      <c r="AA193" s="274">
        <f>IF(Table1[[#This Row],[h_hargasebelumdiskon]]="","",IF(Table1[[#This Row],[Disc 2]]="",0,(Table1[[#This Row],[h_hargasebelumdiskon]]-Table1[[#This Row],[h_disc 1]])*Table1[[#This Row],[Disc 2]]))</f>
        <v>0</v>
      </c>
      <c r="AB193" s="274">
        <f>IF(Table1[Item Description]="","",Table1[[#This Row],[h_disc 1]]+Table1[[#This Row],[h_disc 2]])</f>
        <v>145800</v>
      </c>
      <c r="AC193" s="274">
        <f>IF(Table1[Item Description]="","",Table1[[#This Row],[h_hargasebelumdiskon]]-Table1[[#This Row],[h_diskon]])</f>
        <v>1312200</v>
      </c>
      <c r="AD193" s="274">
        <f ca="1">IF(Table1[//]="","",SUMIF(Table1[h_id],Table1[h_id],Table1[h_hargasetelahdiskon]))</f>
        <v>2104200</v>
      </c>
      <c r="AF193" s="274" t="str">
        <f>Table1[[#This Row],[Item Description]]&amp;Table1[[#This Row],[Unit]]&amp;Table1[[#This Row],[Unit Price]]</f>
        <v>BINDER CLIP JOYKO 111GRS48600</v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>
        <v>200</v>
      </c>
      <c r="L194" s="271" t="s">
        <v>150</v>
      </c>
      <c r="M194" s="271">
        <v>1</v>
      </c>
      <c r="N194" s="271" t="s">
        <v>463</v>
      </c>
      <c r="O194" s="278" t="str">
        <f>IF(Table1[[#This Row],[h_Item Description]]="","",INDEX([1]!db[NB PAJAK],MATCH(Table1[[#This Row],[h_Item Description]],[1]!db[kode],0)))</f>
        <v>PAPER JUMBO CLIP JOYKO NO. 5</v>
      </c>
      <c r="P194" s="271" t="s">
        <v>465</v>
      </c>
      <c r="Q194" s="274">
        <v>4400</v>
      </c>
      <c r="R194" s="275">
        <v>0.1</v>
      </c>
      <c r="S194" s="275"/>
      <c r="T194" s="274">
        <f>Table1[[#This Row],[h_hargasetelahdiskon]]</f>
        <v>792000</v>
      </c>
      <c r="V194" s="271"/>
      <c r="W194" s="278">
        <f ca="1">IF(Table1[[#This Row],[Item Description]]="","",IF(Table1[[#This Row],[//]]="",INDIRECT(ADDRESS(ROW()-1,COLUMN())),Table1[[#This Row],[//]]))</f>
        <v>193</v>
      </c>
      <c r="X194" s="278">
        <f ca="1">IF(Table1[[#This Row],[h_id]]="","",COUNTIF(Table1[h_id],Table1[[#This Row],[h_id]]))</f>
        <v>2</v>
      </c>
      <c r="Y194" s="274">
        <f>IF(Table1[Item Description]="","",Table1[[#This Row],[Qty]]*Table1[[#This Row],[Unit Price]])</f>
        <v>880000</v>
      </c>
      <c r="Z194" s="274">
        <f>IF(Table1[[#This Row],[h_hargasebelumdiskon]]="","",IF(Table1[[#This Row],[Disc 1]]="",0,Table1[[#This Row],[h_hargasebelumdiskon]]*Table1[[#This Row],[Disc 1]]))</f>
        <v>88000</v>
      </c>
      <c r="AA194" s="274">
        <f>IF(Table1[[#This Row],[h_hargasebelumdiskon]]="","",IF(Table1[[#This Row],[Disc 2]]="",0,(Table1[[#This Row],[h_hargasebelumdiskon]]-Table1[[#This Row],[h_disc 1]])*Table1[[#This Row],[Disc 2]]))</f>
        <v>0</v>
      </c>
      <c r="AB194" s="274">
        <f>IF(Table1[Item Description]="","",Table1[[#This Row],[h_disc 1]]+Table1[[#This Row],[h_disc 2]])</f>
        <v>88000</v>
      </c>
      <c r="AC194" s="274">
        <f>IF(Table1[Item Description]="","",Table1[[#This Row],[h_hargasebelumdiskon]]-Table1[[#This Row],[h_diskon]])</f>
        <v>792000</v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>PAPER JUMBO CLIP JOYKO NO. 5PCS4400</v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>
        <f ca="1">IF(Table1[[#This Row],[No. Invoice :]]="","",ROW())</f>
        <v>196</v>
      </c>
      <c r="B196" s="278">
        <f ca="1">IF(Table1[Column3]="","",B$1+COUNT(INDIRECT("B$2:B"&amp;ROW()-1)))</f>
        <v>24010036</v>
      </c>
      <c r="C196" s="272">
        <f>IF(Table1[[#This Row],[Column2]]="","",Table1[[#This Row],[Column2]]+C$1-1)</f>
        <v>45315</v>
      </c>
      <c r="D196" s="282">
        <v>24</v>
      </c>
      <c r="E196" s="273" t="s">
        <v>506</v>
      </c>
      <c r="F196" s="271" t="s">
        <v>192</v>
      </c>
      <c r="G196" s="278" t="str">
        <f ca="1">IF(Table1[[#This Row],[h_No. Invoice :]]="","",CONCATENATE("AM"," ",Table1[[#This Row],[h_No. Invoice :]]))</f>
        <v>AM 24010036</v>
      </c>
      <c r="H196" s="271" t="str">
        <f>IF(Table1[[#This Row],[Column5]]="","",INDEX(Table2[Column1],MATCH(Table1[[#This Row],[Column5]],Table2[a],0)))</f>
        <v>KO</v>
      </c>
      <c r="I196" s="279" t="str">
        <f>IF(Table1[[#This Row],[Column3]]=0,"",CONCATENATE(UPPER(Table1[[#This Row],[Column3]])," ",Table1[[#This Row],[Column4]]))</f>
        <v>KO 0989</v>
      </c>
      <c r="J196" s="278" t="str">
        <f>IF(Table1[[#This Row],[Column5]]="","",INDEX(Table2[e],IF(Table1[[#This Row],[Column5]]="","",MATCH(Table1[[#This Row],[Column5]],Table2[a],0)),))</f>
        <v>CV PELITA JAYA (ANUGERAH SEJAHTERA) PURWOKERTO</v>
      </c>
      <c r="K196" s="271">
        <v>144</v>
      </c>
      <c r="L196" s="271" t="s">
        <v>137</v>
      </c>
      <c r="N196" s="271" t="s">
        <v>185</v>
      </c>
      <c r="O196" s="278" t="str">
        <f>IF(Table1[[#This Row],[h_Item Description]]="","",INDEX([1]!db[NB PAJAK],MATCH(Table1[[#This Row],[h_Item Description]],[1]!db[kode],0)))</f>
        <v>GEL PEN KENKO KE-303 T-GEL TRIANGULAR</v>
      </c>
      <c r="P196" s="278" t="s">
        <v>186</v>
      </c>
      <c r="Q196" s="274">
        <v>21600</v>
      </c>
      <c r="R196" s="275">
        <v>0.13500000000000001</v>
      </c>
      <c r="S196" s="275"/>
      <c r="T196" s="274">
        <f>Table1[[#This Row],[h_hargasetelahdiskon]]</f>
        <v>2690496</v>
      </c>
      <c r="U196" s="274" t="s">
        <v>311</v>
      </c>
      <c r="V196" s="271"/>
      <c r="W196" s="278">
        <f ca="1">IF(Table1[[#This Row],[Item Description]]="","",IF(Table1[[#This Row],[//]]="",INDIRECT(ADDRESS(ROW()-1,COLUMN())),Table1[[#This Row],[//]]))</f>
        <v>196</v>
      </c>
      <c r="X196" s="278">
        <f ca="1">IF(Table1[[#This Row],[h_id]]="","",COUNTIF(Table1[h_id],Table1[[#This Row],[h_id]]))</f>
        <v>2</v>
      </c>
      <c r="Y196" s="274">
        <f>IF(Table1[Item Description]="","",Table1[[#This Row],[Qty]]*Table1[[#This Row],[Unit Price]])</f>
        <v>3110400</v>
      </c>
      <c r="Z196" s="274">
        <f>IF(Table1[[#This Row],[h_hargasebelumdiskon]]="","",IF(Table1[[#This Row],[Disc 1]]="",0,Table1[[#This Row],[h_hargasebelumdiskon]]*Table1[[#This Row],[Disc 1]]))</f>
        <v>419904</v>
      </c>
      <c r="AA196" s="274">
        <f>IF(Table1[[#This Row],[h_hargasebelumdiskon]]="","",IF(Table1[[#This Row],[Disc 2]]="",0,(Table1[[#This Row],[h_hargasebelumdiskon]]-Table1[[#This Row],[h_disc 1]])*Table1[[#This Row],[Disc 2]]))</f>
        <v>0</v>
      </c>
      <c r="AB196" s="274">
        <f>IF(Table1[Item Description]="","",Table1[[#This Row],[h_disc 1]]+Table1[[#This Row],[h_disc 2]])</f>
        <v>419904</v>
      </c>
      <c r="AC196" s="274">
        <f>IF(Table1[Item Description]="","",Table1[[#This Row],[h_hargasebelumdiskon]]-Table1[[#This Row],[h_diskon]])</f>
        <v>2690496</v>
      </c>
      <c r="AD196" s="274">
        <f ca="1">IF(Table1[//]="","",SUMIF(Table1[h_id],Table1[h_id],Table1[h_hargasetelahdiskon]))</f>
        <v>5119416</v>
      </c>
      <c r="AF196" s="274" t="str">
        <f>Table1[[#This Row],[Item Description]]&amp;Table1[[#This Row],[Unit]]&amp;Table1[[#This Row],[Unit Price]]</f>
        <v>GEL PEN KENKO KE-303 T-GEL TRIANGULARLSN21600</v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>
        <v>72</v>
      </c>
      <c r="L197" s="271" t="s">
        <v>137</v>
      </c>
      <c r="N197" s="271" t="s">
        <v>507</v>
      </c>
      <c r="O197" s="278" t="e">
        <f>IF(Table1[[#This Row],[h_Item Description]]="","",INDEX([1]!db[NB PAJAK],MATCH(Table1[[#This Row],[h_Item Description]],[1]!db[kode],0)))</f>
        <v>#N/A</v>
      </c>
      <c r="P197" s="271" t="s">
        <v>508</v>
      </c>
      <c r="Q197" s="274">
        <v>39000</v>
      </c>
      <c r="R197" s="275">
        <v>0.13500000000000001</v>
      </c>
      <c r="S197" s="275"/>
      <c r="T197" s="274">
        <f>Table1[[#This Row],[h_hargasetelahdiskon]]</f>
        <v>2428920</v>
      </c>
      <c r="V197" s="271"/>
      <c r="W197" s="278">
        <f ca="1">IF(Table1[[#This Row],[Item Description]]="","",IF(Table1[[#This Row],[//]]="",INDIRECT(ADDRESS(ROW()-1,COLUMN())),Table1[[#This Row],[//]]))</f>
        <v>196</v>
      </c>
      <c r="X197" s="278">
        <f ca="1">IF(Table1[[#This Row],[h_id]]="","",COUNTIF(Table1[h_id],Table1[[#This Row],[h_id]]))</f>
        <v>2</v>
      </c>
      <c r="Y197" s="274">
        <f>IF(Table1[Item Description]="","",Table1[[#This Row],[Qty]]*Table1[[#This Row],[Unit Price]])</f>
        <v>2808000</v>
      </c>
      <c r="Z197" s="274">
        <f>IF(Table1[[#This Row],[h_hargasebelumdiskon]]="","",IF(Table1[[#This Row],[Disc 1]]="",0,Table1[[#This Row],[h_hargasebelumdiskon]]*Table1[[#This Row],[Disc 1]]))</f>
        <v>379080</v>
      </c>
      <c r="AA197" s="274">
        <f>IF(Table1[[#This Row],[h_hargasebelumdiskon]]="","",IF(Table1[[#This Row],[Disc 2]]="",0,(Table1[[#This Row],[h_hargasebelumdiskon]]-Table1[[#This Row],[h_disc 1]])*Table1[[#This Row],[Disc 2]]))</f>
        <v>0</v>
      </c>
      <c r="AB197" s="274">
        <f>IF(Table1[Item Description]="","",Table1[[#This Row],[h_disc 1]]+Table1[[#This Row],[h_disc 2]])</f>
        <v>379080</v>
      </c>
      <c r="AC197" s="274">
        <f>IF(Table1[Item Description]="","",Table1[[#This Row],[h_hargasebelumdiskon]]-Table1[[#This Row],[h_diskon]])</f>
        <v>2428920</v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>GEL PEN KENKO KS-97 SIGN PENLSN39000</v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>
        <f ca="1">IF(Table1[[#This Row],[No. Invoice :]]="","",ROW())</f>
        <v>200</v>
      </c>
      <c r="B200" s="278">
        <f ca="1">IF(Table1[Column3]="","",B$1+COUNT(INDIRECT("B$2:B"&amp;ROW()-1)))</f>
        <v>24010037</v>
      </c>
      <c r="C200" s="272">
        <f>IF(Table1[[#This Row],[Column2]]="","",Table1[[#This Row],[Column2]]+C$1-1)</f>
        <v>45315</v>
      </c>
      <c r="D200" s="282">
        <v>24</v>
      </c>
      <c r="E200" s="273" t="s">
        <v>466</v>
      </c>
      <c r="F200" s="271" t="s">
        <v>467</v>
      </c>
      <c r="G200" s="278" t="str">
        <f ca="1">IF(Table1[[#This Row],[h_No. Invoice :]]="","",CONCATENATE("AM"," ",Table1[[#This Row],[h_No. Invoice :]]))</f>
        <v>AM 24010037</v>
      </c>
      <c r="H200" s="271" t="str">
        <f>IF(Table1[[#This Row],[Column5]]="","",INDEX(Table2[Column1],MATCH(Table1[[#This Row],[Column5]],Table2[a],0)))</f>
        <v>KO</v>
      </c>
      <c r="I200" s="279" t="str">
        <f>IF(Table1[[#This Row],[Column3]]=0,"",CONCATENATE(UPPER(Table1[[#This Row],[Column3]])," ",Table1[[#This Row],[Column4]]))</f>
        <v>KO 0995</v>
      </c>
      <c r="J200" s="278" t="str">
        <f>IF(Table1[[#This Row],[Column5]]="","",INDEX(Table2[e],IF(Table1[[#This Row],[Column5]]="","",MATCH(Table1[[#This Row],[Column5]],Table2[a],0)),))</f>
        <v>CV SINAR CAHAYA NIRMALA BREBES</v>
      </c>
      <c r="K200" s="271">
        <v>3</v>
      </c>
      <c r="L200" s="271" t="s">
        <v>137</v>
      </c>
      <c r="N200" s="271" t="s">
        <v>468</v>
      </c>
      <c r="O200" s="278" t="str">
        <f>IF(Table1[[#This Row],[h_Item Description]]="","",INDEX([1]!db[NB PAJAK],MATCH(Table1[[#This Row],[h_Item Description]],[1]!db[kode],0)))</f>
        <v>GEL PEN JOYKO GP-265 Q-GEL</v>
      </c>
      <c r="P200" s="271" t="s">
        <v>199</v>
      </c>
      <c r="Q200" s="274">
        <v>28200</v>
      </c>
      <c r="R200" s="275">
        <v>0.1</v>
      </c>
      <c r="S200" s="275"/>
      <c r="T200" s="274">
        <f>Table1[[#This Row],[h_hargasetelahdiskon]]</f>
        <v>76140</v>
      </c>
      <c r="U200" s="274" t="s">
        <v>130</v>
      </c>
      <c r="V200" s="271"/>
      <c r="W200" s="278">
        <f ca="1">IF(Table1[[#This Row],[Item Description]]="","",IF(Table1[[#This Row],[//]]="",INDIRECT(ADDRESS(ROW()-1,COLUMN())),Table1[[#This Row],[//]]))</f>
        <v>200</v>
      </c>
      <c r="X200" s="278">
        <f ca="1">IF(Table1[[#This Row],[h_id]]="","",COUNTIF(Table1[h_id],Table1[[#This Row],[h_id]]))</f>
        <v>13</v>
      </c>
      <c r="Y200" s="274">
        <f>IF(Table1[Item Description]="","",Table1[[#This Row],[Qty]]*Table1[[#This Row],[Unit Price]])</f>
        <v>84600</v>
      </c>
      <c r="Z200" s="274">
        <f>IF(Table1[[#This Row],[h_hargasebelumdiskon]]="","",IF(Table1[[#This Row],[Disc 1]]="",0,Table1[[#This Row],[h_hargasebelumdiskon]]*Table1[[#This Row],[Disc 1]]))</f>
        <v>8460</v>
      </c>
      <c r="AA200" s="274">
        <f>IF(Table1[[#This Row],[h_hargasebelumdiskon]]="","",IF(Table1[[#This Row],[Disc 2]]="",0,(Table1[[#This Row],[h_hargasebelumdiskon]]-Table1[[#This Row],[h_disc 1]])*Table1[[#This Row],[Disc 2]]))</f>
        <v>0</v>
      </c>
      <c r="AB200" s="274">
        <f>IF(Table1[Item Description]="","",Table1[[#This Row],[h_disc 1]]+Table1[[#This Row],[h_disc 2]])</f>
        <v>8460</v>
      </c>
      <c r="AC200" s="274">
        <f>IF(Table1[Item Description]="","",Table1[[#This Row],[h_hargasebelumdiskon]]-Table1[[#This Row],[h_diskon]])</f>
        <v>76140</v>
      </c>
      <c r="AD200" s="274">
        <f ca="1">IF(Table1[//]="","",SUMIF(Table1[h_id],Table1[h_id],Table1[h_hargasetelahdiskon]))</f>
        <v>1394375</v>
      </c>
      <c r="AF200" s="274" t="str">
        <f>Table1[[#This Row],[Item Description]]&amp;Table1[[#This Row],[Unit]]&amp;Table1[[#This Row],[Unit Price]]</f>
        <v>GEL PEN JOYKO GP-265 Q-GELLSN28200</v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>
        <v>3</v>
      </c>
      <c r="L201" s="271" t="s">
        <v>137</v>
      </c>
      <c r="N201" s="271" t="s">
        <v>469</v>
      </c>
      <c r="O201" s="278" t="str">
        <f>IF(Table1[[#This Row],[h_Item Description]]="","",INDEX([1]!db[NB PAJAK],MATCH(Table1[[#This Row],[h_Item Description]],[1]!db[kode],0)))</f>
        <v>GEL PEN JOYKO GP-266 ITECH HITAM</v>
      </c>
      <c r="P201" s="271" t="s">
        <v>470</v>
      </c>
      <c r="Q201" s="274">
        <v>27600</v>
      </c>
      <c r="R201" s="275">
        <v>0.1</v>
      </c>
      <c r="S201" s="275"/>
      <c r="T201" s="274">
        <f>Table1[[#This Row],[h_hargasetelahdiskon]]</f>
        <v>74520</v>
      </c>
      <c r="V201" s="271"/>
      <c r="W201" s="278">
        <f ca="1">IF(Table1[[#This Row],[Item Description]]="","",IF(Table1[[#This Row],[//]]="",INDIRECT(ADDRESS(ROW()-1,COLUMN())),Table1[[#This Row],[//]]))</f>
        <v>200</v>
      </c>
      <c r="X201" s="278">
        <f ca="1">IF(Table1[[#This Row],[h_id]]="","",COUNTIF(Table1[h_id],Table1[[#This Row],[h_id]]))</f>
        <v>13</v>
      </c>
      <c r="Y201" s="274">
        <f>IF(Table1[Item Description]="","",Table1[[#This Row],[Qty]]*Table1[[#This Row],[Unit Price]])</f>
        <v>82800</v>
      </c>
      <c r="Z201" s="274">
        <f>IF(Table1[[#This Row],[h_hargasebelumdiskon]]="","",IF(Table1[[#This Row],[Disc 1]]="",0,Table1[[#This Row],[h_hargasebelumdiskon]]*Table1[[#This Row],[Disc 1]]))</f>
        <v>8280</v>
      </c>
      <c r="AA201" s="274">
        <f>IF(Table1[[#This Row],[h_hargasebelumdiskon]]="","",IF(Table1[[#This Row],[Disc 2]]="",0,(Table1[[#This Row],[h_hargasebelumdiskon]]-Table1[[#This Row],[h_disc 1]])*Table1[[#This Row],[Disc 2]]))</f>
        <v>0</v>
      </c>
      <c r="AB201" s="274">
        <f>IF(Table1[Item Description]="","",Table1[[#This Row],[h_disc 1]]+Table1[[#This Row],[h_disc 2]])</f>
        <v>8280</v>
      </c>
      <c r="AC201" s="274">
        <f>IF(Table1[Item Description]="","",Table1[[#This Row],[h_hargasebelumdiskon]]-Table1[[#This Row],[h_diskon]])</f>
        <v>74520</v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>GEL PEN JOYKO GP-266 ITECHLSN27600</v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>
        <v>1</v>
      </c>
      <c r="L202" s="271" t="s">
        <v>137</v>
      </c>
      <c r="N202" s="271" t="s">
        <v>266</v>
      </c>
      <c r="O202" s="278" t="str">
        <f>IF(Table1[[#This Row],[h_Item Description]]="","",INDEX([1]!db[NB PAJAK],MATCH(Table1[[#This Row],[h_Item Description]],[1]!db[kode],0)))</f>
        <v>CORRECTION TAPE KENKO CT-902 (12M x 5MM)</v>
      </c>
      <c r="P202" s="271" t="s">
        <v>271</v>
      </c>
      <c r="Q202" s="274">
        <v>60000</v>
      </c>
      <c r="R202" s="275">
        <v>0.1</v>
      </c>
      <c r="S202" s="275"/>
      <c r="T202" s="274">
        <f>Table1[[#This Row],[h_hargasetelahdiskon]]</f>
        <v>54000</v>
      </c>
      <c r="V202" s="271"/>
      <c r="W202" s="278">
        <f ca="1">IF(Table1[[#This Row],[Item Description]]="","",IF(Table1[[#This Row],[//]]="",INDIRECT(ADDRESS(ROW()-1,COLUMN())),Table1[[#This Row],[//]]))</f>
        <v>200</v>
      </c>
      <c r="X202" s="278">
        <f ca="1">IF(Table1[[#This Row],[h_id]]="","",COUNTIF(Table1[h_id],Table1[[#This Row],[h_id]]))</f>
        <v>13</v>
      </c>
      <c r="Y202" s="274">
        <f>IF(Table1[Item Description]="","",Table1[[#This Row],[Qty]]*Table1[[#This Row],[Unit Price]])</f>
        <v>60000</v>
      </c>
      <c r="Z202" s="274">
        <f>IF(Table1[[#This Row],[h_hargasebelumdiskon]]="","",IF(Table1[[#This Row],[Disc 1]]="",0,Table1[[#This Row],[h_hargasebelumdiskon]]*Table1[[#This Row],[Disc 1]]))</f>
        <v>6000</v>
      </c>
      <c r="AA202" s="274">
        <f>IF(Table1[[#This Row],[h_hargasebelumdiskon]]="","",IF(Table1[[#This Row],[Disc 2]]="",0,(Table1[[#This Row],[h_hargasebelumdiskon]]-Table1[[#This Row],[h_disc 1]])*Table1[[#This Row],[Disc 2]]))</f>
        <v>0</v>
      </c>
      <c r="AB202" s="274">
        <f>IF(Table1[Item Description]="","",Table1[[#This Row],[h_disc 1]]+Table1[[#This Row],[h_disc 2]])</f>
        <v>6000</v>
      </c>
      <c r="AC202" s="274">
        <f>IF(Table1[Item Description]="","",Table1[[#This Row],[h_hargasebelumdiskon]]-Table1[[#This Row],[h_diskon]])</f>
        <v>54000</v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>CORRECTION TAPE KENKO CT-902 (12M x 5MM)LSN60000</v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>
        <v>1</v>
      </c>
      <c r="L203" s="271" t="s">
        <v>136</v>
      </c>
      <c r="N203" s="271" t="s">
        <v>471</v>
      </c>
      <c r="O203" s="278" t="str">
        <f>IF(Table1[[#This Row],[h_Item Description]]="","",INDEX([1]!db[NB PAJAK],MATCH(Table1[[#This Row],[h_Item Description]],[1]!db[kode],0)))</f>
        <v>GARISAN SET PVC HZ-5012</v>
      </c>
      <c r="P203" s="271" t="s">
        <v>472</v>
      </c>
      <c r="Q203" s="274">
        <v>180000</v>
      </c>
      <c r="R203" s="275"/>
      <c r="S203" s="275"/>
      <c r="T203" s="274">
        <f>Table1[[#This Row],[h_hargasetelahdiskon]]</f>
        <v>180000</v>
      </c>
      <c r="V203" s="271"/>
      <c r="W203" s="278">
        <f ca="1">IF(Table1[[#This Row],[Item Description]]="","",IF(Table1[[#This Row],[//]]="",INDIRECT(ADDRESS(ROW()-1,COLUMN())),Table1[[#This Row],[//]]))</f>
        <v>200</v>
      </c>
      <c r="X203" s="278">
        <f ca="1">IF(Table1[[#This Row],[h_id]]="","",COUNTIF(Table1[h_id],Table1[[#This Row],[h_id]]))</f>
        <v>13</v>
      </c>
      <c r="Y203" s="274">
        <f>IF(Table1[Item Description]="","",Table1[[#This Row],[Qty]]*Table1[[#This Row],[Unit Price]])</f>
        <v>180000</v>
      </c>
      <c r="Z203" s="274">
        <f>IF(Table1[[#This Row],[h_hargasebelumdiskon]]="","",IF(Table1[[#This Row],[Disc 1]]="",0,Table1[[#This Row],[h_hargasebelumdiskon]]*Table1[[#This Row],[Disc 1]]))</f>
        <v>0</v>
      </c>
      <c r="AA203" s="274">
        <f>IF(Table1[[#This Row],[h_hargasebelumdiskon]]="","",IF(Table1[[#This Row],[Disc 2]]="",0,(Table1[[#This Row],[h_hargasebelumdiskon]]-Table1[[#This Row],[h_disc 1]])*Table1[[#This Row],[Disc 2]]))</f>
        <v>0</v>
      </c>
      <c r="AB203" s="274">
        <f>IF(Table1[Item Description]="","",Table1[[#This Row],[h_disc 1]]+Table1[[#This Row],[h_disc 2]])</f>
        <v>0</v>
      </c>
      <c r="AC203" s="274">
        <f>IF(Table1[Item Description]="","",Table1[[#This Row],[h_hargasebelumdiskon]]-Table1[[#This Row],[h_diskon]])</f>
        <v>180000</v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>GARISAN SET PVC HZ-5012PAK180000</v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>
        <v>25</v>
      </c>
      <c r="L204" s="271" t="s">
        <v>136</v>
      </c>
      <c r="N204" s="271" t="s">
        <v>389</v>
      </c>
      <c r="O204" s="278" t="str">
        <f>IF(Table1[[#This Row],[h_Item Description]]="","",INDEX([1]!db[NB PAJAK],MATCH(Table1[[#This Row],[h_Item Description]],[1]!db[kode],0)))</f>
        <v>LOOSE LEAF KENKO A5-LL 100-2070</v>
      </c>
      <c r="P204" s="271" t="s">
        <v>396</v>
      </c>
      <c r="Q204" s="274">
        <v>8350</v>
      </c>
      <c r="R204" s="275">
        <v>0.1</v>
      </c>
      <c r="S204" s="275"/>
      <c r="T204" s="274">
        <f>Table1[[#This Row],[h_hargasetelahdiskon]]</f>
        <v>187875</v>
      </c>
      <c r="V204" s="271"/>
      <c r="W204" s="278">
        <f ca="1">IF(Table1[[#This Row],[Item Description]]="","",IF(Table1[[#This Row],[//]]="",INDIRECT(ADDRESS(ROW()-1,COLUMN())),Table1[[#This Row],[//]]))</f>
        <v>200</v>
      </c>
      <c r="X204" s="278">
        <f ca="1">IF(Table1[[#This Row],[h_id]]="","",COUNTIF(Table1[h_id],Table1[[#This Row],[h_id]]))</f>
        <v>13</v>
      </c>
      <c r="Y204" s="274">
        <f>IF(Table1[Item Description]="","",Table1[[#This Row],[Qty]]*Table1[[#This Row],[Unit Price]])</f>
        <v>208750</v>
      </c>
      <c r="Z204" s="274">
        <f>IF(Table1[[#This Row],[h_hargasebelumdiskon]]="","",IF(Table1[[#This Row],[Disc 1]]="",0,Table1[[#This Row],[h_hargasebelumdiskon]]*Table1[[#This Row],[Disc 1]]))</f>
        <v>20875</v>
      </c>
      <c r="AA204" s="274">
        <f>IF(Table1[[#This Row],[h_hargasebelumdiskon]]="","",IF(Table1[[#This Row],[Disc 2]]="",0,(Table1[[#This Row],[h_hargasebelumdiskon]]-Table1[[#This Row],[h_disc 1]])*Table1[[#This Row],[Disc 2]]))</f>
        <v>0</v>
      </c>
      <c r="AB204" s="274">
        <f>IF(Table1[Item Description]="","",Table1[[#This Row],[h_disc 1]]+Table1[[#This Row],[h_disc 2]])</f>
        <v>20875</v>
      </c>
      <c r="AC204" s="274">
        <f>IF(Table1[Item Description]="","",Table1[[#This Row],[h_hargasebelumdiskon]]-Table1[[#This Row],[h_diskon]])</f>
        <v>187875</v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>LOOSE LEAF KENKO A5-LL 100-2070PAK8350</v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>
        <v>2</v>
      </c>
      <c r="L205" s="271" t="s">
        <v>137</v>
      </c>
      <c r="N205" s="271" t="s">
        <v>473</v>
      </c>
      <c r="O205" s="278" t="str">
        <f>IF(Table1[[#This Row],[h_Item Description]]="","",INDEX([1]!db[NB PAJAK],MATCH(Table1[[#This Row],[h_Item Description]],[1]!db[kode],0)))</f>
        <v>PENSIL WARNA KENKO CP-12F CLASSIC (PANJANG)</v>
      </c>
      <c r="P205" s="271" t="s">
        <v>478</v>
      </c>
      <c r="Q205" s="274">
        <v>124200</v>
      </c>
      <c r="R205" s="275">
        <v>0.1</v>
      </c>
      <c r="S205" s="275"/>
      <c r="T205" s="274">
        <f>Table1[[#This Row],[h_hargasetelahdiskon]]</f>
        <v>223560</v>
      </c>
      <c r="V205" s="271"/>
      <c r="W205" s="278">
        <f ca="1">IF(Table1[[#This Row],[Item Description]]="","",IF(Table1[[#This Row],[//]]="",INDIRECT(ADDRESS(ROW()-1,COLUMN())),Table1[[#This Row],[//]]))</f>
        <v>200</v>
      </c>
      <c r="X205" s="278">
        <f ca="1">IF(Table1[[#This Row],[h_id]]="","",COUNTIF(Table1[h_id],Table1[[#This Row],[h_id]]))</f>
        <v>13</v>
      </c>
      <c r="Y205" s="274">
        <f>IF(Table1[Item Description]="","",Table1[[#This Row],[Qty]]*Table1[[#This Row],[Unit Price]])</f>
        <v>248400</v>
      </c>
      <c r="Z205" s="274">
        <f>IF(Table1[[#This Row],[h_hargasebelumdiskon]]="","",IF(Table1[[#This Row],[Disc 1]]="",0,Table1[[#This Row],[h_hargasebelumdiskon]]*Table1[[#This Row],[Disc 1]]))</f>
        <v>24840</v>
      </c>
      <c r="AA205" s="274">
        <f>IF(Table1[[#This Row],[h_hargasebelumdiskon]]="","",IF(Table1[[#This Row],[Disc 2]]="",0,(Table1[[#This Row],[h_hargasebelumdiskon]]-Table1[[#This Row],[h_disc 1]])*Table1[[#This Row],[Disc 2]]))</f>
        <v>0</v>
      </c>
      <c r="AB205" s="274">
        <f>IF(Table1[Item Description]="","",Table1[[#This Row],[h_disc 1]]+Table1[[#This Row],[h_disc 2]])</f>
        <v>24840</v>
      </c>
      <c r="AC205" s="274">
        <f>IF(Table1[Item Description]="","",Table1[[#This Row],[h_hargasebelumdiskon]]-Table1[[#This Row],[h_diskon]])</f>
        <v>223560</v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>PENSIL WARNA KENKO CP-12F CLASSIC (PANJANG)LSN124200</v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>
        <v>1</v>
      </c>
      <c r="L206" s="271" t="s">
        <v>244</v>
      </c>
      <c r="N206" s="271" t="s">
        <v>474</v>
      </c>
      <c r="O206" s="278" t="str">
        <f>IF(Table1[[#This Row],[h_Item Description]]="","",INDEX([1]!db[NB PAJAK],MATCH(Table1[[#This Row],[h_Item Description]],[1]!db[kode],0)))</f>
        <v>PENSIL KENKO 2B-6393 FLUORESCENT</v>
      </c>
      <c r="P206" s="271" t="s">
        <v>479</v>
      </c>
      <c r="Q206" s="274">
        <v>120000</v>
      </c>
      <c r="R206" s="275">
        <v>0.1</v>
      </c>
      <c r="S206" s="275"/>
      <c r="T206" s="274">
        <f>Table1[[#This Row],[h_hargasetelahdiskon]]</f>
        <v>108000</v>
      </c>
      <c r="V206" s="271"/>
      <c r="W206" s="278">
        <f ca="1">IF(Table1[[#This Row],[Item Description]]="","",IF(Table1[[#This Row],[//]]="",INDIRECT(ADDRESS(ROW()-1,COLUMN())),Table1[[#This Row],[//]]))</f>
        <v>200</v>
      </c>
      <c r="X206" s="278">
        <f ca="1">IF(Table1[[#This Row],[h_id]]="","",COUNTIF(Table1[h_id],Table1[[#This Row],[h_id]]))</f>
        <v>13</v>
      </c>
      <c r="Y206" s="274">
        <f>IF(Table1[Item Description]="","",Table1[[#This Row],[Qty]]*Table1[[#This Row],[Unit Price]])</f>
        <v>120000</v>
      </c>
      <c r="Z206" s="274">
        <f>IF(Table1[[#This Row],[h_hargasebelumdiskon]]="","",IF(Table1[[#This Row],[Disc 1]]="",0,Table1[[#This Row],[h_hargasebelumdiskon]]*Table1[[#This Row],[Disc 1]]))</f>
        <v>12000</v>
      </c>
      <c r="AA206" s="274">
        <f>IF(Table1[[#This Row],[h_hargasebelumdiskon]]="","",IF(Table1[[#This Row],[Disc 2]]="",0,(Table1[[#This Row],[h_hargasebelumdiskon]]-Table1[[#This Row],[h_disc 1]])*Table1[[#This Row],[Disc 2]]))</f>
        <v>0</v>
      </c>
      <c r="AB206" s="274">
        <f>IF(Table1[Item Description]="","",Table1[[#This Row],[h_disc 1]]+Table1[[#This Row],[h_disc 2]])</f>
        <v>12000</v>
      </c>
      <c r="AC206" s="274">
        <f>IF(Table1[Item Description]="","",Table1[[#This Row],[h_hargasebelumdiskon]]-Table1[[#This Row],[h_diskon]])</f>
        <v>108000</v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>PENSIL KENKO 2B-6393 FLUORESCENTGRS120000</v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>
        <v>1</v>
      </c>
      <c r="L207" s="271" t="s">
        <v>136</v>
      </c>
      <c r="N207" s="271" t="s">
        <v>475</v>
      </c>
      <c r="O207" s="278" t="str">
        <f>IF(Table1[[#This Row],[h_Item Description]]="","",INDEX([1]!db[NB PAJAK],MATCH(Table1[[#This Row],[h_Item Description]],[1]!db[kode],0)))</f>
        <v>PENSIL ZHONG HUA 6925-2B/B OVAL</v>
      </c>
      <c r="P207" s="271" t="s">
        <v>482</v>
      </c>
      <c r="Q207" s="274">
        <v>85000</v>
      </c>
      <c r="R207" s="275"/>
      <c r="S207" s="275"/>
      <c r="T207" s="274">
        <f>Table1[[#This Row],[h_hargasetelahdiskon]]</f>
        <v>85000</v>
      </c>
      <c r="V207" s="271"/>
      <c r="W207" s="278">
        <f ca="1">IF(Table1[[#This Row],[Item Description]]="","",IF(Table1[[#This Row],[//]]="",INDIRECT(ADDRESS(ROW()-1,COLUMN())),Table1[[#This Row],[//]]))</f>
        <v>200</v>
      </c>
      <c r="X207" s="278">
        <f ca="1">IF(Table1[[#This Row],[h_id]]="","",COUNTIF(Table1[h_id],Table1[[#This Row],[h_id]]))</f>
        <v>13</v>
      </c>
      <c r="Y207" s="274">
        <f>IF(Table1[Item Description]="","",Table1[[#This Row],[Qty]]*Table1[[#This Row],[Unit Price]])</f>
        <v>85000</v>
      </c>
      <c r="Z207" s="274">
        <f>IF(Table1[[#This Row],[h_hargasebelumdiskon]]="","",IF(Table1[[#This Row],[Disc 1]]="",0,Table1[[#This Row],[h_hargasebelumdiskon]]*Table1[[#This Row],[Disc 1]]))</f>
        <v>0</v>
      </c>
      <c r="AA207" s="274">
        <f>IF(Table1[[#This Row],[h_hargasebelumdiskon]]="","",IF(Table1[[#This Row],[Disc 2]]="",0,(Table1[[#This Row],[h_hargasebelumdiskon]]-Table1[[#This Row],[h_disc 1]])*Table1[[#This Row],[Disc 2]]))</f>
        <v>0</v>
      </c>
      <c r="AB207" s="274">
        <f>IF(Table1[Item Description]="","",Table1[[#This Row],[h_disc 1]]+Table1[[#This Row],[h_disc 2]])</f>
        <v>0</v>
      </c>
      <c r="AC207" s="274">
        <f>IF(Table1[Item Description]="","",Table1[[#This Row],[h_hargasebelumdiskon]]-Table1[[#This Row],[h_diskon]])</f>
        <v>85000</v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>PENSIL ZHONG HUA 6925-2BPAK85000</v>
      </c>
      <c r="AG207"/>
      <c r="AH207"/>
      <c r="AI207"/>
    </row>
    <row r="208" spans="1:35" ht="16.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>
        <v>1</v>
      </c>
      <c r="L208" s="271" t="s">
        <v>137</v>
      </c>
      <c r="N208" s="271" t="s">
        <v>476</v>
      </c>
      <c r="O208" s="278" t="str">
        <f>IF(Table1[[#This Row],[h_Item Description]]="","",INDEX([1]!db[NB PAJAK],MATCH(Table1[[#This Row],[h_Item Description]],[1]!db[kode],0)))</f>
        <v>STAPLER KENKO HD-10</v>
      </c>
      <c r="P208" s="281" t="s">
        <v>480</v>
      </c>
      <c r="Q208" s="274">
        <v>93000</v>
      </c>
      <c r="R208" s="275">
        <v>0.1</v>
      </c>
      <c r="S208" s="275"/>
      <c r="T208" s="274">
        <f>Table1[[#This Row],[h_hargasetelahdiskon]]</f>
        <v>83700</v>
      </c>
      <c r="V208" s="271"/>
      <c r="W208" s="278">
        <f ca="1">IF(Table1[[#This Row],[Item Description]]="","",IF(Table1[[#This Row],[//]]="",INDIRECT(ADDRESS(ROW()-1,COLUMN())),Table1[[#This Row],[//]]))</f>
        <v>200</v>
      </c>
      <c r="X208" s="278">
        <f ca="1">IF(Table1[[#This Row],[h_id]]="","",COUNTIF(Table1[h_id],Table1[[#This Row],[h_id]]))</f>
        <v>13</v>
      </c>
      <c r="Y208" s="274">
        <f>IF(Table1[Item Description]="","",Table1[[#This Row],[Qty]]*Table1[[#This Row],[Unit Price]])</f>
        <v>93000</v>
      </c>
      <c r="Z208" s="274">
        <f>IF(Table1[[#This Row],[h_hargasebelumdiskon]]="","",IF(Table1[[#This Row],[Disc 1]]="",0,Table1[[#This Row],[h_hargasebelumdiskon]]*Table1[[#This Row],[Disc 1]]))</f>
        <v>9300</v>
      </c>
      <c r="AA208" s="274">
        <f>IF(Table1[[#This Row],[h_hargasebelumdiskon]]="","",IF(Table1[[#This Row],[Disc 2]]="",0,(Table1[[#This Row],[h_hargasebelumdiskon]]-Table1[[#This Row],[h_disc 1]])*Table1[[#This Row],[Disc 2]]))</f>
        <v>0</v>
      </c>
      <c r="AB208" s="274">
        <f>IF(Table1[Item Description]="","",Table1[[#This Row],[h_disc 1]]+Table1[[#This Row],[h_disc 2]])</f>
        <v>9300</v>
      </c>
      <c r="AC208" s="274">
        <f>IF(Table1[Item Description]="","",Table1[[#This Row],[h_hargasebelumdiskon]]-Table1[[#This Row],[h_diskon]])</f>
        <v>83700</v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>STAPLER KENKO HD-10LSN93000</v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>
        <v>2</v>
      </c>
      <c r="L209" s="271" t="s">
        <v>137</v>
      </c>
      <c r="N209" s="271" t="s">
        <v>160</v>
      </c>
      <c r="O209" s="278" t="str">
        <f>IF(Table1[[#This Row],[h_Item Description]]="","",INDEX([1]!db[NB PAJAK],MATCH(Table1[[#This Row],[h_Item Description]],[1]!db[kode],0)))</f>
        <v>ISI CUTTER 9 MM KENKO A-100 (KECIL)</v>
      </c>
      <c r="P209" s="271" t="s">
        <v>161</v>
      </c>
      <c r="Q209" s="274">
        <v>32400</v>
      </c>
      <c r="R209" s="275">
        <v>0.1</v>
      </c>
      <c r="S209" s="275"/>
      <c r="T209" s="274">
        <f>Table1[[#This Row],[h_hargasetelahdiskon]]</f>
        <v>58320</v>
      </c>
      <c r="V209" s="271"/>
      <c r="W209" s="278">
        <f ca="1">IF(Table1[[#This Row],[Item Description]]="","",IF(Table1[[#This Row],[//]]="",INDIRECT(ADDRESS(ROW()-1,COLUMN())),Table1[[#This Row],[//]]))</f>
        <v>200</v>
      </c>
      <c r="X209" s="278">
        <f ca="1">IF(Table1[[#This Row],[h_id]]="","",COUNTIF(Table1[h_id],Table1[[#This Row],[h_id]]))</f>
        <v>13</v>
      </c>
      <c r="Y209" s="274">
        <f>IF(Table1[Item Description]="","",Table1[[#This Row],[Qty]]*Table1[[#This Row],[Unit Price]])</f>
        <v>64800</v>
      </c>
      <c r="Z209" s="274">
        <f>IF(Table1[[#This Row],[h_hargasebelumdiskon]]="","",IF(Table1[[#This Row],[Disc 1]]="",0,Table1[[#This Row],[h_hargasebelumdiskon]]*Table1[[#This Row],[Disc 1]]))</f>
        <v>6480</v>
      </c>
      <c r="AA209" s="274">
        <f>IF(Table1[[#This Row],[h_hargasebelumdiskon]]="","",IF(Table1[[#This Row],[Disc 2]]="",0,(Table1[[#This Row],[h_hargasebelumdiskon]]-Table1[[#This Row],[h_disc 1]])*Table1[[#This Row],[Disc 2]]))</f>
        <v>0</v>
      </c>
      <c r="AB209" s="274">
        <f>IF(Table1[Item Description]="","",Table1[[#This Row],[h_disc 1]]+Table1[[#This Row],[h_disc 2]])</f>
        <v>6480</v>
      </c>
      <c r="AC209" s="274">
        <f>IF(Table1[Item Description]="","",Table1[[#This Row],[h_hargasebelumdiskon]]-Table1[[#This Row],[h_diskon]])</f>
        <v>58320</v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>ISI CUTTER 9 MM KENKO A-100 (KECIL)LSN32400</v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>
        <v>4</v>
      </c>
      <c r="L210" s="271" t="s">
        <v>193</v>
      </c>
      <c r="N210" s="271" t="s">
        <v>279</v>
      </c>
      <c r="O210" s="278" t="str">
        <f>IF(Table1[[#This Row],[h_Item Description]]="","",INDEX([1]!db[NB PAJAK],MATCH(Table1[[#This Row],[h_Item Description]],[1]!db[kode],0)))</f>
        <v>STIP / PENGHAPUS JOYKO 526-B40BL HITAM</v>
      </c>
      <c r="P210" s="271" t="s">
        <v>292</v>
      </c>
      <c r="Q210" s="274">
        <v>28300</v>
      </c>
      <c r="R210" s="275">
        <v>0.1</v>
      </c>
      <c r="S210" s="275"/>
      <c r="T210" s="274">
        <f>Table1[[#This Row],[h_hargasetelahdiskon]]</f>
        <v>101880</v>
      </c>
      <c r="V210" s="271"/>
      <c r="W210" s="278">
        <f ca="1">IF(Table1[[#This Row],[Item Description]]="","",IF(Table1[[#This Row],[//]]="",INDIRECT(ADDRESS(ROW()-1,COLUMN())),Table1[[#This Row],[//]]))</f>
        <v>200</v>
      </c>
      <c r="X210" s="278">
        <f ca="1">IF(Table1[[#This Row],[h_id]]="","",COUNTIF(Table1[h_id],Table1[[#This Row],[h_id]]))</f>
        <v>13</v>
      </c>
      <c r="Y210" s="274">
        <f>IF(Table1[Item Description]="","",Table1[[#This Row],[Qty]]*Table1[[#This Row],[Unit Price]])</f>
        <v>113200</v>
      </c>
      <c r="Z210" s="274">
        <f>IF(Table1[[#This Row],[h_hargasebelumdiskon]]="","",IF(Table1[[#This Row],[Disc 1]]="",0,Table1[[#This Row],[h_hargasebelumdiskon]]*Table1[[#This Row],[Disc 1]]))</f>
        <v>11320</v>
      </c>
      <c r="AA210" s="274">
        <f>IF(Table1[[#This Row],[h_hargasebelumdiskon]]="","",IF(Table1[[#This Row],[Disc 2]]="",0,(Table1[[#This Row],[h_hargasebelumdiskon]]-Table1[[#This Row],[h_disc 1]])*Table1[[#This Row],[Disc 2]]))</f>
        <v>0</v>
      </c>
      <c r="AB210" s="274">
        <f>IF(Table1[Item Description]="","",Table1[[#This Row],[h_disc 1]]+Table1[[#This Row],[h_disc 2]])</f>
        <v>11320</v>
      </c>
      <c r="AC210" s="274">
        <f>IF(Table1[Item Description]="","",Table1[[#This Row],[h_hargasebelumdiskon]]-Table1[[#This Row],[h_diskon]])</f>
        <v>101880</v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>STIP / PENGHAPUS JOYKO 526-B40BL HITAMBOX28300</v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>
        <v>2</v>
      </c>
      <c r="L211" s="271" t="s">
        <v>193</v>
      </c>
      <c r="N211" s="271" t="s">
        <v>247</v>
      </c>
      <c r="O211" s="278" t="str">
        <f>IF(Table1[[#This Row],[h_Item Description]]="","",INDEX([1]!db[NB PAJAK],MATCH(Table1[[#This Row],[h_Item Description]],[1]!db[kode],0)))</f>
        <v>STIP / PENGHAPUS JOYKO ER-B20BL HITAM</v>
      </c>
      <c r="P211" s="271" t="s">
        <v>257</v>
      </c>
      <c r="Q211" s="274">
        <v>34100</v>
      </c>
      <c r="R211" s="275">
        <v>0.1</v>
      </c>
      <c r="S211" s="275"/>
      <c r="T211" s="274">
        <f>Table1[[#This Row],[h_hargasetelahdiskon]]</f>
        <v>61380</v>
      </c>
      <c r="V211" s="271"/>
      <c r="W211" s="278">
        <f ca="1">IF(Table1[[#This Row],[Item Description]]="","",IF(Table1[[#This Row],[//]]="",INDIRECT(ADDRESS(ROW()-1,COLUMN())),Table1[[#This Row],[//]]))</f>
        <v>200</v>
      </c>
      <c r="X211" s="278">
        <f ca="1">IF(Table1[[#This Row],[h_id]]="","",COUNTIF(Table1[h_id],Table1[[#This Row],[h_id]]))</f>
        <v>13</v>
      </c>
      <c r="Y211" s="274">
        <f>IF(Table1[Item Description]="","",Table1[[#This Row],[Qty]]*Table1[[#This Row],[Unit Price]])</f>
        <v>68200</v>
      </c>
      <c r="Z211" s="274">
        <f>IF(Table1[[#This Row],[h_hargasebelumdiskon]]="","",IF(Table1[[#This Row],[Disc 1]]="",0,Table1[[#This Row],[h_hargasebelumdiskon]]*Table1[[#This Row],[Disc 1]]))</f>
        <v>6820</v>
      </c>
      <c r="AA211" s="274">
        <f>IF(Table1[[#This Row],[h_hargasebelumdiskon]]="","",IF(Table1[[#This Row],[Disc 2]]="",0,(Table1[[#This Row],[h_hargasebelumdiskon]]-Table1[[#This Row],[h_disc 1]])*Table1[[#This Row],[Disc 2]]))</f>
        <v>0</v>
      </c>
      <c r="AB211" s="274">
        <f>IF(Table1[Item Description]="","",Table1[[#This Row],[h_disc 1]]+Table1[[#This Row],[h_disc 2]])</f>
        <v>6820</v>
      </c>
      <c r="AC211" s="274">
        <f>IF(Table1[Item Description]="","",Table1[[#This Row],[h_hargasebelumdiskon]]-Table1[[#This Row],[h_diskon]])</f>
        <v>61380</v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>STIP / PENGHAPUS JOYKO ER-B20BL HITAMBOX34100</v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>
        <v>0.5</v>
      </c>
      <c r="L212" s="271" t="s">
        <v>137</v>
      </c>
      <c r="N212" s="271" t="s">
        <v>477</v>
      </c>
      <c r="O212" s="278" t="str">
        <f>IF(Table1[[#This Row],[h_Item Description]]="","",INDEX([1]!db[NB PAJAK],MATCH(Table1[[#This Row],[h_Item Description]],[1]!db[kode],0)))</f>
        <v>TAS KARUNG V (45 X 50)</v>
      </c>
      <c r="P212" s="271" t="s">
        <v>481</v>
      </c>
      <c r="Q212" s="274">
        <v>200000</v>
      </c>
      <c r="R212" s="275"/>
      <c r="S212" s="275"/>
      <c r="T212" s="274">
        <f>Table1[[#This Row],[h_hargasetelahdiskon]]</f>
        <v>100000</v>
      </c>
      <c r="V212" s="271"/>
      <c r="W212" s="278">
        <f ca="1">IF(Table1[[#This Row],[Item Description]]="","",IF(Table1[[#This Row],[//]]="",INDIRECT(ADDRESS(ROW()-1,COLUMN())),Table1[[#This Row],[//]]))</f>
        <v>200</v>
      </c>
      <c r="X212" s="278">
        <f ca="1">IF(Table1[[#This Row],[h_id]]="","",COUNTIF(Table1[h_id],Table1[[#This Row],[h_id]]))</f>
        <v>13</v>
      </c>
      <c r="Y212" s="274">
        <f>IF(Table1[Item Description]="","",Table1[[#This Row],[Qty]]*Table1[[#This Row],[Unit Price]])</f>
        <v>100000</v>
      </c>
      <c r="Z212" s="274">
        <f>IF(Table1[[#This Row],[h_hargasebelumdiskon]]="","",IF(Table1[[#This Row],[Disc 1]]="",0,Table1[[#This Row],[h_hargasebelumdiskon]]*Table1[[#This Row],[Disc 1]]))</f>
        <v>0</v>
      </c>
      <c r="AA212" s="274">
        <f>IF(Table1[[#This Row],[h_hargasebelumdiskon]]="","",IF(Table1[[#This Row],[Disc 2]]="",0,(Table1[[#This Row],[h_hargasebelumdiskon]]-Table1[[#This Row],[h_disc 1]])*Table1[[#This Row],[Disc 2]]))</f>
        <v>0</v>
      </c>
      <c r="AB212" s="274">
        <f>IF(Table1[Item Description]="","",Table1[[#This Row],[h_disc 1]]+Table1[[#This Row],[h_disc 2]])</f>
        <v>0</v>
      </c>
      <c r="AC212" s="274">
        <f>IF(Table1[Item Description]="","",Table1[[#This Row],[h_hargasebelumdiskon]]-Table1[[#This Row],[h_diskon]])</f>
        <v>100000</v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>TAS KARUNG V (45 X 50)LSN200000</v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>
        <f ca="1">IF(Table1[[#This Row],[No. Invoice :]]="","",ROW())</f>
        <v>214</v>
      </c>
      <c r="B214" s="278">
        <f ca="1">IF(Table1[Column3]="","",B$1+COUNT(INDIRECT("B$2:B"&amp;ROW()-1)))</f>
        <v>24010038</v>
      </c>
      <c r="C214" s="272">
        <f>IF(Table1[[#This Row],[Column2]]="","",Table1[[#This Row],[Column2]]+C$1-1)</f>
        <v>45316</v>
      </c>
      <c r="D214" s="282">
        <v>25</v>
      </c>
      <c r="E214" s="273" t="s">
        <v>483</v>
      </c>
      <c r="F214" s="271" t="s">
        <v>89</v>
      </c>
      <c r="G214" s="278" t="str">
        <f ca="1">IF(Table1[[#This Row],[h_No. Invoice :]]="","",CONCATENATE("AM"," ",Table1[[#This Row],[h_No. Invoice :]]))</f>
        <v>AM 24010038</v>
      </c>
      <c r="H214" s="271" t="str">
        <f>IF(Table1[[#This Row],[Column5]]="","",INDEX(Table2[Column1],MATCH(Table1[[#This Row],[Column5]],Table2[a],0)))</f>
        <v>G</v>
      </c>
      <c r="I214" s="279" t="str">
        <f>IF(Table1[[#This Row],[Column3]]=0,"",CONCATENATE(UPPER(Table1[[#This Row],[Column3]])," ",Table1[[#This Row],[Column4]]))</f>
        <v>G 2551</v>
      </c>
      <c r="J214" s="278" t="str">
        <f>IF(Table1[[#This Row],[Column5]]="","",INDEX(Table2[e],IF(Table1[[#This Row],[Column5]]="","",MATCH(Table1[[#This Row],[Column5]],Table2[a],0)),))</f>
        <v>CV UTAMA PUTRA TULUNG AGUNG</v>
      </c>
      <c r="K214" s="271">
        <v>72</v>
      </c>
      <c r="L214" s="271" t="s">
        <v>137</v>
      </c>
      <c r="M214" s="271">
        <v>1</v>
      </c>
      <c r="N214" s="271" t="s">
        <v>151</v>
      </c>
      <c r="O214" s="278" t="str">
        <f>IF(Table1[[#This Row],[h_Item Description]]="","",INDEX([1]!db[NB PAJAK],MATCH(Table1[[#This Row],[h_Item Description]],[1]!db[kode],0)))</f>
        <v>CORRECTION FLUID KENKO KE-01</v>
      </c>
      <c r="P214" s="271" t="s">
        <v>152</v>
      </c>
      <c r="Q214" s="274">
        <v>54300</v>
      </c>
      <c r="R214" s="275">
        <v>0.125</v>
      </c>
      <c r="S214" s="275"/>
      <c r="T214" s="274">
        <f>Table1[[#This Row],[h_hargasetelahdiskon]]</f>
        <v>3420900</v>
      </c>
      <c r="U214" s="274" t="s">
        <v>130</v>
      </c>
      <c r="V214" s="271"/>
      <c r="W214" s="278">
        <f ca="1">IF(Table1[[#This Row],[Item Description]]="","",IF(Table1[[#This Row],[//]]="",INDIRECT(ADDRESS(ROW()-1,COLUMN())),Table1[[#This Row],[//]]))</f>
        <v>214</v>
      </c>
      <c r="X214" s="278">
        <f ca="1">IF(Table1[[#This Row],[h_id]]="","",COUNTIF(Table1[h_id],Table1[[#This Row],[h_id]]))</f>
        <v>1</v>
      </c>
      <c r="Y214" s="274">
        <f>IF(Table1[Item Description]="","",Table1[[#This Row],[Qty]]*Table1[[#This Row],[Unit Price]])</f>
        <v>3909600</v>
      </c>
      <c r="Z214" s="274">
        <f>IF(Table1[[#This Row],[h_hargasebelumdiskon]]="","",IF(Table1[[#This Row],[Disc 1]]="",0,Table1[[#This Row],[h_hargasebelumdiskon]]*Table1[[#This Row],[Disc 1]]))</f>
        <v>488700</v>
      </c>
      <c r="AA214" s="274">
        <f>IF(Table1[[#This Row],[h_hargasebelumdiskon]]="","",IF(Table1[[#This Row],[Disc 2]]="",0,(Table1[[#This Row],[h_hargasebelumdiskon]]-Table1[[#This Row],[h_disc 1]])*Table1[[#This Row],[Disc 2]]))</f>
        <v>0</v>
      </c>
      <c r="AB214" s="274">
        <f>IF(Table1[Item Description]="","",Table1[[#This Row],[h_disc 1]]+Table1[[#This Row],[h_disc 2]])</f>
        <v>488700</v>
      </c>
      <c r="AC214" s="274">
        <f>IF(Table1[Item Description]="","",Table1[[#This Row],[h_hargasebelumdiskon]]-Table1[[#This Row],[h_diskon]])</f>
        <v>3420900</v>
      </c>
      <c r="AD214" s="274">
        <f ca="1">IF(Table1[//]="","",SUMIF(Table1[h_id],Table1[h_id],Table1[h_hargasetelahdiskon]))</f>
        <v>3420900</v>
      </c>
      <c r="AF214" s="274" t="str">
        <f>Table1[[#This Row],[Item Description]]&amp;Table1[[#This Row],[Unit]]&amp;Table1[[#This Row],[Unit Price]]</f>
        <v>CORRECTION FLUID KENKO KE-01LSN54300</v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>
        <f ca="1">IF(Table1[[#This Row],[No. Invoice :]]="","",ROW())</f>
        <v>216</v>
      </c>
      <c r="B216" s="278">
        <f ca="1">IF(Table1[Column3]="","",B$1+COUNT(INDIRECT("B$2:B"&amp;ROW()-1)))</f>
        <v>24010039</v>
      </c>
      <c r="C216" s="272">
        <f>IF(Table1[[#This Row],[Column2]]="","",Table1[[#This Row],[Column2]]+C$1-1)</f>
        <v>45317</v>
      </c>
      <c r="D216" s="282">
        <v>26</v>
      </c>
      <c r="E216" s="273" t="s">
        <v>484</v>
      </c>
      <c r="F216" s="271" t="s">
        <v>192</v>
      </c>
      <c r="G216" s="278" t="str">
        <f ca="1">IF(Table1[[#This Row],[h_No. Invoice :]]="","",CONCATENATE("AM"," ",Table1[[#This Row],[h_No. Invoice :]]))</f>
        <v>AM 24010039</v>
      </c>
      <c r="H216" s="271" t="str">
        <f>IF(Table1[[#This Row],[Column5]]="","",INDEX(Table2[Column1],MATCH(Table1[[#This Row],[Column5]],Table2[a],0)))</f>
        <v>KO</v>
      </c>
      <c r="I216" s="279" t="str">
        <f>IF(Table1[[#This Row],[Column3]]=0,"",CONCATENATE(UPPER(Table1[[#This Row],[Column3]])," ",Table1[[#This Row],[Column4]]))</f>
        <v>KO 2557</v>
      </c>
      <c r="J216" s="278" t="str">
        <f>IF(Table1[[#This Row],[Column5]]="","",INDEX(Table2[e],IF(Table1[[#This Row],[Column5]]="","",MATCH(Table1[[#This Row],[Column5]],Table2[a],0)),))</f>
        <v>CV PELITA JAYA (ANUGERAH SEJAHTERA) PURWOKERTO</v>
      </c>
      <c r="K216" s="271">
        <v>432</v>
      </c>
      <c r="L216" s="271" t="s">
        <v>137</v>
      </c>
      <c r="M216" s="271">
        <v>3</v>
      </c>
      <c r="N216" s="271" t="s">
        <v>367</v>
      </c>
      <c r="O216" s="278" t="str">
        <f>IF(Table1[[#This Row],[h_Item Description]]="","",INDEX([1]!db[NB PAJAK],MATCH(Table1[[#This Row],[h_Item Description]],[1]!db[kode],0)))</f>
        <v>GEL PEN KENKO HI-TECH-H 0.28 MM HITAM</v>
      </c>
      <c r="P216" s="271" t="s">
        <v>368</v>
      </c>
      <c r="Q216" s="274">
        <v>39000</v>
      </c>
      <c r="R216" s="275">
        <v>0.13500000000000001</v>
      </c>
      <c r="S216" s="275"/>
      <c r="T216" s="274">
        <f>Table1[[#This Row],[h_hargasetelahdiskon]]</f>
        <v>14573520</v>
      </c>
      <c r="U216" s="274" t="s">
        <v>130</v>
      </c>
      <c r="V216" s="271"/>
      <c r="W216" s="278">
        <f ca="1">IF(Table1[[#This Row],[Item Description]]="","",IF(Table1[[#This Row],[//]]="",INDIRECT(ADDRESS(ROW()-1,COLUMN())),Table1[[#This Row],[//]]))</f>
        <v>216</v>
      </c>
      <c r="X216" s="278">
        <f ca="1">IF(Table1[[#This Row],[h_id]]="","",COUNTIF(Table1[h_id],Table1[[#This Row],[h_id]]))</f>
        <v>2</v>
      </c>
      <c r="Y216" s="274">
        <f>IF(Table1[Item Description]="","",Table1[[#This Row],[Qty]]*Table1[[#This Row],[Unit Price]])</f>
        <v>16848000</v>
      </c>
      <c r="Z216" s="274">
        <f>IF(Table1[[#This Row],[h_hargasebelumdiskon]]="","",IF(Table1[[#This Row],[Disc 1]]="",0,Table1[[#This Row],[h_hargasebelumdiskon]]*Table1[[#This Row],[Disc 1]]))</f>
        <v>2274480</v>
      </c>
      <c r="AA216" s="274">
        <f>IF(Table1[[#This Row],[h_hargasebelumdiskon]]="","",IF(Table1[[#This Row],[Disc 2]]="",0,(Table1[[#This Row],[h_hargasebelumdiskon]]-Table1[[#This Row],[h_disc 1]])*Table1[[#This Row],[Disc 2]]))</f>
        <v>0</v>
      </c>
      <c r="AB216" s="274">
        <f>IF(Table1[Item Description]="","",Table1[[#This Row],[h_disc 1]]+Table1[[#This Row],[h_disc 2]])</f>
        <v>2274480</v>
      </c>
      <c r="AC216" s="274">
        <f>IF(Table1[Item Description]="","",Table1[[#This Row],[h_hargasebelumdiskon]]-Table1[[#This Row],[h_diskon]])</f>
        <v>14573520</v>
      </c>
      <c r="AD216" s="274">
        <f ca="1">IF(Table1[//]="","",SUMIF(Table1[h_id],Table1[h_id],Table1[h_hargasetelahdiskon]))</f>
        <v>24289200</v>
      </c>
      <c r="AF216" s="274" t="str">
        <f>Table1[[#This Row],[Item Description]]&amp;Table1[[#This Row],[Unit]]&amp;Table1[[#This Row],[Unit Price]]</f>
        <v>GEL PEN KENKO HI-TECH-H 0.28 MM HITAMLSN39000</v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>
        <v>288</v>
      </c>
      <c r="L217" s="271" t="s">
        <v>137</v>
      </c>
      <c r="M217" s="271">
        <v>2</v>
      </c>
      <c r="N217" s="271" t="s">
        <v>485</v>
      </c>
      <c r="O217" s="278" t="str">
        <f>IF(Table1[[#This Row],[h_Item Description]]="","",INDEX([1]!db[NB PAJAK],MATCH(Table1[[#This Row],[h_Item Description]],[1]!db[kode],0)))</f>
        <v>GEL PEN KENKO HI-TECH-H 0.28 MM BIRU</v>
      </c>
      <c r="P217" s="271" t="s">
        <v>486</v>
      </c>
      <c r="Q217" s="274">
        <v>39000</v>
      </c>
      <c r="R217" s="275">
        <v>0.13500000000000001</v>
      </c>
      <c r="S217" s="275"/>
      <c r="T217" s="274">
        <f>Table1[[#This Row],[h_hargasetelahdiskon]]</f>
        <v>9715680</v>
      </c>
      <c r="V217" s="271"/>
      <c r="W217" s="278">
        <f ca="1">IF(Table1[[#This Row],[Item Description]]="","",IF(Table1[[#This Row],[//]]="",INDIRECT(ADDRESS(ROW()-1,COLUMN())),Table1[[#This Row],[//]]))</f>
        <v>216</v>
      </c>
      <c r="X217" s="278">
        <f ca="1">IF(Table1[[#This Row],[h_id]]="","",COUNTIF(Table1[h_id],Table1[[#This Row],[h_id]]))</f>
        <v>2</v>
      </c>
      <c r="Y217" s="274">
        <f>IF(Table1[Item Description]="","",Table1[[#This Row],[Qty]]*Table1[[#This Row],[Unit Price]])</f>
        <v>11232000</v>
      </c>
      <c r="Z217" s="274">
        <f>IF(Table1[[#This Row],[h_hargasebelumdiskon]]="","",IF(Table1[[#This Row],[Disc 1]]="",0,Table1[[#This Row],[h_hargasebelumdiskon]]*Table1[[#This Row],[Disc 1]]))</f>
        <v>1516320</v>
      </c>
      <c r="AA217" s="274">
        <f>IF(Table1[[#This Row],[h_hargasebelumdiskon]]="","",IF(Table1[[#This Row],[Disc 2]]="",0,(Table1[[#This Row],[h_hargasebelumdiskon]]-Table1[[#This Row],[h_disc 1]])*Table1[[#This Row],[Disc 2]]))</f>
        <v>0</v>
      </c>
      <c r="AB217" s="274">
        <f>IF(Table1[Item Description]="","",Table1[[#This Row],[h_disc 1]]+Table1[[#This Row],[h_disc 2]])</f>
        <v>1516320</v>
      </c>
      <c r="AC217" s="274">
        <f>IF(Table1[Item Description]="","",Table1[[#This Row],[h_hargasebelumdiskon]]-Table1[[#This Row],[h_diskon]])</f>
        <v>9715680</v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>GEL PEN KENKO HI-TECH-H 0.28 MM BIRULSN39000</v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>
        <f ca="1">IF(Table1[[#This Row],[No. Invoice :]]="","",ROW())</f>
        <v>219</v>
      </c>
      <c r="B219" s="278">
        <f ca="1">IF(Table1[Column3]="","",B$1+COUNT(INDIRECT("B$2:B"&amp;ROW()-1)))</f>
        <v>24010040</v>
      </c>
      <c r="C219" s="272">
        <f>IF(Table1[[#This Row],[Column2]]="","",Table1[[#This Row],[Column2]]+C$1-1)</f>
        <v>45320</v>
      </c>
      <c r="D219" s="282">
        <v>29</v>
      </c>
      <c r="E219" s="273" t="s">
        <v>487</v>
      </c>
      <c r="F219" s="271" t="s">
        <v>192</v>
      </c>
      <c r="G219" s="278" t="str">
        <f ca="1">IF(Table1[[#This Row],[h_No. Invoice :]]="","",CONCATENATE("AM"," ",Table1[[#This Row],[h_No. Invoice :]]))</f>
        <v>AM 24010040</v>
      </c>
      <c r="H219" s="271" t="str">
        <f>IF(Table1[[#This Row],[Column5]]="","",INDEX(Table2[Column1],MATCH(Table1[[#This Row],[Column5]],Table2[a],0)))</f>
        <v>KO</v>
      </c>
      <c r="I219" s="279" t="str">
        <f>IF(Table1[[#This Row],[Column3]]=0,"",CONCATENATE(UPPER(Table1[[#This Row],[Column3]])," ",Table1[[#This Row],[Column4]]))</f>
        <v>KO 0729</v>
      </c>
      <c r="J219" s="278" t="str">
        <f>IF(Table1[[#This Row],[Column5]]="","",INDEX(Table2[e],IF(Table1[[#This Row],[Column5]]="","",MATCH(Table1[[#This Row],[Column5]],Table2[a],0)),))</f>
        <v>CV PELITA JAYA (ANUGERAH SEJAHTERA) PURWOKERTO</v>
      </c>
      <c r="K219" s="271">
        <v>576</v>
      </c>
      <c r="L219" s="271" t="s">
        <v>137</v>
      </c>
      <c r="M219" s="271">
        <v>4</v>
      </c>
      <c r="N219" s="271" t="s">
        <v>185</v>
      </c>
      <c r="O219" s="278" t="str">
        <f>IF(Table1[[#This Row],[h_Item Description]]="","",INDEX([1]!db[NB PAJAK],MATCH(Table1[[#This Row],[h_Item Description]],[1]!db[kode],0)))</f>
        <v>GEL PEN KENKO KE-303 T-GEL TRIANGULAR</v>
      </c>
      <c r="P219" s="271" t="s">
        <v>186</v>
      </c>
      <c r="Q219" s="274">
        <v>21600</v>
      </c>
      <c r="R219" s="275">
        <v>0.13500000000000001</v>
      </c>
      <c r="S219" s="275"/>
      <c r="T219" s="274">
        <f>Table1[[#This Row],[h_hargasetelahdiskon]]</f>
        <v>10761984</v>
      </c>
      <c r="U219" s="274" t="s">
        <v>130</v>
      </c>
      <c r="V219" s="271"/>
      <c r="W219" s="278">
        <f ca="1">IF(Table1[[#This Row],[Item Description]]="","",IF(Table1[[#This Row],[//]]="",INDIRECT(ADDRESS(ROW()-1,COLUMN())),Table1[[#This Row],[//]]))</f>
        <v>219</v>
      </c>
      <c r="X219" s="278">
        <f ca="1">IF(Table1[[#This Row],[h_id]]="","",COUNTIF(Table1[h_id],Table1[[#This Row],[h_id]]))</f>
        <v>2</v>
      </c>
      <c r="Y219" s="274">
        <f>IF(Table1[Item Description]="","",Table1[[#This Row],[Qty]]*Table1[[#This Row],[Unit Price]])</f>
        <v>12441600</v>
      </c>
      <c r="Z219" s="274">
        <f>IF(Table1[[#This Row],[h_hargasebelumdiskon]]="","",IF(Table1[[#This Row],[Disc 1]]="",0,Table1[[#This Row],[h_hargasebelumdiskon]]*Table1[[#This Row],[Disc 1]]))</f>
        <v>1679616</v>
      </c>
      <c r="AA219" s="274">
        <f>IF(Table1[[#This Row],[h_hargasebelumdiskon]]="","",IF(Table1[[#This Row],[Disc 2]]="",0,(Table1[[#This Row],[h_hargasebelumdiskon]]-Table1[[#This Row],[h_disc 1]])*Table1[[#This Row],[Disc 2]]))</f>
        <v>0</v>
      </c>
      <c r="AB219" s="274">
        <f>IF(Table1[Item Description]="","",Table1[[#This Row],[h_disc 1]]+Table1[[#This Row],[h_disc 2]])</f>
        <v>1679616</v>
      </c>
      <c r="AC219" s="274">
        <f>IF(Table1[Item Description]="","",Table1[[#This Row],[h_hargasebelumdiskon]]-Table1[[#This Row],[h_diskon]])</f>
        <v>10761984</v>
      </c>
      <c r="AD219" s="274">
        <f ca="1">IF(Table1[//]="","",SUMIF(Table1[h_id],Table1[h_id],Table1[h_hargasetelahdiskon]))</f>
        <v>14872464</v>
      </c>
      <c r="AF219" s="274" t="str">
        <f>Table1[[#This Row],[Item Description]]&amp;Table1[[#This Row],[Unit]]&amp;Table1[[#This Row],[Unit Price]]</f>
        <v>GEL PEN KENKO KE-303 T-GEL TRIANGULARLSN21600</v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>
        <v>72</v>
      </c>
      <c r="L220" s="271" t="s">
        <v>193</v>
      </c>
      <c r="M220" s="271">
        <v>2</v>
      </c>
      <c r="N220" s="271" t="s">
        <v>443</v>
      </c>
      <c r="O220" s="278" t="str">
        <f>IF(Table1[[#This Row],[h_Item Description]]="","",INDEX([1]!db[NB PAJAK],MATCH(Table1[[#This Row],[h_Item Description]],[1]!db[kode],0)))</f>
        <v>LEM STICK KENKO 8 GR (KECIL) isi 30 pc</v>
      </c>
      <c r="P220" s="271" t="s">
        <v>444</v>
      </c>
      <c r="Q220" s="274">
        <v>66000</v>
      </c>
      <c r="R220" s="275">
        <v>0.13500000000000001</v>
      </c>
      <c r="S220" s="275"/>
      <c r="T220" s="274">
        <f>Table1[[#This Row],[h_hargasetelahdiskon]]</f>
        <v>4110480</v>
      </c>
      <c r="V220" s="271"/>
      <c r="W220" s="278">
        <f ca="1">IF(Table1[[#This Row],[Item Description]]="","",IF(Table1[[#This Row],[//]]="",INDIRECT(ADDRESS(ROW()-1,COLUMN())),Table1[[#This Row],[//]]))</f>
        <v>219</v>
      </c>
      <c r="X220" s="278">
        <f ca="1">IF(Table1[[#This Row],[h_id]]="","",COUNTIF(Table1[h_id],Table1[[#This Row],[h_id]]))</f>
        <v>2</v>
      </c>
      <c r="Y220" s="274">
        <f>IF(Table1[Item Description]="","",Table1[[#This Row],[Qty]]*Table1[[#This Row],[Unit Price]])</f>
        <v>4752000</v>
      </c>
      <c r="Z220" s="274">
        <f>IF(Table1[[#This Row],[h_hargasebelumdiskon]]="","",IF(Table1[[#This Row],[Disc 1]]="",0,Table1[[#This Row],[h_hargasebelumdiskon]]*Table1[[#This Row],[Disc 1]]))</f>
        <v>641520</v>
      </c>
      <c r="AA220" s="274">
        <f>IF(Table1[[#This Row],[h_hargasebelumdiskon]]="","",IF(Table1[[#This Row],[Disc 2]]="",0,(Table1[[#This Row],[h_hargasebelumdiskon]]-Table1[[#This Row],[h_disc 1]])*Table1[[#This Row],[Disc 2]]))</f>
        <v>0</v>
      </c>
      <c r="AB220" s="274">
        <f>IF(Table1[Item Description]="","",Table1[[#This Row],[h_disc 1]]+Table1[[#This Row],[h_disc 2]])</f>
        <v>641520</v>
      </c>
      <c r="AC220" s="274">
        <f>IF(Table1[Item Description]="","",Table1[[#This Row],[h_hargasebelumdiskon]]-Table1[[#This Row],[h_diskon]])</f>
        <v>4110480</v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>LEM STICK KENKO 8 GR (KECIL) isi 30 pcBOX66000</v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>
        <f ca="1">IF(Table1[[#This Row],[No. Invoice :]]="","",ROW())</f>
        <v>222</v>
      </c>
      <c r="B222" s="278">
        <f ca="1">IF(Table1[Column3]="","",B$1+COUNT(INDIRECT("B$2:B"&amp;ROW()-1)))</f>
        <v>24010041</v>
      </c>
      <c r="C222" s="272">
        <f>IF(Table1[[#This Row],[Column2]]="","",Table1[[#This Row],[Column2]]+C$1-1)</f>
        <v>45320</v>
      </c>
      <c r="D222" s="282">
        <v>29</v>
      </c>
      <c r="E222" s="273" t="s">
        <v>488</v>
      </c>
      <c r="F222" s="271" t="s">
        <v>300</v>
      </c>
      <c r="G222" s="278" t="str">
        <f ca="1">IF(Table1[[#This Row],[h_No. Invoice :]]="","",CONCATENATE("AM"," ",Table1[[#This Row],[h_No. Invoice :]]))</f>
        <v>AM 24010041</v>
      </c>
      <c r="H222" s="271" t="str">
        <f>IF(Table1[[#This Row],[Column5]]="","",INDEX(Table2[Column1],MATCH(Table1[[#This Row],[Column5]],Table2[a],0)))</f>
        <v>KO</v>
      </c>
      <c r="I222" s="279" t="str">
        <f>IF(Table1[[#This Row],[Column3]]=0,"",CONCATENATE(UPPER(Table1[[#This Row],[Column3]])," ",Table1[[#This Row],[Column4]]))</f>
        <v>KO 0719</v>
      </c>
      <c r="J222" s="278" t="str">
        <f>IF(Table1[[#This Row],[Column5]]="","",INDEX(Table2[e],IF(Table1[[#This Row],[Column5]]="","",MATCH(Table1[[#This Row],[Column5]],Table2[a],0)),))</f>
        <v>CV GANESHA WONOSOBO</v>
      </c>
      <c r="K222" s="271">
        <v>5</v>
      </c>
      <c r="L222" s="271" t="s">
        <v>244</v>
      </c>
      <c r="M222" s="271">
        <v>1</v>
      </c>
      <c r="N222" s="271" t="s">
        <v>489</v>
      </c>
      <c r="O222" s="278" t="str">
        <f>IF(Table1[[#This Row],[h_Item Description]]="","",INDEX([1]!db[NB PAJAK],MATCH(Table1[[#This Row],[h_Item Description]],[1]!db[kode],0)))</f>
        <v>BINDER CLIP KENKO NO. 155</v>
      </c>
      <c r="P222" s="271" t="s">
        <v>303</v>
      </c>
      <c r="Q222" s="274">
        <v>69000</v>
      </c>
      <c r="R222" s="275">
        <v>0.1</v>
      </c>
      <c r="S222" s="275"/>
      <c r="T222" s="274">
        <f>Table1[[#This Row],[h_hargasetelahdiskon]]</f>
        <v>310500</v>
      </c>
      <c r="U222" s="274" t="s">
        <v>130</v>
      </c>
      <c r="V222" s="271"/>
      <c r="W222" s="278">
        <f ca="1">IF(Table1[[#This Row],[Item Description]]="","",IF(Table1[[#This Row],[//]]="",INDIRECT(ADDRESS(ROW()-1,COLUMN())),Table1[[#This Row],[//]]))</f>
        <v>222</v>
      </c>
      <c r="X222" s="278">
        <f ca="1">IF(Table1[[#This Row],[h_id]]="","",COUNTIF(Table1[h_id],Table1[[#This Row],[h_id]]))</f>
        <v>6</v>
      </c>
      <c r="Y222" s="274">
        <f>IF(Table1[Item Description]="","",Table1[[#This Row],[Qty]]*Table1[[#This Row],[Unit Price]])</f>
        <v>345000</v>
      </c>
      <c r="Z222" s="274">
        <f>IF(Table1[[#This Row],[h_hargasebelumdiskon]]="","",IF(Table1[[#This Row],[Disc 1]]="",0,Table1[[#This Row],[h_hargasebelumdiskon]]*Table1[[#This Row],[Disc 1]]))</f>
        <v>34500</v>
      </c>
      <c r="AA222" s="274">
        <f>IF(Table1[[#This Row],[h_hargasebelumdiskon]]="","",IF(Table1[[#This Row],[Disc 2]]="",0,(Table1[[#This Row],[h_hargasebelumdiskon]]-Table1[[#This Row],[h_disc 1]])*Table1[[#This Row],[Disc 2]]))</f>
        <v>0</v>
      </c>
      <c r="AB222" s="274">
        <f>IF(Table1[Item Description]="","",Table1[[#This Row],[h_disc 1]]+Table1[[#This Row],[h_disc 2]])</f>
        <v>34500</v>
      </c>
      <c r="AC222" s="274">
        <f>IF(Table1[Item Description]="","",Table1[[#This Row],[h_hargasebelumdiskon]]-Table1[[#This Row],[h_diskon]])</f>
        <v>310500</v>
      </c>
      <c r="AD222" s="274">
        <f ca="1">IF(Table1[//]="","",SUMIF(Table1[h_id],Table1[h_id],Table1[h_hargasetelahdiskon]))</f>
        <v>1894680</v>
      </c>
      <c r="AF222" s="274" t="str">
        <f>Table1[[#This Row],[Item Description]]&amp;Table1[[#This Row],[Unit]]&amp;Table1[[#This Row],[Unit Price]]</f>
        <v>BINDER CLIP KENKO NO. 155GRS69000</v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492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D223" s="494"/>
      <c r="E223" s="495"/>
      <c r="F223" s="496"/>
      <c r="G223" s="278" t="str">
        <f ca="1">IF(Table1[[#This Row],[h_No. Invoice :]]="","",CONCATENATE("AM"," ",Table1[[#This Row],[h_No. Invoice :]]))</f>
        <v/>
      </c>
      <c r="H223" s="492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>
        <v>10</v>
      </c>
      <c r="L223" s="271" t="s">
        <v>137</v>
      </c>
      <c r="N223" s="496" t="s">
        <v>327</v>
      </c>
      <c r="O223" s="492" t="str">
        <f>IF(Table1[[#This Row],[h_Item Description]]="","",INDEX([1]!db[NB PAJAK],MATCH(Table1[[#This Row],[h_Item Description]],[1]!db[kode],0)))</f>
        <v>ISI CUTTER 18 MM KENKO L-150 (BESAR)</v>
      </c>
      <c r="P223" s="271" t="s">
        <v>328</v>
      </c>
      <c r="Q223" s="274">
        <v>64800</v>
      </c>
      <c r="R223" s="275">
        <v>0.1</v>
      </c>
      <c r="S223" s="275"/>
      <c r="T223" s="498">
        <f>Table1[[#This Row],[h_hargasetelahdiskon]]</f>
        <v>583200</v>
      </c>
      <c r="V223" s="271"/>
      <c r="W223" s="278">
        <f ca="1">IF(Table1[[#This Row],[Item Description]]="","",IF(Table1[[#This Row],[//]]="",INDIRECT(ADDRESS(ROW()-1,COLUMN())),Table1[[#This Row],[//]]))</f>
        <v>222</v>
      </c>
      <c r="X223" s="278">
        <f ca="1">IF(Table1[[#This Row],[h_id]]="","",COUNTIF(Table1[h_id],Table1[[#This Row],[h_id]]))</f>
        <v>6</v>
      </c>
      <c r="Y223" s="274">
        <f>IF(Table1[Item Description]="","",Table1[[#This Row],[Qty]]*Table1[[#This Row],[Unit Price]])</f>
        <v>648000</v>
      </c>
      <c r="Z223" s="498">
        <f>IF(Table1[[#This Row],[h_hargasebelumdiskon]]="","",IF(Table1[[#This Row],[Disc 1]]="",0,Table1[[#This Row],[h_hargasebelumdiskon]]*Table1[[#This Row],[Disc 1]]))</f>
        <v>64800</v>
      </c>
      <c r="AA223" s="498">
        <f>IF(Table1[[#This Row],[h_hargasebelumdiskon]]="","",IF(Table1[[#This Row],[Disc 2]]="",0,(Table1[[#This Row],[h_hargasebelumdiskon]]-Table1[[#This Row],[h_disc 1]])*Table1[[#This Row],[Disc 2]]))</f>
        <v>0</v>
      </c>
      <c r="AB223" s="274">
        <f>IF(Table1[Item Description]="","",Table1[[#This Row],[h_disc 1]]+Table1[[#This Row],[h_disc 2]])</f>
        <v>64800</v>
      </c>
      <c r="AC223" s="274">
        <f>IF(Table1[Item Description]="","",Table1[[#This Row],[h_hargasebelumdiskon]]-Table1[[#This Row],[h_diskon]])</f>
        <v>583200</v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>ISI CUTTER 18 MM KENKO L-150 (BESAR)LSN64800</v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492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D224" s="494"/>
      <c r="E224" s="495"/>
      <c r="F224" s="496"/>
      <c r="G224" s="278" t="str">
        <f ca="1">IF(Table1[[#This Row],[h_No. Invoice :]]="","",CONCATENATE("AM"," ",Table1[[#This Row],[h_No. Invoice :]]))</f>
        <v/>
      </c>
      <c r="H224" s="492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>
        <v>1</v>
      </c>
      <c r="L224" s="271" t="s">
        <v>244</v>
      </c>
      <c r="N224" s="496" t="s">
        <v>501</v>
      </c>
      <c r="O224" s="492" t="str">
        <f>IF(Table1[[#This Row],[h_Item Description]]="","",INDEX([1]!db[NB PAJAK],MATCH(Table1[[#This Row],[h_Item Description]],[1]!db[kode],0)))</f>
        <v>BINDER CLIP KENKO NO. 105</v>
      </c>
      <c r="P224" s="271" t="s">
        <v>502</v>
      </c>
      <c r="Q224" s="274">
        <v>28800</v>
      </c>
      <c r="R224" s="275">
        <v>0.1</v>
      </c>
      <c r="S224" s="275"/>
      <c r="T224" s="498">
        <f>Table1[[#This Row],[h_hargasetelahdiskon]]</f>
        <v>25920</v>
      </c>
      <c r="V224" s="271"/>
      <c r="W224" s="278">
        <f ca="1">IF(Table1[[#This Row],[Item Description]]="","",IF(Table1[[#This Row],[//]]="",INDIRECT(ADDRESS(ROW()-1,COLUMN())),Table1[[#This Row],[//]]))</f>
        <v>222</v>
      </c>
      <c r="X224" s="278">
        <f ca="1">IF(Table1[[#This Row],[h_id]]="","",COUNTIF(Table1[h_id],Table1[[#This Row],[h_id]]))</f>
        <v>6</v>
      </c>
      <c r="Y224" s="274">
        <f>IF(Table1[Item Description]="","",Table1[[#This Row],[Qty]]*Table1[[#This Row],[Unit Price]])</f>
        <v>28800</v>
      </c>
      <c r="Z224" s="498">
        <f>IF(Table1[[#This Row],[h_hargasebelumdiskon]]="","",IF(Table1[[#This Row],[Disc 1]]="",0,Table1[[#This Row],[h_hargasebelumdiskon]]*Table1[[#This Row],[Disc 1]]))</f>
        <v>2880</v>
      </c>
      <c r="AA224" s="498">
        <f>IF(Table1[[#This Row],[h_hargasebelumdiskon]]="","",IF(Table1[[#This Row],[Disc 2]]="",0,(Table1[[#This Row],[h_hargasebelumdiskon]]-Table1[[#This Row],[h_disc 1]])*Table1[[#This Row],[Disc 2]]))</f>
        <v>0</v>
      </c>
      <c r="AB224" s="274">
        <f>IF(Table1[Item Description]="","",Table1[[#This Row],[h_disc 1]]+Table1[[#This Row],[h_disc 2]])</f>
        <v>2880</v>
      </c>
      <c r="AC224" s="274">
        <f>IF(Table1[Item Description]="","",Table1[[#This Row],[h_hargasebelumdiskon]]-Table1[[#This Row],[h_diskon]])</f>
        <v>25920</v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>BINDER CLIP KENKO NO. 105GRS28800</v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492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D225" s="494"/>
      <c r="E225" s="495"/>
      <c r="F225" s="496"/>
      <c r="G225" s="278" t="str">
        <f ca="1">IF(Table1[[#This Row],[h_No. Invoice :]]="","",CONCATENATE("AM"," ",Table1[[#This Row],[h_No. Invoice :]]))</f>
        <v/>
      </c>
      <c r="H225" s="492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>
        <v>3</v>
      </c>
      <c r="L225" s="271" t="s">
        <v>137</v>
      </c>
      <c r="N225" s="496" t="s">
        <v>503</v>
      </c>
      <c r="O225" s="492" t="str">
        <f>IF(Table1[[#This Row],[h_Item Description]]="","",INDEX([1]!db[NB PAJAK],MATCH(Table1[[#This Row],[h_Item Description]],[1]!db[kode],0)))</f>
        <v>GARISAN BESI (STAINLESS STEEL) KENKO 30 CM</v>
      </c>
      <c r="P225" s="271" t="s">
        <v>505</v>
      </c>
      <c r="Q225" s="274">
        <v>84000</v>
      </c>
      <c r="R225" s="275">
        <v>0.1</v>
      </c>
      <c r="S225" s="275"/>
      <c r="T225" s="498">
        <f>Table1[[#This Row],[h_hargasetelahdiskon]]</f>
        <v>226800</v>
      </c>
      <c r="V225" s="271"/>
      <c r="W225" s="278">
        <f ca="1">IF(Table1[[#This Row],[Item Description]]="","",IF(Table1[[#This Row],[//]]="",INDIRECT(ADDRESS(ROW()-1,COLUMN())),Table1[[#This Row],[//]]))</f>
        <v>222</v>
      </c>
      <c r="X225" s="278">
        <f ca="1">IF(Table1[[#This Row],[h_id]]="","",COUNTIF(Table1[h_id],Table1[[#This Row],[h_id]]))</f>
        <v>6</v>
      </c>
      <c r="Y225" s="274">
        <f>IF(Table1[Item Description]="","",Table1[[#This Row],[Qty]]*Table1[[#This Row],[Unit Price]])</f>
        <v>252000</v>
      </c>
      <c r="Z225" s="498">
        <f>IF(Table1[[#This Row],[h_hargasebelumdiskon]]="","",IF(Table1[[#This Row],[Disc 1]]="",0,Table1[[#This Row],[h_hargasebelumdiskon]]*Table1[[#This Row],[Disc 1]]))</f>
        <v>25200</v>
      </c>
      <c r="AA225" s="498">
        <f>IF(Table1[[#This Row],[h_hargasebelumdiskon]]="","",IF(Table1[[#This Row],[Disc 2]]="",0,(Table1[[#This Row],[h_hargasebelumdiskon]]-Table1[[#This Row],[h_disc 1]])*Table1[[#This Row],[Disc 2]]))</f>
        <v>0</v>
      </c>
      <c r="AB225" s="274">
        <f>IF(Table1[Item Description]="","",Table1[[#This Row],[h_disc 1]]+Table1[[#This Row],[h_disc 2]])</f>
        <v>25200</v>
      </c>
      <c r="AC225" s="274">
        <f>IF(Table1[Item Description]="","",Table1[[#This Row],[h_hargasebelumdiskon]]-Table1[[#This Row],[h_diskon]])</f>
        <v>226800</v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>GARISAN BESI (STAINLESS STEEL) KENKO 30 CMLSN84000</v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492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D226" s="494"/>
      <c r="E226" s="495"/>
      <c r="F226" s="496"/>
      <c r="G226" s="278" t="str">
        <f ca="1">IF(Table1[[#This Row],[h_No. Invoice :]]="","",CONCATENATE("AM"," ",Table1[[#This Row],[h_No. Invoice :]]))</f>
        <v/>
      </c>
      <c r="H226" s="492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>
        <v>24</v>
      </c>
      <c r="L226" s="271" t="s">
        <v>137</v>
      </c>
      <c r="N226" s="496" t="s">
        <v>356</v>
      </c>
      <c r="O226" s="492" t="str">
        <f>IF(Table1[[#This Row],[h_Item Description]]="","",INDEX([1]!db[NB PAJAK],MATCH(Table1[[#This Row],[h_Item Description]],[1]!db[kode],0)))</f>
        <v>GEL PEN KENKO EASY GEL HITAM</v>
      </c>
      <c r="P226" s="271" t="s">
        <v>504</v>
      </c>
      <c r="Q226" s="274">
        <v>26100</v>
      </c>
      <c r="R226" s="275">
        <v>0.1</v>
      </c>
      <c r="S226" s="275"/>
      <c r="T226" s="498">
        <f>Table1[[#This Row],[h_hargasetelahdiskon]]</f>
        <v>563760</v>
      </c>
      <c r="V226" s="271"/>
      <c r="W226" s="278">
        <f ca="1">IF(Table1[[#This Row],[Item Description]]="","",IF(Table1[[#This Row],[//]]="",INDIRECT(ADDRESS(ROW()-1,COLUMN())),Table1[[#This Row],[//]]))</f>
        <v>222</v>
      </c>
      <c r="X226" s="278">
        <f ca="1">IF(Table1[[#This Row],[h_id]]="","",COUNTIF(Table1[h_id],Table1[[#This Row],[h_id]]))</f>
        <v>6</v>
      </c>
      <c r="Y226" s="274">
        <f>IF(Table1[Item Description]="","",Table1[[#This Row],[Qty]]*Table1[[#This Row],[Unit Price]])</f>
        <v>626400</v>
      </c>
      <c r="Z226" s="498">
        <f>IF(Table1[[#This Row],[h_hargasebelumdiskon]]="","",IF(Table1[[#This Row],[Disc 1]]="",0,Table1[[#This Row],[h_hargasebelumdiskon]]*Table1[[#This Row],[Disc 1]]))</f>
        <v>62640</v>
      </c>
      <c r="AA226" s="498">
        <f>IF(Table1[[#This Row],[h_hargasebelumdiskon]]="","",IF(Table1[[#This Row],[Disc 2]]="",0,(Table1[[#This Row],[h_hargasebelumdiskon]]-Table1[[#This Row],[h_disc 1]])*Table1[[#This Row],[Disc 2]]))</f>
        <v>0</v>
      </c>
      <c r="AB226" s="274">
        <f>IF(Table1[Item Description]="","",Table1[[#This Row],[h_disc 1]]+Table1[[#This Row],[h_disc 2]])</f>
        <v>62640</v>
      </c>
      <c r="AC226" s="274">
        <f>IF(Table1[Item Description]="","",Table1[[#This Row],[h_hargasebelumdiskon]]-Table1[[#This Row],[h_diskon]])</f>
        <v>563760</v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>GEL PEN KENKO EASY GELLSN26100</v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492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D227" s="494"/>
      <c r="E227" s="495"/>
      <c r="F227" s="496"/>
      <c r="G227" s="278" t="str">
        <f ca="1">IF(Table1[[#This Row],[h_No. Invoice :]]="","",CONCATENATE("AM"," ",Table1[[#This Row],[h_No. Invoice :]]))</f>
        <v/>
      </c>
      <c r="H227" s="492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>
        <v>10</v>
      </c>
      <c r="L227" s="271" t="s">
        <v>267</v>
      </c>
      <c r="N227" s="496" t="s">
        <v>216</v>
      </c>
      <c r="O227" s="492" t="str">
        <f>IF(Table1[[#This Row],[h_Item Description]]="","",INDEX([1]!db[NB PAJAK],MATCH(Table1[[#This Row],[h_Item Description]],[1]!db[kode],0)))</f>
        <v>LABEL HARGA JOYKO LB-2RL (1 LINE PUTIH)</v>
      </c>
      <c r="P227" s="271" t="s">
        <v>231</v>
      </c>
      <c r="Q227" s="274">
        <v>20500</v>
      </c>
      <c r="R227" s="275">
        <v>0.1</v>
      </c>
      <c r="S227" s="275"/>
      <c r="T227" s="498">
        <f>Table1[[#This Row],[h_hargasetelahdiskon]]</f>
        <v>184500</v>
      </c>
      <c r="V227" s="271"/>
      <c r="W227" s="278">
        <f ca="1">IF(Table1[[#This Row],[Item Description]]="","",IF(Table1[[#This Row],[//]]="",INDIRECT(ADDRESS(ROW()-1,COLUMN())),Table1[[#This Row],[//]]))</f>
        <v>222</v>
      </c>
      <c r="X227" s="278">
        <f ca="1">IF(Table1[[#This Row],[h_id]]="","",COUNTIF(Table1[h_id],Table1[[#This Row],[h_id]]))</f>
        <v>6</v>
      </c>
      <c r="Y227" s="274">
        <f>IF(Table1[Item Description]="","",Table1[[#This Row],[Qty]]*Table1[[#This Row],[Unit Price]])</f>
        <v>205000</v>
      </c>
      <c r="Z227" s="498">
        <f>IF(Table1[[#This Row],[h_hargasebelumdiskon]]="","",IF(Table1[[#This Row],[Disc 1]]="",0,Table1[[#This Row],[h_hargasebelumdiskon]]*Table1[[#This Row],[Disc 1]]))</f>
        <v>20500</v>
      </c>
      <c r="AA227" s="498">
        <f>IF(Table1[[#This Row],[h_hargasebelumdiskon]]="","",IF(Table1[[#This Row],[Disc 2]]="",0,(Table1[[#This Row],[h_hargasebelumdiskon]]-Table1[[#This Row],[h_disc 1]])*Table1[[#This Row],[Disc 2]]))</f>
        <v>0</v>
      </c>
      <c r="AB227" s="274">
        <f>IF(Table1[Item Description]="","",Table1[[#This Row],[h_disc 1]]+Table1[[#This Row],[h_disc 2]])</f>
        <v>20500</v>
      </c>
      <c r="AC227" s="274">
        <f>IF(Table1[Item Description]="","",Table1[[#This Row],[h_hargasebelumdiskon]]-Table1[[#This Row],[h_diskon]])</f>
        <v>184500</v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>LABEL HARGA JOYKO LB-2RL (1 LINE PUTIH)SLOP20500</v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492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D228" s="494"/>
      <c r="E228" s="495"/>
      <c r="F228" s="496"/>
      <c r="G228" s="278" t="str">
        <f ca="1">IF(Table1[[#This Row],[h_No. Invoice :]]="","",CONCATENATE("AM"," ",Table1[[#This Row],[h_No. Invoice :]]))</f>
        <v/>
      </c>
      <c r="H228" s="492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N228" s="496"/>
      <c r="O228" s="492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498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498" t="str">
        <f>IF(Table1[[#This Row],[h_hargasebelumdiskon]]="","",IF(Table1[[#This Row],[Disc 1]]="",0,Table1[[#This Row],[h_hargasebelumdiskon]]*Table1[[#This Row],[Disc 1]]))</f>
        <v/>
      </c>
      <c r="AA228" s="498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>
        <f ca="1">IF(Table1[[#This Row],[No. Invoice :]]="","",ROW())</f>
        <v>229</v>
      </c>
      <c r="B229" s="278">
        <f ca="1">IF(Table1[Column3]="","",B$1+COUNT(INDIRECT("B$2:B"&amp;ROW()-1)))</f>
        <v>24010042</v>
      </c>
      <c r="C229" s="272">
        <f>IF(Table1[[#This Row],[Column2]]="","",Table1[[#This Row],[Column2]]+C$1-1)</f>
        <v>45318</v>
      </c>
      <c r="D229" s="282">
        <v>27</v>
      </c>
      <c r="E229" s="273" t="s">
        <v>490</v>
      </c>
      <c r="F229" s="271" t="s">
        <v>88</v>
      </c>
      <c r="G229" s="278" t="str">
        <f ca="1">IF(Table1[[#This Row],[h_No. Invoice :]]="","",CONCATENATE("AM"," ",Table1[[#This Row],[h_No. Invoice :]]))</f>
        <v>AM 24010042</v>
      </c>
      <c r="H229" s="271" t="str">
        <f>IF(Table1[[#This Row],[Column5]]="","",INDEX(Table2[Column1],MATCH(Table1[[#This Row],[Column5]],Table2[a],0)))</f>
        <v>KO</v>
      </c>
      <c r="I229" s="279" t="str">
        <f>IF(Table1[[#This Row],[Column3]]=0,"",CONCATENATE(UPPER(Table1[[#This Row],[Column3]])," ",Table1[[#This Row],[Column4]]))</f>
        <v>KO 0720</v>
      </c>
      <c r="J229" s="278" t="str">
        <f>IF(Table1[[#This Row],[Column5]]="","",INDEX(Table2[e],IF(Table1[[#This Row],[Column5]]="","",MATCH(Table1[[#This Row],[Column5]],Table2[a],0)),))</f>
        <v>CV  WISUDA PURWOKERTO</v>
      </c>
      <c r="K229" s="271">
        <v>2</v>
      </c>
      <c r="L229" s="271" t="s">
        <v>137</v>
      </c>
      <c r="N229" s="271" t="s">
        <v>491</v>
      </c>
      <c r="O229" s="278" t="str">
        <f>IF(Table1[[#This Row],[h_Item Description]]="","",INDEX([1]!db[NB PAJAK],MATCH(Table1[[#This Row],[h_Item Description]],[1]!db[kode],0)))</f>
        <v>CUTTER 9 MM KENKO A-300 (KECIL)</v>
      </c>
      <c r="P229" s="271" t="s">
        <v>492</v>
      </c>
      <c r="Q229" s="274">
        <v>57000</v>
      </c>
      <c r="R229" s="275">
        <v>0.1</v>
      </c>
      <c r="S229" s="275"/>
      <c r="T229" s="274">
        <f>Table1[[#This Row],[h_hargasetelahdiskon]]</f>
        <v>102600</v>
      </c>
      <c r="U229" s="274" t="s">
        <v>130</v>
      </c>
      <c r="V229" s="271"/>
      <c r="W229" s="278">
        <f ca="1">IF(Table1[[#This Row],[Item Description]]="","",IF(Table1[[#This Row],[//]]="",INDIRECT(ADDRESS(ROW()-1,COLUMN())),Table1[[#This Row],[//]]))</f>
        <v>229</v>
      </c>
      <c r="X229" s="278">
        <f ca="1">IF(Table1[[#This Row],[h_id]]="","",COUNTIF(Table1[h_id],Table1[[#This Row],[h_id]]))</f>
        <v>2</v>
      </c>
      <c r="Y229" s="274">
        <f>IF(Table1[Item Description]="","",Table1[[#This Row],[Qty]]*Table1[[#This Row],[Unit Price]])</f>
        <v>114000</v>
      </c>
      <c r="Z229" s="274">
        <f>IF(Table1[[#This Row],[h_hargasebelumdiskon]]="","",IF(Table1[[#This Row],[Disc 1]]="",0,Table1[[#This Row],[h_hargasebelumdiskon]]*Table1[[#This Row],[Disc 1]]))</f>
        <v>11400</v>
      </c>
      <c r="AA229" s="274">
        <f>IF(Table1[[#This Row],[h_hargasebelumdiskon]]="","",IF(Table1[[#This Row],[Disc 2]]="",0,(Table1[[#This Row],[h_hargasebelumdiskon]]-Table1[[#This Row],[h_disc 1]])*Table1[[#This Row],[Disc 2]]))</f>
        <v>0</v>
      </c>
      <c r="AB229" s="274">
        <f>IF(Table1[Item Description]="","",Table1[[#This Row],[h_disc 1]]+Table1[[#This Row],[h_disc 2]])</f>
        <v>11400</v>
      </c>
      <c r="AC229" s="274">
        <f>IF(Table1[Item Description]="","",Table1[[#This Row],[h_hargasebelumdiskon]]-Table1[[#This Row],[h_diskon]])</f>
        <v>102600</v>
      </c>
      <c r="AD229" s="274">
        <f ca="1">IF(Table1[//]="","",SUMIF(Table1[h_id],Table1[h_id],Table1[h_hargasetelahdiskon]))</f>
        <v>523800</v>
      </c>
      <c r="AF229" s="274" t="str">
        <f>Table1[[#This Row],[Item Description]]&amp;Table1[[#This Row],[Unit]]&amp;Table1[[#This Row],[Unit Price]]</f>
        <v>CUTTER 9 MM KENKO A-300 (KECIL)LSN57000</v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>
        <v>3</v>
      </c>
      <c r="L230" s="271" t="s">
        <v>137</v>
      </c>
      <c r="N230" s="271" t="s">
        <v>493</v>
      </c>
      <c r="O230" s="278" t="str">
        <f>IF(Table1[[#This Row],[h_Item Description]]="","",INDEX([1]!db[NB PAJAK],MATCH(Table1[[#This Row],[h_Item Description]],[1]!db[kode],0)))</f>
        <v>PUNCH KENKO NO. 30</v>
      </c>
      <c r="P230" s="271" t="s">
        <v>494</v>
      </c>
      <c r="Q230" s="274">
        <v>156000</v>
      </c>
      <c r="R230" s="275">
        <v>0.1</v>
      </c>
      <c r="S230" s="275"/>
      <c r="T230" s="274">
        <f>Table1[[#This Row],[h_hargasetelahdiskon]]</f>
        <v>421200</v>
      </c>
      <c r="V230" s="271"/>
      <c r="W230" s="278">
        <f ca="1">IF(Table1[[#This Row],[Item Description]]="","",IF(Table1[[#This Row],[//]]="",INDIRECT(ADDRESS(ROW()-1,COLUMN())),Table1[[#This Row],[//]]))</f>
        <v>229</v>
      </c>
      <c r="X230" s="278">
        <f ca="1">IF(Table1[[#This Row],[h_id]]="","",COUNTIF(Table1[h_id],Table1[[#This Row],[h_id]]))</f>
        <v>2</v>
      </c>
      <c r="Y230" s="274">
        <f>IF(Table1[Item Description]="","",Table1[[#This Row],[Qty]]*Table1[[#This Row],[Unit Price]])</f>
        <v>468000</v>
      </c>
      <c r="Z230" s="274">
        <f>IF(Table1[[#This Row],[h_hargasebelumdiskon]]="","",IF(Table1[[#This Row],[Disc 1]]="",0,Table1[[#This Row],[h_hargasebelumdiskon]]*Table1[[#This Row],[Disc 1]]))</f>
        <v>46800</v>
      </c>
      <c r="AA230" s="274">
        <f>IF(Table1[[#This Row],[h_hargasebelumdiskon]]="","",IF(Table1[[#This Row],[Disc 2]]="",0,(Table1[[#This Row],[h_hargasebelumdiskon]]-Table1[[#This Row],[h_disc 1]])*Table1[[#This Row],[Disc 2]]))</f>
        <v>0</v>
      </c>
      <c r="AB230" s="274">
        <f>IF(Table1[Item Description]="","",Table1[[#This Row],[h_disc 1]]+Table1[[#This Row],[h_disc 2]])</f>
        <v>46800</v>
      </c>
      <c r="AC230" s="274">
        <f>IF(Table1[Item Description]="","",Table1[[#This Row],[h_hargasebelumdiskon]]-Table1[[#This Row],[h_diskon]])</f>
        <v>421200</v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>PUNCH KENKO NO. 30LSN156000</v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>
        <f ca="1">IF(Table1[[#This Row],[No. Invoice :]]="","",ROW())</f>
        <v>232</v>
      </c>
      <c r="B232" s="278">
        <f ca="1">IF(Table1[Column3]="","",B$1+COUNT(INDIRECT("B$2:B"&amp;ROW()-1)))</f>
        <v>24010043</v>
      </c>
      <c r="C232" s="272">
        <f>IF(Table1[[#This Row],[Column2]]="","",Table1[[#This Row],[Column2]]+C$1-1)</f>
        <v>45318</v>
      </c>
      <c r="D232" s="282">
        <v>27</v>
      </c>
      <c r="E232" s="273" t="s">
        <v>495</v>
      </c>
      <c r="F232" s="271" t="s">
        <v>39</v>
      </c>
      <c r="G232" s="278" t="str">
        <f ca="1">IF(Table1[[#This Row],[h_No. Invoice :]]="","",CONCATENATE("AM"," ",Table1[[#This Row],[h_No. Invoice :]]))</f>
        <v>AM 24010043</v>
      </c>
      <c r="H232" s="271" t="str">
        <f>IF(Table1[[#This Row],[Column5]]="","",INDEX(Table2[Column1],MATCH(Table1[[#This Row],[Column5]],Table2[a],0)))</f>
        <v>KO</v>
      </c>
      <c r="I232" s="279" t="str">
        <f>IF(Table1[[#This Row],[Column3]]=0,"",CONCATENATE(UPPER(Table1[[#This Row],[Column3]])," ",Table1[[#This Row],[Column4]]))</f>
        <v>KO 0914</v>
      </c>
      <c r="J232" s="278" t="str">
        <f>IF(Table1[[#This Row],[Column5]]="","",INDEX(Table2[e],IF(Table1[[#This Row],[Column5]]="","",MATCH(Table1[[#This Row],[Column5]],Table2[a],0)),))</f>
        <v>CV TRINITY CENTRAAL PURWOKERTO</v>
      </c>
      <c r="K232" s="271">
        <v>10</v>
      </c>
      <c r="L232" s="271" t="s">
        <v>136</v>
      </c>
      <c r="N232" s="271" t="s">
        <v>498</v>
      </c>
      <c r="O232" s="278" t="str">
        <f>IF(Table1[[#This Row],[h_Item Description]]="","",INDEX([1]!db[NB PAJAK],MATCH(Table1[[#This Row],[h_Item Description]],[1]!db[kode],0)))</f>
        <v>KARTU STOCK FOLIO</v>
      </c>
      <c r="P232" s="271" t="s">
        <v>499</v>
      </c>
      <c r="Q232" s="274">
        <v>37500</v>
      </c>
      <c r="R232" s="275"/>
      <c r="S232" s="275"/>
      <c r="T232" s="274">
        <f>Table1[[#This Row],[h_hargasetelahdiskon]]</f>
        <v>375000</v>
      </c>
      <c r="U232" s="274" t="s">
        <v>130</v>
      </c>
      <c r="V232" s="271"/>
      <c r="W232" s="278">
        <f ca="1">IF(Table1[[#This Row],[Item Description]]="","",IF(Table1[[#This Row],[//]]="",INDIRECT(ADDRESS(ROW()-1,COLUMN())),Table1[[#This Row],[//]]))</f>
        <v>232</v>
      </c>
      <c r="X232" s="278">
        <f ca="1">IF(Table1[[#This Row],[h_id]]="","",COUNTIF(Table1[h_id],Table1[[#This Row],[h_id]]))</f>
        <v>2</v>
      </c>
      <c r="Y232" s="274">
        <f>IF(Table1[Item Description]="","",Table1[[#This Row],[Qty]]*Table1[[#This Row],[Unit Price]])</f>
        <v>375000</v>
      </c>
      <c r="Z232" s="274">
        <f>IF(Table1[[#This Row],[h_hargasebelumdiskon]]="","",IF(Table1[[#This Row],[Disc 1]]="",0,Table1[[#This Row],[h_hargasebelumdiskon]]*Table1[[#This Row],[Disc 1]]))</f>
        <v>0</v>
      </c>
      <c r="AA232" s="274">
        <f>IF(Table1[[#This Row],[h_hargasebelumdiskon]]="","",IF(Table1[[#This Row],[Disc 2]]="",0,(Table1[[#This Row],[h_hargasebelumdiskon]]-Table1[[#This Row],[h_disc 1]])*Table1[[#This Row],[Disc 2]]))</f>
        <v>0</v>
      </c>
      <c r="AB232" s="274">
        <f>IF(Table1[Item Description]="","",Table1[[#This Row],[h_disc 1]]+Table1[[#This Row],[h_disc 2]])</f>
        <v>0</v>
      </c>
      <c r="AC232" s="274">
        <f>IF(Table1[Item Description]="","",Table1[[#This Row],[h_hargasebelumdiskon]]-Table1[[#This Row],[h_diskon]])</f>
        <v>375000</v>
      </c>
      <c r="AD232" s="274">
        <f ca="1">IF(Table1[//]="","",SUMIF(Table1[h_id],Table1[h_id],Table1[h_hargasetelahdiskon]))</f>
        <v>1135000</v>
      </c>
      <c r="AF232" s="274" t="str">
        <f>Table1[[#This Row],[Item Description]]&amp;Table1[[#This Row],[Unit]]&amp;Table1[[#This Row],[Unit Price]]</f>
        <v>KARTU STOCK FOLIOPAK37500</v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>
        <v>40</v>
      </c>
      <c r="L233" s="271" t="s">
        <v>136</v>
      </c>
      <c r="N233" s="271" t="s">
        <v>496</v>
      </c>
      <c r="O233" s="278" t="str">
        <f>IF(Table1[[#This Row],[h_Item Description]]="","",INDEX([1]!db[NB PAJAK],MATCH(Table1[[#This Row],[h_Item Description]],[1]!db[kode],0)))</f>
        <v>KARTU STOCK KWARTO</v>
      </c>
      <c r="P233" s="271" t="s">
        <v>497</v>
      </c>
      <c r="Q233" s="274">
        <v>19000</v>
      </c>
      <c r="R233" s="275"/>
      <c r="S233" s="275"/>
      <c r="T233" s="274">
        <f>Table1[[#This Row],[h_hargasetelahdiskon]]</f>
        <v>760000</v>
      </c>
      <c r="V233" s="271"/>
      <c r="W233" s="278">
        <f ca="1">IF(Table1[[#This Row],[Item Description]]="","",IF(Table1[[#This Row],[//]]="",INDIRECT(ADDRESS(ROW()-1,COLUMN())),Table1[[#This Row],[//]]))</f>
        <v>232</v>
      </c>
      <c r="X233" s="278">
        <f ca="1">IF(Table1[[#This Row],[h_id]]="","",COUNTIF(Table1[h_id],Table1[[#This Row],[h_id]]))</f>
        <v>2</v>
      </c>
      <c r="Y233" s="274">
        <f>IF(Table1[Item Description]="","",Table1[[#This Row],[Qty]]*Table1[[#This Row],[Unit Price]])</f>
        <v>760000</v>
      </c>
      <c r="Z233" s="274">
        <f>IF(Table1[[#This Row],[h_hargasebelumdiskon]]="","",IF(Table1[[#This Row],[Disc 1]]="",0,Table1[[#This Row],[h_hargasebelumdiskon]]*Table1[[#This Row],[Disc 1]]))</f>
        <v>0</v>
      </c>
      <c r="AA233" s="274">
        <f>IF(Table1[[#This Row],[h_hargasebelumdiskon]]="","",IF(Table1[[#This Row],[Disc 2]]="",0,(Table1[[#This Row],[h_hargasebelumdiskon]]-Table1[[#This Row],[h_disc 1]])*Table1[[#This Row],[Disc 2]]))</f>
        <v>0</v>
      </c>
      <c r="AB233" s="274">
        <f>IF(Table1[Item Description]="","",Table1[[#This Row],[h_disc 1]]+Table1[[#This Row],[h_disc 2]])</f>
        <v>0</v>
      </c>
      <c r="AC233" s="274">
        <f>IF(Table1[Item Description]="","",Table1[[#This Row],[h_hargasebelumdiskon]]-Table1[[#This Row],[h_diskon]])</f>
        <v>760000</v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>KARTU STOCK KWARTOPAK19000</v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>
        <f ca="1">IF(Table1[[#This Row],[No. Invoice :]]="","",ROW())</f>
        <v>235</v>
      </c>
      <c r="B235" s="278">
        <f ca="1">IF(Table1[Column3]="","",B$1+COUNT(INDIRECT("B$2:B"&amp;ROW()-1)))</f>
        <v>24010044</v>
      </c>
      <c r="C235" s="272">
        <f>IF(Table1[[#This Row],[Column2]]="","",Table1[[#This Row],[Column2]]+C$1-1)</f>
        <v>45320</v>
      </c>
      <c r="D235" s="282">
        <v>29</v>
      </c>
      <c r="E235" s="273" t="s">
        <v>500</v>
      </c>
      <c r="F235" s="271" t="s">
        <v>366</v>
      </c>
      <c r="G235" s="278" t="str">
        <f ca="1">IF(Table1[[#This Row],[h_No. Invoice :]]="","",CONCATENATE("AM"," ",Table1[[#This Row],[h_No. Invoice :]]))</f>
        <v>AM 24010044</v>
      </c>
      <c r="H235" s="271" t="str">
        <f>IF(Table1[[#This Row],[Column5]]="","",INDEX(Table2[Column1],MATCH(Table1[[#This Row],[Column5]],Table2[a],0)))</f>
        <v>KO</v>
      </c>
      <c r="I235" s="279" t="str">
        <f>IF(Table1[[#This Row],[Column3]]=0,"",CONCATENATE(UPPER(Table1[[#This Row],[Column3]])," ",Table1[[#This Row],[Column4]]))</f>
        <v>KO 3108</v>
      </c>
      <c r="J235" s="278" t="str">
        <f>IF(Table1[[#This Row],[Column5]]="","",INDEX(Table2[e],IF(Table1[[#This Row],[Column5]]="","",MATCH(Table1[[#This Row],[Column5]],Table2[a],0)),))</f>
        <v>CV LANCAR JAYA SENTOSA MALANG</v>
      </c>
      <c r="K235" s="271">
        <v>500</v>
      </c>
      <c r="L235" s="271" t="s">
        <v>136</v>
      </c>
      <c r="M235" s="271">
        <v>5</v>
      </c>
      <c r="N235" s="271" t="s">
        <v>335</v>
      </c>
      <c r="O235" s="278" t="str">
        <f>IF(Table1[[#This Row],[h_Item Description]]="","",INDEX([1]!db[NB PAJAK],MATCH(Table1[[#This Row],[h_Item Description]],[1]!db[kode],0)))</f>
        <v>ISI STAPLER (STAPLES) GREATWALL GW-NO. 10 (KECIL)</v>
      </c>
      <c r="P235" s="271" t="s">
        <v>336</v>
      </c>
      <c r="Q235" s="274">
        <v>13100</v>
      </c>
      <c r="R235" s="275"/>
      <c r="S235" s="275"/>
      <c r="T235" s="274">
        <f>Table1[[#This Row],[h_hargasetelahdiskon]]</f>
        <v>6550000</v>
      </c>
      <c r="U235" s="274" t="s">
        <v>130</v>
      </c>
      <c r="V235" s="271"/>
      <c r="W235" s="278">
        <f ca="1">IF(Table1[[#This Row],[Item Description]]="","",IF(Table1[[#This Row],[//]]="",INDIRECT(ADDRESS(ROW()-1,COLUMN())),Table1[[#This Row],[//]]))</f>
        <v>235</v>
      </c>
      <c r="X235" s="278">
        <f ca="1">IF(Table1[[#This Row],[h_id]]="","",COUNTIF(Table1[h_id],Table1[[#This Row],[h_id]]))</f>
        <v>1</v>
      </c>
      <c r="Y235" s="274">
        <f>IF(Table1[Item Description]="","",Table1[[#This Row],[Qty]]*Table1[[#This Row],[Unit Price]])</f>
        <v>6550000</v>
      </c>
      <c r="Z235" s="274">
        <f>IF(Table1[[#This Row],[h_hargasebelumdiskon]]="","",IF(Table1[[#This Row],[Disc 1]]="",0,Table1[[#This Row],[h_hargasebelumdiskon]]*Table1[[#This Row],[Disc 1]]))</f>
        <v>0</v>
      </c>
      <c r="AA235" s="274">
        <f>IF(Table1[[#This Row],[h_hargasebelumdiskon]]="","",IF(Table1[[#This Row],[Disc 2]]="",0,(Table1[[#This Row],[h_hargasebelumdiskon]]-Table1[[#This Row],[h_disc 1]])*Table1[[#This Row],[Disc 2]]))</f>
        <v>0</v>
      </c>
      <c r="AB235" s="274">
        <f>IF(Table1[Item Description]="","",Table1[[#This Row],[h_disc 1]]+Table1[[#This Row],[h_disc 2]])</f>
        <v>0</v>
      </c>
      <c r="AC235" s="274">
        <f>IF(Table1[Item Description]="","",Table1[[#This Row],[h_hargasebelumdiskon]]-Table1[[#This Row],[h_diskon]])</f>
        <v>6550000</v>
      </c>
      <c r="AD235" s="274">
        <f ca="1">IF(Table1[//]="","",SUMIF(Table1[h_id],Table1[h_id],Table1[h_hargasetelahdiskon]))</f>
        <v>6550000</v>
      </c>
      <c r="AF235" s="274" t="str">
        <f>Table1[[#This Row],[Item Description]]&amp;Table1[[#This Row],[Unit]]&amp;Table1[[#This Row],[Unit Price]]</f>
        <v>ISI STAPLER (STAPLES) GREATWALL GW-NO. 10 (KECIL)PAK13100</v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>
        <f ca="1">IF(Table1[[#This Row],[No. Invoice :]]="","",ROW())</f>
        <v>237</v>
      </c>
      <c r="B237" s="278">
        <f ca="1">IF(Table1[Column3]="","",B$1+COUNT(INDIRECT("B$2:B"&amp;ROW()-1)))</f>
        <v>24010045</v>
      </c>
      <c r="C237" s="272">
        <f>IF(Table1[[#This Row],[Column2]]="","",Table1[[#This Row],[Column2]]+C$1-1)</f>
        <v>45322</v>
      </c>
      <c r="D237" s="282">
        <v>31</v>
      </c>
      <c r="E237" s="273" t="s">
        <v>509</v>
      </c>
      <c r="F237" s="271" t="s">
        <v>366</v>
      </c>
      <c r="G237" s="278" t="str">
        <f ca="1">IF(Table1[[#This Row],[h_No. Invoice :]]="","",CONCATENATE("AM"," ",Table1[[#This Row],[h_No. Invoice :]]))</f>
        <v>AM 24010045</v>
      </c>
      <c r="H237" s="271" t="str">
        <f>IF(Table1[[#This Row],[Column5]]="","",INDEX(Table2[Column1],MATCH(Table1[[#This Row],[Column5]],Table2[a],0)))</f>
        <v>KO</v>
      </c>
      <c r="I237" s="279" t="str">
        <f>IF(Table1[[#This Row],[Column3]]=0,"",CONCATENATE(UPPER(Table1[[#This Row],[Column3]])," ",Table1[[#This Row],[Column4]]))</f>
        <v>KO 5000</v>
      </c>
      <c r="J237" s="278" t="str">
        <f>IF(Table1[[#This Row],[Column5]]="","",INDEX(Table2[e],IF(Table1[[#This Row],[Column5]]="","",MATCH(Table1[[#This Row],[Column5]],Table2[a],0)),))</f>
        <v>CV LANCAR JAYA SENTOSA MALANG</v>
      </c>
      <c r="K237" s="271">
        <v>144</v>
      </c>
      <c r="L237" s="271" t="s">
        <v>137</v>
      </c>
      <c r="M237" s="271">
        <v>1</v>
      </c>
      <c r="N237" s="271" t="s">
        <v>485</v>
      </c>
      <c r="O237" s="278" t="str">
        <f>IF(Table1[[#This Row],[h_Item Description]]="","",INDEX([1]!db[NB PAJAK],MATCH(Table1[[#This Row],[h_Item Description]],[1]!db[kode],0)))</f>
        <v>GEL PEN KENKO HI-TECH-H 0.28 MM BIRU</v>
      </c>
      <c r="P237" s="271" t="s">
        <v>486</v>
      </c>
      <c r="Q237" s="274">
        <v>39000</v>
      </c>
      <c r="R237" s="275">
        <v>0.125</v>
      </c>
      <c r="S237" s="275"/>
      <c r="T237" s="274">
        <f>Table1[[#This Row],[h_hargasetelahdiskon]]</f>
        <v>4914000</v>
      </c>
      <c r="U237" s="274" t="s">
        <v>130</v>
      </c>
      <c r="V237" s="271"/>
      <c r="W237" s="278">
        <f ca="1">IF(Table1[[#This Row],[Item Description]]="","",IF(Table1[[#This Row],[//]]="",INDIRECT(ADDRESS(ROW()-1,COLUMN())),Table1[[#This Row],[//]]))</f>
        <v>237</v>
      </c>
      <c r="X237" s="278">
        <f ca="1">IF(Table1[[#This Row],[h_id]]="","",COUNTIF(Table1[h_id],Table1[[#This Row],[h_id]]))</f>
        <v>2</v>
      </c>
      <c r="Y237" s="274">
        <f>IF(Table1[Item Description]="","",Table1[[#This Row],[Qty]]*Table1[[#This Row],[Unit Price]])</f>
        <v>5616000</v>
      </c>
      <c r="Z237" s="274">
        <f>IF(Table1[[#This Row],[h_hargasebelumdiskon]]="","",IF(Table1[[#This Row],[Disc 1]]="",0,Table1[[#This Row],[h_hargasebelumdiskon]]*Table1[[#This Row],[Disc 1]]))</f>
        <v>702000</v>
      </c>
      <c r="AA237" s="274">
        <f>IF(Table1[[#This Row],[h_hargasebelumdiskon]]="","",IF(Table1[[#This Row],[Disc 2]]="",0,(Table1[[#This Row],[h_hargasebelumdiskon]]-Table1[[#This Row],[h_disc 1]])*Table1[[#This Row],[Disc 2]]))</f>
        <v>0</v>
      </c>
      <c r="AB237" s="274">
        <f>IF(Table1[Item Description]="","",Table1[[#This Row],[h_disc 1]]+Table1[[#This Row],[h_disc 2]])</f>
        <v>702000</v>
      </c>
      <c r="AC237" s="274">
        <f>IF(Table1[Item Description]="","",Table1[[#This Row],[h_hargasebelumdiskon]]-Table1[[#This Row],[h_diskon]])</f>
        <v>4914000</v>
      </c>
      <c r="AD237" s="274">
        <f ca="1">IF(Table1[//]="","",SUMIF(Table1[h_id],Table1[h_id],Table1[h_hargasetelahdiskon]))</f>
        <v>14742000</v>
      </c>
      <c r="AF237" s="274" t="str">
        <f>Table1[[#This Row],[Item Description]]&amp;Table1[[#This Row],[Unit]]&amp;Table1[[#This Row],[Unit Price]]</f>
        <v>GEL PEN KENKO HI-TECH-H 0.28 MM BIRULSN39000</v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>
        <v>288</v>
      </c>
      <c r="L238" s="271" t="s">
        <v>137</v>
      </c>
      <c r="M238" s="271">
        <v>2</v>
      </c>
      <c r="N238" s="271" t="s">
        <v>367</v>
      </c>
      <c r="O238" s="278" t="str">
        <f>IF(Table1[[#This Row],[h_Item Description]]="","",INDEX([1]!db[NB PAJAK],MATCH(Table1[[#This Row],[h_Item Description]],[1]!db[kode],0)))</f>
        <v>GEL PEN KENKO HI-TECH-H 0.28 MM HITAM</v>
      </c>
      <c r="P238" s="271" t="s">
        <v>368</v>
      </c>
      <c r="Q238" s="274">
        <v>39000</v>
      </c>
      <c r="R238" s="275">
        <v>0.125</v>
      </c>
      <c r="S238" s="275"/>
      <c r="T238" s="274">
        <f>Table1[[#This Row],[h_hargasetelahdiskon]]</f>
        <v>9828000</v>
      </c>
      <c r="V238" s="271"/>
      <c r="W238" s="278">
        <f ca="1">IF(Table1[[#This Row],[Item Description]]="","",IF(Table1[[#This Row],[//]]="",INDIRECT(ADDRESS(ROW()-1,COLUMN())),Table1[[#This Row],[//]]))</f>
        <v>237</v>
      </c>
      <c r="X238" s="278">
        <f ca="1">IF(Table1[[#This Row],[h_id]]="","",COUNTIF(Table1[h_id],Table1[[#This Row],[h_id]]))</f>
        <v>2</v>
      </c>
      <c r="Y238" s="274">
        <f>IF(Table1[Item Description]="","",Table1[[#This Row],[Qty]]*Table1[[#This Row],[Unit Price]])</f>
        <v>11232000</v>
      </c>
      <c r="Z238" s="274">
        <f>IF(Table1[[#This Row],[h_hargasebelumdiskon]]="","",IF(Table1[[#This Row],[Disc 1]]="",0,Table1[[#This Row],[h_hargasebelumdiskon]]*Table1[[#This Row],[Disc 1]]))</f>
        <v>1404000</v>
      </c>
      <c r="AA238" s="274">
        <f>IF(Table1[[#This Row],[h_hargasebelumdiskon]]="","",IF(Table1[[#This Row],[Disc 2]]="",0,(Table1[[#This Row],[h_hargasebelumdiskon]]-Table1[[#This Row],[h_disc 1]])*Table1[[#This Row],[Disc 2]]))</f>
        <v>0</v>
      </c>
      <c r="AB238" s="274">
        <f>IF(Table1[Item Description]="","",Table1[[#This Row],[h_disc 1]]+Table1[[#This Row],[h_disc 2]])</f>
        <v>1404000</v>
      </c>
      <c r="AC238" s="274">
        <f>IF(Table1[Item Description]="","",Table1[[#This Row],[h_hargasebelumdiskon]]-Table1[[#This Row],[h_diskon]])</f>
        <v>9828000</v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>GEL PEN KENKO HI-TECH-H 0.28 MM HITAMLSN39000</v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>
        <f ca="1">IF(Table1[[#This Row],[No. Invoice :]]="","",ROW())</f>
        <v>240</v>
      </c>
      <c r="B240" s="278">
        <f ca="1">IF(Table1[Column3]="","",B$1+COUNT(INDIRECT("B$2:B"&amp;ROW()-1)))</f>
        <v>24010046</v>
      </c>
      <c r="C240" s="272">
        <f>IF(Table1[[#This Row],[Column2]]="","",Table1[[#This Row],[Column2]]+C$1-1)</f>
        <v>45322</v>
      </c>
      <c r="D240" s="282">
        <v>31</v>
      </c>
      <c r="E240" s="273" t="s">
        <v>510</v>
      </c>
      <c r="F240" s="271" t="s">
        <v>192</v>
      </c>
      <c r="G240" s="278" t="str">
        <f ca="1">IF(Table1[[#This Row],[h_No. Invoice :]]="","",CONCATENATE("AM"," ",Table1[[#This Row],[h_No. Invoice :]]))</f>
        <v>AM 24010046</v>
      </c>
      <c r="H240" s="271" t="str">
        <f>IF(Table1[[#This Row],[Column5]]="","",INDEX(Table2[Column1],MATCH(Table1[[#This Row],[Column5]],Table2[a],0)))</f>
        <v>KO</v>
      </c>
      <c r="I240" s="279" t="str">
        <f>IF(Table1[[#This Row],[Column3]]=0,"",CONCATENATE(UPPER(Table1[[#This Row],[Column3]])," ",Table1[[#This Row],[Column4]]))</f>
        <v>KO 2572</v>
      </c>
      <c r="J240" s="278" t="str">
        <f>IF(Table1[[#This Row],[Column5]]="","",INDEX(Table2[e],IF(Table1[[#This Row],[Column5]]="","",MATCH(Table1[[#This Row],[Column5]],Table2[a],0)),))</f>
        <v>CV PELITA JAYA (ANUGERAH SEJAHTERA) PURWOKERTO</v>
      </c>
      <c r="K240" s="271">
        <v>144</v>
      </c>
      <c r="L240" s="271" t="s">
        <v>137</v>
      </c>
      <c r="M240" s="271">
        <v>1</v>
      </c>
      <c r="N240" s="271" t="s">
        <v>367</v>
      </c>
      <c r="O240" s="278" t="str">
        <f>IF(Table1[[#This Row],[h_Item Description]]="","",INDEX([1]!db[NB PAJAK],MATCH(Table1[[#This Row],[h_Item Description]],[1]!db[kode],0)))</f>
        <v>GEL PEN KENKO HI-TECH-H 0.28 MM HITAM</v>
      </c>
      <c r="P240" s="271" t="s">
        <v>368</v>
      </c>
      <c r="Q240" s="274">
        <v>39000</v>
      </c>
      <c r="R240" s="275">
        <v>0.13500000000000001</v>
      </c>
      <c r="S240" s="275"/>
      <c r="T240" s="274">
        <f>Table1[[#This Row],[h_hargasetelahdiskon]]</f>
        <v>4857840</v>
      </c>
      <c r="U240" s="274" t="s">
        <v>130</v>
      </c>
      <c r="V240" s="271"/>
      <c r="W240" s="278">
        <f ca="1">IF(Table1[[#This Row],[Item Description]]="","",IF(Table1[[#This Row],[//]]="",INDIRECT(ADDRESS(ROW()-1,COLUMN())),Table1[[#This Row],[//]]))</f>
        <v>240</v>
      </c>
      <c r="X240" s="278">
        <f ca="1">IF(Table1[[#This Row],[h_id]]="","",COUNTIF(Table1[h_id],Table1[[#This Row],[h_id]]))</f>
        <v>1</v>
      </c>
      <c r="Y240" s="274">
        <f>IF(Table1[Item Description]="","",Table1[[#This Row],[Qty]]*Table1[[#This Row],[Unit Price]])</f>
        <v>5616000</v>
      </c>
      <c r="Z240" s="274">
        <f>IF(Table1[[#This Row],[h_hargasebelumdiskon]]="","",IF(Table1[[#This Row],[Disc 1]]="",0,Table1[[#This Row],[h_hargasebelumdiskon]]*Table1[[#This Row],[Disc 1]]))</f>
        <v>758160</v>
      </c>
      <c r="AA240" s="274">
        <f>IF(Table1[[#This Row],[h_hargasebelumdiskon]]="","",IF(Table1[[#This Row],[Disc 2]]="",0,(Table1[[#This Row],[h_hargasebelumdiskon]]-Table1[[#This Row],[h_disc 1]])*Table1[[#This Row],[Disc 2]]))</f>
        <v>0</v>
      </c>
      <c r="AB240" s="274">
        <f>IF(Table1[Item Description]="","",Table1[[#This Row],[h_disc 1]]+Table1[[#This Row],[h_disc 2]])</f>
        <v>758160</v>
      </c>
      <c r="AC240" s="274">
        <f>IF(Table1[Item Description]="","",Table1[[#This Row],[h_hargasebelumdiskon]]-Table1[[#This Row],[h_diskon]])</f>
        <v>4857840</v>
      </c>
      <c r="AD240" s="274">
        <f ca="1">IF(Table1[//]="","",SUMIF(Table1[h_id],Table1[h_id],Table1[h_hargasetelahdiskon]))</f>
        <v>4857840</v>
      </c>
      <c r="AF240" s="274" t="str">
        <f>Table1[[#This Row],[Item Description]]&amp;Table1[[#This Row],[Unit]]&amp;Table1[[#This Row],[Unit Price]]</f>
        <v>GEL PEN KENKO HI-TECH-H 0.28 MM HITAMLSN39000</v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>
        <f ca="1">IF(Table1[[#This Row],[No. Invoice :]]="","",ROW())</f>
        <v>242</v>
      </c>
      <c r="B242" s="278">
        <f ca="1">IF(Table1[Column3]="","",B$1+COUNT(INDIRECT("B$2:B"&amp;ROW()-1)))</f>
        <v>24010047</v>
      </c>
      <c r="C242" s="272">
        <f>IF(Table1[[#This Row],[Column2]]="","",Table1[[#This Row],[Column2]]+C$1-1)</f>
        <v>45322</v>
      </c>
      <c r="D242" s="282">
        <v>31</v>
      </c>
      <c r="E242" s="273" t="s">
        <v>511</v>
      </c>
      <c r="F242" s="271" t="s">
        <v>439</v>
      </c>
      <c r="G242" s="278" t="str">
        <f ca="1">IF(Table1[[#This Row],[h_No. Invoice :]]="","",CONCATENATE("AM"," ",Table1[[#This Row],[h_No. Invoice :]]))</f>
        <v>AM 24010047</v>
      </c>
      <c r="H242" s="271" t="str">
        <f>IF(Table1[[#This Row],[Column5]]="","",INDEX(Table2[Column1],MATCH(Table1[[#This Row],[Column5]],Table2[a],0)))</f>
        <v>KO</v>
      </c>
      <c r="I242" s="279" t="str">
        <f>IF(Table1[[#This Row],[Column3]]=0,"",CONCATENATE(UPPER(Table1[[#This Row],[Column3]])," ",Table1[[#This Row],[Column4]]))</f>
        <v>KO 2571</v>
      </c>
      <c r="J242" s="278" t="str">
        <f>IF(Table1[[#This Row],[Column5]]="","",INDEX(Table2[e],IF(Table1[[#This Row],[Column5]]="","",MATCH(Table1[[#This Row],[Column5]],Table2[a],0)),))</f>
        <v>HARNOYO (BENDAN) PEKALONGAN</v>
      </c>
      <c r="K242" s="271">
        <v>20</v>
      </c>
      <c r="L242" s="271" t="s">
        <v>244</v>
      </c>
      <c r="M242" s="271">
        <v>1</v>
      </c>
      <c r="N242" s="271" t="s">
        <v>489</v>
      </c>
      <c r="O242" s="278" t="str">
        <f>IF(Table1[[#This Row],[h_Item Description]]="","",INDEX([1]!db[NB PAJAK],MATCH(Table1[[#This Row],[h_Item Description]],[1]!db[kode],0)))</f>
        <v>BINDER CLIP KENKO NO. 155</v>
      </c>
      <c r="P242" s="271" t="s">
        <v>303</v>
      </c>
      <c r="Q242" s="274">
        <v>69000</v>
      </c>
      <c r="R242" s="275">
        <v>0.14000000000000001</v>
      </c>
      <c r="S242" s="275"/>
      <c r="T242" s="274">
        <f>Table1[[#This Row],[h_hargasetelahdiskon]]</f>
        <v>1186800</v>
      </c>
      <c r="U242" s="274" t="s">
        <v>130</v>
      </c>
      <c r="V242" s="271"/>
      <c r="W242" s="278">
        <f ca="1">IF(Table1[[#This Row],[Item Description]]="","",IF(Table1[[#This Row],[//]]="",INDIRECT(ADDRESS(ROW()-1,COLUMN())),Table1[[#This Row],[//]]))</f>
        <v>242</v>
      </c>
      <c r="X242" s="278">
        <f ca="1">IF(Table1[[#This Row],[h_id]]="","",COUNTIF(Table1[h_id],Table1[[#This Row],[h_id]]))</f>
        <v>1</v>
      </c>
      <c r="Y242" s="274">
        <f>IF(Table1[Item Description]="","",Table1[[#This Row],[Qty]]*Table1[[#This Row],[Unit Price]])</f>
        <v>1380000</v>
      </c>
      <c r="Z242" s="274">
        <f>IF(Table1[[#This Row],[h_hargasebelumdiskon]]="","",IF(Table1[[#This Row],[Disc 1]]="",0,Table1[[#This Row],[h_hargasebelumdiskon]]*Table1[[#This Row],[Disc 1]]))</f>
        <v>193200.00000000003</v>
      </c>
      <c r="AA242" s="274">
        <f>IF(Table1[[#This Row],[h_hargasebelumdiskon]]="","",IF(Table1[[#This Row],[Disc 2]]="",0,(Table1[[#This Row],[h_hargasebelumdiskon]]-Table1[[#This Row],[h_disc 1]])*Table1[[#This Row],[Disc 2]]))</f>
        <v>0</v>
      </c>
      <c r="AB242" s="274">
        <f>IF(Table1[Item Description]="","",Table1[[#This Row],[h_disc 1]]+Table1[[#This Row],[h_disc 2]])</f>
        <v>193200.00000000003</v>
      </c>
      <c r="AC242" s="274">
        <f>IF(Table1[Item Description]="","",Table1[[#This Row],[h_hargasebelumdiskon]]-Table1[[#This Row],[h_diskon]])</f>
        <v>1186800</v>
      </c>
      <c r="AD242" s="274">
        <f ca="1">IF(Table1[//]="","",SUMIF(Table1[h_id],Table1[h_id],Table1[h_hargasetelahdiskon]))</f>
        <v>1186800</v>
      </c>
      <c r="AF242" s="274" t="str">
        <f>Table1[[#This Row],[Item Description]]&amp;Table1[[#This Row],[Unit]]&amp;Table1[[#This Row],[Unit Price]]</f>
        <v>BINDER CLIP KENKO NO. 155GRS69000</v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>
        <f ca="1">IF(Table1[[#This Row],[No. Invoice :]]="","",ROW())</f>
        <v>244</v>
      </c>
      <c r="B244" s="278">
        <f ca="1">IF(Table1[Column3]="","",B$1+COUNT(INDIRECT("B$2:B"&amp;ROW()-1)))</f>
        <v>24010048</v>
      </c>
      <c r="C244" s="272">
        <f>IF(Table1[[#This Row],[Column2]]="","",Table1[[#This Row],[Column2]]+C$1-1)</f>
        <v>45322</v>
      </c>
      <c r="D244" s="282">
        <v>31</v>
      </c>
      <c r="E244" s="273" t="s">
        <v>512</v>
      </c>
      <c r="F244" s="271" t="s">
        <v>146</v>
      </c>
      <c r="G244" s="278" t="str">
        <f ca="1">IF(Table1[[#This Row],[h_No. Invoice :]]="","",CONCATENATE("AM"," ",Table1[[#This Row],[h_No. Invoice :]]))</f>
        <v>AM 24010048</v>
      </c>
      <c r="H244" s="271" t="str">
        <f>IF(Table1[[#This Row],[Column5]]="","",INDEX(Table2[Column1],MATCH(Table1[[#This Row],[Column5]],Table2[a],0)))</f>
        <v>G</v>
      </c>
      <c r="I244" s="279" t="str">
        <f>IF(Table1[[#This Row],[Column3]]=0,"",CONCATENATE(UPPER(Table1[[#This Row],[Column3]])," ",Table1[[#This Row],[Column4]]))</f>
        <v>G 2556</v>
      </c>
      <c r="J244" s="278" t="str">
        <f>IF(Table1[[#This Row],[Column5]]="","",INDEX(Table2[e],IF(Table1[[#This Row],[Column5]]="","",MATCH(Table1[[#This Row],[Column5]],Table2[a],0)),))</f>
        <v>LILY JULIAWATI (REJO AGUNG) JOMBANG</v>
      </c>
      <c r="K244" s="271">
        <v>12</v>
      </c>
      <c r="L244" s="271" t="s">
        <v>150</v>
      </c>
      <c r="M244" s="271">
        <v>1</v>
      </c>
      <c r="N244" s="271" t="s">
        <v>371</v>
      </c>
      <c r="O244" s="278" t="str">
        <f>IF(Table1[[#This Row],[h_Item Description]]="","",INDEX([1]!db[NB PAJAK],MATCH(Table1[[#This Row],[h_Item Description]],[1]!db[kode],0)))</f>
        <v>STAPLER HEAVY DUTY JOYKO HD-12N/13</v>
      </c>
      <c r="P244" s="271" t="s">
        <v>377</v>
      </c>
      <c r="Q244" s="274">
        <v>97000</v>
      </c>
      <c r="R244" s="275">
        <v>0.125</v>
      </c>
      <c r="S244" s="275"/>
      <c r="T244" s="274">
        <f>Table1[[#This Row],[h_hargasetelahdiskon]]</f>
        <v>1018500</v>
      </c>
      <c r="U244" s="274" t="s">
        <v>130</v>
      </c>
      <c r="V244" s="271"/>
      <c r="W244" s="278">
        <f ca="1">IF(Table1[[#This Row],[Item Description]]="","",IF(Table1[[#This Row],[//]]="",INDIRECT(ADDRESS(ROW()-1,COLUMN())),Table1[[#This Row],[//]]))</f>
        <v>244</v>
      </c>
      <c r="X244" s="278">
        <f ca="1">IF(Table1[[#This Row],[h_id]]="","",COUNTIF(Table1[h_id],Table1[[#This Row],[h_id]]))</f>
        <v>3</v>
      </c>
      <c r="Y244" s="274">
        <f>IF(Table1[Item Description]="","",Table1[[#This Row],[Qty]]*Table1[[#This Row],[Unit Price]])</f>
        <v>1164000</v>
      </c>
      <c r="Z244" s="274">
        <f>IF(Table1[[#This Row],[h_hargasebelumdiskon]]="","",IF(Table1[[#This Row],[Disc 1]]="",0,Table1[[#This Row],[h_hargasebelumdiskon]]*Table1[[#This Row],[Disc 1]]))</f>
        <v>145500</v>
      </c>
      <c r="AA244" s="274">
        <f>IF(Table1[[#This Row],[h_hargasebelumdiskon]]="","",IF(Table1[[#This Row],[Disc 2]]="",0,(Table1[[#This Row],[h_hargasebelumdiskon]]-Table1[[#This Row],[h_disc 1]])*Table1[[#This Row],[Disc 2]]))</f>
        <v>0</v>
      </c>
      <c r="AB244" s="274">
        <f>IF(Table1[Item Description]="","",Table1[[#This Row],[h_disc 1]]+Table1[[#This Row],[h_disc 2]])</f>
        <v>145500</v>
      </c>
      <c r="AC244" s="274">
        <f>IF(Table1[Item Description]="","",Table1[[#This Row],[h_hargasebelumdiskon]]-Table1[[#This Row],[h_diskon]])</f>
        <v>1018500</v>
      </c>
      <c r="AD244" s="274">
        <f ca="1">IF(Table1[//]="","",SUMIF(Table1[h_id],Table1[h_id],Table1[h_hargasetelahdiskon]))</f>
        <v>13114500</v>
      </c>
      <c r="AF244" s="274" t="str">
        <f>Table1[[#This Row],[Item Description]]&amp;Table1[[#This Row],[Unit]]&amp;Table1[[#This Row],[Unit Price]]</f>
        <v>STAPLER HEAVY DUTY JOYKO HD-12N/13PCS97000</v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>
        <v>480</v>
      </c>
      <c r="L245" s="271" t="s">
        <v>222</v>
      </c>
      <c r="M245" s="271">
        <v>2</v>
      </c>
      <c r="N245" s="271" t="s">
        <v>223</v>
      </c>
      <c r="O245" s="278" t="str">
        <f>IF(Table1[[#This Row],[h_Item Description]]="","",INDEX([1]!db[NB PAJAK],MATCH(Table1[[#This Row],[h_Item Description]],[1]!db[kode],0)))</f>
        <v>KUAS SET JOYKO BR-1</v>
      </c>
      <c r="P245" s="271" t="s">
        <v>236</v>
      </c>
      <c r="Q245" s="274">
        <v>8800</v>
      </c>
      <c r="R245" s="275">
        <v>0.125</v>
      </c>
      <c r="S245" s="275"/>
      <c r="T245" s="274">
        <f>Table1[[#This Row],[h_hargasetelahdiskon]]</f>
        <v>3696000</v>
      </c>
      <c r="V245" s="271"/>
      <c r="W245" s="278">
        <f ca="1">IF(Table1[[#This Row],[Item Description]]="","",IF(Table1[[#This Row],[//]]="",INDIRECT(ADDRESS(ROW()-1,COLUMN())),Table1[[#This Row],[//]]))</f>
        <v>244</v>
      </c>
      <c r="X245" s="278">
        <f ca="1">IF(Table1[[#This Row],[h_id]]="","",COUNTIF(Table1[h_id],Table1[[#This Row],[h_id]]))</f>
        <v>3</v>
      </c>
      <c r="Y245" s="274">
        <f>IF(Table1[Item Description]="","",Table1[[#This Row],[Qty]]*Table1[[#This Row],[Unit Price]])</f>
        <v>4224000</v>
      </c>
      <c r="Z245" s="274">
        <f>IF(Table1[[#This Row],[h_hargasebelumdiskon]]="","",IF(Table1[[#This Row],[Disc 1]]="",0,Table1[[#This Row],[h_hargasebelumdiskon]]*Table1[[#This Row],[Disc 1]]))</f>
        <v>528000</v>
      </c>
      <c r="AA245" s="274">
        <f>IF(Table1[[#This Row],[h_hargasebelumdiskon]]="","",IF(Table1[[#This Row],[Disc 2]]="",0,(Table1[[#This Row],[h_hargasebelumdiskon]]-Table1[[#This Row],[h_disc 1]])*Table1[[#This Row],[Disc 2]]))</f>
        <v>0</v>
      </c>
      <c r="AB245" s="274">
        <f>IF(Table1[Item Description]="","",Table1[[#This Row],[h_disc 1]]+Table1[[#This Row],[h_disc 2]])</f>
        <v>528000</v>
      </c>
      <c r="AC245" s="274">
        <f>IF(Table1[Item Description]="","",Table1[[#This Row],[h_hargasebelumdiskon]]-Table1[[#This Row],[h_diskon]])</f>
        <v>3696000</v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>KUAS SET JOYKO BR-1SET8800</v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>
        <v>240</v>
      </c>
      <c r="L246" s="271" t="s">
        <v>150</v>
      </c>
      <c r="M246" s="271">
        <v>2</v>
      </c>
      <c r="N246" s="271" t="s">
        <v>513</v>
      </c>
      <c r="O246" s="278" t="str">
        <f>IF(Table1[[#This Row],[h_Item Description]]="","",INDEX([1]!db[NB PAJAK],MATCH(Table1[[#This Row],[h_Item Description]],[1]!db[kode],0)))</f>
        <v>CALCULATOR JOYKO DTC-1313CH</v>
      </c>
      <c r="P246" s="271" t="s">
        <v>514</v>
      </c>
      <c r="Q246" s="274">
        <v>40000</v>
      </c>
      <c r="R246" s="275">
        <v>0.125</v>
      </c>
      <c r="S246" s="275"/>
      <c r="T246" s="274">
        <f>Table1[[#This Row],[h_hargasetelahdiskon]]</f>
        <v>8400000</v>
      </c>
      <c r="V246" s="271"/>
      <c r="W246" s="278">
        <f ca="1">IF(Table1[[#This Row],[Item Description]]="","",IF(Table1[[#This Row],[//]]="",INDIRECT(ADDRESS(ROW()-1,COLUMN())),Table1[[#This Row],[//]]))</f>
        <v>244</v>
      </c>
      <c r="X246" s="278">
        <f ca="1">IF(Table1[[#This Row],[h_id]]="","",COUNTIF(Table1[h_id],Table1[[#This Row],[h_id]]))</f>
        <v>3</v>
      </c>
      <c r="Y246" s="274">
        <f>IF(Table1[Item Description]="","",Table1[[#This Row],[Qty]]*Table1[[#This Row],[Unit Price]])</f>
        <v>9600000</v>
      </c>
      <c r="Z246" s="274">
        <f>IF(Table1[[#This Row],[h_hargasebelumdiskon]]="","",IF(Table1[[#This Row],[Disc 1]]="",0,Table1[[#This Row],[h_hargasebelumdiskon]]*Table1[[#This Row],[Disc 1]]))</f>
        <v>1200000</v>
      </c>
      <c r="AA246" s="274">
        <f>IF(Table1[[#This Row],[h_hargasebelumdiskon]]="","",IF(Table1[[#This Row],[Disc 2]]="",0,(Table1[[#This Row],[h_hargasebelumdiskon]]-Table1[[#This Row],[h_disc 1]])*Table1[[#This Row],[Disc 2]]))</f>
        <v>0</v>
      </c>
      <c r="AB246" s="274">
        <f>IF(Table1[Item Description]="","",Table1[[#This Row],[h_disc 1]]+Table1[[#This Row],[h_disc 2]])</f>
        <v>1200000</v>
      </c>
      <c r="AC246" s="274">
        <f>IF(Table1[Item Description]="","",Table1[[#This Row],[h_hargasebelumdiskon]]-Table1[[#This Row],[h_diskon]])</f>
        <v>8400000</v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>CALCULATOR JOYKO DTC-1313CHPCS40000</v>
      </c>
      <c r="AG246"/>
      <c r="AH246"/>
      <c r="AI246"/>
    </row>
    <row r="247" spans="1:35" x14ac:dyDescent="0.25">
      <c r="A247" s="278">
        <f ca="1">IF(Table1[[#This Row],[No. Invoice :]]="","",ROW())</f>
        <v>247</v>
      </c>
      <c r="B247" s="278">
        <f ca="1">IF(Table1[Column3]="","",B$1+COUNT(INDIRECT("B$2:B"&amp;ROW()-1)))</f>
        <v>24010049</v>
      </c>
      <c r="C247" s="272">
        <f>IF(Table1[[#This Row],[Column2]]="","",Table1[[#This Row],[Column2]]+C$1-1)</f>
        <v>45291</v>
      </c>
      <c r="D247" s="282">
        <v>0</v>
      </c>
      <c r="E247" s="273" t="s">
        <v>516</v>
      </c>
      <c r="F247" s="271">
        <v>0</v>
      </c>
      <c r="G247" s="278" t="str">
        <f ca="1">IF(Table1[[#This Row],[h_No. Invoice :]]="","",CONCATENATE("AM"," ",Table1[[#This Row],[h_No. Invoice :]]))</f>
        <v>AM 24010049</v>
      </c>
      <c r="H247" s="271">
        <f>IF(Table1[[#This Row],[Column5]]="","",INDEX(Table2[Column1],MATCH(Table1[[#This Row],[Column5]],Table2[a],0)))</f>
        <v>0</v>
      </c>
      <c r="I247" s="279" t="str">
        <f>IF(Table1[[#This Row],[Column3]]=0,"",CONCATENATE(UPPER(Table1[[#This Row],[Column3]])," ",Table1[[#This Row],[Column4]]))</f>
        <v/>
      </c>
      <c r="J247" s="278" t="str">
        <f>IF(Table1[[#This Row],[Column5]]="","",INDEX(Table2[e],IF(Table1[[#This Row],[Column5]]="","",MATCH(Table1[[#This Row],[Column5]],Table2[a],0)),))</f>
        <v>0 0 0</v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>
        <f ca="1">IF(Table1[//]="","",SUMIF(Table1[h_id],Table1[h_id],Table1[h_hargasetelahdiskon]))</f>
        <v>0</v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>
        <f ca="1">IF(Table1[[#This Row],[No. Invoice :]]="","",ROW())</f>
        <v>249</v>
      </c>
      <c r="B249" s="278">
        <f ca="1">IF(Table1[Column3]="","",B$1+COUNT(INDIRECT("B$2:B"&amp;ROW()-1)))</f>
        <v>24010050</v>
      </c>
      <c r="C249" s="272">
        <f>IF(Table1[[#This Row],[Column2]]="","",Table1[[#This Row],[Column2]]+C$1-1)</f>
        <v>45291</v>
      </c>
      <c r="D249" s="282">
        <v>0</v>
      </c>
      <c r="E249" s="273" t="s">
        <v>516</v>
      </c>
      <c r="F249" s="271">
        <v>0</v>
      </c>
      <c r="G249" s="278" t="str">
        <f ca="1">IF(Table1[[#This Row],[h_No. Invoice :]]="","",CONCATENATE("AM"," ",Table1[[#This Row],[h_No. Invoice :]]))</f>
        <v>AM 24010050</v>
      </c>
      <c r="H249" s="271">
        <f>IF(Table1[[#This Row],[Column5]]="","",INDEX(Table2[Column1],MATCH(Table1[[#This Row],[Column5]],Table2[a],0)))</f>
        <v>0</v>
      </c>
      <c r="I249" s="279" t="str">
        <f>IF(Table1[[#This Row],[Column3]]=0,"",CONCATENATE(UPPER(Table1[[#This Row],[Column3]])," ",Table1[[#This Row],[Column4]]))</f>
        <v/>
      </c>
      <c r="J249" s="278" t="str">
        <f>IF(Table1[[#This Row],[Column5]]="","",INDEX(Table2[e],IF(Table1[[#This Row],[Column5]]="","",MATCH(Table1[[#This Row],[Column5]],Table2[a],0)),))</f>
        <v>0 0 0</v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>
        <f ca="1">IF(Table1[//]="","",SUMIF(Table1[h_id],Table1[h_id],Table1[h_hargasetelahdiskon]))</f>
        <v>0</v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>
        <f ca="1">IF(Table1[[#This Row],[No. Invoice :]]="","",ROW())</f>
        <v>251</v>
      </c>
      <c r="B251" s="278">
        <f ca="1">IF(Table1[Column3]="","",B$1+COUNT(INDIRECT("B$2:B"&amp;ROW()-1)))</f>
        <v>24010051</v>
      </c>
      <c r="C251" s="272">
        <f>IF(Table1[[#This Row],[Column2]]="","",Table1[[#This Row],[Column2]]+C$1-1)</f>
        <v>45291</v>
      </c>
      <c r="D251" s="282">
        <v>0</v>
      </c>
      <c r="E251" s="273" t="s">
        <v>516</v>
      </c>
      <c r="F251" s="271">
        <v>0</v>
      </c>
      <c r="G251" s="278" t="str">
        <f ca="1">IF(Table1[[#This Row],[h_No. Invoice :]]="","",CONCATENATE("AM"," ",Table1[[#This Row],[h_No. Invoice :]]))</f>
        <v>AM 24010051</v>
      </c>
      <c r="H251" s="271">
        <f>IF(Table1[[#This Row],[Column5]]="","",INDEX(Table2[Column1],MATCH(Table1[[#This Row],[Column5]],Table2[a],0)))</f>
        <v>0</v>
      </c>
      <c r="I251" s="279" t="str">
        <f>IF(Table1[[#This Row],[Column3]]=0,"",CONCATENATE(UPPER(Table1[[#This Row],[Column3]])," ",Table1[[#This Row],[Column4]]))</f>
        <v/>
      </c>
      <c r="J251" s="278" t="str">
        <f>IF(Table1[[#This Row],[Column5]]="","",INDEX(Table2[e],IF(Table1[[#This Row],[Column5]]="","",MATCH(Table1[[#This Row],[Column5]],Table2[a],0)),))</f>
        <v>0 0 0</v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>
        <f ca="1">IF(Table1[//]="","",SUMIF(Table1[h_id],Table1[h_id],Table1[h_hargasetelahdiskon]))</f>
        <v>0</v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>
        <f ca="1">IF(Table1[[#This Row],[No. Invoice :]]="","",ROW())</f>
        <v>253</v>
      </c>
      <c r="B253" s="278">
        <f ca="1">IF(Table1[Column3]="","",B$1+COUNT(INDIRECT("B$2:B"&amp;ROW()-1)))</f>
        <v>24010052</v>
      </c>
      <c r="C253" s="272">
        <f>IF(Table1[[#This Row],[Column2]]="","",Table1[[#This Row],[Column2]]+C$1-1)</f>
        <v>45291</v>
      </c>
      <c r="D253" s="282">
        <v>0</v>
      </c>
      <c r="E253" s="273" t="s">
        <v>516</v>
      </c>
      <c r="F253" s="271">
        <v>0</v>
      </c>
      <c r="G253" s="278" t="str">
        <f ca="1">IF(Table1[[#This Row],[h_No. Invoice :]]="","",CONCATENATE("AM"," ",Table1[[#This Row],[h_No. Invoice :]]))</f>
        <v>AM 24010052</v>
      </c>
      <c r="H253" s="271">
        <f>IF(Table1[[#This Row],[Column5]]="","",INDEX(Table2[Column1],MATCH(Table1[[#This Row],[Column5]],Table2[a],0)))</f>
        <v>0</v>
      </c>
      <c r="I253" s="279" t="str">
        <f>IF(Table1[[#This Row],[Column3]]=0,"",CONCATENATE(UPPER(Table1[[#This Row],[Column3]])," ",Table1[[#This Row],[Column4]]))</f>
        <v/>
      </c>
      <c r="J253" s="278" t="str">
        <f>IF(Table1[[#This Row],[Column5]]="","",INDEX(Table2[e],IF(Table1[[#This Row],[Column5]]="","",MATCH(Table1[[#This Row],[Column5]],Table2[a],0)),))</f>
        <v>0 0 0</v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>
        <f ca="1">IF(Table1[//]="","",SUMIF(Table1[h_id],Table1[h_id],Table1[h_hargasetelahdiskon]))</f>
        <v>0</v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>
        <f ca="1">IF(Table1[[#This Row],[No. Invoice :]]="","",ROW())</f>
        <v>259</v>
      </c>
      <c r="B259" s="278">
        <f ca="1">IF(Table1[Column3]="","",B$1+COUNT(INDIRECT("B$2:B"&amp;ROW()-1)))</f>
        <v>24010053</v>
      </c>
      <c r="C259" s="272">
        <f>IF(Table1[[#This Row],[Column2]]="","",Table1[[#This Row],[Column2]]+C$1-1)</f>
        <v>45322</v>
      </c>
      <c r="D259" s="282">
        <v>31</v>
      </c>
      <c r="E259" s="273" t="s">
        <v>515</v>
      </c>
      <c r="F259" s="271" t="s">
        <v>192</v>
      </c>
      <c r="G259" s="278" t="str">
        <f ca="1">IF(Table1[[#This Row],[h_No. Invoice :]]="","",CONCATENATE("AM"," ",Table1[[#This Row],[h_No. Invoice :]]))</f>
        <v>AM 24010053</v>
      </c>
      <c r="H259" s="271" t="str">
        <f>IF(Table1[[#This Row],[Column5]]="","",INDEX(Table2[Column1],MATCH(Table1[[#This Row],[Column5]],Table2[a],0)))</f>
        <v>KO</v>
      </c>
      <c r="I259" s="279" t="str">
        <f>IF(Table1[[#This Row],[Column3]]=0,"",CONCATENATE(UPPER(Table1[[#This Row],[Column3]])," ",Table1[[#This Row],[Column4]]))</f>
        <v>KO 2591</v>
      </c>
      <c r="J259" s="278" t="str">
        <f>IF(Table1[[#This Row],[Column5]]="","",INDEX(Table2[e],IF(Table1[[#This Row],[Column5]]="","",MATCH(Table1[[#This Row],[Column5]],Table2[a],0)),))</f>
        <v>CV PELITA JAYA (ANUGERAH SEJAHTERA) PURWOKERTO</v>
      </c>
      <c r="K259" s="271">
        <v>720</v>
      </c>
      <c r="L259" s="271" t="s">
        <v>137</v>
      </c>
      <c r="M259" s="271">
        <v>10</v>
      </c>
      <c r="N259" s="271" t="s">
        <v>151</v>
      </c>
      <c r="O259" s="278" t="str">
        <f>IF(Table1[[#This Row],[h_Item Description]]="","",INDEX([1]!db[NB PAJAK],MATCH(Table1[[#This Row],[h_Item Description]],[1]!db[kode],0)))</f>
        <v>CORRECTION FLUID KENKO KE-01</v>
      </c>
      <c r="P259" s="271" t="s">
        <v>152</v>
      </c>
      <c r="Q259" s="274">
        <v>54300</v>
      </c>
      <c r="R259" s="275">
        <v>0.13500000000000001</v>
      </c>
      <c r="S259" s="275"/>
      <c r="T259" s="274">
        <f>Table1[[#This Row],[h_hargasetelahdiskon]]</f>
        <v>33818040</v>
      </c>
      <c r="U259" s="274" t="s">
        <v>130</v>
      </c>
      <c r="V259" s="271"/>
      <c r="W259" s="278">
        <f ca="1">IF(Table1[[#This Row],[Item Description]]="","",IF(Table1[[#This Row],[//]]="",INDIRECT(ADDRESS(ROW()-1,COLUMN())),Table1[[#This Row],[//]]))</f>
        <v>259</v>
      </c>
      <c r="X259" s="278">
        <f ca="1">IF(Table1[[#This Row],[h_id]]="","",COUNTIF(Table1[h_id],Table1[[#This Row],[h_id]]))</f>
        <v>3</v>
      </c>
      <c r="Y259" s="274">
        <f>IF(Table1[Item Description]="","",Table1[[#This Row],[Qty]]*Table1[[#This Row],[Unit Price]])</f>
        <v>39096000</v>
      </c>
      <c r="Z259" s="274">
        <f>IF(Table1[[#This Row],[h_hargasebelumdiskon]]="","",IF(Table1[[#This Row],[Disc 1]]="",0,Table1[[#This Row],[h_hargasebelumdiskon]]*Table1[[#This Row],[Disc 1]]))</f>
        <v>5277960</v>
      </c>
      <c r="AA259" s="274">
        <f>IF(Table1[[#This Row],[h_hargasebelumdiskon]]="","",IF(Table1[[#This Row],[Disc 2]]="",0,(Table1[[#This Row],[h_hargasebelumdiskon]]-Table1[[#This Row],[h_disc 1]])*Table1[[#This Row],[Disc 2]]))</f>
        <v>0</v>
      </c>
      <c r="AB259" s="274">
        <f>IF(Table1[Item Description]="","",Table1[[#This Row],[h_disc 1]]+Table1[[#This Row],[h_disc 2]])</f>
        <v>5277960</v>
      </c>
      <c r="AC259" s="274">
        <f>IF(Table1[Item Description]="","",Table1[[#This Row],[h_hargasebelumdiskon]]-Table1[[#This Row],[h_diskon]])</f>
        <v>33818040</v>
      </c>
      <c r="AD259" s="274">
        <f ca="1">IF(Table1[//]="","",SUMIF(Table1[h_id],Table1[h_id],Table1[h_hargasetelahdiskon]))</f>
        <v>48391560</v>
      </c>
      <c r="AF259" s="274" t="str">
        <f>Table1[[#This Row],[Item Description]]&amp;Table1[[#This Row],[Unit]]&amp;Table1[[#This Row],[Unit Price]]</f>
        <v>CORRECTION FLUID KENKO KE-01LSN54300</v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>
        <v>144</v>
      </c>
      <c r="L260" s="271" t="s">
        <v>137</v>
      </c>
      <c r="M260" s="271">
        <v>1</v>
      </c>
      <c r="N260" s="271" t="s">
        <v>367</v>
      </c>
      <c r="O260" s="278" t="str">
        <f>IF(Table1[[#This Row],[h_Item Description]]="","",INDEX([1]!db[NB PAJAK],MATCH(Table1[[#This Row],[h_Item Description]],[1]!db[kode],0)))</f>
        <v>GEL PEN KENKO HI-TECH-H 0.28 MM HITAM</v>
      </c>
      <c r="P260" s="271" t="s">
        <v>368</v>
      </c>
      <c r="Q260" s="274">
        <v>39000</v>
      </c>
      <c r="R260" s="275">
        <v>0.13500000000000001</v>
      </c>
      <c r="S260" s="275"/>
      <c r="T260" s="274">
        <f>Table1[[#This Row],[h_hargasetelahdiskon]]</f>
        <v>4857840</v>
      </c>
      <c r="V260" s="271"/>
      <c r="W260" s="278">
        <f ca="1">IF(Table1[[#This Row],[Item Description]]="","",IF(Table1[[#This Row],[//]]="",INDIRECT(ADDRESS(ROW()-1,COLUMN())),Table1[[#This Row],[//]]))</f>
        <v>259</v>
      </c>
      <c r="X260" s="278">
        <f ca="1">IF(Table1[[#This Row],[h_id]]="","",COUNTIF(Table1[h_id],Table1[[#This Row],[h_id]]))</f>
        <v>3</v>
      </c>
      <c r="Y260" s="274">
        <f>IF(Table1[Item Description]="","",Table1[[#This Row],[Qty]]*Table1[[#This Row],[Unit Price]])</f>
        <v>5616000</v>
      </c>
      <c r="Z260" s="274">
        <f>IF(Table1[[#This Row],[h_hargasebelumdiskon]]="","",IF(Table1[[#This Row],[Disc 1]]="",0,Table1[[#This Row],[h_hargasebelumdiskon]]*Table1[[#This Row],[Disc 1]]))</f>
        <v>758160</v>
      </c>
      <c r="AA260" s="274">
        <f>IF(Table1[[#This Row],[h_hargasebelumdiskon]]="","",IF(Table1[[#This Row],[Disc 2]]="",0,(Table1[[#This Row],[h_hargasebelumdiskon]]-Table1[[#This Row],[h_disc 1]])*Table1[[#This Row],[Disc 2]]))</f>
        <v>0</v>
      </c>
      <c r="AB260" s="274">
        <f>IF(Table1[Item Description]="","",Table1[[#This Row],[h_disc 1]]+Table1[[#This Row],[h_disc 2]])</f>
        <v>758160</v>
      </c>
      <c r="AC260" s="274">
        <f>IF(Table1[Item Description]="","",Table1[[#This Row],[h_hargasebelumdiskon]]-Table1[[#This Row],[h_diskon]])</f>
        <v>4857840</v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>GEL PEN KENKO HI-TECH-H 0.28 MM HITAMLSN39000</v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>
        <v>288</v>
      </c>
      <c r="L261" s="271" t="s">
        <v>137</v>
      </c>
      <c r="M261" s="271">
        <v>2</v>
      </c>
      <c r="N261" s="271" t="s">
        <v>485</v>
      </c>
      <c r="O261" s="278" t="str">
        <f>IF(Table1[[#This Row],[h_Item Description]]="","",INDEX([1]!db[NB PAJAK],MATCH(Table1[[#This Row],[h_Item Description]],[1]!db[kode],0)))</f>
        <v>GEL PEN KENKO HI-TECH-H 0.28 MM BIRU</v>
      </c>
      <c r="P261" s="271" t="s">
        <v>486</v>
      </c>
      <c r="Q261" s="274">
        <v>39000</v>
      </c>
      <c r="R261" s="275">
        <v>0.13500000000000001</v>
      </c>
      <c r="S261" s="275"/>
      <c r="T261" s="274">
        <f>Table1[[#This Row],[h_hargasetelahdiskon]]</f>
        <v>9715680</v>
      </c>
      <c r="V261" s="271"/>
      <c r="W261" s="278">
        <f ca="1">IF(Table1[[#This Row],[Item Description]]="","",IF(Table1[[#This Row],[//]]="",INDIRECT(ADDRESS(ROW()-1,COLUMN())),Table1[[#This Row],[//]]))</f>
        <v>259</v>
      </c>
      <c r="X261" s="278">
        <f ca="1">IF(Table1[[#This Row],[h_id]]="","",COUNTIF(Table1[h_id],Table1[[#This Row],[h_id]]))</f>
        <v>3</v>
      </c>
      <c r="Y261" s="274">
        <f>IF(Table1[Item Description]="","",Table1[[#This Row],[Qty]]*Table1[[#This Row],[Unit Price]])</f>
        <v>11232000</v>
      </c>
      <c r="Z261" s="274">
        <f>IF(Table1[[#This Row],[h_hargasebelumdiskon]]="","",IF(Table1[[#This Row],[Disc 1]]="",0,Table1[[#This Row],[h_hargasebelumdiskon]]*Table1[[#This Row],[Disc 1]]))</f>
        <v>1516320</v>
      </c>
      <c r="AA261" s="274">
        <f>IF(Table1[[#This Row],[h_hargasebelumdiskon]]="","",IF(Table1[[#This Row],[Disc 2]]="",0,(Table1[[#This Row],[h_hargasebelumdiskon]]-Table1[[#This Row],[h_disc 1]])*Table1[[#This Row],[Disc 2]]))</f>
        <v>0</v>
      </c>
      <c r="AB261" s="274">
        <f>IF(Table1[Item Description]="","",Table1[[#This Row],[h_disc 1]]+Table1[[#This Row],[h_disc 2]])</f>
        <v>1516320</v>
      </c>
      <c r="AC261" s="274">
        <f>IF(Table1[Item Description]="","",Table1[[#This Row],[h_hargasebelumdiskon]]-Table1[[#This Row],[h_diskon]])</f>
        <v>9715680</v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>GEL PEN KENKO HI-TECH-H 0.28 MM BIRULSN39000</v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>
        <f ca="1">IF(Table1[[#This Row],[No. Invoice :]]="","",ROW())</f>
        <v>263</v>
      </c>
      <c r="B263" s="278">
        <f ca="1">IF(Table1[Column3]="","",B$1+COUNT(INDIRECT("B$2:B"&amp;ROW()-1)))</f>
        <v>24010054</v>
      </c>
      <c r="C263" s="272">
        <f>IF(Table1[[#This Row],[Column2]]="","",Table1[[#This Row],[Column2]]+C$1-1)</f>
        <v>45322</v>
      </c>
      <c r="D263" s="282">
        <v>31</v>
      </c>
      <c r="E263" s="273" t="s">
        <v>517</v>
      </c>
      <c r="F263" s="271" t="s">
        <v>192</v>
      </c>
      <c r="G263" s="278" t="str">
        <f ca="1">IF(Table1[[#This Row],[h_No. Invoice :]]="","",CONCATENATE("AM"," ",Table1[[#This Row],[h_No. Invoice :]]))</f>
        <v>AM 24010054</v>
      </c>
      <c r="H263" s="271" t="str">
        <f>IF(Table1[[#This Row],[Column5]]="","",INDEX(Table2[Column1],MATCH(Table1[[#This Row],[Column5]],Table2[a],0)))</f>
        <v>KO</v>
      </c>
      <c r="I263" s="279" t="str">
        <f>IF(Table1[[#This Row],[Column3]]=0,"",CONCATENATE(UPPER(Table1[[#This Row],[Column3]])," ",Table1[[#This Row],[Column4]]))</f>
        <v>KO 2596</v>
      </c>
      <c r="J263" s="278" t="str">
        <f>IF(Table1[[#This Row],[Column5]]="","",INDEX(Table2[e],IF(Table1[[#This Row],[Column5]]="","",MATCH(Table1[[#This Row],[Column5]],Table2[a],0)),))</f>
        <v>CV PELITA JAYA (ANUGERAH SEJAHTERA) PURWOKERTO</v>
      </c>
      <c r="K263" s="271">
        <v>432</v>
      </c>
      <c r="L263" s="271" t="s">
        <v>137</v>
      </c>
      <c r="M263" s="271">
        <v>3</v>
      </c>
      <c r="N263" s="271" t="s">
        <v>518</v>
      </c>
      <c r="O263" s="278" t="str">
        <f>IF(Table1[[#This Row],[h_Item Description]]="","",INDEX([1]!db[NB PAJAK],MATCH(Table1[[#This Row],[h_Item Description]],[1]!db[kode],0)))</f>
        <v>GEL PEN KENKO KE-200</v>
      </c>
      <c r="P263" s="271" t="s">
        <v>314</v>
      </c>
      <c r="Q263" s="274">
        <v>24600</v>
      </c>
      <c r="R263" s="275">
        <v>0.13500000000000001</v>
      </c>
      <c r="S263" s="275"/>
      <c r="T263" s="274">
        <f>Table1[[#This Row],[h_hargasetelahdiskon]]</f>
        <v>9192528</v>
      </c>
      <c r="U263" s="274" t="s">
        <v>130</v>
      </c>
      <c r="V263" s="271"/>
      <c r="W263" s="278">
        <f ca="1">IF(Table1[[#This Row],[Item Description]]="","",IF(Table1[[#This Row],[//]]="",INDIRECT(ADDRESS(ROW()-1,COLUMN())),Table1[[#This Row],[//]]))</f>
        <v>263</v>
      </c>
      <c r="X263" s="278">
        <f ca="1">IF(Table1[[#This Row],[h_id]]="","",COUNTIF(Table1[h_id],Table1[[#This Row],[h_id]]))</f>
        <v>1</v>
      </c>
      <c r="Y263" s="274">
        <f>IF(Table1[Item Description]="","",Table1[[#This Row],[Qty]]*Table1[[#This Row],[Unit Price]])</f>
        <v>10627200</v>
      </c>
      <c r="Z263" s="274">
        <f>IF(Table1[[#This Row],[h_hargasebelumdiskon]]="","",IF(Table1[[#This Row],[Disc 1]]="",0,Table1[[#This Row],[h_hargasebelumdiskon]]*Table1[[#This Row],[Disc 1]]))</f>
        <v>1434672</v>
      </c>
      <c r="AA263" s="274">
        <f>IF(Table1[[#This Row],[h_hargasebelumdiskon]]="","",IF(Table1[[#This Row],[Disc 2]]="",0,(Table1[[#This Row],[h_hargasebelumdiskon]]-Table1[[#This Row],[h_disc 1]])*Table1[[#This Row],[Disc 2]]))</f>
        <v>0</v>
      </c>
      <c r="AB263" s="274">
        <f>IF(Table1[Item Description]="","",Table1[[#This Row],[h_disc 1]]+Table1[[#This Row],[h_disc 2]])</f>
        <v>1434672</v>
      </c>
      <c r="AC263" s="274">
        <f>IF(Table1[Item Description]="","",Table1[[#This Row],[h_hargasebelumdiskon]]-Table1[[#This Row],[h_diskon]])</f>
        <v>9192528</v>
      </c>
      <c r="AD263" s="274">
        <f ca="1">IF(Table1[//]="","",SUMIF(Table1[h_id],Table1[h_id],Table1[h_hargasetelahdiskon]))</f>
        <v>9192528</v>
      </c>
      <c r="AF263" s="274" t="str">
        <f>Table1[[#This Row],[Item Description]]&amp;Table1[[#This Row],[Unit]]&amp;Table1[[#This Row],[Unit Price]]</f>
        <v>GEL PEN KENKO KE-200LSN24600</v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>
        <f>IF(Table1[[#This Row],[No. Invoice :]]="","",ROW())</f>
        <v>271</v>
      </c>
      <c r="B271" s="278">
        <v>24020001</v>
      </c>
      <c r="C271" s="272">
        <v>45327</v>
      </c>
      <c r="D271" s="282">
        <v>5</v>
      </c>
      <c r="E271" s="273" t="s">
        <v>483</v>
      </c>
      <c r="F271" s="271" t="s">
        <v>89</v>
      </c>
      <c r="G271" s="278" t="str">
        <f>IF(Table1[[#This Row],[h_No. Invoice :]]="","",CONCATENATE("AM"," ",Table1[[#This Row],[h_No. Invoice :]]))</f>
        <v>AM 24020001</v>
      </c>
      <c r="H271" s="271" t="str">
        <f>IF(Table1[[#This Row],[Column5]]="","",INDEX(Table2[Column1],MATCH(Table1[[#This Row],[Column5]],Table2[a],0)))</f>
        <v>G</v>
      </c>
      <c r="I271" s="279" t="str">
        <f>IF(Table1[[#This Row],[Column3]]=0,"",CONCATENATE(UPPER(Table1[[#This Row],[Column3]])," ",Table1[[#This Row],[Column4]]))</f>
        <v>G 2551</v>
      </c>
      <c r="J271" s="278" t="str">
        <f>IF(Table1[[#This Row],[Column5]]="","",INDEX(Table2[e],IF(Table1[[#This Row],[Column5]]="","",MATCH(Table1[[#This Row],[Column5]],Table2[a],0)),))</f>
        <v>CV UTAMA PUTRA TULUNG AGUNG</v>
      </c>
      <c r="K271" s="271">
        <v>72</v>
      </c>
      <c r="L271" s="271" t="s">
        <v>137</v>
      </c>
      <c r="M271" s="271">
        <v>1</v>
      </c>
      <c r="N271" s="271" t="s">
        <v>151</v>
      </c>
      <c r="O271" s="278" t="str">
        <f>IF(Table1[[#This Row],[h_Item Description]]="","",INDEX([1]!db[NB PAJAK],MATCH(Table1[[#This Row],[h_Item Description]],[1]!db[kode],0)))</f>
        <v>CORRECTION FLUID KENKO KE-01</v>
      </c>
      <c r="P271" s="271" t="s">
        <v>152</v>
      </c>
      <c r="Q271" s="274">
        <v>54300</v>
      </c>
      <c r="R271" s="275">
        <v>0.125</v>
      </c>
      <c r="S271" s="275"/>
      <c r="T271" s="274">
        <f>Table1[[#This Row],[h_hargasetelahdiskon]]</f>
        <v>3420900</v>
      </c>
      <c r="U271" s="274" t="s">
        <v>130</v>
      </c>
      <c r="V271" s="271"/>
      <c r="W271" s="278">
        <f ca="1">IF(Table1[[#This Row],[Item Description]]="","",IF(Table1[[#This Row],[//]]="",INDIRECT(ADDRESS(ROW()-1,COLUMN())),Table1[[#This Row],[//]]))</f>
        <v>271</v>
      </c>
      <c r="X271" s="278">
        <f ca="1">IF(Table1[[#This Row],[h_id]]="","",COUNTIF(Table1[h_id],Table1[[#This Row],[h_id]]))</f>
        <v>1</v>
      </c>
      <c r="Y271" s="274">
        <f>IF(Table1[Item Description]="","",Table1[[#This Row],[Qty]]*Table1[[#This Row],[Unit Price]])</f>
        <v>3909600</v>
      </c>
      <c r="Z271" s="274">
        <f>IF(Table1[[#This Row],[h_hargasebelumdiskon]]="","",IF(Table1[[#This Row],[Disc 1]]="",0,Table1[[#This Row],[h_hargasebelumdiskon]]*Table1[[#This Row],[Disc 1]]))</f>
        <v>488700</v>
      </c>
      <c r="AA271" s="274">
        <f>IF(Table1[[#This Row],[h_hargasebelumdiskon]]="","",IF(Table1[[#This Row],[Disc 2]]="",0,(Table1[[#This Row],[h_hargasebelumdiskon]]-Table1[[#This Row],[h_disc 1]])*Table1[[#This Row],[Disc 2]]))</f>
        <v>0</v>
      </c>
      <c r="AB271" s="274">
        <f>IF(Table1[Item Description]="","",Table1[[#This Row],[h_disc 1]]+Table1[[#This Row],[h_disc 2]])</f>
        <v>488700</v>
      </c>
      <c r="AC271" s="274">
        <f>IF(Table1[Item Description]="","",Table1[[#This Row],[h_hargasebelumdiskon]]-Table1[[#This Row],[h_diskon]])</f>
        <v>3420900</v>
      </c>
      <c r="AD271" s="274">
        <f ca="1">IF(Table1[//]="","",SUMIF(Table1[h_id],Table1[h_id],Table1[h_hargasetelahdiskon]))</f>
        <v>3420900</v>
      </c>
      <c r="AF271" s="274" t="str">
        <f>Table1[[#This Row],[Item Description]]&amp;Table1[[#This Row],[Unit]]&amp;Table1[[#This Row],[Unit Price]]</f>
        <v>CORRECTION FLUID KENKO KE-01LSN54300</v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>
        <f>IF(Table1[[#This Row],[No. Invoice :]]="","",ROW())</f>
        <v>273</v>
      </c>
      <c r="B273" s="278">
        <v>24020002</v>
      </c>
      <c r="C273" s="272">
        <v>45327</v>
      </c>
      <c r="D273" s="282">
        <v>5</v>
      </c>
      <c r="E273" s="273" t="s">
        <v>519</v>
      </c>
      <c r="F273" s="271" t="s">
        <v>146</v>
      </c>
      <c r="G273" s="278" t="str">
        <f>IF(Table1[[#This Row],[h_No. Invoice :]]="","",CONCATENATE("AM"," ",Table1[[#This Row],[h_No. Invoice :]]))</f>
        <v>AM 24020002</v>
      </c>
      <c r="H273" s="271" t="str">
        <f>IF(Table1[[#This Row],[Column5]]="","",INDEX(Table2[Column1],MATCH(Table1[[#This Row],[Column5]],Table2[a],0)))</f>
        <v>G</v>
      </c>
      <c r="I273" s="279" t="str">
        <f>IF(Table1[[#This Row],[Column3]]=0,"",CONCATENATE(UPPER(Table1[[#This Row],[Column3]])," ",Table1[[#This Row],[Column4]]))</f>
        <v>G 2597</v>
      </c>
      <c r="J273" s="278" t="str">
        <f>IF(Table1[[#This Row],[Column5]]="","",INDEX(Table2[e],IF(Table1[[#This Row],[Column5]]="","",MATCH(Table1[[#This Row],[Column5]],Table2[a],0)),))</f>
        <v>LILY JULIAWATI (REJO AGUNG) JOMBANG</v>
      </c>
      <c r="K273" s="271">
        <v>144</v>
      </c>
      <c r="L273" s="271" t="s">
        <v>137</v>
      </c>
      <c r="M273" s="271">
        <v>1</v>
      </c>
      <c r="N273" s="271" t="s">
        <v>485</v>
      </c>
      <c r="O273" s="278" t="str">
        <f>IF(Table1[[#This Row],[h_Item Description]]="","",INDEX([1]!db[NB PAJAK],MATCH(Table1[[#This Row],[h_Item Description]],[1]!db[kode],0)))</f>
        <v>GEL PEN KENKO HI-TECH-H 0.28 MM BIRU</v>
      </c>
      <c r="P273" s="271" t="s">
        <v>486</v>
      </c>
      <c r="Q273" s="274">
        <v>39000</v>
      </c>
      <c r="R273" s="275">
        <v>0.125</v>
      </c>
      <c r="S273" s="275"/>
      <c r="T273" s="274">
        <f>Table1[[#This Row],[h_hargasetelahdiskon]]</f>
        <v>4914000</v>
      </c>
      <c r="U273" s="274" t="s">
        <v>130</v>
      </c>
      <c r="V273" s="271"/>
      <c r="W273" s="278">
        <f ca="1">IF(Table1[[#This Row],[Item Description]]="","",IF(Table1[[#This Row],[//]]="",INDIRECT(ADDRESS(ROW()-1,COLUMN())),Table1[[#This Row],[//]]))</f>
        <v>273</v>
      </c>
      <c r="X273" s="278">
        <f ca="1">IF(Table1[[#This Row],[h_id]]="","",COUNTIF(Table1[h_id],Table1[[#This Row],[h_id]]))</f>
        <v>3</v>
      </c>
      <c r="Y273" s="274">
        <f>IF(Table1[Item Description]="","",Table1[[#This Row],[Qty]]*Table1[[#This Row],[Unit Price]])</f>
        <v>5616000</v>
      </c>
      <c r="Z273" s="274">
        <f>IF(Table1[[#This Row],[h_hargasebelumdiskon]]="","",IF(Table1[[#This Row],[Disc 1]]="",0,Table1[[#This Row],[h_hargasebelumdiskon]]*Table1[[#This Row],[Disc 1]]))</f>
        <v>702000</v>
      </c>
      <c r="AA273" s="274">
        <f>IF(Table1[[#This Row],[h_hargasebelumdiskon]]="","",IF(Table1[[#This Row],[Disc 2]]="",0,(Table1[[#This Row],[h_hargasebelumdiskon]]-Table1[[#This Row],[h_disc 1]])*Table1[[#This Row],[Disc 2]]))</f>
        <v>0</v>
      </c>
      <c r="AB273" s="274">
        <f>IF(Table1[Item Description]="","",Table1[[#This Row],[h_disc 1]]+Table1[[#This Row],[h_disc 2]])</f>
        <v>702000</v>
      </c>
      <c r="AC273" s="274">
        <f>IF(Table1[Item Description]="","",Table1[[#This Row],[h_hargasebelumdiskon]]-Table1[[#This Row],[h_diskon]])</f>
        <v>4914000</v>
      </c>
      <c r="AD273" s="274">
        <f ca="1">IF(Table1[//]="","",SUMIF(Table1[h_id],Table1[h_id],Table1[h_hargasetelahdiskon]))</f>
        <v>17734500</v>
      </c>
      <c r="AF273" s="274" t="str">
        <f>Table1[[#This Row],[Item Description]]&amp;Table1[[#This Row],[Unit]]&amp;Table1[[#This Row],[Unit Price]]</f>
        <v>GEL PEN KENKO HI-TECH-H 0.28 MM BIRULSN39000</v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>
        <v>288</v>
      </c>
      <c r="L274" s="271" t="s">
        <v>137</v>
      </c>
      <c r="M274" s="271">
        <v>2</v>
      </c>
      <c r="N274" s="271" t="s">
        <v>367</v>
      </c>
      <c r="O274" s="278" t="str">
        <f>IF(Table1[[#This Row],[h_Item Description]]="","",INDEX([1]!db[NB PAJAK],MATCH(Table1[[#This Row],[h_Item Description]],[1]!db[kode],0)))</f>
        <v>GEL PEN KENKO HI-TECH-H 0.28 MM HITAM</v>
      </c>
      <c r="P274" s="271" t="s">
        <v>368</v>
      </c>
      <c r="Q274" s="274">
        <v>39000</v>
      </c>
      <c r="R274" s="275">
        <v>0.125</v>
      </c>
      <c r="S274" s="275"/>
      <c r="T274" s="274">
        <f>Table1[[#This Row],[h_hargasetelahdiskon]]</f>
        <v>9828000</v>
      </c>
      <c r="V274" s="271"/>
      <c r="W274" s="278">
        <f ca="1">IF(Table1[[#This Row],[Item Description]]="","",IF(Table1[[#This Row],[//]]="",INDIRECT(ADDRESS(ROW()-1,COLUMN())),Table1[[#This Row],[//]]))</f>
        <v>273</v>
      </c>
      <c r="X274" s="278">
        <f ca="1">IF(Table1[[#This Row],[h_id]]="","",COUNTIF(Table1[h_id],Table1[[#This Row],[h_id]]))</f>
        <v>3</v>
      </c>
      <c r="Y274" s="274">
        <f>IF(Table1[Item Description]="","",Table1[[#This Row],[Qty]]*Table1[[#This Row],[Unit Price]])</f>
        <v>11232000</v>
      </c>
      <c r="Z274" s="274">
        <f>IF(Table1[[#This Row],[h_hargasebelumdiskon]]="","",IF(Table1[[#This Row],[Disc 1]]="",0,Table1[[#This Row],[h_hargasebelumdiskon]]*Table1[[#This Row],[Disc 1]]))</f>
        <v>1404000</v>
      </c>
      <c r="AA274" s="274">
        <f>IF(Table1[[#This Row],[h_hargasebelumdiskon]]="","",IF(Table1[[#This Row],[Disc 2]]="",0,(Table1[[#This Row],[h_hargasebelumdiskon]]-Table1[[#This Row],[h_disc 1]])*Table1[[#This Row],[Disc 2]]))</f>
        <v>0</v>
      </c>
      <c r="AB274" s="274">
        <f>IF(Table1[Item Description]="","",Table1[[#This Row],[h_disc 1]]+Table1[[#This Row],[h_disc 2]])</f>
        <v>1404000</v>
      </c>
      <c r="AC274" s="274">
        <f>IF(Table1[Item Description]="","",Table1[[#This Row],[h_hargasebelumdiskon]]-Table1[[#This Row],[h_diskon]])</f>
        <v>9828000</v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>GEL PEN KENKO HI-TECH-H 0.28 MM HITAMLSN39000</v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>
        <v>60</v>
      </c>
      <c r="L275" s="271" t="s">
        <v>137</v>
      </c>
      <c r="M275" s="271">
        <v>2</v>
      </c>
      <c r="N275" s="271" t="s">
        <v>491</v>
      </c>
      <c r="O275" s="278" t="str">
        <f>IF(Table1[[#This Row],[h_Item Description]]="","",INDEX([1]!db[NB PAJAK],MATCH(Table1[[#This Row],[h_Item Description]],[1]!db[kode],0)))</f>
        <v>CUTTER 9 MM KENKO A-300 (KECIL)</v>
      </c>
      <c r="P275" s="271" t="s">
        <v>492</v>
      </c>
      <c r="Q275" s="274">
        <v>57000</v>
      </c>
      <c r="R275" s="275">
        <v>0.125</v>
      </c>
      <c r="S275" s="275"/>
      <c r="T275" s="274">
        <f>Table1[[#This Row],[h_hargasetelahdiskon]]</f>
        <v>2992500</v>
      </c>
      <c r="V275" s="271"/>
      <c r="W275" s="278">
        <f ca="1">IF(Table1[[#This Row],[Item Description]]="","",IF(Table1[[#This Row],[//]]="",INDIRECT(ADDRESS(ROW()-1,COLUMN())),Table1[[#This Row],[//]]))</f>
        <v>273</v>
      </c>
      <c r="X275" s="278">
        <f ca="1">IF(Table1[[#This Row],[h_id]]="","",COUNTIF(Table1[h_id],Table1[[#This Row],[h_id]]))</f>
        <v>3</v>
      </c>
      <c r="Y275" s="274">
        <f>IF(Table1[Item Description]="","",Table1[[#This Row],[Qty]]*Table1[[#This Row],[Unit Price]])</f>
        <v>3420000</v>
      </c>
      <c r="Z275" s="274">
        <f>IF(Table1[[#This Row],[h_hargasebelumdiskon]]="","",IF(Table1[[#This Row],[Disc 1]]="",0,Table1[[#This Row],[h_hargasebelumdiskon]]*Table1[[#This Row],[Disc 1]]))</f>
        <v>427500</v>
      </c>
      <c r="AA275" s="274">
        <f>IF(Table1[[#This Row],[h_hargasebelumdiskon]]="","",IF(Table1[[#This Row],[Disc 2]]="",0,(Table1[[#This Row],[h_hargasebelumdiskon]]-Table1[[#This Row],[h_disc 1]])*Table1[[#This Row],[Disc 2]]))</f>
        <v>0</v>
      </c>
      <c r="AB275" s="274">
        <f>IF(Table1[Item Description]="","",Table1[[#This Row],[h_disc 1]]+Table1[[#This Row],[h_disc 2]])</f>
        <v>427500</v>
      </c>
      <c r="AC275" s="274">
        <f>IF(Table1[Item Description]="","",Table1[[#This Row],[h_hargasebelumdiskon]]-Table1[[#This Row],[h_diskon]])</f>
        <v>2992500</v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>CUTTER 9 MM KENKO A-300 (KECIL)LSN57000</v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278" t="str">
        <f ca="1">IF(Table1[[#This Row],[No. Invoice :]]="","",ROW())</f>
        <v/>
      </c>
      <c r="B302" s="278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E302" s="273"/>
      <c r="F302" s="271"/>
      <c r="G302" s="278" t="str">
        <f ca="1">IF(Table1[[#This Row],[h_No. Invoice :]]="","",CONCATENATE("AM"," ",Table1[[#This Row],[h_No. Invoice :]]))</f>
        <v/>
      </c>
      <c r="H302" s="27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O302" s="278" t="str">
        <f>IF(Table1[[#This Row],[h_Item Description]]="","",INDEX([1]!db[NB PAJAK],MATCH(Table1[[#This Row],[h_Item Description]],[1]!db[kode],0)))</f>
        <v/>
      </c>
      <c r="P302" s="278"/>
      <c r="Q302" s="274"/>
      <c r="R302" s="275"/>
      <c r="S302" s="275"/>
      <c r="T302" s="274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274" t="str">
        <f>IF(Table1[[#This Row],[h_hargasebelumdiskon]]="","",IF(Table1[[#This Row],[Disc 1]]="",0,Table1[[#This Row],[h_hargasebelumdiskon]]*Table1[[#This Row],[Disc 1]]))</f>
        <v/>
      </c>
      <c r="AA302" s="274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/>
      <c r="AH302"/>
      <c r="AI302"/>
    </row>
    <row r="303" spans="1:35" x14ac:dyDescent="0.25">
      <c r="A303" s="278" t="str">
        <f ca="1">IF(Table1[[#This Row],[No. Invoice :]]="","",ROW())</f>
        <v/>
      </c>
      <c r="B303" s="278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E303" s="273"/>
      <c r="F303" s="271"/>
      <c r="G303" s="278" t="str">
        <f ca="1">IF(Table1[[#This Row],[h_No. Invoice :]]="","",CONCATENATE("AM"," ",Table1[[#This Row],[h_No. Invoice :]]))</f>
        <v/>
      </c>
      <c r="H303" s="27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O303" s="278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274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274" t="str">
        <f>IF(Table1[[#This Row],[h_hargasebelumdiskon]]="","",IF(Table1[[#This Row],[Disc 1]]="",0,Table1[[#This Row],[h_hargasebelumdiskon]]*Table1[[#This Row],[Disc 1]]))</f>
        <v/>
      </c>
      <c r="AA303" s="274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/>
      <c r="AH303"/>
      <c r="AI30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/>
      <c r="AH304"/>
      <c r="AI304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/>
      <c r="AH305"/>
      <c r="AI305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/>
      <c r="AH306"/>
      <c r="AI306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/>
      <c r="AH307"/>
      <c r="AI307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/>
      <c r="AH308"/>
      <c r="AI308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/>
      <c r="AH309"/>
      <c r="AI309"/>
    </row>
    <row r="310" spans="1:35" x14ac:dyDescent="0.25">
      <c r="A310" s="278" t="str">
        <f ca="1">IF(Table1[[#This Row],[No. Invoice :]]="","",ROW())</f>
        <v/>
      </c>
      <c r="B310" s="278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E310" s="273"/>
      <c r="F310" s="271"/>
      <c r="G310" s="278" t="str">
        <f ca="1">IF(Table1[[#This Row],[h_No. Invoice :]]="","",CONCATENATE("AM"," ",Table1[[#This Row],[h_No. Invoice :]]))</f>
        <v/>
      </c>
      <c r="H310" s="27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O310" s="278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274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274" t="str">
        <f>IF(Table1[[#This Row],[h_hargasebelumdiskon]]="","",IF(Table1[[#This Row],[Disc 1]]="",0,Table1[[#This Row],[h_hargasebelumdiskon]]*Table1[[#This Row],[Disc 1]]))</f>
        <v/>
      </c>
      <c r="AA310" s="274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/>
      <c r="AH310"/>
      <c r="AI310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/>
      <c r="AH311"/>
      <c r="AI311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/>
      <c r="AH312"/>
      <c r="AI312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/>
      <c r="AH313"/>
      <c r="AI31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/>
      <c r="AH314"/>
      <c r="AI314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/>
      <c r="AH315"/>
      <c r="AI315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/>
      <c r="AH316"/>
      <c r="AI316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/>
      <c r="AH317"/>
      <c r="AI317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/>
      <c r="AH318"/>
      <c r="AI318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/>
      <c r="AH319"/>
      <c r="AI319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/>
      <c r="AH320"/>
      <c r="AI320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/>
      <c r="AH321"/>
      <c r="AI321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/>
      <c r="AH322"/>
      <c r="AI322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/>
      <c r="AH323"/>
      <c r="AI32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/>
      <c r="AH324"/>
      <c r="AI324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/>
      <c r="AH325"/>
      <c r="AI325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/>
      <c r="AH326"/>
      <c r="AI326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/>
      <c r="AH327"/>
      <c r="AI327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/>
      <c r="AH328"/>
      <c r="AI328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/>
      <c r="AH329"/>
      <c r="AI329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/>
      <c r="AH330"/>
      <c r="AI330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/>
      <c r="AH331"/>
      <c r="AI331"/>
    </row>
    <row r="332" spans="1:35" x14ac:dyDescent="0.25">
      <c r="A332" s="492"/>
      <c r="B332" s="492"/>
      <c r="C332" s="493"/>
      <c r="D332" s="494"/>
      <c r="E332" s="495"/>
      <c r="F332" s="496"/>
      <c r="G332" s="492"/>
      <c r="H332" s="496"/>
      <c r="I332" s="497"/>
      <c r="J332" s="492"/>
      <c r="K332" s="496"/>
      <c r="L332" s="496"/>
      <c r="M332" s="496"/>
      <c r="N332" s="496"/>
      <c r="O332" s="492"/>
      <c r="P332" s="496"/>
      <c r="Q332" s="498"/>
      <c r="R332" s="499"/>
      <c r="S332" s="499"/>
      <c r="T332" s="498"/>
      <c r="U332" s="498"/>
      <c r="V332" s="496"/>
      <c r="W332" s="492"/>
      <c r="X332" s="492"/>
      <c r="Y332" s="498"/>
      <c r="Z332" s="498"/>
      <c r="AA332" s="498"/>
      <c r="AB332" s="498"/>
      <c r="AC332" s="498"/>
      <c r="AD332" s="498"/>
      <c r="AE332" s="498"/>
      <c r="AF332" s="498"/>
      <c r="AG332"/>
      <c r="AH332"/>
      <c r="AI332"/>
    </row>
  </sheetData>
  <conditionalFormatting sqref="P74">
    <cfRule type="duplicateValues" dxfId="41" priority="3"/>
  </conditionalFormatting>
  <conditionalFormatting sqref="P33">
    <cfRule type="duplicateValues" dxfId="40" priority="2"/>
  </conditionalFormatting>
  <conditionalFormatting sqref="E3:E331">
    <cfRule type="duplicateValues" dxfId="39" priority="16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A31" zoomScale="85" zoomScaleNormal="85" workbookViewId="0">
      <selection activeCell="A54" sqref="A5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56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596253873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59088221.648648642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45301</v>
      </c>
      <c r="G6" s="3" t="str">
        <f ca="1">IF(pajak[[#This Row],[//]]="","",INDEX(Table1[Kode Sales :],pajak[//]-offset))</f>
        <v>KO 0825</v>
      </c>
      <c r="H6" s="3" t="str">
        <f ca="1">IF(pajak[[#This Row],[//]]="","",INDEX(Table1[Toko],pajak[//]-offset))</f>
        <v>CV GANESHA WONOSOBO</v>
      </c>
      <c r="I6" s="291">
        <f ca="1">IF(pajak[[#This Row],[//]]="","",SUMIF(Table1[h_id],pajak[[#This Row],[//]],Table1[h_hargasebelumdiskon]))</f>
        <v>498000</v>
      </c>
      <c r="J6" s="291">
        <f ca="1">IF(pajak[[#This Row],[//]]="","",SUMIF(Table1[h_id],pajak[[#This Row],[//]],Table1[h_diskon]))</f>
        <v>49800</v>
      </c>
      <c r="K6" s="291">
        <f ca="1">IF(pajak[[#This Row],[//]]="","",SUMIF(Table1[h_id],pajak[[#This Row],[//]],Table1[h_hargasetelahdiskon]))</f>
        <v>448200</v>
      </c>
      <c r="L6" s="291">
        <f ca="1">IF(pajak[//]="","",pajak[[#This Row],[Sub Total]]/1.11*11%)</f>
        <v>44416.216216216213</v>
      </c>
      <c r="M6" s="291">
        <f ca="1">pajak[[#This Row],[Sub Total]]</f>
        <v>448200</v>
      </c>
      <c r="N6" s="292" t="str">
        <f ca="1">IF(pajak[[#This Row],[//]]="","",INDEX(Table1[pembuat nota :],pajak[//]-offset))</f>
        <v>RISMA / YO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59088221.648648642</v>
      </c>
    </row>
    <row r="7" spans="1:27" x14ac:dyDescent="0.25">
      <c r="A7" s="296">
        <v>14</v>
      </c>
      <c r="D7" s="3">
        <f t="shared" ca="1" si="0"/>
        <v>14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16</v>
      </c>
      <c r="D8" s="3">
        <f t="shared" ca="1" si="0"/>
        <v>16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23</v>
      </c>
      <c r="D9" s="3">
        <f t="shared" ca="1" si="0"/>
        <v>23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26</v>
      </c>
      <c r="D10" s="3">
        <f t="shared" ca="1" si="0"/>
        <v>26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30</v>
      </c>
      <c r="D11" s="3">
        <f t="shared" ca="1" si="0"/>
        <v>30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3096000</v>
      </c>
      <c r="J12" s="291">
        <f ca="1">IF(pajak[[#This Row],[//]]="","",SUMIF(Table1[h_id],pajak[[#This Row],[//]],Table1[h_diskon]))</f>
        <v>387000</v>
      </c>
      <c r="K12" s="291">
        <f ca="1">IF(pajak[[#This Row],[//]]="","",SUMIF(Table1[h_id],pajak[[#This Row],[//]],Table1[h_hargasetelahdiskon]))</f>
        <v>2709000</v>
      </c>
      <c r="L12" s="291">
        <f ca="1">IF(pajak[//]="","",pajak[[#This Row],[Sub Total]]/1.11*11%)</f>
        <v>268459.45945945941</v>
      </c>
      <c r="M12" s="291">
        <f ca="1">pajak[[#This Row],[Sub Total]]</f>
        <v>2709000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34</v>
      </c>
      <c r="D13" s="3">
        <f t="shared" ca="1" si="0"/>
        <v>34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51</v>
      </c>
      <c r="D14" s="292">
        <f t="shared" ca="1" si="0"/>
        <v>51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63</v>
      </c>
      <c r="D15" s="292">
        <f t="shared" ca="1" si="0"/>
        <v>63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65</v>
      </c>
      <c r="D16" s="292">
        <f t="shared" ca="1" si="0"/>
        <v>65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70</v>
      </c>
      <c r="D17" s="292">
        <f t="shared" ca="1" si="0"/>
        <v>70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85</v>
      </c>
      <c r="D18" s="292">
        <f t="shared" ca="1" si="0"/>
        <v>85</v>
      </c>
      <c r="E18" s="3" t="str">
        <f ca="1">IF(pajak[[#This Row],[//]]="","",INDEX(Table1[No. Invoice :],pajak[//]-offset))</f>
        <v>AM 24010014</v>
      </c>
      <c r="F18" s="290">
        <f ca="1">IF(pajak[[#This Row],[//]]="","",INDEX(Table1[Tgl Invoice :],pajak[//]-offset))</f>
        <v>45300</v>
      </c>
      <c r="G18" s="292" t="str">
        <f ca="1">IF(pajak[[#This Row],[//]]="","",INDEX(Table1[Kode Sales :],pajak[//]-offset))</f>
        <v>G 0855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17196000</v>
      </c>
      <c r="J18" s="291">
        <f ca="1">IF(pajak[[#This Row],[//]]="","",SUMIF(Table1[h_id],pajak[[#This Row],[//]],Table1[h_diskon]))</f>
        <v>2149500</v>
      </c>
      <c r="K18" s="291">
        <f ca="1">IF(pajak[[#This Row],[//]]="","",SUMIF(Table1[h_id],pajak[[#This Row],[//]],Table1[h_hargasetelahdiskon]))</f>
        <v>15046500</v>
      </c>
      <c r="L18" s="291">
        <f ca="1">IF(pajak[//]="","",pajak[[#This Row],[Sub Total]]/1.11*11%)</f>
        <v>1491094.5945945946</v>
      </c>
      <c r="M18" s="291">
        <f ca="1">pajak[[#This Row],[Sub Total]]</f>
        <v>15046500</v>
      </c>
      <c r="N18" s="292" t="str">
        <f ca="1">IF(pajak[[#This Row],[//]]="","",INDEX(Table1[pembuat nota :],pajak[//]-offset))</f>
        <v>NOVI / YO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89</v>
      </c>
      <c r="D19" s="292">
        <f t="shared" ca="1" si="0"/>
        <v>89</v>
      </c>
      <c r="E19" s="3" t="str">
        <f ca="1">IF(pajak[[#This Row],[//]]="","",INDEX(Table1[No. Invoice :],pajak[//]-offset))</f>
        <v>AM 24010015</v>
      </c>
      <c r="F19" s="290">
        <f ca="1">IF(pajak[[#This Row],[//]]="","",INDEX(Table1[Tgl Invoice :],pajak[//]-offset))</f>
        <v>45300</v>
      </c>
      <c r="G19" s="292" t="str">
        <f ca="1">IF(pajak[[#This Row],[//]]="","",INDEX(Table1[Kode Sales :],pajak[//]-offset))</f>
        <v>KO 0860</v>
      </c>
      <c r="H19" s="292" t="str">
        <f ca="1">IF(pajak[[#This Row],[//]]="","",INDEX(Table1[Toko],pajak[//]-offset))</f>
        <v>CV PELITA JAYA (ANUGERAH SEJAHTERA) PURWOKERTO</v>
      </c>
      <c r="I19" s="291">
        <f ca="1">IF(pajak[[#This Row],[//]]="","",SUMIF(Table1[h_id],pajak[[#This Row],[//]],Table1[h_hargasebelumdiskon]))</f>
        <v>64087600</v>
      </c>
      <c r="J19" s="291">
        <f ca="1">IF(pajak[[#This Row],[//]]="","",SUMIF(Table1[h_id],pajak[[#This Row],[//]],Table1[h_diskon]))</f>
        <v>8651826</v>
      </c>
      <c r="K19" s="291">
        <f ca="1">IF(pajak[[#This Row],[//]]="","",SUMIF(Table1[h_id],pajak[[#This Row],[//]],Table1[h_hargasetelahdiskon]))</f>
        <v>55435774</v>
      </c>
      <c r="L19" s="291">
        <f ca="1">IF(pajak[//]="","",pajak[[#This Row],[Sub Total]]/1.11*11%)</f>
        <v>5493635.2612612611</v>
      </c>
      <c r="M19" s="291">
        <f ca="1">pajak[[#This Row],[Sub Total]]</f>
        <v>55435774</v>
      </c>
      <c r="N19" s="292" t="str">
        <f ca="1">IF(pajak[[#This Row],[//]]="","",INDEX(Table1[pembuat nota :],pajak[//]-offset))</f>
        <v>NOVI / YO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107</v>
      </c>
      <c r="D20" s="292">
        <f t="shared" ca="1" si="0"/>
        <v>107</v>
      </c>
      <c r="E20" s="3" t="str">
        <f ca="1">IF(pajak[[#This Row],[//]]="","",INDEX(Table1[No. Invoice :],pajak[//]-offset))</f>
        <v>AM 24010016</v>
      </c>
      <c r="F20" s="290">
        <f ca="1">IF(pajak[[#This Row],[//]]="","",INDEX(Table1[Tgl Invoice :],pajak[//]-offset))</f>
        <v>45301</v>
      </c>
      <c r="G20" s="292" t="str">
        <f ca="1">IF(pajak[[#This Row],[//]]="","",INDEX(Table1[Kode Sales :],pajak[//]-offset))</f>
        <v>KO 4473</v>
      </c>
      <c r="H20" s="292" t="str">
        <f ca="1">IF(pajak[[#This Row],[//]]="","",INDEX(Table1[Toko],pajak[//]-offset))</f>
        <v>CV LANCAR JAYA SENTOSA MALANG</v>
      </c>
      <c r="I20" s="291">
        <f ca="1">IF(pajak[[#This Row],[//]]="","",SUMIF(Table1[h_id],pajak[[#This Row],[//]],Table1[h_hargasebelumdiskon]))</f>
        <v>25272000</v>
      </c>
      <c r="J20" s="291">
        <f ca="1">IF(pajak[[#This Row],[//]]="","",SUMIF(Table1[h_id],pajak[[#This Row],[//]],Table1[h_diskon]))</f>
        <v>4094550</v>
      </c>
      <c r="K20" s="291">
        <f ca="1">IF(pajak[[#This Row],[//]]="","",SUMIF(Table1[h_id],pajak[[#This Row],[//]],Table1[h_hargasetelahdiskon]))</f>
        <v>21177450</v>
      </c>
      <c r="L20" s="291">
        <f ca="1">IF(pajak[//]="","",pajak[[#This Row],[Sub Total]]/1.11*11%)</f>
        <v>2098666.2162162159</v>
      </c>
      <c r="M20" s="291">
        <f ca="1">pajak[[#This Row],[Sub Total]]</f>
        <v>21177450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111</v>
      </c>
      <c r="D21" s="292">
        <f t="shared" ca="1" si="0"/>
        <v>111</v>
      </c>
      <c r="E21" s="3" t="str">
        <f ca="1">IF(pajak[[#This Row],[//]]="","",INDEX(Table1[No. Invoice :],pajak[//]-offset))</f>
        <v>AM 24010017</v>
      </c>
      <c r="F21" s="290">
        <f ca="1">IF(pajak[[#This Row],[//]]="","",INDEX(Table1[Tgl Invoice :],pajak[//]-offset))</f>
        <v>45302</v>
      </c>
      <c r="G21" s="292" t="str">
        <f ca="1">IF(pajak[[#This Row],[//]]="","",INDEX(Table1[Kode Sales :],pajak[//]-offset))</f>
        <v>KO 0872</v>
      </c>
      <c r="H21" s="292" t="str">
        <f ca="1">IF(pajak[[#This Row],[//]]="","",INDEX(Table1[Toko],pajak[//]-offset))</f>
        <v>CV  WISUDA PURWOKERTO</v>
      </c>
      <c r="I21" s="291">
        <f ca="1">IF(pajak[[#This Row],[//]]="","",SUMIF(Table1[h_id],pajak[[#This Row],[//]],Table1[h_hargasebelumdiskon]))</f>
        <v>1350000</v>
      </c>
      <c r="J21" s="291">
        <f ca="1">IF(pajak[[#This Row],[//]]="","",SUMIF(Table1[h_id],pajak[[#This Row],[//]],Table1[h_diskon]))</f>
        <v>0</v>
      </c>
      <c r="K21" s="291">
        <f ca="1">IF(pajak[[#This Row],[//]]="","",SUMIF(Table1[h_id],pajak[[#This Row],[//]],Table1[h_hargasetelahdiskon]))</f>
        <v>1350000</v>
      </c>
      <c r="L21" s="291">
        <f ca="1">IF(pajak[//]="","",pajak[[#This Row],[Sub Total]]/1.11*11%)</f>
        <v>133783.78378378376</v>
      </c>
      <c r="M21" s="291">
        <f ca="1">pajak[[#This Row],[Sub Total]]</f>
        <v>1350000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113</v>
      </c>
      <c r="B22" s="296"/>
      <c r="D22" s="292">
        <f t="shared" ca="1" si="0"/>
        <v>113</v>
      </c>
      <c r="E22" s="3" t="str">
        <f ca="1">IF(pajak[[#This Row],[//]]="","",INDEX(Table1[No. Invoice :],pajak[//]-offset))</f>
        <v>AM 24010018</v>
      </c>
      <c r="F22" s="290">
        <f ca="1">IF(pajak[[#This Row],[//]]="","",INDEX(Table1[Tgl Invoice :],pajak[//]-offset))</f>
        <v>45303</v>
      </c>
      <c r="G22" s="292" t="str">
        <f ca="1">IF(pajak[[#This Row],[//]]="","",INDEX(Table1[Kode Sales :],pajak[//]-offset))</f>
        <v>KO 4985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6550000</v>
      </c>
      <c r="J22" s="291">
        <f ca="1">IF(pajak[[#This Row],[//]]="","",SUMIF(Table1[h_id],pajak[[#This Row],[//]],Table1[h_diskon]))</f>
        <v>0</v>
      </c>
      <c r="K22" s="291">
        <f ca="1">IF(pajak[[#This Row],[//]]="","",SUMIF(Table1[h_id],pajak[[#This Row],[//]],Table1[h_hargasetelahdiskon]))</f>
        <v>6550000</v>
      </c>
      <c r="L22" s="291">
        <f ca="1">IF(pajak[//]="","",pajak[[#This Row],[Sub Total]]/1.11*11%)</f>
        <v>649099.09909909905</v>
      </c>
      <c r="M22" s="291">
        <f ca="1">pajak[[#This Row],[Sub Total]]</f>
        <v>6550000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115</v>
      </c>
      <c r="D23" s="292">
        <f t="shared" ca="1" si="0"/>
        <v>115</v>
      </c>
      <c r="E23" s="3" t="str">
        <f ca="1">IF(pajak[[#This Row],[//]]="","",INDEX(Table1[No. Invoice :],pajak[//]-offset))</f>
        <v>AM 24010019</v>
      </c>
      <c r="F23" s="290">
        <f ca="1">IF(pajak[[#This Row],[//]]="","",INDEX(Table1[Tgl Invoice :],pajak[//]-offset))</f>
        <v>45304</v>
      </c>
      <c r="G23" s="292" t="str">
        <f ca="1">IF(pajak[[#This Row],[//]]="","",INDEX(Table1[Kode Sales :],pajak[//]-offset))</f>
        <v>KO 0881</v>
      </c>
      <c r="H23" s="292" t="str">
        <f ca="1">IF(pajak[[#This Row],[//]]="","",INDEX(Table1[Toko],pajak[//]-offset))</f>
        <v>CV PELITA JAYA (ANUGERAH SEJAHTERA) PURWOKERTO</v>
      </c>
      <c r="I23" s="291">
        <f ca="1">IF(pajak[[#This Row],[//]]="","",SUMIF(Table1[h_id],pajak[[#This Row],[//]],Table1[h_hargasebelumdiskon]))</f>
        <v>1680000</v>
      </c>
      <c r="J23" s="291">
        <f ca="1">IF(pajak[[#This Row],[//]]="","",SUMIF(Table1[h_id],pajak[[#This Row],[//]],Table1[h_diskon]))</f>
        <v>226800.00000000003</v>
      </c>
      <c r="K23" s="291">
        <f ca="1">IF(pajak[[#This Row],[//]]="","",SUMIF(Table1[h_id],pajak[[#This Row],[//]],Table1[h_hargasetelahdiskon]))</f>
        <v>1453200</v>
      </c>
      <c r="L23" s="291">
        <f ca="1">IF(pajak[//]="","",pajak[[#This Row],[Sub Total]]/1.11*11%)</f>
        <v>144010.8108108108</v>
      </c>
      <c r="M23" s="291">
        <f ca="1">pajak[[#This Row],[Sub Total]]</f>
        <v>1453200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117</v>
      </c>
      <c r="D24" s="292">
        <f t="shared" ca="1" si="0"/>
        <v>117</v>
      </c>
      <c r="E24" s="292" t="str">
        <f ca="1">IF(pajak[[#This Row],[//]]="","",INDEX(Table1[No. Invoice :],pajak[//]-offset))</f>
        <v>AM 24010020</v>
      </c>
      <c r="F24" s="290">
        <f ca="1">IF(pajak[[#This Row],[//]]="","",INDEX(Table1[Tgl Invoice :],pajak[//]-offset))</f>
        <v>45304</v>
      </c>
      <c r="G24" s="292" t="str">
        <f ca="1">IF(pajak[[#This Row],[//]]="","",INDEX(Table1[Kode Sales :],pajak[//]-offset))</f>
        <v>A 0221</v>
      </c>
      <c r="H24" s="292" t="str">
        <f ca="1">IF(pajak[[#This Row],[//]]="","",INDEX(Table1[Toko],pajak[//]-offset))</f>
        <v>PT RAMAI SANTOSO SEJAHTERA ( RAMAI SWALAYAN ) UNGARAN</v>
      </c>
      <c r="I24" s="291">
        <f ca="1">IF(pajak[[#This Row],[//]]="","",SUMIF(Table1[h_id],pajak[[#This Row],[//]],Table1[h_hargasebelumdiskon]))</f>
        <v>1342104</v>
      </c>
      <c r="J24" s="291">
        <f ca="1">IF(pajak[[#This Row],[//]]="","",SUMIF(Table1[h_id],pajak[[#This Row],[//]],Table1[h_diskon]))</f>
        <v>24312</v>
      </c>
      <c r="K24" s="291">
        <f ca="1">IF(pajak[[#This Row],[//]]="","",SUMIF(Table1[h_id],pajak[[#This Row],[//]],Table1[h_hargasetelahdiskon]))</f>
        <v>1317792</v>
      </c>
      <c r="L24" s="291">
        <f ca="1">IF(pajak[//]="","",pajak[[#This Row],[Sub Total]]/1.11*11%)</f>
        <v>130592</v>
      </c>
      <c r="M24" s="291">
        <f ca="1">pajak[[#This Row],[Sub Total]]</f>
        <v>1317792</v>
      </c>
      <c r="N24" s="292" t="str">
        <f ca="1">IF(pajak[[#This Row],[//]]="","",INDEX(Table1[pembuat nota :],pajak[//]-offset))</f>
        <v>RISMA / YO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127</v>
      </c>
      <c r="D25" s="292">
        <f t="shared" ca="1" si="0"/>
        <v>127</v>
      </c>
      <c r="E25" s="292" t="str">
        <f ca="1">IF(pajak[[#This Row],[//]]="","",INDEX(Table1[No. Invoice :],pajak[//]-offset))</f>
        <v>AM 24010021</v>
      </c>
      <c r="F25" s="290">
        <f ca="1">IF(pajak[[#This Row],[//]]="","",INDEX(Table1[Tgl Invoice :],pajak[//]-offset))</f>
        <v>45306</v>
      </c>
      <c r="G25" s="292" t="str">
        <f ca="1">IF(pajak[[#This Row],[//]]="","",INDEX(Table1[Kode Sales :],pajak[//]-offset))</f>
        <v>KO 0715</v>
      </c>
      <c r="H25" s="292" t="str">
        <f ca="1">IF(pajak[[#This Row],[//]]="","",INDEX(Table1[Toko],pajak[//]-offset))</f>
        <v>CV PELITA JAYA (ANUGERAH SEJAHTERA) PURWOKERTO</v>
      </c>
      <c r="I25" s="291">
        <f ca="1">IF(pajak[[#This Row],[//]]="","",SUMIF(Table1[h_id],pajak[[#This Row],[//]],Table1[h_hargasebelumdiskon]))</f>
        <v>15336000</v>
      </c>
      <c r="J25" s="291">
        <f ca="1">IF(pajak[[#This Row],[//]]="","",SUMIF(Table1[h_id],pajak[[#This Row],[//]],Table1[h_diskon]))</f>
        <v>2070360</v>
      </c>
      <c r="K25" s="291">
        <f ca="1">IF(pajak[[#This Row],[//]]="","",SUMIF(Table1[h_id],pajak[[#This Row],[//]],Table1[h_hargasetelahdiskon]))</f>
        <v>13265640</v>
      </c>
      <c r="L25" s="291">
        <f ca="1">IF(pajak[//]="","",pajak[[#This Row],[Sub Total]]/1.11*11%)</f>
        <v>1314612.9729729728</v>
      </c>
      <c r="M25" s="291">
        <f ca="1">pajak[[#This Row],[Sub Total]]</f>
        <v>13265640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>
        <v>131</v>
      </c>
      <c r="D26" s="292">
        <f t="shared" ca="1" si="0"/>
        <v>131</v>
      </c>
      <c r="E26" s="292" t="str">
        <f ca="1">IF(pajak[[#This Row],[//]]="","",INDEX(Table1[No. Invoice :],pajak[//]-offset))</f>
        <v>AM 24010022</v>
      </c>
      <c r="F26" s="290">
        <f ca="1">IF(pajak[[#This Row],[//]]="","",INDEX(Table1[Tgl Invoice :],pajak[//]-offset))</f>
        <v>45307</v>
      </c>
      <c r="G26" s="292" t="str">
        <f ca="1">IF(pajak[[#This Row],[//]]="","",INDEX(Table1[Kode Sales :],pajak[//]-offset))</f>
        <v>A 0837</v>
      </c>
      <c r="H26" s="292" t="str">
        <f ca="1">IF(pajak[[#This Row],[//]]="","",INDEX(Table1[Toko],pajak[//]-offset))</f>
        <v>CV FM 90 KEBUMEN</v>
      </c>
      <c r="I26" s="291">
        <f ca="1">IF(pajak[[#This Row],[//]]="","",SUMIF(Table1[h_id],pajak[[#This Row],[//]],Table1[h_hargasebelumdiskon]))</f>
        <v>8208000</v>
      </c>
      <c r="J26" s="291">
        <f ca="1">IF(pajak[[#This Row],[//]]="","",SUMIF(Table1[h_id],pajak[[#This Row],[//]],Table1[h_diskon]))</f>
        <v>0</v>
      </c>
      <c r="K26" s="291">
        <f ca="1">IF(pajak[[#This Row],[//]]="","",SUMIF(Table1[h_id],pajak[[#This Row],[//]],Table1[h_hargasetelahdiskon]))</f>
        <v>8208000</v>
      </c>
      <c r="L26" s="291">
        <f ca="1">IF(pajak[//]="","",pajak[[#This Row],[Sub Total]]/1.11*11%)</f>
        <v>813405.40540540533</v>
      </c>
      <c r="M26" s="291">
        <f ca="1">pajak[[#This Row],[Sub Total]]</f>
        <v>8208000</v>
      </c>
      <c r="N26" s="292" t="str">
        <f ca="1">IF(pajak[[#This Row],[//]]="","",INDEX(Table1[pembuat nota :],pajak[//]-offset))</f>
        <v>RISMA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 t="e">
        <f ca="1">IF(Table4[[#This Row],[AM]]&amp;" "&amp;Table4[[#This Row],[---]]=INDIRECT("pajak[@["&amp;Table4[#Headers]&amp;"]]"),MATCH(Table4[[#This Row],[---]],INDIRECT($3:$3),0))</f>
        <v>#REF!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>
        <v>134</v>
      </c>
      <c r="D27" s="292">
        <f t="shared" ca="1" si="0"/>
        <v>134</v>
      </c>
      <c r="E27" s="292" t="str">
        <f ca="1">IF(pajak[[#This Row],[//]]="","",INDEX(Table1[No. Invoice :],pajak[//]-offset))</f>
        <v>AM 24010023</v>
      </c>
      <c r="F27" s="290">
        <f ca="1">IF(pajak[[#This Row],[//]]="","",INDEX(Table1[Tgl Invoice :],pajak[//]-offset))</f>
        <v>45307</v>
      </c>
      <c r="G27" s="292" t="str">
        <f ca="1">IF(pajak[[#This Row],[//]]="","",INDEX(Table1[Kode Sales :],pajak[//]-offset))</f>
        <v>KO 3102</v>
      </c>
      <c r="H27" s="292" t="str">
        <f ca="1">IF(pajak[[#This Row],[//]]="","",INDEX(Table1[Toko],pajak[//]-offset))</f>
        <v>CV LANCAR JAYA SENTOSA MALANG</v>
      </c>
      <c r="I27" s="291">
        <f ca="1">IF(pajak[[#This Row],[//]]="","",SUMIF(Table1[h_id],pajak[[#This Row],[//]],Table1[h_hargasebelumdiskon]))</f>
        <v>22032000</v>
      </c>
      <c r="J27" s="291">
        <f ca="1">IF(pajak[[#This Row],[//]]="","",SUMIF(Table1[h_id],pajak[[#This Row],[//]],Table1[h_diskon]))</f>
        <v>2754000</v>
      </c>
      <c r="K27" s="291">
        <f ca="1">IF(pajak[[#This Row],[//]]="","",SUMIF(Table1[h_id],pajak[[#This Row],[//]],Table1[h_hargasetelahdiskon]))</f>
        <v>19278000</v>
      </c>
      <c r="L27" s="291">
        <f ca="1">IF(pajak[//]="","",pajak[[#This Row],[Sub Total]]/1.11*11%)</f>
        <v>1910432.4324324322</v>
      </c>
      <c r="M27" s="291">
        <f ca="1">pajak[[#This Row],[Sub Total]]</f>
        <v>19278000</v>
      </c>
      <c r="N27" s="292" t="str">
        <f ca="1">IF(pajak[[#This Row],[//]]="","",INDEX(Table1[pembuat nota :],pajak[//]-offset))</f>
        <v>RISMA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 t="e">
        <f ca="1">IF(Table4[[#This Row],[AM]]&amp;" "&amp;Table4[[#This Row],[---]]=INDIRECT("pajak[@["&amp;Table4[#Headers]&amp;"]]"),MATCH(Table4[[#This Row],[---]],INDIRECT($3:$3),0))</f>
        <v>#REF!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 s="296">
        <v>139</v>
      </c>
      <c r="D28" s="292">
        <f t="shared" ca="1" si="0"/>
        <v>139</v>
      </c>
      <c r="E28" s="292" t="str">
        <f ca="1">IF(pajak[[#This Row],[//]]="","",INDEX(Table1[No. Invoice :],pajak[//]-offset))</f>
        <v>AM 24010024</v>
      </c>
      <c r="F28" s="290">
        <f ca="1">IF(pajak[[#This Row],[//]]="","",INDEX(Table1[Tgl Invoice :],pajak[//]-offset))</f>
        <v>45307</v>
      </c>
      <c r="G28" s="292" t="str">
        <f ca="1">IF(pajak[[#This Row],[//]]="","",INDEX(Table1[Kode Sales :],pajak[//]-offset))</f>
        <v>KO 0726</v>
      </c>
      <c r="H28" s="292" t="str">
        <f ca="1">IF(pajak[[#This Row],[//]]="","",INDEX(Table1[Toko],pajak[//]-offset))</f>
        <v>CV PELITA JAYA (ANUGERAH SEJAHTERA) PURWOKERTO</v>
      </c>
      <c r="I28" s="291">
        <f ca="1">IF(pajak[[#This Row],[//]]="","",SUMIF(Table1[h_id],pajak[[#This Row],[//]],Table1[h_hargasebelumdiskon]))</f>
        <v>7668000</v>
      </c>
      <c r="J28" s="291">
        <f ca="1">IF(pajak[[#This Row],[//]]="","",SUMIF(Table1[h_id],pajak[[#This Row],[//]],Table1[h_diskon]))</f>
        <v>1035180</v>
      </c>
      <c r="K28" s="291">
        <f ca="1">IF(pajak[[#This Row],[//]]="","",SUMIF(Table1[h_id],pajak[[#This Row],[//]],Table1[h_hargasetelahdiskon]))</f>
        <v>6632820</v>
      </c>
      <c r="L28" s="291">
        <f ca="1">IF(pajak[//]="","",pajak[[#This Row],[Sub Total]]/1.11*11%)</f>
        <v>657306.48648648639</v>
      </c>
      <c r="M28" s="291">
        <f ca="1">pajak[[#This Row],[Sub Total]]</f>
        <v>6632820</v>
      </c>
      <c r="N28" s="292" t="str">
        <f ca="1">IF(pajak[[#This Row],[//]]="","",INDEX(Table1[pembuat nota :],pajak[//]-offset))</f>
        <v>RISMA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 t="e">
        <f ca="1">IF(Table4[[#This Row],[AM]]&amp;" "&amp;Table4[[#This Row],[---]]=INDIRECT("pajak[@["&amp;Table4[#Headers]&amp;"]]"),MATCH(Table4[[#This Row],[---]],INDIRECT($3:$3),0))</f>
        <v>#REF!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 s="296">
        <v>142</v>
      </c>
      <c r="D29" s="292">
        <f t="shared" ca="1" si="0"/>
        <v>142</v>
      </c>
      <c r="E29" s="292" t="str">
        <f ca="1">IF(pajak[[#This Row],[//]]="","",INDEX(Table1[No. Invoice :],pajak[//]-offset))</f>
        <v>AM 24010025</v>
      </c>
      <c r="F29" s="290">
        <f ca="1">IF(pajak[[#This Row],[//]]="","",INDEX(Table1[Tgl Invoice :],pajak[//]-offset))</f>
        <v>45307</v>
      </c>
      <c r="G29" s="292" t="str">
        <f ca="1">IF(pajak[[#This Row],[//]]="","",INDEX(Table1[Kode Sales :],pajak[//]-offset))</f>
        <v>G 0888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21186000</v>
      </c>
      <c r="J29" s="291">
        <f ca="1">IF(pajak[[#This Row],[//]]="","",SUMIF(Table1[h_id],pajak[[#This Row],[//]],Table1[h_diskon]))</f>
        <v>2648250</v>
      </c>
      <c r="K29" s="291">
        <f ca="1">IF(pajak[[#This Row],[//]]="","",SUMIF(Table1[h_id],pajak[[#This Row],[//]],Table1[h_hargasetelahdiskon]))</f>
        <v>18537750</v>
      </c>
      <c r="L29" s="291">
        <f ca="1">IF(pajak[//]="","",pajak[[#This Row],[Sub Total]]/1.11*11%)</f>
        <v>1837074.324324324</v>
      </c>
      <c r="M29" s="291">
        <f ca="1">pajak[[#This Row],[Sub Total]]</f>
        <v>18537750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 t="e">
        <f ca="1">IF(Table4[[#This Row],[AM]]&amp;" "&amp;Table4[[#This Row],[---]]=INDIRECT("pajak[@["&amp;Table4[#Headers]&amp;"]]"),MATCH(Table4[[#This Row],[---]],INDIRECT($3:$3),0))</f>
        <v>#REF!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 s="296">
        <v>149</v>
      </c>
      <c r="D30" s="292">
        <f t="shared" ca="1" si="0"/>
        <v>149</v>
      </c>
      <c r="E30" s="292" t="str">
        <f ca="1">IF(pajak[[#This Row],[//]]="","",INDEX(Table1[No. Invoice :],pajak[//]-offset))</f>
        <v>AM 24010026</v>
      </c>
      <c r="F30" s="290">
        <f ca="1">IF(pajak[[#This Row],[//]]="","",INDEX(Table1[Tgl Invoice :],pajak[//]-offset))</f>
        <v>45308</v>
      </c>
      <c r="G30" s="292" t="str">
        <f ca="1">IF(pajak[[#This Row],[//]]="","",INDEX(Table1[Kode Sales :],pajak[//]-offset))</f>
        <v>G 0893</v>
      </c>
      <c r="H30" s="292" t="str">
        <f ca="1">IF(pajak[[#This Row],[//]]="","",INDEX(Table1[Toko],pajak[//]-offset))</f>
        <v>CV UTAMA PUTRA TULUNG AGUNG</v>
      </c>
      <c r="I30" s="291">
        <f ca="1">IF(pajak[[#This Row],[//]]="","",SUMIF(Table1[h_id],pajak[[#This Row],[//]],Table1[h_hargasebelumdiskon]))</f>
        <v>9532800</v>
      </c>
      <c r="J30" s="291">
        <f ca="1">IF(pajak[[#This Row],[//]]="","",SUMIF(Table1[h_id],pajak[[#This Row],[//]],Table1[h_diskon]))</f>
        <v>1191600</v>
      </c>
      <c r="K30" s="291">
        <f ca="1">IF(pajak[[#This Row],[//]]="","",SUMIF(Table1[h_id],pajak[[#This Row],[//]],Table1[h_hargasetelahdiskon]))</f>
        <v>8341200</v>
      </c>
      <c r="L30" s="291">
        <f ca="1">IF(pajak[//]="","",pajak[[#This Row],[Sub Total]]/1.11*11%)</f>
        <v>826605.40540540533</v>
      </c>
      <c r="M30" s="291">
        <f ca="1">pajak[[#This Row],[Sub Total]]</f>
        <v>8341200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 t="e">
        <f ca="1">IF(Table4[[#This Row],[AM]]&amp;" "&amp;Table4[[#This Row],[---]]=INDIRECT("pajak[@["&amp;Table4[#Headers]&amp;"]]"),MATCH(Table4[[#This Row],[---]],INDIRECT($3:$3),0))</f>
        <v>#REF!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 s="296">
        <v>153</v>
      </c>
      <c r="D31" s="292">
        <f t="shared" ca="1" si="0"/>
        <v>153</v>
      </c>
      <c r="E31" s="292" t="str">
        <f ca="1">IF(pajak[[#This Row],[//]]="","",INDEX(Table1[No. Invoice :],pajak[//]-offset))</f>
        <v>AM 24010027</v>
      </c>
      <c r="F31" s="290">
        <f ca="1">IF(pajak[[#This Row],[//]]="","",INDEX(Table1[Tgl Invoice :],pajak[//]-offset))</f>
        <v>45309</v>
      </c>
      <c r="G31" s="292" t="str">
        <f ca="1">IF(pajak[[#This Row],[//]]="","",INDEX(Table1[Kode Sales :],pajak[//]-offset))</f>
        <v>A 1498</v>
      </c>
      <c r="H31" s="292" t="str">
        <f ca="1">IF(pajak[[#This Row],[//]]="","",INDEX(Table1[Toko],pajak[//]-offset))</f>
        <v>CV.BENGAWAN MULTI TRENDING (LUWES) PATI</v>
      </c>
      <c r="I31" s="291">
        <f ca="1">IF(pajak[[#This Row],[//]]="","",SUMIF(Table1[h_id],pajak[[#This Row],[//]],Table1[h_hargasebelumdiskon]))</f>
        <v>782000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782000</v>
      </c>
      <c r="L31" s="291">
        <f ca="1">IF(pajak[//]="","",pajak[[#This Row],[Sub Total]]/1.11*11%)</f>
        <v>77495.495495495488</v>
      </c>
      <c r="M31" s="291">
        <f ca="1">pajak[[#This Row],[Sub Total]]</f>
        <v>782000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 t="e">
        <f ca="1">IF(Table4[[#This Row],[AM]]&amp;" "&amp;Table4[[#This Row],[---]]=INDIRECT("pajak[@["&amp;Table4[#Headers]&amp;"]]"),MATCH(Table4[[#This Row],[---]],INDIRECT($3:$3),0))</f>
        <v>#REF!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 s="296">
        <v>162</v>
      </c>
      <c r="D32" s="292">
        <f t="shared" ca="1" si="0"/>
        <v>162</v>
      </c>
      <c r="E32" s="292" t="str">
        <f ca="1">IF(pajak[[#This Row],[//]]="","",INDEX(Table1[No. Invoice :],pajak[//]-offset))</f>
        <v>AM 24010028</v>
      </c>
      <c r="F32" s="290">
        <f ca="1">IF(pajak[[#This Row],[//]]="","",INDEX(Table1[Tgl Invoice :],pajak[//]-offset))</f>
        <v>45303</v>
      </c>
      <c r="G32" s="292" t="str">
        <f ca="1">IF(pajak[[#This Row],[//]]="","",INDEX(Table1[Kode Sales :],pajak[//]-offset))</f>
        <v>G 0877</v>
      </c>
      <c r="H32" s="292" t="str">
        <f ca="1">IF(pajak[[#This Row],[//]]="","",INDEX(Table1[Toko],pajak[//]-offset))</f>
        <v>PT.HASTA KENCANA SAKTI ( TRIO PLAZA ) MAGELANG</v>
      </c>
      <c r="I32" s="291">
        <f ca="1">IF(pajak[[#This Row],[//]]="","",SUMIF(Table1[h_id],pajak[[#This Row],[//]],Table1[h_hargasebelumdiskon]))</f>
        <v>1347950</v>
      </c>
      <c r="J32" s="291">
        <f ca="1">IF(pajak[[#This Row],[//]]="","",SUMIF(Table1[h_id],pajak[[#This Row],[//]],Table1[h_diskon]))</f>
        <v>0</v>
      </c>
      <c r="K32" s="291">
        <f ca="1">IF(pajak[[#This Row],[//]]="","",SUMIF(Table1[h_id],pajak[[#This Row],[//]],Table1[h_hargasetelahdiskon]))</f>
        <v>1347950</v>
      </c>
      <c r="L32" s="291">
        <f ca="1">IF(pajak[//]="","",pajak[[#This Row],[Sub Total]]/1.11*11%)</f>
        <v>133580.63063063062</v>
      </c>
      <c r="M32" s="291">
        <f ca="1">pajak[[#This Row],[Sub Total]]</f>
        <v>1347950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 t="e">
        <f ca="1">IF(Table4[[#This Row],[AM]]&amp;" "&amp;Table4[[#This Row],[---]]=INDIRECT("pajak[@["&amp;Table4[#Headers]&amp;"]]"),MATCH(Table4[[#This Row],[---]],INDIRECT($3:$3),0))</f>
        <v>#REF!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 s="296">
        <v>174</v>
      </c>
      <c r="D33" s="292">
        <f t="shared" ca="1" si="0"/>
        <v>174</v>
      </c>
      <c r="E33" s="292" t="str">
        <f ca="1">IF(pajak[[#This Row],[//]]="","",INDEX(Table1[No. Invoice :],pajak[//]-offset))</f>
        <v>AM 24010029</v>
      </c>
      <c r="F33" s="290">
        <f ca="1">IF(pajak[[#This Row],[//]]="","",INDEX(Table1[Tgl Invoice :],pajak[//]-offset))</f>
        <v>45310</v>
      </c>
      <c r="G33" s="292" t="str">
        <f ca="1">IF(pajak[[#This Row],[//]]="","",INDEX(Table1[Kode Sales :],pajak[//]-offset))</f>
        <v>KO 0952</v>
      </c>
      <c r="H33" s="292" t="str">
        <f ca="1">IF(pajak[[#This Row],[//]]="","",INDEX(Table1[Toko],pajak[//]-offset))</f>
        <v>HARNOYO (BENDAN) PEKALONGAN</v>
      </c>
      <c r="I33" s="291">
        <f ca="1">IF(pajak[[#This Row],[//]]="","",SUMIF(Table1[h_id],pajak[[#This Row],[//]],Table1[h_hargasebelumdiskon]))</f>
        <v>950400</v>
      </c>
      <c r="J33" s="291">
        <f ca="1">IF(pajak[[#This Row],[//]]="","",SUMIF(Table1[h_id],pajak[[#This Row],[//]],Table1[h_diskon]))</f>
        <v>133056</v>
      </c>
      <c r="K33" s="291">
        <f ca="1">IF(pajak[[#This Row],[//]]="","",SUMIF(Table1[h_id],pajak[[#This Row],[//]],Table1[h_hargasetelahdiskon]))</f>
        <v>817344</v>
      </c>
      <c r="L33" s="291">
        <f ca="1">IF(pajak[//]="","",pajak[[#This Row],[Sub Total]]/1.11*11%)</f>
        <v>80998.054054054053</v>
      </c>
      <c r="M33" s="291">
        <f ca="1">pajak[[#This Row],[Sub Total]]</f>
        <v>817344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 t="e">
        <f ca="1">IF(Table4[[#This Row],[AM]]&amp;" "&amp;Table4[[#This Row],[---]]=INDIRECT("pajak[@["&amp;Table4[#Headers]&amp;"]]"),MATCH(Table4[[#This Row],[---]],INDIRECT($3:$3),0))</f>
        <v>#REF!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 s="296">
        <v>176</v>
      </c>
      <c r="D34" s="292">
        <f t="shared" ca="1" si="0"/>
        <v>176</v>
      </c>
      <c r="E34" s="292" t="str">
        <f ca="1">IF(pajak[[#This Row],[//]]="","",INDEX(Table1[No. Invoice :],pajak[//]-offset))</f>
        <v>AM 24010030</v>
      </c>
      <c r="F34" s="290">
        <f ca="1">IF(pajak[[#This Row],[//]]="","",INDEX(Table1[Tgl Invoice :],pajak[//]-offset))</f>
        <v>45310</v>
      </c>
      <c r="G34" s="292" t="str">
        <f ca="1">IF(pajak[[#This Row],[//]]="","",INDEX(Table1[Kode Sales :],pajak[//]-offset))</f>
        <v>KO 0953</v>
      </c>
      <c r="H34" s="292" t="str">
        <f ca="1">IF(pajak[[#This Row],[//]]="","",INDEX(Table1[Toko],pajak[//]-offset))</f>
        <v>CV DWI JAYA YOGYAKARTA</v>
      </c>
      <c r="I34" s="291">
        <f ca="1">IF(pajak[[#This Row],[//]]="","",SUMIF(Table1[h_id],pajak[[#This Row],[//]],Table1[h_hargasebelumdiskon]))</f>
        <v>3562800</v>
      </c>
      <c r="J34" s="291">
        <f ca="1">IF(pajak[[#This Row],[//]]="","",SUMIF(Table1[h_id],pajak[[#This Row],[//]],Table1[h_diskon]))</f>
        <v>356280</v>
      </c>
      <c r="K34" s="291">
        <f ca="1">IF(pajak[[#This Row],[//]]="","",SUMIF(Table1[h_id],pajak[[#This Row],[//]],Table1[h_hargasetelahdiskon]))</f>
        <v>3206520</v>
      </c>
      <c r="L34" s="291">
        <f ca="1">IF(pajak[//]="","",pajak[[#This Row],[Sub Total]]/1.11*11%)</f>
        <v>317763.2432432432</v>
      </c>
      <c r="M34" s="291">
        <f ca="1">pajak[[#This Row],[Sub Total]]</f>
        <v>3206520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 t="e">
        <f ca="1">IF(Table4[[#This Row],[AM]]&amp;" "&amp;Table4[[#This Row],[---]]=INDIRECT("pajak[@["&amp;Table4[#Headers]&amp;"]]"),MATCH(Table4[[#This Row],[---]],INDIRECT($3:$3),0))</f>
        <v>#REF!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 s="296">
        <v>182</v>
      </c>
      <c r="D35" s="292">
        <f t="shared" ca="1" si="0"/>
        <v>182</v>
      </c>
      <c r="E35" s="292" t="str">
        <f ca="1">IF(pajak[[#This Row],[//]]="","",INDEX(Table1[No. Invoice :],pajak[//]-offset))</f>
        <v>AM 24010031</v>
      </c>
      <c r="F35" s="290">
        <f ca="1">IF(pajak[[#This Row],[//]]="","",INDEX(Table1[Tgl Invoice :],pajak[//]-offset))</f>
        <v>45311</v>
      </c>
      <c r="G35" s="292" t="str">
        <f ca="1">IF(pajak[[#This Row],[//]]="","",INDEX(Table1[Kode Sales :],pajak[//]-offset))</f>
        <v>KO 0967</v>
      </c>
      <c r="H35" s="292" t="str">
        <f ca="1">IF(pajak[[#This Row],[//]]="","",INDEX(Table1[Toko],pajak[//]-offset))</f>
        <v>CV DWI JAYA YOGYAKARTA</v>
      </c>
      <c r="I35" s="291">
        <f ca="1">IF(pajak[[#This Row],[//]]="","",SUMIF(Table1[h_id],pajak[[#This Row],[//]],Table1[h_hargasebelumdiskon]))</f>
        <v>1310000</v>
      </c>
      <c r="J35" s="291">
        <f ca="1">IF(pajak[[#This Row],[//]]="","",SUMIF(Table1[h_id],pajak[[#This Row],[//]],Table1[h_diskon]))</f>
        <v>131000</v>
      </c>
      <c r="K35" s="291">
        <f ca="1">IF(pajak[[#This Row],[//]]="","",SUMIF(Table1[h_id],pajak[[#This Row],[//]],Table1[h_hargasetelahdiskon]))</f>
        <v>1179000</v>
      </c>
      <c r="L35" s="291">
        <f ca="1">IF(pajak[//]="","",pajak[[#This Row],[Sub Total]]/1.11*11%)</f>
        <v>116837.83783783784</v>
      </c>
      <c r="M35" s="291">
        <f ca="1">pajak[[#This Row],[Sub Total]]</f>
        <v>1179000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 t="e">
        <f ca="1">IF(Table4[[#This Row],[AM]]&amp;" "&amp;Table4[[#This Row],[---]]=INDIRECT("pajak[@["&amp;Table4[#Headers]&amp;"]]"),MATCH(Table4[[#This Row],[---]],INDIRECT($3:$3),0))</f>
        <v>#REF!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 s="296">
        <v>185</v>
      </c>
      <c r="D36" s="292">
        <f t="shared" ca="1" si="0"/>
        <v>185</v>
      </c>
      <c r="E36" s="292" t="str">
        <f ca="1">IF(pajak[[#This Row],[//]]="","",INDEX(Table1[No. Invoice :],pajak[//]-offset))</f>
        <v>AM 24010032</v>
      </c>
      <c r="F36" s="290">
        <f ca="1">IF(pajak[[#This Row],[//]]="","",INDEX(Table1[Tgl Invoice :],pajak[//]-offset))</f>
        <v>45313</v>
      </c>
      <c r="G36" s="292" t="str">
        <f ca="1">IF(pajak[[#This Row],[//]]="","",INDEX(Table1[Kode Sales :],pajak[//]-offset))</f>
        <v>KO 4996</v>
      </c>
      <c r="H36" s="292" t="str">
        <f ca="1">IF(pajak[[#This Row],[//]]="","",INDEX(Table1[Toko],pajak[//]-offset))</f>
        <v>CV LANCAR JAYA SENTOSA MALANG</v>
      </c>
      <c r="I36" s="291">
        <f ca="1">IF(pajak[[#This Row],[//]]="","",SUMIF(Table1[h_id],pajak[[#This Row],[//]],Table1[h_hargasebelumdiskon]))</f>
        <v>7819200</v>
      </c>
      <c r="J36" s="291">
        <f ca="1">IF(pajak[[#This Row],[//]]="","",SUMIF(Table1[h_id],pajak[[#This Row],[//]],Table1[h_diskon]))</f>
        <v>977400</v>
      </c>
      <c r="K36" s="291">
        <f ca="1">IF(pajak[[#This Row],[//]]="","",SUMIF(Table1[h_id],pajak[[#This Row],[//]],Table1[h_hargasetelahdiskon]))</f>
        <v>6841800</v>
      </c>
      <c r="L36" s="291">
        <f ca="1">IF(pajak[//]="","",pajak[[#This Row],[Sub Total]]/1.11*11%)</f>
        <v>678016.21621621621</v>
      </c>
      <c r="M36" s="291">
        <f ca="1">pajak[[#This Row],[Sub Total]]</f>
        <v>6841800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 t="e">
        <f ca="1">IF(Table4[[#This Row],[AM]]&amp;" "&amp;Table4[[#This Row],[---]]=INDIRECT("pajak[@["&amp;Table4[#Headers]&amp;"]]"),MATCH(Table4[[#This Row],[---]],INDIRECT($3:$3),0))</f>
        <v>#REF!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 s="296">
        <v>188</v>
      </c>
      <c r="D37" s="292">
        <f t="shared" ref="D37:D57" ca="1" si="2">IF(ROW()-(COUNTBLANK($D$1:$D$3)+1)&lt;=jNota,A37,"")</f>
        <v>188</v>
      </c>
      <c r="E37" s="292" t="str">
        <f ca="1">IF(pajak[[#This Row],[//]]="","",INDEX(Table1[No. Invoice :],pajak[//]-offset))</f>
        <v>AM 24010033</v>
      </c>
      <c r="F37" s="290">
        <f ca="1">IF(pajak[[#This Row],[//]]="","",INDEX(Table1[Tgl Invoice :],pajak[//]-offset))</f>
        <v>45313</v>
      </c>
      <c r="G37" s="292" t="str">
        <f ca="1">IF(pajak[[#This Row],[//]]="","",INDEX(Table1[Kode Sales :],pajak[//]-offset))</f>
        <v>G 0964</v>
      </c>
      <c r="H37" s="292" t="str">
        <f ca="1">IF(pajak[[#This Row],[//]]="","",INDEX(Table1[Toko],pajak[//]-offset))</f>
        <v>LILY JULIAWATI (REJO AGUNG) JOMBANG</v>
      </c>
      <c r="I37" s="291">
        <f ca="1">IF(pajak[[#This Row],[//]]="","",SUMIF(Table1[h_id],pajak[[#This Row],[//]],Table1[h_hargasebelumdiskon]))</f>
        <v>3909600</v>
      </c>
      <c r="J37" s="291">
        <f ca="1">IF(pajak[[#This Row],[//]]="","",SUMIF(Table1[h_id],pajak[[#This Row],[//]],Table1[h_diskon]))</f>
        <v>488700</v>
      </c>
      <c r="K37" s="291">
        <f ca="1">IF(pajak[[#This Row],[//]]="","",SUMIF(Table1[h_id],pajak[[#This Row],[//]],Table1[h_hargasetelahdiskon]))</f>
        <v>3420900</v>
      </c>
      <c r="L37" s="291">
        <f ca="1">IF(pajak[//]="","",pajak[[#This Row],[Sub Total]]/1.11*11%)</f>
        <v>339008.10810810811</v>
      </c>
      <c r="M37" s="291">
        <f ca="1">pajak[[#This Row],[Sub Total]]</f>
        <v>3420900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 t="e">
        <f ca="1">IF(Table4[[#This Row],[AM]]&amp;" "&amp;Table4[[#This Row],[---]]=INDIRECT("pajak[@["&amp;Table4[#Headers]&amp;"]]"),MATCH(Table4[[#This Row],[---]],INDIRECT($3:$3),0))</f>
        <v>#REF!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 s="296">
        <v>190</v>
      </c>
      <c r="D38" s="292">
        <f t="shared" ca="1" si="2"/>
        <v>190</v>
      </c>
      <c r="E38" s="292" t="str">
        <f ca="1">IF(pajak[[#This Row],[//]]="","",INDEX(Table1[No. Invoice :],pajak[//]-offset))</f>
        <v>AM 24010034</v>
      </c>
      <c r="F38" s="290">
        <f ca="1">IF(pajak[[#This Row],[//]]="","",INDEX(Table1[Tgl Invoice :],pajak[//]-offset))</f>
        <v>45313</v>
      </c>
      <c r="G38" s="292" t="str">
        <f ca="1">IF(pajak[[#This Row],[//]]="","",INDEX(Table1[Kode Sales :],pajak[//]-offset))</f>
        <v>G 0968</v>
      </c>
      <c r="H38" s="292" t="str">
        <f ca="1">IF(pajak[[#This Row],[//]]="","",INDEX(Table1[Toko],pajak[//]-offset))</f>
        <v>CV UTAMA PUTRA TULUNG AGUNG</v>
      </c>
      <c r="I38" s="291">
        <f ca="1">IF(pajak[[#This Row],[//]]="","",SUMIF(Table1[h_id],pajak[[#This Row],[//]],Table1[h_hargasebelumdiskon]))</f>
        <v>6048000</v>
      </c>
      <c r="J38" s="291">
        <f ca="1">IF(pajak[[#This Row],[//]]="","",SUMIF(Table1[h_id],pajak[[#This Row],[//]],Table1[h_diskon]))</f>
        <v>486000</v>
      </c>
      <c r="K38" s="291">
        <f ca="1">IF(pajak[[#This Row],[//]]="","",SUMIF(Table1[h_id],pajak[[#This Row],[//]],Table1[h_hargasetelahdiskon]))</f>
        <v>5562000</v>
      </c>
      <c r="L38" s="291">
        <f ca="1">IF(pajak[//]="","",pajak[[#This Row],[Sub Total]]/1.11*11%)</f>
        <v>551189.18918918911</v>
      </c>
      <c r="M38" s="291">
        <f ca="1">pajak[[#This Row],[Sub Total]]</f>
        <v>5562000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 t="e">
        <f ca="1">IF(Table4[[#This Row],[AM]]&amp;" "&amp;Table4[[#This Row],[---]]=INDIRECT("pajak[@["&amp;Table4[#Headers]&amp;"]]"),MATCH(Table4[[#This Row],[---]],INDIRECT($3:$3),0))</f>
        <v>#REF!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 s="296">
        <v>193</v>
      </c>
      <c r="D39" s="292">
        <f t="shared" ca="1" si="2"/>
        <v>193</v>
      </c>
      <c r="E39" s="292" t="str">
        <f ca="1">IF(pajak[[#This Row],[//]]="","",INDEX(Table1[No. Invoice :],pajak[//]-offset))</f>
        <v>AM 24010035</v>
      </c>
      <c r="F39" s="290">
        <f ca="1">IF(pajak[[#This Row],[//]]="","",INDEX(Table1[Tgl Invoice :],pajak[//]-offset))</f>
        <v>45313</v>
      </c>
      <c r="G39" s="292" t="str">
        <f ca="1">IF(pajak[[#This Row],[//]]="","",INDEX(Table1[Kode Sales :],pajak[//]-offset))</f>
        <v>KO 0975</v>
      </c>
      <c r="H39" s="292" t="str">
        <f ca="1">IF(pajak[[#This Row],[//]]="","",INDEX(Table1[Toko],pajak[//]-offset))</f>
        <v>CV DWI JAYA YOGYAKARTA</v>
      </c>
      <c r="I39" s="291">
        <f ca="1">IF(pajak[[#This Row],[//]]="","",SUMIF(Table1[h_id],pajak[[#This Row],[//]],Table1[h_hargasebelumdiskon]))</f>
        <v>2338000</v>
      </c>
      <c r="J39" s="291">
        <f ca="1">IF(pajak[[#This Row],[//]]="","",SUMIF(Table1[h_id],pajak[[#This Row],[//]],Table1[h_diskon]))</f>
        <v>233800</v>
      </c>
      <c r="K39" s="291">
        <f ca="1">IF(pajak[[#This Row],[//]]="","",SUMIF(Table1[h_id],pajak[[#This Row],[//]],Table1[h_hargasetelahdiskon]))</f>
        <v>2104200</v>
      </c>
      <c r="L39" s="291">
        <f ca="1">IF(pajak[//]="","",pajak[[#This Row],[Sub Total]]/1.11*11%)</f>
        <v>208524.32432432432</v>
      </c>
      <c r="M39" s="291">
        <f ca="1">pajak[[#This Row],[Sub Total]]</f>
        <v>2104200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 t="e">
        <f ca="1">IF(Table4[[#This Row],[AM]]&amp;" "&amp;Table4[[#This Row],[---]]=INDIRECT("pajak[@["&amp;Table4[#Headers]&amp;"]]"),MATCH(Table4[[#This Row],[---]],INDIRECT($3:$3),0))</f>
        <v>#REF!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 s="296">
        <v>196</v>
      </c>
      <c r="D40" s="292">
        <f t="shared" ca="1" si="2"/>
        <v>196</v>
      </c>
      <c r="E40" s="292" t="str">
        <f ca="1">IF(pajak[[#This Row],[//]]="","",INDEX(Table1[No. Invoice :],pajak[//]-offset))</f>
        <v>AM 24010036</v>
      </c>
      <c r="F40" s="290">
        <f ca="1">IF(pajak[[#This Row],[//]]="","",INDEX(Table1[Tgl Invoice :],pajak[//]-offset))</f>
        <v>45315</v>
      </c>
      <c r="G40" s="292" t="str">
        <f ca="1">IF(pajak[[#This Row],[//]]="","",INDEX(Table1[Kode Sales :],pajak[//]-offset))</f>
        <v>KO 0989</v>
      </c>
      <c r="H40" s="292" t="str">
        <f ca="1">IF(pajak[[#This Row],[//]]="","",INDEX(Table1[Toko],pajak[//]-offset))</f>
        <v>CV PELITA JAYA (ANUGERAH SEJAHTERA) PURWOKERTO</v>
      </c>
      <c r="I40" s="291">
        <f ca="1">IF(pajak[[#This Row],[//]]="","",SUMIF(Table1[h_id],pajak[[#This Row],[//]],Table1[h_hargasebelumdiskon]))</f>
        <v>5918400</v>
      </c>
      <c r="J40" s="291">
        <f ca="1">IF(pajak[[#This Row],[//]]="","",SUMIF(Table1[h_id],pajak[[#This Row],[//]],Table1[h_diskon]))</f>
        <v>798984</v>
      </c>
      <c r="K40" s="291">
        <f ca="1">IF(pajak[[#This Row],[//]]="","",SUMIF(Table1[h_id],pajak[[#This Row],[//]],Table1[h_hargasetelahdiskon]))</f>
        <v>5119416</v>
      </c>
      <c r="L40" s="291">
        <f ca="1">IF(pajak[//]="","",pajak[[#This Row],[Sub Total]]/1.11*11%)</f>
        <v>507329.51351351349</v>
      </c>
      <c r="M40" s="291">
        <f ca="1">pajak[[#This Row],[Sub Total]]</f>
        <v>5119416</v>
      </c>
      <c r="N40" s="292" t="str">
        <f ca="1">IF(pajak[[#This Row],[//]]="","",INDEX(Table1[pembuat nota :],pajak[//]-offset))</f>
        <v>NOVI / YO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 t="e">
        <f ca="1">IF(Table4[[#This Row],[AM]]&amp;" "&amp;Table4[[#This Row],[---]]=INDIRECT("pajak[@["&amp;Table4[#Headers]&amp;"]]"),MATCH(Table4[[#This Row],[---]],INDIRECT($3:$3),0))</f>
        <v>#REF!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 s="296">
        <v>200</v>
      </c>
      <c r="D41" s="292">
        <f t="shared" ca="1" si="2"/>
        <v>200</v>
      </c>
      <c r="E41" s="292" t="str">
        <f ca="1">IF(pajak[[#This Row],[//]]="","",INDEX(Table1[No. Invoice :],pajak[//]-offset))</f>
        <v>AM 24010037</v>
      </c>
      <c r="F41" s="290">
        <f ca="1">IF(pajak[[#This Row],[//]]="","",INDEX(Table1[Tgl Invoice :],pajak[//]-offset))</f>
        <v>45315</v>
      </c>
      <c r="G41" s="292" t="str">
        <f ca="1">IF(pajak[[#This Row],[//]]="","",INDEX(Table1[Kode Sales :],pajak[//]-offset))</f>
        <v>KO 0995</v>
      </c>
      <c r="H41" s="292" t="str">
        <f ca="1">IF(pajak[[#This Row],[//]]="","",INDEX(Table1[Toko],pajak[//]-offset))</f>
        <v>CV SINAR CAHAYA NIRMALA BREBES</v>
      </c>
      <c r="I41" s="291">
        <f ca="1">IF(pajak[[#This Row],[//]]="","",SUMIF(Table1[h_id],pajak[[#This Row],[//]],Table1[h_hargasebelumdiskon]))</f>
        <v>1508750</v>
      </c>
      <c r="J41" s="291">
        <f ca="1">IF(pajak[[#This Row],[//]]="","",SUMIF(Table1[h_id],pajak[[#This Row],[//]],Table1[h_diskon]))</f>
        <v>114375</v>
      </c>
      <c r="K41" s="291">
        <f ca="1">IF(pajak[[#This Row],[//]]="","",SUMIF(Table1[h_id],pajak[[#This Row],[//]],Table1[h_hargasetelahdiskon]))</f>
        <v>1394375</v>
      </c>
      <c r="L41" s="291">
        <f ca="1">IF(pajak[//]="","",pajak[[#This Row],[Sub Total]]/1.11*11%)</f>
        <v>138181.30630630627</v>
      </c>
      <c r="M41" s="291">
        <f ca="1">pajak[[#This Row],[Sub Total]]</f>
        <v>1394375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 t="e">
        <f ca="1">IF(Table4[[#This Row],[AM]]&amp;" "&amp;Table4[[#This Row],[---]]=INDIRECT("pajak[@["&amp;Table4[#Headers]&amp;"]]"),MATCH(Table4[[#This Row],[---]],INDIRECT($3:$3),0))</f>
        <v>#REF!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 s="296">
        <v>214</v>
      </c>
      <c r="D42" s="292">
        <f t="shared" ca="1" si="2"/>
        <v>214</v>
      </c>
      <c r="E42" s="292" t="str">
        <f ca="1">IF(pajak[[#This Row],[//]]="","",INDEX(Table1[No. Invoice :],pajak[//]-offset))</f>
        <v>AM 24010038</v>
      </c>
      <c r="F42" s="290">
        <f ca="1">IF(pajak[[#This Row],[//]]="","",INDEX(Table1[Tgl Invoice :],pajak[//]-offset))</f>
        <v>45316</v>
      </c>
      <c r="G42" s="292" t="str">
        <f ca="1">IF(pajak[[#This Row],[//]]="","",INDEX(Table1[Kode Sales :],pajak[//]-offset))</f>
        <v>G 2551</v>
      </c>
      <c r="H42" s="292" t="str">
        <f ca="1">IF(pajak[[#This Row],[//]]="","",INDEX(Table1[Toko],pajak[//]-offset))</f>
        <v>CV UTAMA PUTRA TULUNG AGUNG</v>
      </c>
      <c r="I42" s="291">
        <f ca="1">IF(pajak[[#This Row],[//]]="","",SUMIF(Table1[h_id],pajak[[#This Row],[//]],Table1[h_hargasebelumdiskon]))</f>
        <v>3909600</v>
      </c>
      <c r="J42" s="291">
        <f ca="1">IF(pajak[[#This Row],[//]]="","",SUMIF(Table1[h_id],pajak[[#This Row],[//]],Table1[h_diskon]))</f>
        <v>488700</v>
      </c>
      <c r="K42" s="291">
        <f ca="1">IF(pajak[[#This Row],[//]]="","",SUMIF(Table1[h_id],pajak[[#This Row],[//]],Table1[h_hargasetelahdiskon]))</f>
        <v>3420900</v>
      </c>
      <c r="L42" s="291">
        <f ca="1">IF(pajak[//]="","",pajak[[#This Row],[Sub Total]]/1.11*11%)</f>
        <v>339008.10810810811</v>
      </c>
      <c r="M42" s="291">
        <f ca="1">pajak[[#This Row],[Sub Total]]</f>
        <v>3420900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 t="e">
        <f ca="1">IF(Table4[[#This Row],[AM]]&amp;" "&amp;Table4[[#This Row],[---]]=INDIRECT("pajak[@["&amp;Table4[#Headers]&amp;"]]"),MATCH(Table4[[#This Row],[---]],INDIRECT($3:$3),0))</f>
        <v>#REF!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 s="296">
        <v>216</v>
      </c>
      <c r="D43" s="292">
        <f t="shared" ca="1" si="2"/>
        <v>216</v>
      </c>
      <c r="E43" s="292" t="str">
        <f ca="1">IF(pajak[[#This Row],[//]]="","",INDEX(Table1[No. Invoice :],pajak[//]-offset))</f>
        <v>AM 24010039</v>
      </c>
      <c r="F43" s="290">
        <f ca="1">IF(pajak[[#This Row],[//]]="","",INDEX(Table1[Tgl Invoice :],pajak[//]-offset))</f>
        <v>45317</v>
      </c>
      <c r="G43" s="292" t="str">
        <f ca="1">IF(pajak[[#This Row],[//]]="","",INDEX(Table1[Kode Sales :],pajak[//]-offset))</f>
        <v>KO 2557</v>
      </c>
      <c r="H43" s="292" t="str">
        <f ca="1">IF(pajak[[#This Row],[//]]="","",INDEX(Table1[Toko],pajak[//]-offset))</f>
        <v>CV PELITA JAYA (ANUGERAH SEJAHTERA) PURWOKERTO</v>
      </c>
      <c r="I43" s="291">
        <f ca="1">IF(pajak[[#This Row],[//]]="","",SUMIF(Table1[h_id],pajak[[#This Row],[//]],Table1[h_hargasebelumdiskon]))</f>
        <v>28080000</v>
      </c>
      <c r="J43" s="291">
        <f ca="1">IF(pajak[[#This Row],[//]]="","",SUMIF(Table1[h_id],pajak[[#This Row],[//]],Table1[h_diskon]))</f>
        <v>3790800</v>
      </c>
      <c r="K43" s="291">
        <f ca="1">IF(pajak[[#This Row],[//]]="","",SUMIF(Table1[h_id],pajak[[#This Row],[//]],Table1[h_hargasetelahdiskon]))</f>
        <v>24289200</v>
      </c>
      <c r="L43" s="291">
        <f ca="1">IF(pajak[//]="","",pajak[[#This Row],[Sub Total]]/1.11*11%)</f>
        <v>2407037.8378378376</v>
      </c>
      <c r="M43" s="291">
        <f ca="1">pajak[[#This Row],[Sub Total]]</f>
        <v>24289200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 t="e">
        <f ca="1">IF(Table4[[#This Row],[AM]]&amp;" "&amp;Table4[[#This Row],[---]]=INDIRECT("pajak[@["&amp;Table4[#Headers]&amp;"]]"),MATCH(Table4[[#This Row],[---]],INDIRECT($3:$3),0))</f>
        <v>#REF!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 s="296">
        <v>219</v>
      </c>
      <c r="D44" s="292">
        <f t="shared" ca="1" si="2"/>
        <v>219</v>
      </c>
      <c r="E44" s="292" t="str">
        <f ca="1">IF(pajak[[#This Row],[//]]="","",INDEX(Table1[No. Invoice :],pajak[//]-offset))</f>
        <v>AM 24010040</v>
      </c>
      <c r="F44" s="290">
        <f ca="1">IF(pajak[[#This Row],[//]]="","",INDEX(Table1[Tgl Invoice :],pajak[//]-offset))</f>
        <v>45320</v>
      </c>
      <c r="G44" s="292" t="str">
        <f ca="1">IF(pajak[[#This Row],[//]]="","",INDEX(Table1[Kode Sales :],pajak[//]-offset))</f>
        <v>KO 0729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17193600</v>
      </c>
      <c r="J44" s="291">
        <f ca="1">IF(pajak[[#This Row],[//]]="","",SUMIF(Table1[h_id],pajak[[#This Row],[//]],Table1[h_diskon]))</f>
        <v>2321136</v>
      </c>
      <c r="K44" s="291">
        <f ca="1">IF(pajak[[#This Row],[//]]="","",SUMIF(Table1[h_id],pajak[[#This Row],[//]],Table1[h_hargasetelahdiskon]))</f>
        <v>14872464</v>
      </c>
      <c r="L44" s="291">
        <f ca="1">IF(pajak[//]="","",pajak[[#This Row],[Sub Total]]/1.11*11%)</f>
        <v>1473847.7837837837</v>
      </c>
      <c r="M44" s="291">
        <f ca="1">pajak[[#This Row],[Sub Total]]</f>
        <v>14872464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e">
        <f ca="1">IF(Table4[[#This Row],[AM]]&amp;" "&amp;Table4[[#This Row],[---]]=INDIRECT("pajak[@["&amp;Table4[#Headers]&amp;"]]"),MATCH(Table4[[#This Row],[---]],INDIRECT($3:$3),0))</f>
        <v>#REF!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 s="296">
        <v>222</v>
      </c>
      <c r="D45" s="292">
        <f t="shared" ca="1" si="2"/>
        <v>222</v>
      </c>
      <c r="E45" s="292" t="str">
        <f ca="1">IF(pajak[[#This Row],[//]]="","",INDEX(Table1[No. Invoice :],pajak[//]-offset))</f>
        <v>AM 24010041</v>
      </c>
      <c r="F45" s="290">
        <f ca="1">IF(pajak[[#This Row],[//]]="","",INDEX(Table1[Tgl Invoice :],pajak[//]-offset))</f>
        <v>45320</v>
      </c>
      <c r="G45" s="292" t="str">
        <f ca="1">IF(pajak[[#This Row],[//]]="","",INDEX(Table1[Kode Sales :],pajak[//]-offset))</f>
        <v>KO 0719</v>
      </c>
      <c r="H45" s="292" t="str">
        <f ca="1">IF(pajak[[#This Row],[//]]="","",INDEX(Table1[Toko],pajak[//]-offset))</f>
        <v>CV GANESHA WONOSOBO</v>
      </c>
      <c r="I45" s="291">
        <f ca="1">IF(pajak[[#This Row],[//]]="","",SUMIF(Table1[h_id],pajak[[#This Row],[//]],Table1[h_hargasebelumdiskon]))</f>
        <v>2105200</v>
      </c>
      <c r="J45" s="291">
        <f ca="1">IF(pajak[[#This Row],[//]]="","",SUMIF(Table1[h_id],pajak[[#This Row],[//]],Table1[h_diskon]))</f>
        <v>210520</v>
      </c>
      <c r="K45" s="291">
        <f ca="1">IF(pajak[[#This Row],[//]]="","",SUMIF(Table1[h_id],pajak[[#This Row],[//]],Table1[h_hargasetelahdiskon]))</f>
        <v>1894680</v>
      </c>
      <c r="L45" s="291">
        <f ca="1">IF(pajak[//]="","",pajak[[#This Row],[Sub Total]]/1.11*11%)</f>
        <v>187761.08108108107</v>
      </c>
      <c r="M45" s="291">
        <f ca="1">pajak[[#This Row],[Sub Total]]</f>
        <v>1894680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e">
        <f ca="1">IF(Table4[[#This Row],[AM]]&amp;" "&amp;Table4[[#This Row],[---]]=INDIRECT("pajak[@["&amp;Table4[#Headers]&amp;"]]"),MATCH(Table4[[#This Row],[---]],INDIRECT($3:$3),0))</f>
        <v>#REF!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 s="296">
        <v>229</v>
      </c>
      <c r="D46" s="292">
        <f t="shared" ca="1" si="2"/>
        <v>229</v>
      </c>
      <c r="E46" s="292" t="str">
        <f ca="1">IF(pajak[[#This Row],[//]]="","",INDEX(Table1[No. Invoice :],pajak[//]-offset))</f>
        <v>AM 24010042</v>
      </c>
      <c r="F46" s="290">
        <f ca="1">IF(pajak[[#This Row],[//]]="","",INDEX(Table1[Tgl Invoice :],pajak[//]-offset))</f>
        <v>45318</v>
      </c>
      <c r="G46" s="292" t="str">
        <f ca="1">IF(pajak[[#This Row],[//]]="","",INDEX(Table1[Kode Sales :],pajak[//]-offset))</f>
        <v>KO 0720</v>
      </c>
      <c r="H46" s="292" t="str">
        <f ca="1">IF(pajak[[#This Row],[//]]="","",INDEX(Table1[Toko],pajak[//]-offset))</f>
        <v>CV  WISUDA PURWOKERTO</v>
      </c>
      <c r="I46" s="291">
        <f ca="1">IF(pajak[[#This Row],[//]]="","",SUMIF(Table1[h_id],pajak[[#This Row],[//]],Table1[h_hargasebelumdiskon]))</f>
        <v>582000</v>
      </c>
      <c r="J46" s="291">
        <f ca="1">IF(pajak[[#This Row],[//]]="","",SUMIF(Table1[h_id],pajak[[#This Row],[//]],Table1[h_diskon]))</f>
        <v>58200</v>
      </c>
      <c r="K46" s="291">
        <f ca="1">IF(pajak[[#This Row],[//]]="","",SUMIF(Table1[h_id],pajak[[#This Row],[//]],Table1[h_hargasetelahdiskon]))</f>
        <v>523800</v>
      </c>
      <c r="L46" s="291">
        <f ca="1">IF(pajak[//]="","",pajak[[#This Row],[Sub Total]]/1.11*11%)</f>
        <v>51908.108108108099</v>
      </c>
      <c r="M46" s="291">
        <f ca="1">pajak[[#This Row],[Sub Total]]</f>
        <v>523800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e">
        <f ca="1">IF(Table4[[#This Row],[AM]]&amp;" "&amp;Table4[[#This Row],[---]]=INDIRECT("pajak[@["&amp;Table4[#Headers]&amp;"]]"),MATCH(Table4[[#This Row],[---]],INDIRECT($3:$3),0))</f>
        <v>#REF!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 s="296">
        <v>232</v>
      </c>
      <c r="D47" s="292">
        <f t="shared" ca="1" si="2"/>
        <v>232</v>
      </c>
      <c r="E47" s="292" t="str">
        <f ca="1">IF(pajak[[#This Row],[//]]="","",INDEX(Table1[No. Invoice :],pajak[//]-offset))</f>
        <v>AM 24010043</v>
      </c>
      <c r="F47" s="290">
        <f ca="1">IF(pajak[[#This Row],[//]]="","",INDEX(Table1[Tgl Invoice :],pajak[//]-offset))</f>
        <v>45318</v>
      </c>
      <c r="G47" s="292" t="str">
        <f ca="1">IF(pajak[[#This Row],[//]]="","",INDEX(Table1[Kode Sales :],pajak[//]-offset))</f>
        <v>KO 0914</v>
      </c>
      <c r="H47" s="292" t="str">
        <f ca="1">IF(pajak[[#This Row],[//]]="","",INDEX(Table1[Toko],pajak[//]-offset))</f>
        <v>CV TRINITY CENTRAAL PURWOKERTO</v>
      </c>
      <c r="I47" s="291">
        <f ca="1">IF(pajak[[#This Row],[//]]="","",SUMIF(Table1[h_id],pajak[[#This Row],[//]],Table1[h_hargasebelumdiskon]))</f>
        <v>1135000</v>
      </c>
      <c r="J47" s="291">
        <f ca="1">IF(pajak[[#This Row],[//]]="","",SUMIF(Table1[h_id],pajak[[#This Row],[//]],Table1[h_diskon]))</f>
        <v>0</v>
      </c>
      <c r="K47" s="291">
        <f ca="1">IF(pajak[[#This Row],[//]]="","",SUMIF(Table1[h_id],pajak[[#This Row],[//]],Table1[h_hargasetelahdiskon]))</f>
        <v>1135000</v>
      </c>
      <c r="L47" s="291">
        <f ca="1">IF(pajak[//]="","",pajak[[#This Row],[Sub Total]]/1.11*11%)</f>
        <v>112477.47747747747</v>
      </c>
      <c r="M47" s="291">
        <f ca="1">pajak[[#This Row],[Sub Total]]</f>
        <v>1135000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e">
        <f ca="1">IF(Table4[[#This Row],[AM]]&amp;" "&amp;Table4[[#This Row],[---]]=INDIRECT("pajak[@["&amp;Table4[#Headers]&amp;"]]"),MATCH(Table4[[#This Row],[---]],INDIRECT($3:$3),0))</f>
        <v>#REF!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 s="296">
        <v>235</v>
      </c>
      <c r="D48" s="292">
        <f t="shared" ca="1" si="2"/>
        <v>235</v>
      </c>
      <c r="E48" s="292" t="str">
        <f ca="1">IF(pajak[[#This Row],[//]]="","",INDEX(Table1[No. Invoice :],pajak[//]-offset))</f>
        <v>AM 24010044</v>
      </c>
      <c r="F48" s="290">
        <f ca="1">IF(pajak[[#This Row],[//]]="","",INDEX(Table1[Tgl Invoice :],pajak[//]-offset))</f>
        <v>45320</v>
      </c>
      <c r="G48" s="292" t="str">
        <f ca="1">IF(pajak[[#This Row],[//]]="","",INDEX(Table1[Kode Sales :],pajak[//]-offset))</f>
        <v>KO 3108</v>
      </c>
      <c r="H48" s="292" t="str">
        <f ca="1">IF(pajak[[#This Row],[//]]="","",INDEX(Table1[Toko],pajak[//]-offset))</f>
        <v>CV LANCAR JAYA SENTOSA MALANG</v>
      </c>
      <c r="I48" s="291">
        <f ca="1">IF(pajak[[#This Row],[//]]="","",SUMIF(Table1[h_id],pajak[[#This Row],[//]],Table1[h_hargasebelumdiskon]))</f>
        <v>6550000</v>
      </c>
      <c r="J48" s="291">
        <f ca="1">IF(pajak[[#This Row],[//]]="","",SUMIF(Table1[h_id],pajak[[#This Row],[//]],Table1[h_diskon]))</f>
        <v>0</v>
      </c>
      <c r="K48" s="291">
        <f ca="1">IF(pajak[[#This Row],[//]]="","",SUMIF(Table1[h_id],pajak[[#This Row],[//]],Table1[h_hargasetelahdiskon]))</f>
        <v>6550000</v>
      </c>
      <c r="L48" s="291">
        <f ca="1">IF(pajak[//]="","",pajak[[#This Row],[Sub Total]]/1.11*11%)</f>
        <v>649099.09909909905</v>
      </c>
      <c r="M48" s="291">
        <f ca="1">pajak[[#This Row],[Sub Total]]</f>
        <v>6550000</v>
      </c>
      <c r="N48" s="292" t="str">
        <f ca="1">IF(pajak[[#This Row],[//]]="","",INDEX(Table1[pembuat nota :],pajak[//]-offset))</f>
        <v>NOVI / CONDRO</v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e">
        <f ca="1">IF(Table4[[#This Row],[AM]]&amp;" "&amp;Table4[[#This Row],[---]]=INDIRECT("pajak[@["&amp;Table4[#Headers]&amp;"]]"),MATCH(Table4[[#This Row],[---]],INDIRECT($3:$3),0))</f>
        <v>#REF!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 s="296">
        <v>237</v>
      </c>
      <c r="D49" s="292">
        <f t="shared" ca="1" si="2"/>
        <v>237</v>
      </c>
      <c r="E49" s="292" t="str">
        <f ca="1">IF(pajak[[#This Row],[//]]="","",INDEX(Table1[No. Invoice :],pajak[//]-offset))</f>
        <v>AM 24010045</v>
      </c>
      <c r="F49" s="290">
        <f ca="1">IF(pajak[[#This Row],[//]]="","",INDEX(Table1[Tgl Invoice :],pajak[//]-offset))</f>
        <v>45322</v>
      </c>
      <c r="G49" s="292" t="str">
        <f ca="1">IF(pajak[[#This Row],[//]]="","",INDEX(Table1[Kode Sales :],pajak[//]-offset))</f>
        <v>KO 5000</v>
      </c>
      <c r="H49" s="292" t="str">
        <f ca="1">IF(pajak[[#This Row],[//]]="","",INDEX(Table1[Toko],pajak[//]-offset))</f>
        <v>CV LANCAR JAYA SENTOSA MALANG</v>
      </c>
      <c r="I49" s="291">
        <f ca="1">IF(pajak[[#This Row],[//]]="","",SUMIF(Table1[h_id],pajak[[#This Row],[//]],Table1[h_hargasebelumdiskon]))</f>
        <v>16848000</v>
      </c>
      <c r="J49" s="291">
        <f ca="1">IF(pajak[[#This Row],[//]]="","",SUMIF(Table1[h_id],pajak[[#This Row],[//]],Table1[h_diskon]))</f>
        <v>2106000</v>
      </c>
      <c r="K49" s="291">
        <f ca="1">IF(pajak[[#This Row],[//]]="","",SUMIF(Table1[h_id],pajak[[#This Row],[//]],Table1[h_hargasetelahdiskon]))</f>
        <v>14742000</v>
      </c>
      <c r="L49" s="291">
        <f ca="1">IF(pajak[//]="","",pajak[[#This Row],[Sub Total]]/1.11*11%)</f>
        <v>1460918.9189189188</v>
      </c>
      <c r="M49" s="291">
        <f ca="1">pajak[[#This Row],[Sub Total]]</f>
        <v>14742000</v>
      </c>
      <c r="N49" s="292" t="str">
        <f ca="1">IF(pajak[[#This Row],[//]]="","",INDEX(Table1[pembuat nota :],pajak[//]-offset))</f>
        <v>NOVI / CONDRO</v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e">
        <f ca="1">IF(Table4[[#This Row],[AM]]&amp;" "&amp;Table4[[#This Row],[---]]=INDIRECT("pajak[@["&amp;Table4[#Headers]&amp;"]]"),MATCH(Table4[[#This Row],[---]],INDIRECT($3:$3),0))</f>
        <v>#REF!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 s="296">
        <v>240</v>
      </c>
      <c r="D50" s="292">
        <f t="shared" ca="1" si="2"/>
        <v>240</v>
      </c>
      <c r="E50" s="292" t="str">
        <f ca="1">IF(pajak[[#This Row],[//]]="","",INDEX(Table1[No. Invoice :],pajak[//]-offset))</f>
        <v>AM 24010046</v>
      </c>
      <c r="F50" s="290">
        <f ca="1">IF(pajak[[#This Row],[//]]="","",INDEX(Table1[Tgl Invoice :],pajak[//]-offset))</f>
        <v>45322</v>
      </c>
      <c r="G50" s="292" t="str">
        <f ca="1">IF(pajak[[#This Row],[//]]="","",INDEX(Table1[Kode Sales :],pajak[//]-offset))</f>
        <v>KO 2572</v>
      </c>
      <c r="H50" s="292" t="str">
        <f ca="1">IF(pajak[[#This Row],[//]]="","",INDEX(Table1[Toko],pajak[//]-offset))</f>
        <v>CV PELITA JAYA (ANUGERAH SEJAHTERA) PURWOKERTO</v>
      </c>
      <c r="I50" s="291">
        <f ca="1">IF(pajak[[#This Row],[//]]="","",SUMIF(Table1[h_id],pajak[[#This Row],[//]],Table1[h_hargasebelumdiskon]))</f>
        <v>5616000</v>
      </c>
      <c r="J50" s="291">
        <f ca="1">IF(pajak[[#This Row],[//]]="","",SUMIF(Table1[h_id],pajak[[#This Row],[//]],Table1[h_diskon]))</f>
        <v>758160</v>
      </c>
      <c r="K50" s="291">
        <f ca="1">IF(pajak[[#This Row],[//]]="","",SUMIF(Table1[h_id],pajak[[#This Row],[//]],Table1[h_hargasetelahdiskon]))</f>
        <v>4857840</v>
      </c>
      <c r="L50" s="291">
        <f ca="1">IF(pajak[//]="","",pajak[[#This Row],[Sub Total]]/1.11*11%)</f>
        <v>481407.56756756752</v>
      </c>
      <c r="M50" s="291">
        <f ca="1">pajak[[#This Row],[Sub Total]]</f>
        <v>4857840</v>
      </c>
      <c r="N50" s="292" t="str">
        <f ca="1">IF(pajak[[#This Row],[//]]="","",INDEX(Table1[pembuat nota :],pajak[//]-offset))</f>
        <v>NOVI / CONDRO</v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e">
        <f ca="1">IF(Table4[[#This Row],[AM]]&amp;" "&amp;Table4[[#This Row],[---]]=INDIRECT("pajak[@["&amp;Table4[#Headers]&amp;"]]"),MATCH(Table4[[#This Row],[---]],INDIRECT($3:$3),0))</f>
        <v>#REF!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 s="296">
        <v>242</v>
      </c>
      <c r="D51" s="292">
        <f t="shared" ca="1" si="2"/>
        <v>242</v>
      </c>
      <c r="E51" s="292" t="str">
        <f ca="1">IF(pajak[[#This Row],[//]]="","",INDEX(Table1[No. Invoice :],pajak[//]-offset))</f>
        <v>AM 24010047</v>
      </c>
      <c r="F51" s="290">
        <f ca="1">IF(pajak[[#This Row],[//]]="","",INDEX(Table1[Tgl Invoice :],pajak[//]-offset))</f>
        <v>45322</v>
      </c>
      <c r="G51" s="292" t="str">
        <f ca="1">IF(pajak[[#This Row],[//]]="","",INDEX(Table1[Kode Sales :],pajak[//]-offset))</f>
        <v>KO 2571</v>
      </c>
      <c r="H51" s="292" t="str">
        <f ca="1">IF(pajak[[#This Row],[//]]="","",INDEX(Table1[Toko],pajak[//]-offset))</f>
        <v>HARNOYO (BENDAN) PEKALONGAN</v>
      </c>
      <c r="I51" s="291">
        <f ca="1">IF(pajak[[#This Row],[//]]="","",SUMIF(Table1[h_id],pajak[[#This Row],[//]],Table1[h_hargasebelumdiskon]))</f>
        <v>1380000</v>
      </c>
      <c r="J51" s="291">
        <f ca="1">IF(pajak[[#This Row],[//]]="","",SUMIF(Table1[h_id],pajak[[#This Row],[//]],Table1[h_diskon]))</f>
        <v>193200.00000000003</v>
      </c>
      <c r="K51" s="291">
        <f ca="1">IF(pajak[[#This Row],[//]]="","",SUMIF(Table1[h_id],pajak[[#This Row],[//]],Table1[h_hargasetelahdiskon]))</f>
        <v>1186800</v>
      </c>
      <c r="L51" s="291">
        <f ca="1">IF(pajak[//]="","",pajak[[#This Row],[Sub Total]]/1.11*11%)</f>
        <v>117610.8108108108</v>
      </c>
      <c r="M51" s="291">
        <f ca="1">pajak[[#This Row],[Sub Total]]</f>
        <v>1186800</v>
      </c>
      <c r="N51" s="292" t="str">
        <f ca="1">IF(pajak[[#This Row],[//]]="","",INDEX(Table1[pembuat nota :],pajak[//]-offset))</f>
        <v>NOVI / CONDRO</v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e">
        <f ca="1">IF(Table4[[#This Row],[AM]]&amp;" "&amp;Table4[[#This Row],[---]]=INDIRECT("pajak[@["&amp;Table4[#Headers]&amp;"]]"),MATCH(Table4[[#This Row],[---]],INDIRECT($3:$3),0))</f>
        <v>#REF!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A52" s="296">
        <v>244</v>
      </c>
      <c r="D52" s="292">
        <f t="shared" ca="1" si="2"/>
        <v>244</v>
      </c>
      <c r="E52" s="292" t="str">
        <f ca="1">IF(pajak[[#This Row],[//]]="","",INDEX(Table1[No. Invoice :],pajak[//]-offset))</f>
        <v>AM 24010048</v>
      </c>
      <c r="F52" s="290">
        <f ca="1">IF(pajak[[#This Row],[//]]="","",INDEX(Table1[Tgl Invoice :],pajak[//]-offset))</f>
        <v>45322</v>
      </c>
      <c r="G52" s="292" t="str">
        <f ca="1">IF(pajak[[#This Row],[//]]="","",INDEX(Table1[Kode Sales :],pajak[//]-offset))</f>
        <v>G 2556</v>
      </c>
      <c r="H52" s="292" t="str">
        <f ca="1">IF(pajak[[#This Row],[//]]="","",INDEX(Table1[Toko],pajak[//]-offset))</f>
        <v>LILY JULIAWATI (REJO AGUNG) JOMBANG</v>
      </c>
      <c r="I52" s="291">
        <f ca="1">IF(pajak[[#This Row],[//]]="","",SUMIF(Table1[h_id],pajak[[#This Row],[//]],Table1[h_hargasebelumdiskon]))</f>
        <v>14988000</v>
      </c>
      <c r="J52" s="291">
        <f ca="1">IF(pajak[[#This Row],[//]]="","",SUMIF(Table1[h_id],pajak[[#This Row],[//]],Table1[h_diskon]))</f>
        <v>1873500</v>
      </c>
      <c r="K52" s="291">
        <f ca="1">IF(pajak[[#This Row],[//]]="","",SUMIF(Table1[h_id],pajak[[#This Row],[//]],Table1[h_hargasetelahdiskon]))</f>
        <v>13114500</v>
      </c>
      <c r="L52" s="291">
        <f ca="1">IF(pajak[//]="","",pajak[[#This Row],[Sub Total]]/1.11*11%)</f>
        <v>1299635.1351351349</v>
      </c>
      <c r="M52" s="291">
        <f ca="1">pajak[[#This Row],[Sub Total]]</f>
        <v>13114500</v>
      </c>
      <c r="N52" s="292" t="str">
        <f ca="1">IF(pajak[[#This Row],[//]]="","",INDEX(Table1[pembuat nota :],pajak[//]-offset))</f>
        <v>NOVI / CONDRO</v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e">
        <f ca="1">IF(Table4[[#This Row],[AM]]&amp;" "&amp;Table4[[#This Row],[---]]=INDIRECT("pajak[@["&amp;Table4[#Headers]&amp;"]]"),MATCH(Table4[[#This Row],[---]],INDIRECT($3:$3),0))</f>
        <v>#REF!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A53" s="296">
        <v>247</v>
      </c>
      <c r="D53" s="292">
        <f t="shared" ca="1" si="2"/>
        <v>247</v>
      </c>
      <c r="E53" s="292" t="str">
        <f ca="1">IF(pajak[[#This Row],[//]]="","",INDEX(Table1[No. Invoice :],pajak[//]-offset))</f>
        <v>AM 24010049</v>
      </c>
      <c r="F53" s="290">
        <f ca="1">IF(pajak[[#This Row],[//]]="","",INDEX(Table1[Tgl Invoice :],pajak[//]-offset))</f>
        <v>45291</v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>0 0 0</v>
      </c>
      <c r="I53" s="291">
        <f ca="1">IF(pajak[[#This Row],[//]]="","",SUMIF(Table1[h_id],pajak[[#This Row],[//]],Table1[h_hargasebelumdiskon]))</f>
        <v>0</v>
      </c>
      <c r="J53" s="291">
        <f ca="1">IF(pajak[[#This Row],[//]]="","",SUMIF(Table1[h_id],pajak[[#This Row],[//]],Table1[h_diskon]))</f>
        <v>0</v>
      </c>
      <c r="K53" s="291">
        <f ca="1">IF(pajak[[#This Row],[//]]="","",SUMIF(Table1[h_id],pajak[[#This Row],[//]],Table1[h_hargasetelahdiskon]))</f>
        <v>0</v>
      </c>
      <c r="L53" s="291">
        <f ca="1">IF(pajak[//]="","",pajak[[#This Row],[Sub Total]]/1.11*11%)</f>
        <v>0</v>
      </c>
      <c r="M53" s="291">
        <f ca="1">pajak[[#This Row],[Sub Total]]</f>
        <v>0</v>
      </c>
      <c r="N53" s="292">
        <f ca="1">IF(pajak[[#This Row],[//]]="","",INDEX(Table1[pembuat nota :],pajak[//]-offset))</f>
        <v>0</v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e">
        <f ca="1">IF(Table4[[#This Row],[AM]]&amp;" "&amp;Table4[[#This Row],[---]]=INDIRECT("pajak[@["&amp;Table4[#Headers]&amp;"]]"),MATCH(Table4[[#This Row],[---]],INDIRECT($3:$3),0))</f>
        <v>#REF!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A54" s="296">
        <v>249</v>
      </c>
      <c r="D54" s="292">
        <f t="shared" ca="1" si="2"/>
        <v>249</v>
      </c>
      <c r="E54" s="292" t="str">
        <f ca="1">IF(pajak[[#This Row],[//]]="","",INDEX(Table1[No. Invoice :],pajak[//]-offset))</f>
        <v>AM 24010050</v>
      </c>
      <c r="F54" s="290">
        <f ca="1">IF(pajak[[#This Row],[//]]="","",INDEX(Table1[Tgl Invoice :],pajak[//]-offset))</f>
        <v>45291</v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>0 0 0</v>
      </c>
      <c r="I54" s="291">
        <f ca="1">IF(pajak[[#This Row],[//]]="","",SUMIF(Table1[h_id],pajak[[#This Row],[//]],Table1[h_hargasebelumdiskon]))</f>
        <v>0</v>
      </c>
      <c r="J54" s="291">
        <f ca="1">IF(pajak[[#This Row],[//]]="","",SUMIF(Table1[h_id],pajak[[#This Row],[//]],Table1[h_diskon]))</f>
        <v>0</v>
      </c>
      <c r="K54" s="291">
        <f ca="1">IF(pajak[[#This Row],[//]]="","",SUMIF(Table1[h_id],pajak[[#This Row],[//]],Table1[h_hargasetelahdiskon]))</f>
        <v>0</v>
      </c>
      <c r="L54" s="291">
        <f ca="1">IF(pajak[//]="","",pajak[[#This Row],[Sub Total]]/1.11*11%)</f>
        <v>0</v>
      </c>
      <c r="M54" s="291">
        <f ca="1">pajak[[#This Row],[Sub Total]]</f>
        <v>0</v>
      </c>
      <c r="N54" s="292">
        <f ca="1">IF(pajak[[#This Row],[//]]="","",INDEX(Table1[pembuat nota :],pajak[//]-offset))</f>
        <v>0</v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e">
        <f ca="1">IF(Table4[[#This Row],[AM]]&amp;" "&amp;Table4[[#This Row],[---]]=INDIRECT("pajak[@["&amp;Table4[#Headers]&amp;"]]"),MATCH(Table4[[#This Row],[---]],INDIRECT($3:$3),0))</f>
        <v>#REF!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A55" s="296">
        <v>251</v>
      </c>
      <c r="D55" s="292">
        <f t="shared" ca="1" si="2"/>
        <v>251</v>
      </c>
      <c r="E55" s="292" t="str">
        <f ca="1">IF(pajak[[#This Row],[//]]="","",INDEX(Table1[No. Invoice :],pajak[//]-offset))</f>
        <v>AM 24010051</v>
      </c>
      <c r="F55" s="290">
        <f ca="1">IF(pajak[[#This Row],[//]]="","",INDEX(Table1[Tgl Invoice :],pajak[//]-offset))</f>
        <v>45291</v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>0 0 0</v>
      </c>
      <c r="I55" s="291">
        <f ca="1">IF(pajak[[#This Row],[//]]="","",SUMIF(Table1[h_id],pajak[[#This Row],[//]],Table1[h_hargasebelumdiskon]))</f>
        <v>0</v>
      </c>
      <c r="J55" s="291">
        <f ca="1">IF(pajak[[#This Row],[//]]="","",SUMIF(Table1[h_id],pajak[[#This Row],[//]],Table1[h_diskon]))</f>
        <v>0</v>
      </c>
      <c r="K55" s="291">
        <f ca="1">IF(pajak[[#This Row],[//]]="","",SUMIF(Table1[h_id],pajak[[#This Row],[//]],Table1[h_hargasetelahdiskon]))</f>
        <v>0</v>
      </c>
      <c r="L55" s="291">
        <f ca="1">IF(pajak[//]="","",pajak[[#This Row],[Sub Total]]/1.11*11%)</f>
        <v>0</v>
      </c>
      <c r="M55" s="291">
        <f ca="1">pajak[[#This Row],[Sub Total]]</f>
        <v>0</v>
      </c>
      <c r="N55" s="292">
        <f ca="1">IF(pajak[[#This Row],[//]]="","",INDEX(Table1[pembuat nota :],pajak[//]-offset))</f>
        <v>0</v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e">
        <f ca="1">IF(Table4[[#This Row],[AM]]&amp;" "&amp;Table4[[#This Row],[---]]=INDIRECT("pajak[@["&amp;Table4[#Headers]&amp;"]]"),MATCH(Table4[[#This Row],[---]],INDIRECT($3:$3),0))</f>
        <v>#REF!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A56" s="296">
        <v>253</v>
      </c>
      <c r="D56" s="292">
        <f t="shared" ca="1" si="2"/>
        <v>253</v>
      </c>
      <c r="E56" s="292" t="str">
        <f ca="1">IF(pajak[[#This Row],[//]]="","",INDEX(Table1[No. Invoice :],pajak[//]-offset))</f>
        <v>AM 24010052</v>
      </c>
      <c r="F56" s="290">
        <f ca="1">IF(pajak[[#This Row],[//]]="","",INDEX(Table1[Tgl Invoice :],pajak[//]-offset))</f>
        <v>45291</v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>0 0 0</v>
      </c>
      <c r="I56" s="291">
        <f ca="1">IF(pajak[[#This Row],[//]]="","",SUMIF(Table1[h_id],pajak[[#This Row],[//]],Table1[h_hargasebelumdiskon]))</f>
        <v>0</v>
      </c>
      <c r="J56" s="291">
        <f ca="1">IF(pajak[[#This Row],[//]]="","",SUMIF(Table1[h_id],pajak[[#This Row],[//]],Table1[h_diskon]))</f>
        <v>0</v>
      </c>
      <c r="K56" s="291">
        <f ca="1">IF(pajak[[#This Row],[//]]="","",SUMIF(Table1[h_id],pajak[[#This Row],[//]],Table1[h_hargasetelahdiskon]))</f>
        <v>0</v>
      </c>
      <c r="L56" s="291">
        <f ca="1">IF(pajak[//]="","",pajak[[#This Row],[Sub Total]]/1.11*11%)</f>
        <v>0</v>
      </c>
      <c r="M56" s="291">
        <f ca="1">pajak[[#This Row],[Sub Total]]</f>
        <v>0</v>
      </c>
      <c r="N56" s="292">
        <f ca="1">IF(pajak[[#This Row],[//]]="","",INDEX(Table1[pembuat nota :],pajak[//]-offset))</f>
        <v>0</v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e">
        <f ca="1">IF(Table4[[#This Row],[AM]]&amp;" "&amp;Table4[[#This Row],[---]]=INDIRECT("pajak[@["&amp;Table4[#Headers]&amp;"]]"),MATCH(Table4[[#This Row],[---]],INDIRECT($3:$3),0))</f>
        <v>#REF!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A57" s="296">
        <v>259</v>
      </c>
      <c r="D57" s="292">
        <f t="shared" ca="1" si="2"/>
        <v>259</v>
      </c>
      <c r="E57" s="292" t="str">
        <f ca="1">IF(pajak[[#This Row],[//]]="","",INDEX(Table1[No. Invoice :],pajak[//]-offset))</f>
        <v>AM 24010053</v>
      </c>
      <c r="F57" s="290">
        <f ca="1">IF(pajak[[#This Row],[//]]="","",INDEX(Table1[Tgl Invoice :],pajak[//]-offset))</f>
        <v>45322</v>
      </c>
      <c r="G57" s="292" t="str">
        <f ca="1">IF(pajak[[#This Row],[//]]="","",INDEX(Table1[Kode Sales :],pajak[//]-offset))</f>
        <v>KO 2591</v>
      </c>
      <c r="H57" s="292" t="str">
        <f ca="1">IF(pajak[[#This Row],[//]]="","",INDEX(Table1[Toko],pajak[//]-offset))</f>
        <v>CV PELITA JAYA (ANUGERAH SEJAHTERA) PURWOKERTO</v>
      </c>
      <c r="I57" s="291">
        <f ca="1">IF(pajak[[#This Row],[//]]="","",SUMIF(Table1[h_id],pajak[[#This Row],[//]],Table1[h_hargasebelumdiskon]))</f>
        <v>55944000</v>
      </c>
      <c r="J57" s="291">
        <f ca="1">IF(pajak[[#This Row],[//]]="","",SUMIF(Table1[h_id],pajak[[#This Row],[//]],Table1[h_diskon]))</f>
        <v>7552440</v>
      </c>
      <c r="K57" s="291">
        <f ca="1">IF(pajak[[#This Row],[//]]="","",SUMIF(Table1[h_id],pajak[[#This Row],[//]],Table1[h_hargasetelahdiskon]))</f>
        <v>48391560</v>
      </c>
      <c r="L57" s="291">
        <f ca="1">IF(pajak[//]="","",pajak[[#This Row],[Sub Total]]/1.11*11%)</f>
        <v>4795559.9999999991</v>
      </c>
      <c r="M57" s="291">
        <f ca="1">pajak[[#This Row],[Sub Total]]</f>
        <v>48391560</v>
      </c>
      <c r="N57" s="292" t="str">
        <f ca="1">IF(pajak[[#This Row],[//]]="","",INDEX(Table1[pembuat nota :],pajak[//]-offset))</f>
        <v>NOVI / CONDRO</v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e">
        <f ca="1">IF(Table4[[#This Row],[AM]]&amp;" "&amp;Table4[[#This Row],[---]]=INDIRECT("pajak[@["&amp;Table4[#Headers]&amp;"]]"),MATCH(Table4[[#This Row],[---]],INDIRECT($3:$3),0))</f>
        <v>#REF!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A58" s="296">
        <v>263</v>
      </c>
      <c r="D58" s="292">
        <f ca="1">IF(ROW()-(COUNTBLANK($D$1:$D$3)+1)&lt;=jNota,A58,"")</f>
        <v>263</v>
      </c>
      <c r="E58" s="292" t="str">
        <f ca="1">IF(pajak[[#This Row],[//]]="","",INDEX(Table1[No. Invoice :],pajak[//]-offset))</f>
        <v>AM 24010054</v>
      </c>
      <c r="F58" s="623">
        <f ca="1">IF(pajak[[#This Row],[//]]="","",INDEX(Table1[Tgl Invoice :],pajak[//]-offset))</f>
        <v>45322</v>
      </c>
      <c r="G58" s="292" t="str">
        <f ca="1">IF(pajak[[#This Row],[//]]="","",INDEX(Table1[Kode Sales :],pajak[//]-offset))</f>
        <v>KO 2596</v>
      </c>
      <c r="H58" s="292" t="str">
        <f ca="1">IF(pajak[[#This Row],[//]]="","",INDEX(Table1[Toko],pajak[//]-offset))</f>
        <v>CV PELITA JAYA (ANUGERAH SEJAHTERA) PURWOKERTO</v>
      </c>
      <c r="I58" s="291">
        <f ca="1">IF(pajak[[#This Row],[//]]="","",SUMIF(Table1[h_id],pajak[[#This Row],[//]],Table1[h_hargasebelumdiskon]))</f>
        <v>10627200</v>
      </c>
      <c r="J58" s="291">
        <f ca="1">IF(pajak[[#This Row],[//]]="","",SUMIF(Table1[h_id],pajak[[#This Row],[//]],Table1[h_diskon]))</f>
        <v>1434672</v>
      </c>
      <c r="K58" s="291">
        <f ca="1">IF(pajak[[#This Row],[//]]="","",SUMIF(Table1[h_id],pajak[[#This Row],[//]],Table1[h_hargasetelahdiskon]))</f>
        <v>9192528</v>
      </c>
      <c r="L58" s="291">
        <f ca="1">IF(pajak[//]="","",pajak[[#This Row],[Sub Total]]/1.11*11%)</f>
        <v>910971.2432432432</v>
      </c>
      <c r="M58" s="291">
        <f ca="1">pajak[[#This Row],[Sub Total]]</f>
        <v>9192528</v>
      </c>
      <c r="N58" s="292" t="str">
        <f ca="1">IF(pajak[[#This Row],[//]]="","",INDEX(Table1[pembuat nota :],pajak[//]-offset))</f>
        <v>NOVI / CONDRO</v>
      </c>
      <c r="O58" s="292" t="str">
        <f ca="1">IF(pajak[[#This Row],[//]]="","",IF(INDEX(Table1[edited :],pajak[//]-offset)="","",INDEX(Table1[edited :],pajak[//]-offset)))</f>
        <v/>
      </c>
      <c r="P58" s="291"/>
      <c r="R58" s="292" t="str">
        <f>Table4[[#Headers],[AM]]</f>
        <v>AM</v>
      </c>
      <c r="S58" s="292">
        <f t="shared" ref="S58:S63" si="4">S$3+ROW()-5</f>
        <v>24010054</v>
      </c>
      <c r="T58" s="301" t="e">
        <f ca="1">IF(Table4[[#This Row],[AM]]&amp;" "&amp;Table4[[#This Row],[---]]=INDIRECT("pajak[@["&amp;Table4[#Headers]&amp;"]]"),MATCH(Table4[[#This Row],[---]],INDIRECT($3:$3),0))</f>
        <v>#REF!</v>
      </c>
      <c r="U58" s="301" t="e">
        <f ca="1">IF((INDEX(INDIRECT($3:$3),Table4[[#This Row],[No. Invoice :]]+$2:$2))=INDIRECT("pajak[@["&amp;Table4[#Headers]&amp;"]]"),1)</f>
        <v>#REF!</v>
      </c>
      <c r="V58" s="301" t="e">
        <f ca="1">IF((INDEX(INDIRECT($3:$3),Table4[[#This Row],[No. Invoice :]]+$2:$2))=INDIRECT("pajak[@["&amp;Table4[#Headers]&amp;"]]"),1)</f>
        <v>#REF!</v>
      </c>
      <c r="W58" s="301" t="e">
        <f ca="1">IF((INDEX(INDIRECT($3:$3),Table4[[#This Row],[No. Invoice :]]+$2:$2))=INDIRECT("pajak[@["&amp;Table4[#Headers]&amp;"]]"),1)</f>
        <v>#REF!</v>
      </c>
      <c r="X58" s="301" t="e">
        <f ca="1">IF((INDEX(INDIRECT($3:$3),Table4[[#This Row],[No. Invoice :]]+$2:$2))=INDIRECT("pajak[@["&amp;Table4[#Headers]&amp;"]]"),1)</f>
        <v>#REF!</v>
      </c>
    </row>
    <row r="59" spans="1:24" x14ac:dyDescent="0.25">
      <c r="A59" s="296">
        <v>271</v>
      </c>
      <c r="D59" s="292">
        <f ca="1">IF(ROW()-(COUNTBLANK($D$1:$D$3)+1)&lt;=jNota,A59,"")</f>
        <v>271</v>
      </c>
      <c r="E59" s="292" t="str">
        <f ca="1">IF(pajak[[#This Row],[//]]="","",INDEX(Table1[No. Invoice :],pajak[//]-offset))</f>
        <v>AM 24020001</v>
      </c>
      <c r="F59" s="623">
        <f ca="1">IF(pajak[[#This Row],[//]]="","",INDEX(Table1[Tgl Invoice :],pajak[//]-offset))</f>
        <v>45327</v>
      </c>
      <c r="G59" s="292" t="str">
        <f ca="1">IF(pajak[[#This Row],[//]]="","",INDEX(Table1[Kode Sales :],pajak[//]-offset))</f>
        <v>G 2551</v>
      </c>
      <c r="H59" s="292" t="str">
        <f ca="1">IF(pajak[[#This Row],[//]]="","",INDEX(Table1[Toko],pajak[//]-offset))</f>
        <v>CV UTAMA PUTRA TULUNG AGUNG</v>
      </c>
      <c r="I59" s="291">
        <f ca="1">IF(pajak[[#This Row],[//]]="","",SUMIF(Table1[h_id],pajak[[#This Row],[//]],Table1[h_hargasebelumdiskon]))</f>
        <v>3909600</v>
      </c>
      <c r="J59" s="291">
        <f ca="1">IF(pajak[[#This Row],[//]]="","",SUMIF(Table1[h_id],pajak[[#This Row],[//]],Table1[h_diskon]))</f>
        <v>488700</v>
      </c>
      <c r="K59" s="291">
        <f ca="1">IF(pajak[[#This Row],[//]]="","",SUMIF(Table1[h_id],pajak[[#This Row],[//]],Table1[h_hargasetelahdiskon]))</f>
        <v>3420900</v>
      </c>
      <c r="L59" s="291">
        <f ca="1">IF(pajak[//]="","",pajak[[#This Row],[Sub Total]]/1.11*11%)</f>
        <v>339008.10810810811</v>
      </c>
      <c r="M59" s="291">
        <f ca="1">pajak[[#This Row],[Sub Total]]</f>
        <v>3420900</v>
      </c>
      <c r="N59" s="292" t="str">
        <f ca="1">IF(pajak[[#This Row],[//]]="","",INDEX(Table1[pembuat nota :],pajak[//]-offset))</f>
        <v>NOVI / CONDRO</v>
      </c>
      <c r="O59" s="292" t="str">
        <f ca="1">IF(pajak[[#This Row],[//]]="","",IF(INDEX(Table1[edited :],pajak[//]-offset)="","",INDEX(Table1[edited :],pajak[//]-offset)))</f>
        <v/>
      </c>
      <c r="P59" s="291"/>
      <c r="R59" s="292" t="str">
        <f>Table4[[#Headers],[AM]]</f>
        <v>AM</v>
      </c>
      <c r="S59" s="292">
        <f t="shared" si="4"/>
        <v>24010055</v>
      </c>
      <c r="T59" s="301" t="b">
        <f ca="1">IF(Table4[[#This Row],[AM]]&amp;" "&amp;Table4[[#This Row],[---]]=INDIRECT("pajak[@["&amp;Table4[#Headers]&amp;"]]"),MATCH(Table4[[#This Row],[---]],INDIRECT($3:$3),0))</f>
        <v>0</v>
      </c>
      <c r="U59" s="301" t="e">
        <f ca="1">IF((INDEX(INDIRECT($3:$3),Table4[[#This Row],[No. Invoice :]]+$2:$2))=INDIRECT("pajak[@["&amp;Table4[#Headers]&amp;"]]"),1)</f>
        <v>#REF!</v>
      </c>
      <c r="V59" s="301" t="e">
        <f ca="1">IF((INDEX(INDIRECT($3:$3),Table4[[#This Row],[No. Invoice :]]+$2:$2))=INDIRECT("pajak[@["&amp;Table4[#Headers]&amp;"]]"),1)</f>
        <v>#REF!</v>
      </c>
      <c r="W59" s="301" t="e">
        <f ca="1">IF((INDEX(INDIRECT($3:$3),Table4[[#This Row],[No. Invoice :]]+$2:$2))=INDIRECT("pajak[@["&amp;Table4[#Headers]&amp;"]]"),1)</f>
        <v>#REF!</v>
      </c>
      <c r="X59" s="301" t="e">
        <f ca="1">IF((INDEX(INDIRECT($3:$3),Table4[[#This Row],[No. Invoice :]]+$2:$2))=INDIRECT("pajak[@["&amp;Table4[#Headers]&amp;"]]"),1)</f>
        <v>#REF!</v>
      </c>
    </row>
    <row r="60" spans="1:24" x14ac:dyDescent="0.25">
      <c r="A60" s="296"/>
      <c r="D60" s="292">
        <f ca="1">IF(ROW()-(COUNTBLANK($D$1:$D$3)+1)&lt;=jNota,A60,"")</f>
        <v>0</v>
      </c>
      <c r="E60" s="292" t="e">
        <f ca="1">IF(pajak[[#This Row],[//]]="","",INDEX(Table1[No. Invoice :],pajak[//]-offset))</f>
        <v>#VALUE!</v>
      </c>
      <c r="F60" s="623" t="e">
        <f ca="1">IF(pajak[[#This Row],[//]]="","",INDEX(Table1[Tgl Invoice :],pajak[//]-offset))</f>
        <v>#VALUE!</v>
      </c>
      <c r="G60" s="292" t="e">
        <f ca="1">IF(pajak[[#This Row],[//]]="","",INDEX(Table1[Kode Sales :],pajak[//]-offset))</f>
        <v>#VALUE!</v>
      </c>
      <c r="H60" s="292" t="e">
        <f ca="1">IF(pajak[[#This Row],[//]]="","",INDEX(Table1[Toko],pajak[//]-offset))</f>
        <v>#VALUE!</v>
      </c>
      <c r="I60" s="291">
        <f ca="1">IF(pajak[[#This Row],[//]]="","",SUMIF(Table1[h_id],pajak[[#This Row],[//]],Table1[h_hargasebelumdiskon]))</f>
        <v>0</v>
      </c>
      <c r="J60" s="291">
        <f ca="1">IF(pajak[[#This Row],[//]]="","",SUMIF(Table1[h_id],pajak[[#This Row],[//]],Table1[h_diskon]))</f>
        <v>0</v>
      </c>
      <c r="K60" s="291">
        <f ca="1">IF(pajak[[#This Row],[//]]="","",SUMIF(Table1[h_id],pajak[[#This Row],[//]],Table1[h_hargasetelahdiskon]))</f>
        <v>0</v>
      </c>
      <c r="L60" s="291">
        <f ca="1">IF(pajak[//]="","",pajak[[#This Row],[Sub Total]]/1.11*11%)</f>
        <v>0</v>
      </c>
      <c r="M60" s="291">
        <f ca="1">pajak[[#This Row],[Sub Total]]</f>
        <v>0</v>
      </c>
      <c r="N60" s="292" t="e">
        <f ca="1">IF(pajak[[#This Row],[//]]="","",INDEX(Table1[pembuat nota :],pajak[//]-offset))</f>
        <v>#VALUE!</v>
      </c>
      <c r="O60" s="292" t="e">
        <f ca="1">IF(pajak[[#This Row],[//]]="","",IF(INDEX(Table1[edited :],pajak[//]-offset)="","",INDEX(Table1[edited :],pajak[//]-offset)))</f>
        <v>#VALUE!</v>
      </c>
      <c r="P60" s="291"/>
      <c r="R60" s="292" t="str">
        <f>Table4[[#Headers],[AM]]</f>
        <v>AM</v>
      </c>
      <c r="S60" s="292">
        <f t="shared" si="4"/>
        <v>24010056</v>
      </c>
      <c r="T60" s="301" t="e">
        <f ca="1">IF(Table4[[#This Row],[AM]]&amp;" "&amp;Table4[[#This Row],[---]]=INDIRECT("pajak[@["&amp;Table4[#Headers]&amp;"]]"),MATCH(Table4[[#This Row],[---]],INDIRECT($3:$3),0))</f>
        <v>#VALUE!</v>
      </c>
      <c r="U60" s="301" t="e">
        <f ca="1">IF((INDEX(INDIRECT($3:$3),Table4[[#This Row],[No. Invoice :]]+$2:$2))=INDIRECT("pajak[@["&amp;Table4[#Headers]&amp;"]]"),1)</f>
        <v>#REF!</v>
      </c>
      <c r="V60" s="301" t="e">
        <f ca="1">IF((INDEX(INDIRECT($3:$3),Table4[[#This Row],[No. Invoice :]]+$2:$2))=INDIRECT("pajak[@["&amp;Table4[#Headers]&amp;"]]"),1)</f>
        <v>#REF!</v>
      </c>
      <c r="W60" s="301" t="e">
        <f ca="1">IF((INDEX(INDIRECT($3:$3),Table4[[#This Row],[No. Invoice :]]+$2:$2))=INDIRECT("pajak[@["&amp;Table4[#Headers]&amp;"]]"),1)</f>
        <v>#REF!</v>
      </c>
      <c r="X60" s="301" t="e">
        <f ca="1">IF((INDEX(INDIRECT($3:$3),Table4[[#This Row],[No. Invoice :]]+$2:$2))=INDIRECT("pajak[@["&amp;Table4[#Headers]&amp;"]]"),1)</f>
        <v>#REF!</v>
      </c>
    </row>
    <row r="61" spans="1:24" x14ac:dyDescent="0.25">
      <c r="A61" s="296" t="s">
        <v>52</v>
      </c>
      <c r="D61" s="292" t="str">
        <f ca="1">IF(ROW()-(COUNTBLANK($D$1:$D$3)+1)&lt;=jNota,A61,"")</f>
        <v/>
      </c>
      <c r="E61" s="292" t="str">
        <f ca="1">IF(pajak[[#This Row],[//]]="","",INDEX(Table1[No. Invoice :],pajak[//]-offset))</f>
        <v/>
      </c>
      <c r="F61" s="623" t="str">
        <f ca="1">IF(pajak[[#This Row],[//]]="","",INDEX(Table1[Tgl Invoice :],pajak[//]-offset))</f>
        <v/>
      </c>
      <c r="G61" s="292" t="str">
        <f ca="1">IF(pajak[[#This Row],[//]]="","",INDEX(Table1[Kode Sales :],pajak[//]-offset))</f>
        <v/>
      </c>
      <c r="H61" s="292" t="str">
        <f ca="1">IF(pajak[[#This Row],[//]]="","",INDEX(Table1[Toko],pajak[//]-offset))</f>
        <v/>
      </c>
      <c r="I61" s="291" t="str">
        <f ca="1">IF(pajak[[#This Row],[//]]="","",SUMIF(Table1[h_id],pajak[[#This Row],[//]],Table1[h_hargasebelumdiskon]))</f>
        <v/>
      </c>
      <c r="J61" s="291" t="str">
        <f ca="1">IF(pajak[[#This Row],[//]]="","",SUMIF(Table1[h_id],pajak[[#This Row],[//]],Table1[h_diskon]))</f>
        <v/>
      </c>
      <c r="K61" s="291" t="str">
        <f ca="1">IF(pajak[[#This Row],[//]]="","",SUMIF(Table1[h_id],pajak[[#This Row],[//]],Table1[h_hargasetelahdiskon]))</f>
        <v/>
      </c>
      <c r="L61" s="291" t="str">
        <f ca="1">IF(pajak[//]="","",pajak[[#This Row],[Sub Total]]/1.11*11%)</f>
        <v/>
      </c>
      <c r="M61" s="291" t="str">
        <f ca="1">pajak[[#This Row],[Sub Total]]</f>
        <v/>
      </c>
      <c r="N61" s="292" t="str">
        <f ca="1">IF(pajak[[#This Row],[//]]="","",INDEX(Table1[pembuat nota :],pajak[//]-offset))</f>
        <v/>
      </c>
      <c r="O61" s="292" t="str">
        <f ca="1">IF(pajak[[#This Row],[//]]="","",IF(INDEX(Table1[edited :],pajak[//]-offset)="","",INDEX(Table1[edited :],pajak[//]-offset)))</f>
        <v/>
      </c>
      <c r="P61" s="291"/>
      <c r="R61" s="292" t="str">
        <f>Table4[[#Headers],[AM]]</f>
        <v>AM</v>
      </c>
      <c r="S61" s="292">
        <f t="shared" si="4"/>
        <v>24010057</v>
      </c>
      <c r="T61" s="301" t="b">
        <f ca="1">IF(Table4[[#This Row],[AM]]&amp;" "&amp;Table4[[#This Row],[---]]=INDIRECT("pajak[@["&amp;Table4[#Headers]&amp;"]]"),MATCH(Table4[[#This Row],[---]],INDIRECT($3:$3),0))</f>
        <v>0</v>
      </c>
      <c r="U61" s="301" t="e">
        <f ca="1">IF((INDEX(INDIRECT($3:$3),Table4[[#This Row],[No. Invoice :]]+$2:$2))=INDIRECT("pajak[@["&amp;Table4[#Headers]&amp;"]]"),1)</f>
        <v>#REF!</v>
      </c>
      <c r="V61" s="301" t="e">
        <f ca="1">IF((INDEX(INDIRECT($3:$3),Table4[[#This Row],[No. Invoice :]]+$2:$2))=INDIRECT("pajak[@["&amp;Table4[#Headers]&amp;"]]"),1)</f>
        <v>#REF!</v>
      </c>
      <c r="W61" s="301" t="e">
        <f ca="1">IF((INDEX(INDIRECT($3:$3),Table4[[#This Row],[No. Invoice :]]+$2:$2))=INDIRECT("pajak[@["&amp;Table4[#Headers]&amp;"]]"),1)</f>
        <v>#REF!</v>
      </c>
      <c r="X61" s="301" t="e">
        <f ca="1">IF((INDEX(INDIRECT($3:$3),Table4[[#This Row],[No. Invoice :]]+$2:$2))=INDIRECT("pajak[@["&amp;Table4[#Headers]&amp;"]]"),1)</f>
        <v>#REF!</v>
      </c>
    </row>
    <row r="62" spans="1:24" x14ac:dyDescent="0.25">
      <c r="D62" s="292" t="str">
        <f ca="1">IF(ROW()-(COUNTBLANK($D$1:$D$3)+1)&lt;=jNota,A62,"")</f>
        <v/>
      </c>
      <c r="E62" s="292" t="str">
        <f ca="1">IF(pajak[[#This Row],[//]]="","",INDEX(Table1[No. Invoice :],pajak[//]-offset))</f>
        <v/>
      </c>
      <c r="F62" s="623" t="str">
        <f ca="1">IF(pajak[[#This Row],[//]]="","",INDEX(Table1[Tgl Invoice :],pajak[//]-offset))</f>
        <v/>
      </c>
      <c r="G62" s="292" t="str">
        <f ca="1">IF(pajak[[#This Row],[//]]="","",INDEX(Table1[Kode Sales :],pajak[//]-offset))</f>
        <v/>
      </c>
      <c r="H62" s="292" t="str">
        <f ca="1">IF(pajak[[#This Row],[//]]="","",INDEX(Table1[Toko],pajak[//]-offset))</f>
        <v/>
      </c>
      <c r="I62" s="291" t="str">
        <f ca="1">IF(pajak[[#This Row],[//]]="","",SUMIF(Table1[h_id],pajak[[#This Row],[//]],Table1[h_hargasebelumdiskon]))</f>
        <v/>
      </c>
      <c r="J62" s="291" t="str">
        <f ca="1">IF(pajak[[#This Row],[//]]="","",SUMIF(Table1[h_id],pajak[[#This Row],[//]],Table1[h_diskon]))</f>
        <v/>
      </c>
      <c r="K62" s="291" t="str">
        <f ca="1">IF(pajak[[#This Row],[//]]="","",SUMIF(Table1[h_id],pajak[[#This Row],[//]],Table1[h_hargasetelahdiskon]))</f>
        <v/>
      </c>
      <c r="L62" s="291" t="str">
        <f ca="1">IF(pajak[//]="","",pajak[[#This Row],[Sub Total]]/1.11*11%)</f>
        <v/>
      </c>
      <c r="M62" s="291" t="str">
        <f ca="1">pajak[[#This Row],[Sub Total]]</f>
        <v/>
      </c>
      <c r="N62" s="292" t="str">
        <f ca="1">IF(pajak[[#This Row],[//]]="","",INDEX(Table1[pembuat nota :],pajak[//]-offset))</f>
        <v/>
      </c>
      <c r="O62" s="292" t="str">
        <f ca="1">IF(pajak[[#This Row],[//]]="","",IF(INDEX(Table1[edited :],pajak[//]-offset)="","",INDEX(Table1[edited :],pajak[//]-offset)))</f>
        <v/>
      </c>
      <c r="P62" s="291"/>
      <c r="R62" s="292" t="str">
        <f>Table4[[#Headers],[AM]]</f>
        <v>AM</v>
      </c>
      <c r="S62" s="292">
        <f t="shared" si="4"/>
        <v>24010058</v>
      </c>
      <c r="T62" s="301" t="b">
        <f ca="1">IF(Table4[[#This Row],[AM]]&amp;" "&amp;Table4[[#This Row],[---]]=INDIRECT("pajak[@["&amp;Table4[#Headers]&amp;"]]"),MATCH(Table4[[#This Row],[---]],INDIRECT($3:$3),0))</f>
        <v>0</v>
      </c>
      <c r="U62" s="301" t="e">
        <f ca="1">IF((INDEX(INDIRECT($3:$3),Table4[[#This Row],[No. Invoice :]]+$2:$2))=INDIRECT("pajak[@["&amp;Table4[#Headers]&amp;"]]"),1)</f>
        <v>#REF!</v>
      </c>
      <c r="V62" s="301" t="e">
        <f ca="1">IF((INDEX(INDIRECT($3:$3),Table4[[#This Row],[No. Invoice :]]+$2:$2))=INDIRECT("pajak[@["&amp;Table4[#Headers]&amp;"]]"),1)</f>
        <v>#REF!</v>
      </c>
      <c r="W62" s="301" t="e">
        <f ca="1">IF((INDEX(INDIRECT($3:$3),Table4[[#This Row],[No. Invoice :]]+$2:$2))=INDIRECT("pajak[@["&amp;Table4[#Headers]&amp;"]]"),1)</f>
        <v>#REF!</v>
      </c>
      <c r="X62" s="301" t="e">
        <f ca="1">IF((INDEX(INDIRECT($3:$3),Table4[[#This Row],[No. Invoice :]]+$2:$2))=INDIRECT("pajak[@["&amp;Table4[#Headers]&amp;"]]"),1)</f>
        <v>#REF!</v>
      </c>
    </row>
    <row r="63" spans="1:24" x14ac:dyDescent="0.25">
      <c r="D63" s="292" t="str">
        <f ca="1">IF(ROW()-(COUNTBLANK($D$1:$D$3)+1)&lt;=jNota,A63,"")</f>
        <v/>
      </c>
      <c r="E63" s="292" t="str">
        <f ca="1">IF(pajak[[#This Row],[//]]="","",INDEX(Table1[No. Invoice :],pajak[//]-offset))</f>
        <v/>
      </c>
      <c r="F63" s="623" t="str">
        <f ca="1">IF(pajak[[#This Row],[//]]="","",INDEX(Table1[Tgl Invoice :],pajak[//]-offset))</f>
        <v/>
      </c>
      <c r="G63" s="292" t="str">
        <f ca="1">IF(pajak[[#This Row],[//]]="","",INDEX(Table1[Kode Sales :],pajak[//]-offset))</f>
        <v/>
      </c>
      <c r="H63" s="292" t="str">
        <f ca="1">IF(pajak[[#This Row],[//]]="","",INDEX(Table1[Toko],pajak[//]-offset))</f>
        <v/>
      </c>
      <c r="I63" s="291" t="str">
        <f ca="1">IF(pajak[[#This Row],[//]]="","",SUMIF(Table1[h_id],pajak[[#This Row],[//]],Table1[h_hargasebelumdiskon]))</f>
        <v/>
      </c>
      <c r="J63" s="291" t="str">
        <f ca="1">IF(pajak[[#This Row],[//]]="","",SUMIF(Table1[h_id],pajak[[#This Row],[//]],Table1[h_diskon]))</f>
        <v/>
      </c>
      <c r="K63" s="291" t="str">
        <f ca="1">IF(pajak[[#This Row],[//]]="","",SUMIF(Table1[h_id],pajak[[#This Row],[//]],Table1[h_hargasetelahdiskon]))</f>
        <v/>
      </c>
      <c r="L63" s="291" t="str">
        <f ca="1">IF(pajak[//]="","",pajak[[#This Row],[Sub Total]]/1.11*11%)</f>
        <v/>
      </c>
      <c r="M63" s="291" t="str">
        <f ca="1">pajak[[#This Row],[Sub Total]]</f>
        <v/>
      </c>
      <c r="N63" s="292" t="str">
        <f ca="1">IF(pajak[[#This Row],[//]]="","",INDEX(Table1[pembuat nota :],pajak[//]-offset))</f>
        <v/>
      </c>
      <c r="O63" s="292" t="str">
        <f ca="1">IF(pajak[[#This Row],[//]]="","",IF(INDEX(Table1[edited :],pajak[//]-offset)="","",INDEX(Table1[edited :],pajak[//]-offset)))</f>
        <v/>
      </c>
      <c r="P63" s="291"/>
      <c r="R63" s="292" t="str">
        <f>Table4[[#Headers],[AM]]</f>
        <v>AM</v>
      </c>
      <c r="S63" s="292">
        <f t="shared" si="4"/>
        <v>24010059</v>
      </c>
      <c r="T63" s="301" t="b">
        <f ca="1">IF(Table4[[#This Row],[AM]]&amp;" "&amp;Table4[[#This Row],[---]]=INDIRECT("pajak[@["&amp;Table4[#Headers]&amp;"]]"),MATCH(Table4[[#This Row],[---]],INDIRECT($3:$3),0))</f>
        <v>0</v>
      </c>
      <c r="U63" s="301" t="e">
        <f ca="1">IF((INDEX(INDIRECT($3:$3),Table4[[#This Row],[No. Invoice :]]+$2:$2))=INDIRECT("pajak[@["&amp;Table4[#Headers]&amp;"]]"),1)</f>
        <v>#REF!</v>
      </c>
      <c r="V63" s="301" t="e">
        <f ca="1">IF((INDEX(INDIRECT($3:$3),Table4[[#This Row],[No. Invoice :]]+$2:$2))=INDIRECT("pajak[@["&amp;Table4[#Headers]&amp;"]]"),1)</f>
        <v>#REF!</v>
      </c>
      <c r="W63" s="301" t="e">
        <f ca="1">IF((INDEX(INDIRECT($3:$3),Table4[[#This Row],[No. Invoice :]]+$2:$2))=INDIRECT("pajak[@["&amp;Table4[#Headers]&amp;"]]"),1)</f>
        <v>#REF!</v>
      </c>
      <c r="X63" s="301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1">
        <f ca="1">SUBTOTAL(109,pajak[Total])</f>
        <v>679178204</v>
      </c>
      <c r="J64" s="291">
        <f ca="1">SUBTOTAL(109,pajak[Diskon])</f>
        <v>82924331</v>
      </c>
      <c r="K64" s="291">
        <f ca="1">SUBTOTAL(109,pajak[Sub Total])</f>
        <v>596253873</v>
      </c>
      <c r="L64" s="291">
        <f ca="1">SUBTOTAL(109,pajak[PPN 11%])</f>
        <v>59088221.648648642</v>
      </c>
      <c r="M64" s="291">
        <f ca="1">SUBTOTAL(109,pajak[Total Invoice])</f>
        <v>596253873</v>
      </c>
      <c r="N64" s="3"/>
      <c r="O64" s="3"/>
      <c r="P64" s="3"/>
    </row>
  </sheetData>
  <conditionalFormatting sqref="T1:X2 T4:X1048576">
    <cfRule type="containsText" dxfId="38" priority="1" operator="containsText" text="FALSE">
      <formula>NOT(ISERROR(SEARCH("FALSE",T1)))</formula>
    </cfRule>
  </conditionalFormatting>
  <conditionalFormatting sqref="G65:G1048576 G3:G63">
    <cfRule type="duplicateValues" dxfId="37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273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3</v>
      </c>
      <c r="I1" s="547" t="s">
        <v>71</v>
      </c>
      <c r="J1" s="547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24020002</v>
      </c>
      <c r="G3" s="10" t="s">
        <v>16</v>
      </c>
      <c r="H3" s="554" t="str">
        <f ca="1">INDEX(Table2[b],MATCH(kToko,Table2[a],0))</f>
        <v>LILY JULIAWATI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45327</v>
      </c>
      <c r="E5" s="527"/>
      <c r="F5" s="525"/>
      <c r="G5" s="17"/>
      <c r="H5" s="528" t="str">
        <f ca="1">IF(INDEX(Table2[c],MATCH(kToko,Table2[a],0))="","",INDEX(Table2[c],MATCH(kToko,Table2[a],0)))</f>
        <v>(REJO AGUNG)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JOMBANG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2597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144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KENKO HI-TECH-H 0.28 MM BIRU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4914000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GEL PEN KENKO HI-TECH-H 0.28 MM HITAM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9828000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60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CUTTER 9 MM KENKO A-300 (KECIL)</v>
      </c>
      <c r="F13" s="48"/>
      <c r="G13" s="49"/>
      <c r="H13" s="50">
        <f ca="1">IF(A13&gt;jumlahBarang,"",INDEX(Table1[Unit Price],newestIdRow-offset+A13-1))</f>
        <v>57000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2992500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 t="e">
        <f ca="1">INDEX(pajak[Sub Total],MATCH(newestIdRow,pajak[//],0))</f>
        <v>#N/A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 t="e">
        <f ca="1">J29*J31</f>
        <v>#N/A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 t="e">
        <f ca="1">INDEX(pajak[PPN 11%],MATCH(newestIdRow,pajak[//],0))</f>
        <v>#N/A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 t="e">
        <f ca="1">INDEX(pajak[Total Invoice],MATCH(newestIdRow,pajak[//],0))</f>
        <v>#N/A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e">
        <f ca="1">INDEX(pajak[pembuat nota],MATCH(newestIdRow,pajak[//],0))</f>
        <v>#N/A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e">
        <f ca="1">INDEX(pajak[edited],MATCH(newestIdRow,pajak[//],0))</f>
        <v>#N/A</v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24020002</v>
      </c>
      <c r="F41" s="190"/>
      <c r="G41" s="191" t="s">
        <v>16</v>
      </c>
      <c r="H41" s="534" t="str">
        <f ca="1">H3</f>
        <v>LILY JULIAWATI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45327</v>
      </c>
      <c r="E43" s="540"/>
      <c r="F43" s="538"/>
      <c r="G43" s="198"/>
      <c r="H43" s="541" t="str">
        <f ca="1">H5</f>
        <v>(REJO AGUNG)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JOMBANG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2597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144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GEL PEN KENKO HI-TECH-H 0.28 MM BIRU</v>
      </c>
      <c r="F49" s="232"/>
      <c r="G49" s="233"/>
      <c r="H49" s="234">
        <f t="shared" ref="H49:K64" ca="1" si="1">H11</f>
        <v>39000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4914000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288</v>
      </c>
      <c r="C50" s="229" t="str">
        <f t="shared" ca="1" si="0"/>
        <v>LSN</v>
      </c>
      <c r="D50" s="230">
        <f t="shared" ca="1" si="0"/>
        <v>2</v>
      </c>
      <c r="E50" s="231" t="str">
        <f t="shared" ca="1" si="0"/>
        <v>GEL PEN KENKO HI-TECH-H 0.28 MM HITAM</v>
      </c>
      <c r="F50" s="232"/>
      <c r="G50" s="233"/>
      <c r="H50" s="234">
        <f t="shared" ca="1" si="1"/>
        <v>39000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9828000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60</v>
      </c>
      <c r="C51" s="229" t="str">
        <f t="shared" ca="1" si="0"/>
        <v>LSN</v>
      </c>
      <c r="D51" s="230">
        <f t="shared" ca="1" si="0"/>
        <v>2</v>
      </c>
      <c r="E51" s="231" t="str">
        <f t="shared" ca="1" si="0"/>
        <v>CUTTER 9 MM KENKO A-300 (KECIL)</v>
      </c>
      <c r="F51" s="232"/>
      <c r="G51" s="233"/>
      <c r="H51" s="234">
        <f t="shared" ca="1" si="1"/>
        <v>57000</v>
      </c>
      <c r="I51" s="235">
        <f t="shared" ca="1" si="1"/>
        <v>0.125</v>
      </c>
      <c r="J51" s="235" t="str">
        <f t="shared" ca="1" si="1"/>
        <v/>
      </c>
      <c r="K51" s="236">
        <f t="shared" ca="1" si="1"/>
        <v>2992500</v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 t="e">
        <f ca="1">J29</f>
        <v>#N/A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 t="e">
        <f ca="1">K31</f>
        <v>#N/A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 t="e">
        <f ca="1">J33</f>
        <v>#N/A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 t="e">
        <f ca="1">K35</f>
        <v>#N/A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e">
        <f ca="1">J37</f>
        <v>#N/A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e">
        <f ca="1">J38</f>
        <v>#N/A</v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24020002</v>
      </c>
      <c r="F79" s="97"/>
      <c r="G79" s="98" t="s">
        <v>16</v>
      </c>
      <c r="H79" s="517" t="str">
        <f ca="1">H41</f>
        <v>LILY JULIAWATI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45327</v>
      </c>
      <c r="E81" s="507"/>
      <c r="F81" s="521"/>
      <c r="G81" s="105"/>
      <c r="H81" s="508" t="str">
        <f ca="1">H43</f>
        <v>(REJO AGUNG)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JOMBANG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2597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144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GEL PEN KENKO HI-TECH-H 0.28 MM BIRU</v>
      </c>
      <c r="F87" s="139"/>
      <c r="G87" s="140"/>
      <c r="H87" s="141">
        <f t="shared" ref="H87:K102" ca="1" si="3">H49</f>
        <v>39000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4914000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288</v>
      </c>
      <c r="C88" s="136" t="str">
        <f t="shared" ca="1" si="2"/>
        <v>LSN</v>
      </c>
      <c r="D88" s="137">
        <f t="shared" ca="1" si="2"/>
        <v>2</v>
      </c>
      <c r="E88" s="138" t="str">
        <f t="shared" ca="1" si="2"/>
        <v>GEL PEN KENKO HI-TECH-H 0.28 MM HITAM</v>
      </c>
      <c r="F88" s="139"/>
      <c r="G88" s="140"/>
      <c r="H88" s="141">
        <f t="shared" ca="1" si="3"/>
        <v>39000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9828000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60</v>
      </c>
      <c r="C89" s="136" t="str">
        <f t="shared" ca="1" si="2"/>
        <v>LSN</v>
      </c>
      <c r="D89" s="137">
        <f t="shared" ca="1" si="2"/>
        <v>2</v>
      </c>
      <c r="E89" s="138" t="str">
        <f t="shared" ca="1" si="2"/>
        <v>CUTTER 9 MM KENKO A-300 (KECIL)</v>
      </c>
      <c r="F89" s="139"/>
      <c r="G89" s="140"/>
      <c r="H89" s="141">
        <f t="shared" ca="1" si="3"/>
        <v>57000</v>
      </c>
      <c r="I89" s="142">
        <f t="shared" ca="1" si="3"/>
        <v>0.125</v>
      </c>
      <c r="J89" s="142" t="str">
        <f t="shared" ca="1" si="3"/>
        <v/>
      </c>
      <c r="K89" s="143">
        <f t="shared" ca="1" si="3"/>
        <v>2992500</v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 t="e">
        <f ca="1">J67</f>
        <v>#N/A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 t="e">
        <f ca="1">K69</f>
        <v>#N/A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 t="e">
        <f ca="1">J71</f>
        <v>#N/A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 t="e">
        <f ca="1">K73</f>
        <v>#N/A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e">
        <f ca="1">J75</f>
        <v>#N/A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e">
        <f ca="1">J76</f>
        <v>#N/A</v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402</v>
      </c>
      <c r="B27" t="s">
        <v>449</v>
      </c>
      <c r="C27" t="s">
        <v>403</v>
      </c>
      <c r="D27" t="s">
        <v>404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428</v>
      </c>
      <c r="B28" t="s">
        <v>424</v>
      </c>
      <c r="C28" t="s">
        <v>425</v>
      </c>
      <c r="D28" t="s">
        <v>426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340</v>
      </c>
      <c r="B30">
        <v>1</v>
      </c>
      <c r="C30" t="s">
        <v>342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340</v>
      </c>
      <c r="B31">
        <v>1</v>
      </c>
      <c r="C31" t="s">
        <v>348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338</v>
      </c>
      <c r="B32">
        <v>2</v>
      </c>
      <c r="C32" t="s">
        <v>342</v>
      </c>
    </row>
    <row r="33" spans="1:3" x14ac:dyDescent="0.25">
      <c r="A33" t="s">
        <v>339</v>
      </c>
      <c r="B33">
        <v>2</v>
      </c>
      <c r="C33" t="s">
        <v>342</v>
      </c>
    </row>
    <row r="34" spans="1:3" x14ac:dyDescent="0.25">
      <c r="A34" t="s">
        <v>341</v>
      </c>
      <c r="B34">
        <v>1</v>
      </c>
      <c r="C34" t="s">
        <v>342</v>
      </c>
    </row>
    <row r="35" spans="1:3" x14ac:dyDescent="0.25">
      <c r="A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</row>
    <row r="38" spans="1:3" x14ac:dyDescent="0.25">
      <c r="A38" t="s">
        <v>349</v>
      </c>
      <c r="B38">
        <v>1</v>
      </c>
      <c r="C38" t="s">
        <v>348</v>
      </c>
    </row>
    <row r="39" spans="1:3" x14ac:dyDescent="0.25">
      <c r="A39" t="s">
        <v>350</v>
      </c>
      <c r="B39">
        <v>1</v>
      </c>
    </row>
    <row r="40" spans="1:3" x14ac:dyDescent="0.25">
      <c r="A40" t="s">
        <v>351</v>
      </c>
      <c r="B40">
        <v>1</v>
      </c>
    </row>
    <row r="41" spans="1:3" x14ac:dyDescent="0.25">
      <c r="A41" t="s">
        <v>352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2" zoomScaleNormal="85" workbookViewId="0">
      <selection activeCell="E9" sqref="E9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263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547" t="s">
        <v>71</v>
      </c>
      <c r="J1" s="547"/>
      <c r="K1">
        <v>263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24010054</v>
      </c>
      <c r="G3" s="10" t="s">
        <v>16</v>
      </c>
      <c r="H3" s="574" t="str">
        <f ca="1">INDEX(Table2[b],MATCH(kToko,Table2[a],0))</f>
        <v>CV PELITA JAYA</v>
      </c>
      <c r="I3" s="574"/>
      <c r="J3" s="574"/>
      <c r="K3" s="57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76"/>
      <c r="I4" s="576"/>
      <c r="J4" s="576"/>
      <c r="K4" s="57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45322</v>
      </c>
      <c r="E5" s="527"/>
      <c r="F5" s="525"/>
      <c r="G5" s="17"/>
      <c r="H5" s="528" t="str">
        <f ca="1">IF(INDEX(Table2[c],MATCH(kToko,Table2[a],0))="","",INDEX(Table2[c],MATCH(kToko,Table2[a],0)))</f>
        <v>(ANUGERAH SEJAHTERA)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PURWOKERTO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2596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432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GEL PEN KENKO KE-200</v>
      </c>
      <c r="F11" s="48"/>
      <c r="G11" s="49"/>
      <c r="H11" s="50">
        <f ca="1">IF(A11&gt;jumlahBarang,"",INDEX(Table1[Unit Price],newestIdRow-offset+A11-1))</f>
        <v>24600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9192528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8"/>
      <c r="K28" s="56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9192528</v>
      </c>
      <c r="K29" s="57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1"/>
      <c r="K30" s="57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9"/>
      <c r="K32" s="56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2">
        <f ca="1">INDEX(pajak[PPN 11%],MATCH(newestIdRow,pajak[//],0))</f>
        <v>910971.2432432432</v>
      </c>
      <c r="K33" s="57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9"/>
      <c r="K34" s="56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9192528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2" t="str">
        <f ca="1">INDEX(pajak[pembuat nota],MATCH(newestIdRow,pajak[//],0))</f>
        <v>NOVI / CONDRO</v>
      </c>
      <c r="K37" s="563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2" t="str">
        <f ca="1">INDEX(pajak[edited],MATCH(newestIdRow,pajak[//],0))</f>
        <v/>
      </c>
      <c r="K38" s="56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24010054</v>
      </c>
      <c r="F41" s="190"/>
      <c r="G41" s="191" t="s">
        <v>16</v>
      </c>
      <c r="H41" s="564" t="str">
        <f ca="1">H3</f>
        <v>CV PELITA JAYA</v>
      </c>
      <c r="I41" s="564"/>
      <c r="J41" s="564"/>
      <c r="K41" s="56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66"/>
      <c r="I42" s="566"/>
      <c r="J42" s="566"/>
      <c r="K42" s="56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45322</v>
      </c>
      <c r="E43" s="540"/>
      <c r="F43" s="538"/>
      <c r="G43" s="198"/>
      <c r="H43" s="541" t="str">
        <f ca="1">H5</f>
        <v>(ANUGERAH SEJAHTERA)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PURWOKERTO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2596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432</v>
      </c>
      <c r="C49" s="229" t="str">
        <f t="shared" ca="1" si="0"/>
        <v>LSN</v>
      </c>
      <c r="D49" s="230">
        <f t="shared" ca="1" si="0"/>
        <v>3</v>
      </c>
      <c r="E49" s="231" t="str">
        <f t="shared" ca="1" si="0"/>
        <v>GEL PEN KENKO KE-200</v>
      </c>
      <c r="F49" s="232"/>
      <c r="G49" s="233"/>
      <c r="H49" s="234">
        <f t="shared" ref="H49:K64" ca="1" si="1">H11</f>
        <v>24600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9192528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9192528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910971.2432432432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9192528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24010054</v>
      </c>
      <c r="F79" s="97"/>
      <c r="G79" s="98" t="s">
        <v>16</v>
      </c>
      <c r="H79" s="558" t="str">
        <f ca="1">H41</f>
        <v>CV PELITA JAYA</v>
      </c>
      <c r="I79" s="558"/>
      <c r="J79" s="558"/>
      <c r="K79" s="559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60"/>
      <c r="I80" s="560"/>
      <c r="J80" s="560"/>
      <c r="K80" s="561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45322</v>
      </c>
      <c r="E81" s="507"/>
      <c r="F81" s="521"/>
      <c r="G81" s="105"/>
      <c r="H81" s="508" t="str">
        <f ca="1">H43</f>
        <v>(ANUGERAH SEJAHTERA)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PURWOKERTO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2596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432</v>
      </c>
      <c r="C87" s="136" t="str">
        <f t="shared" ca="1" si="2"/>
        <v>LSN</v>
      </c>
      <c r="D87" s="137">
        <f t="shared" ca="1" si="2"/>
        <v>3</v>
      </c>
      <c r="E87" s="138" t="str">
        <f t="shared" ca="1" si="2"/>
        <v>GEL PEN KENKO KE-200</v>
      </c>
      <c r="F87" s="139"/>
      <c r="G87" s="140"/>
      <c r="H87" s="141">
        <f t="shared" ref="H87:K102" ca="1" si="3">H49</f>
        <v>24600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9192528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9192528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910971.2432432432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9192528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22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22"/>
      <c r="G4" s="17"/>
      <c r="H4" s="528" t="s">
        <v>138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22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8"/>
      <c r="K27" s="569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70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1"/>
      <c r="K29" s="571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9"/>
      <c r="K31" s="569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2">
        <f>((J28/1.11)+(K30/1.11))*11%</f>
        <v>74324.32432432432</v>
      </c>
      <c r="K32" s="573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9"/>
      <c r="K33" s="569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2" t="s">
        <v>130</v>
      </c>
      <c r="K36" s="563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2"/>
      <c r="K37" s="563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603" t="str">
        <f>H2</f>
        <v>CV TRINITY CENTRAAL</v>
      </c>
      <c r="I40" s="603"/>
      <c r="J40" s="603"/>
      <c r="K40" s="604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7" t="s">
        <v>18</v>
      </c>
      <c r="G41" s="321"/>
      <c r="H41" s="605"/>
      <c r="I41" s="605"/>
      <c r="J41" s="605"/>
      <c r="K41" s="606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8">
        <f>D4</f>
        <v>45232</v>
      </c>
      <c r="E42" s="609"/>
      <c r="F42" s="607"/>
      <c r="G42" s="322"/>
      <c r="H42" s="610" t="str">
        <f>H4</f>
        <v/>
      </c>
      <c r="I42" s="610"/>
      <c r="J42" s="610"/>
      <c r="K42" s="611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7"/>
      <c r="G43" s="322"/>
      <c r="H43" s="612" t="str">
        <f>H5</f>
        <v>PURWOKERTO</v>
      </c>
      <c r="I43" s="612"/>
      <c r="J43" s="612"/>
      <c r="K43" s="613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14"/>
      <c r="I44" s="614"/>
      <c r="J44" s="614"/>
      <c r="K44" s="615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6"/>
      <c r="K65" s="602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7">
        <f>SUM(K48:K63)</f>
        <v>750000</v>
      </c>
      <c r="K66" s="618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19"/>
      <c r="K67" s="619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602"/>
      <c r="K69" s="602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20">
        <f>((J66/1.11)+(K68/1.11))*11%</f>
        <v>74324.32432432432</v>
      </c>
      <c r="K70" s="621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602"/>
      <c r="K71" s="602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7" t="str">
        <f>J36</f>
        <v>NOVI / CONDRO</v>
      </c>
      <c r="K74" s="588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7">
        <f>J37</f>
        <v>0</v>
      </c>
      <c r="K75" s="588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9" t="str">
        <f>H40</f>
        <v>CV TRINITY CENTRAAL</v>
      </c>
      <c r="I78" s="589"/>
      <c r="J78" s="589"/>
      <c r="K78" s="590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3" t="s">
        <v>18</v>
      </c>
      <c r="G79" s="409"/>
      <c r="H79" s="591"/>
      <c r="I79" s="591"/>
      <c r="J79" s="591"/>
      <c r="K79" s="592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4">
        <f>D42</f>
        <v>45232</v>
      </c>
      <c r="E80" s="595"/>
      <c r="F80" s="593"/>
      <c r="G80" s="410"/>
      <c r="H80" s="596" t="str">
        <f>H42</f>
        <v/>
      </c>
      <c r="I80" s="596"/>
      <c r="J80" s="596"/>
      <c r="K80" s="597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3"/>
      <c r="G81" s="410"/>
      <c r="H81" s="598" t="str">
        <f>H43</f>
        <v>PURWOKERTO</v>
      </c>
      <c r="I81" s="598"/>
      <c r="J81" s="598"/>
      <c r="K81" s="599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0"/>
      <c r="I82" s="600"/>
      <c r="J82" s="600"/>
      <c r="K82" s="601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80"/>
      <c r="K103" s="581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82">
        <f>SUM(K86:K101)</f>
        <v>750000</v>
      </c>
      <c r="K104" s="583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84"/>
      <c r="K105" s="584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81"/>
      <c r="K107" s="581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85">
        <f>((J104/1.11)+(K106/1.11))*11%</f>
        <v>74324.32432432432</v>
      </c>
      <c r="K108" s="586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81"/>
      <c r="K109" s="581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8" t="str">
        <f>J74</f>
        <v>NOVI / CONDRO</v>
      </c>
      <c r="K112" s="579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8">
        <f>J75</f>
        <v>0</v>
      </c>
      <c r="K113" s="579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2024-02-03T08:54:54Z</dcterms:modified>
</cp:coreProperties>
</file>